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dnv.sharepoint.com/teams/GroupAHVACRoadmap/Shared Documents/Low-GWP Refrigerant Transition Impacts/ACC Docs/Deemed RACC Workbooks/v2.1 Files Reviewed/"/>
    </mc:Choice>
  </mc:AlternateContent>
  <xr:revisionPtr revIDLastSave="626" documentId="8_{8A4BEE91-F053-4535-AA19-644791EE0F79}" xr6:coauthVersionLast="47" xr6:coauthVersionMax="47" xr10:uidLastSave="{575AE752-21C6-41B3-BD12-AE7297540333}"/>
  <workbookProtection workbookAlgorithmName="SHA-512" workbookHashValue="7HXQbfB3gQok5vbYURSdlucx5XvbOyvJqZQho8YRYxMAMNVK03TlQUpfLj7GtNe/mqlXFhuFA73iwOMv5B+skA==" workbookSaltValue="nTr/PBpGaWHrwrYORmcmrg==" workbookSpinCount="100000" lockStructure="1"/>
  <bookViews>
    <workbookView xWindow="-28920" yWindow="-7365" windowWidth="29040" windowHeight="16440" tabRatio="559" xr2:uid="{E411EA77-FBF8-4A11-95A4-E0CD79920976}"/>
  </bookViews>
  <sheets>
    <sheet name="Cover Sheet" sheetId="19" r:id="rId1"/>
    <sheet name="eTRM export" sheetId="18" r:id="rId2"/>
    <sheet name="User Inputs &gt;&gt;&gt;" sheetId="24" r:id="rId3"/>
    <sheet name="Deemed Dashboard" sheetId="14" r:id="rId4"/>
    <sheet name="User Specified Device Type" sheetId="26" r:id="rId5"/>
    <sheet name="Model Inputs &gt;&gt;&gt;" sheetId="25" r:id="rId6"/>
    <sheet name="Predefined Device Types" sheetId="16" r:id="rId7"/>
    <sheet name="Statewide WACC" sheetId="17" r:id="rId8"/>
    <sheet name="Refrig Type Research 2021" sheetId="15" r:id="rId9"/>
    <sheet name="Constants" sheetId="20" state="hidden" r:id="rId10"/>
    <sheet name="Named Ranges" sheetId="27" state="hidden" r:id="rId11"/>
    <sheet name="2022 Refrigerant ACC &gt;&gt;&gt;" sheetId="21" r:id="rId12"/>
    <sheet name="E3 Dashboard" sheetId="12" r:id="rId13"/>
    <sheet name="ACC Inputs" sheetId="8" r:id="rId14"/>
    <sheet name="Refrigerant Leakage" sheetId="10" r:id="rId15"/>
    <sheet name="Refrigerant GWPs" sheetId="11" r:id="rId16"/>
    <sheet name="Change Log" sheetId="13" r:id="rId17"/>
  </sheets>
  <externalReferences>
    <externalReference r:id="rId18"/>
    <externalReference r:id="rId19"/>
  </externalReferences>
  <definedNames>
    <definedName name="__123Graph_A" localSheetId="9" hidden="1">[1]Sheet1!#REF!</definedName>
    <definedName name="__123Graph_A" localSheetId="0" hidden="1">[1]Sheet1!#REF!</definedName>
    <definedName name="__123Graph_A" localSheetId="3" hidden="1">[1]Sheet1!#REF!</definedName>
    <definedName name="__123Graph_A" localSheetId="1" hidden="1">[1]Sheet1!#REF!</definedName>
    <definedName name="__123Graph_A" localSheetId="6" hidden="1">[1]Sheet1!#REF!</definedName>
    <definedName name="__123Graph_A" localSheetId="8" hidden="1">[1]Sheet1!#REF!</definedName>
    <definedName name="__123Graph_A" localSheetId="15" hidden="1">[1]Sheet1!#REF!</definedName>
    <definedName name="__123Graph_A" localSheetId="14" hidden="1">[1]Sheet1!#REF!</definedName>
    <definedName name="__123Graph_A" localSheetId="7" hidden="1">[1]Sheet1!#REF!</definedName>
    <definedName name="__123Graph_A" hidden="1">[1]Sheet1!#REF!</definedName>
    <definedName name="__123Graph_ADA" localSheetId="9" hidden="1">[1]Sheet1!#REF!</definedName>
    <definedName name="__123Graph_ADA" localSheetId="0" hidden="1">[1]Sheet1!#REF!</definedName>
    <definedName name="__123Graph_ADA" localSheetId="3" hidden="1">[1]Sheet1!#REF!</definedName>
    <definedName name="__123Graph_ADA" localSheetId="1" hidden="1">[1]Sheet1!#REF!</definedName>
    <definedName name="__123Graph_ADA" localSheetId="6" hidden="1">[1]Sheet1!#REF!</definedName>
    <definedName name="__123Graph_ADA" localSheetId="8" hidden="1">[1]Sheet1!#REF!</definedName>
    <definedName name="__123Graph_ADA" localSheetId="15" hidden="1">[1]Sheet1!#REF!</definedName>
    <definedName name="__123Graph_ADA" localSheetId="14" hidden="1">[1]Sheet1!#REF!</definedName>
    <definedName name="__123Graph_ADA" localSheetId="7" hidden="1">[1]Sheet1!#REF!</definedName>
    <definedName name="__123Graph_ADA" hidden="1">[1]Sheet1!#REF!</definedName>
    <definedName name="__123Graph_ADEPREC2" localSheetId="9" hidden="1">[1]Sheet1!#REF!</definedName>
    <definedName name="__123Graph_ADEPREC2" localSheetId="0" hidden="1">[1]Sheet1!#REF!</definedName>
    <definedName name="__123Graph_ADEPREC2" localSheetId="3" hidden="1">[1]Sheet1!#REF!</definedName>
    <definedName name="__123Graph_ADEPREC2" localSheetId="1" hidden="1">[1]Sheet1!#REF!</definedName>
    <definedName name="__123Graph_ADEPREC2" localSheetId="6" hidden="1">[1]Sheet1!#REF!</definedName>
    <definedName name="__123Graph_ADEPREC2" localSheetId="8" hidden="1">[1]Sheet1!#REF!</definedName>
    <definedName name="__123Graph_ADEPREC2" localSheetId="15" hidden="1">[1]Sheet1!#REF!</definedName>
    <definedName name="__123Graph_ADEPREC2" localSheetId="14" hidden="1">[1]Sheet1!#REF!</definedName>
    <definedName name="__123Graph_ADEPREC2" localSheetId="7" hidden="1">[1]Sheet1!#REF!</definedName>
    <definedName name="__123Graph_ADEPREC2" hidden="1">[1]Sheet1!#REF!</definedName>
    <definedName name="__123Graph_ATREND" localSheetId="9" hidden="1">[1]Sheet1!#REF!</definedName>
    <definedName name="__123Graph_ATREND" localSheetId="0" hidden="1">[1]Sheet1!#REF!</definedName>
    <definedName name="__123Graph_ATREND" localSheetId="3" hidden="1">[1]Sheet1!#REF!</definedName>
    <definedName name="__123Graph_ATREND" localSheetId="1" hidden="1">[1]Sheet1!#REF!</definedName>
    <definedName name="__123Graph_ATREND" localSheetId="6" hidden="1">[1]Sheet1!#REF!</definedName>
    <definedName name="__123Graph_ATREND" localSheetId="8" hidden="1">[1]Sheet1!#REF!</definedName>
    <definedName name="__123Graph_ATREND" localSheetId="15" hidden="1">[1]Sheet1!#REF!</definedName>
    <definedName name="__123Graph_ATREND" localSheetId="14" hidden="1">[1]Sheet1!#REF!</definedName>
    <definedName name="__123Graph_ATREND" localSheetId="7" hidden="1">[1]Sheet1!#REF!</definedName>
    <definedName name="__123Graph_ATREND" hidden="1">[1]Sheet1!#REF!</definedName>
    <definedName name="__123Graph_B" localSheetId="9" hidden="1">[1]Sheet1!#REF!</definedName>
    <definedName name="__123Graph_B" localSheetId="0" hidden="1">[1]Sheet1!#REF!</definedName>
    <definedName name="__123Graph_B" localSheetId="3" hidden="1">[1]Sheet1!#REF!</definedName>
    <definedName name="__123Graph_B" localSheetId="1" hidden="1">[1]Sheet1!#REF!</definedName>
    <definedName name="__123Graph_B" localSheetId="6" hidden="1">[1]Sheet1!#REF!</definedName>
    <definedName name="__123Graph_B" localSheetId="8" hidden="1">[1]Sheet1!#REF!</definedName>
    <definedName name="__123Graph_B" localSheetId="15" hidden="1">[1]Sheet1!#REF!</definedName>
    <definedName name="__123Graph_B" localSheetId="14" hidden="1">[1]Sheet1!#REF!</definedName>
    <definedName name="__123Graph_B" localSheetId="7" hidden="1">[1]Sheet1!#REF!</definedName>
    <definedName name="__123Graph_B" hidden="1">[1]Sheet1!#REF!</definedName>
    <definedName name="__123Graph_BTREND" localSheetId="9" hidden="1">[1]Sheet1!#REF!</definedName>
    <definedName name="__123Graph_BTREND" localSheetId="0" hidden="1">[1]Sheet1!#REF!</definedName>
    <definedName name="__123Graph_BTREND" localSheetId="3" hidden="1">[1]Sheet1!#REF!</definedName>
    <definedName name="__123Graph_BTREND" localSheetId="1" hidden="1">[1]Sheet1!#REF!</definedName>
    <definedName name="__123Graph_BTREND" localSheetId="6" hidden="1">[1]Sheet1!#REF!</definedName>
    <definedName name="__123Graph_BTREND" localSheetId="8" hidden="1">[1]Sheet1!#REF!</definedName>
    <definedName name="__123Graph_BTREND" localSheetId="15" hidden="1">[1]Sheet1!#REF!</definedName>
    <definedName name="__123Graph_BTREND" localSheetId="14" hidden="1">[1]Sheet1!#REF!</definedName>
    <definedName name="__123Graph_BTREND" localSheetId="7" hidden="1">[1]Sheet1!#REF!</definedName>
    <definedName name="__123Graph_BTREND" hidden="1">[1]Sheet1!#REF!</definedName>
    <definedName name="__123Graph_C" localSheetId="9" hidden="1">[1]Sheet1!#REF!</definedName>
    <definedName name="__123Graph_C" localSheetId="0" hidden="1">[1]Sheet1!#REF!</definedName>
    <definedName name="__123Graph_C" localSheetId="3" hidden="1">[1]Sheet1!#REF!</definedName>
    <definedName name="__123Graph_C" localSheetId="1" hidden="1">[1]Sheet1!#REF!</definedName>
    <definedName name="__123Graph_C" localSheetId="6" hidden="1">[1]Sheet1!#REF!</definedName>
    <definedName name="__123Graph_C" localSheetId="8" hidden="1">[1]Sheet1!#REF!</definedName>
    <definedName name="__123Graph_C" localSheetId="15" hidden="1">[1]Sheet1!#REF!</definedName>
    <definedName name="__123Graph_C" localSheetId="14" hidden="1">[1]Sheet1!#REF!</definedName>
    <definedName name="__123Graph_C" localSheetId="7" hidden="1">[1]Sheet1!#REF!</definedName>
    <definedName name="__123Graph_C" hidden="1">[1]Sheet1!#REF!</definedName>
    <definedName name="__123Graph_CTREND" localSheetId="9" hidden="1">[1]Sheet1!#REF!</definedName>
    <definedName name="__123Graph_CTREND" localSheetId="0" hidden="1">[1]Sheet1!#REF!</definedName>
    <definedName name="__123Graph_CTREND" localSheetId="3" hidden="1">[1]Sheet1!#REF!</definedName>
    <definedName name="__123Graph_CTREND" localSheetId="1" hidden="1">[1]Sheet1!#REF!</definedName>
    <definedName name="__123Graph_CTREND" localSheetId="6" hidden="1">[1]Sheet1!#REF!</definedName>
    <definedName name="__123Graph_CTREND" localSheetId="8" hidden="1">[1]Sheet1!#REF!</definedName>
    <definedName name="__123Graph_CTREND" localSheetId="15" hidden="1">[1]Sheet1!#REF!</definedName>
    <definedName name="__123Graph_CTREND" localSheetId="14" hidden="1">[1]Sheet1!#REF!</definedName>
    <definedName name="__123Graph_CTREND" localSheetId="7" hidden="1">[1]Sheet1!#REF!</definedName>
    <definedName name="__123Graph_CTREND" hidden="1">[1]Sheet1!#REF!</definedName>
    <definedName name="__123Graph_X" localSheetId="9" hidden="1">[1]Sheet1!#REF!</definedName>
    <definedName name="__123Graph_X" localSheetId="0" hidden="1">[1]Sheet1!#REF!</definedName>
    <definedName name="__123Graph_X" localSheetId="3" hidden="1">[1]Sheet1!#REF!</definedName>
    <definedName name="__123Graph_X" localSheetId="1" hidden="1">[1]Sheet1!#REF!</definedName>
    <definedName name="__123Graph_X" localSheetId="6" hidden="1">[1]Sheet1!#REF!</definedName>
    <definedName name="__123Graph_X" localSheetId="8" hidden="1">[1]Sheet1!#REF!</definedName>
    <definedName name="__123Graph_X" localSheetId="15" hidden="1">[1]Sheet1!#REF!</definedName>
    <definedName name="__123Graph_X" localSheetId="14" hidden="1">[1]Sheet1!#REF!</definedName>
    <definedName name="__123Graph_X" localSheetId="7" hidden="1">[1]Sheet1!#REF!</definedName>
    <definedName name="__123Graph_X" hidden="1">[1]Sheet1!#REF!</definedName>
    <definedName name="__123Graph_XTREND" localSheetId="9" hidden="1">[1]Sheet1!#REF!</definedName>
    <definedName name="__123Graph_XTREND" localSheetId="0" hidden="1">[1]Sheet1!#REF!</definedName>
    <definedName name="__123Graph_XTREND" localSheetId="3" hidden="1">[1]Sheet1!#REF!</definedName>
    <definedName name="__123Graph_XTREND" localSheetId="1" hidden="1">[1]Sheet1!#REF!</definedName>
    <definedName name="__123Graph_XTREND" localSheetId="6" hidden="1">[1]Sheet1!#REF!</definedName>
    <definedName name="__123Graph_XTREND" localSheetId="8" hidden="1">[1]Sheet1!#REF!</definedName>
    <definedName name="__123Graph_XTREND" localSheetId="15" hidden="1">[1]Sheet1!#REF!</definedName>
    <definedName name="__123Graph_XTREND" localSheetId="14" hidden="1">[1]Sheet1!#REF!</definedName>
    <definedName name="__123Graph_XTREND" localSheetId="7" hidden="1">[1]Sheet1!#REF!</definedName>
    <definedName name="__123Graph_XTREND" hidden="1">[1]Sheet1!#REF!</definedName>
    <definedName name="__FDS_HYPERLINK_TOGGLE_STATE__" hidden="1">"ON"</definedName>
    <definedName name="_1__123Graph_A_FABP_L.WK1_FAB" localSheetId="9" hidden="1">[1]Sheet1!#REF!</definedName>
    <definedName name="_1__123Graph_A_FABP_L.WK1_FAB" localSheetId="0" hidden="1">[1]Sheet1!#REF!</definedName>
    <definedName name="_1__123Graph_A_FABP_L.WK1_FAB" localSheetId="3" hidden="1">[1]Sheet1!#REF!</definedName>
    <definedName name="_1__123Graph_A_FABP_L.WK1_FAB" localSheetId="1" hidden="1">[1]Sheet1!#REF!</definedName>
    <definedName name="_1__123Graph_A_FABP_L.WK1_FAB" localSheetId="6" hidden="1">[1]Sheet1!#REF!</definedName>
    <definedName name="_1__123Graph_A_FABP_L.WK1_FAB" localSheetId="8" hidden="1">[1]Sheet1!#REF!</definedName>
    <definedName name="_1__123Graph_A_FABP_L.WK1_FAB" localSheetId="15" hidden="1">[1]Sheet1!#REF!</definedName>
    <definedName name="_1__123Graph_A_FABP_L.WK1_FAB" localSheetId="14" hidden="1">[1]Sheet1!#REF!</definedName>
    <definedName name="_1__123Graph_A_FABP_L.WK1_FAB" localSheetId="7" hidden="1">[1]Sheet1!#REF!</definedName>
    <definedName name="_1__123Graph_A_FABP_L.WK1_FAB" localSheetId="4" hidden="1">[1]Sheet1!#REF!</definedName>
    <definedName name="_1__123Graph_A_FABP_L.WK1_FAB" hidden="1">[1]Sheet1!#REF!</definedName>
    <definedName name="_2__123Graph_ADEPREC" localSheetId="9" hidden="1">[1]Sheet1!#REF!</definedName>
    <definedName name="_2__123Graph_ADEPREC" localSheetId="0" hidden="1">[1]Sheet1!#REF!</definedName>
    <definedName name="_2__123Graph_ADEPREC" localSheetId="3" hidden="1">[1]Sheet1!#REF!</definedName>
    <definedName name="_2__123Graph_ADEPREC" localSheetId="1" hidden="1">[1]Sheet1!#REF!</definedName>
    <definedName name="_2__123Graph_ADEPREC" localSheetId="6" hidden="1">[1]Sheet1!#REF!</definedName>
    <definedName name="_2__123Graph_ADEPREC" localSheetId="8" hidden="1">[1]Sheet1!#REF!</definedName>
    <definedName name="_2__123Graph_ADEPREC" localSheetId="15" hidden="1">[1]Sheet1!#REF!</definedName>
    <definedName name="_2__123Graph_ADEPREC" localSheetId="14" hidden="1">[1]Sheet1!#REF!</definedName>
    <definedName name="_2__123Graph_ADEPREC" localSheetId="7" hidden="1">[1]Sheet1!#REF!</definedName>
    <definedName name="_2__123Graph_ADEPREC" hidden="1">[1]Sheet1!#REF!</definedName>
    <definedName name="_3__123Graph_B_FABP_L.WK1_FAB" localSheetId="9" hidden="1">[1]Sheet1!#REF!</definedName>
    <definedName name="_3__123Graph_B_FABP_L.WK1_FAB" localSheetId="0" hidden="1">[1]Sheet1!#REF!</definedName>
    <definedName name="_3__123Graph_B_FABP_L.WK1_FAB" localSheetId="3" hidden="1">[1]Sheet1!#REF!</definedName>
    <definedName name="_3__123Graph_B_FABP_L.WK1_FAB" localSheetId="1" hidden="1">[1]Sheet1!#REF!</definedName>
    <definedName name="_3__123Graph_B_FABP_L.WK1_FAB" localSheetId="6" hidden="1">[1]Sheet1!#REF!</definedName>
    <definedName name="_3__123Graph_B_FABP_L.WK1_FAB" localSheetId="8" hidden="1">[1]Sheet1!#REF!</definedName>
    <definedName name="_3__123Graph_B_FABP_L.WK1_FAB" localSheetId="15" hidden="1">[1]Sheet1!#REF!</definedName>
    <definedName name="_3__123Graph_B_FABP_L.WK1_FAB" localSheetId="14" hidden="1">[1]Sheet1!#REF!</definedName>
    <definedName name="_3__123Graph_B_FABP_L.WK1_FAB" localSheetId="7" hidden="1">[1]Sheet1!#REF!</definedName>
    <definedName name="_3__123Graph_B_FABP_L.WK1_FAB" hidden="1">[1]Sheet1!#REF!</definedName>
    <definedName name="_4__123Graph_C_FABP_L.WK1_FAB" localSheetId="9" hidden="1">[1]Sheet1!#REF!</definedName>
    <definedName name="_4__123Graph_C_FABP_L.WK1_FAB" localSheetId="0" hidden="1">[1]Sheet1!#REF!</definedName>
    <definedName name="_4__123Graph_C_FABP_L.WK1_FAB" localSheetId="3" hidden="1">[1]Sheet1!#REF!</definedName>
    <definedName name="_4__123Graph_C_FABP_L.WK1_FAB" localSheetId="1" hidden="1">[1]Sheet1!#REF!</definedName>
    <definedName name="_4__123Graph_C_FABP_L.WK1_FAB" localSheetId="6" hidden="1">[1]Sheet1!#REF!</definedName>
    <definedName name="_4__123Graph_C_FABP_L.WK1_FAB" localSheetId="8" hidden="1">[1]Sheet1!#REF!</definedName>
    <definedName name="_4__123Graph_C_FABP_L.WK1_FAB" localSheetId="15" hidden="1">[1]Sheet1!#REF!</definedName>
    <definedName name="_4__123Graph_C_FABP_L.WK1_FAB" localSheetId="14" hidden="1">[1]Sheet1!#REF!</definedName>
    <definedName name="_4__123Graph_C_FABP_L.WK1_FAB" localSheetId="7" hidden="1">[1]Sheet1!#REF!</definedName>
    <definedName name="_4__123Graph_C_FABP_L.WK1_FAB" hidden="1">[1]Sheet1!#REF!</definedName>
    <definedName name="_5__123Graph_X_FABP_L.WK1_FAB" localSheetId="9" hidden="1">[1]Sheet1!#REF!</definedName>
    <definedName name="_5__123Graph_X_FABP_L.WK1_FAB" localSheetId="0" hidden="1">[1]Sheet1!#REF!</definedName>
    <definedName name="_5__123Graph_X_FABP_L.WK1_FAB" localSheetId="3" hidden="1">[1]Sheet1!#REF!</definedName>
    <definedName name="_5__123Graph_X_FABP_L.WK1_FAB" localSheetId="1" hidden="1">[1]Sheet1!#REF!</definedName>
    <definedName name="_5__123Graph_X_FABP_L.WK1_FAB" localSheetId="6" hidden="1">[1]Sheet1!#REF!</definedName>
    <definedName name="_5__123Graph_X_FABP_L.WK1_FAB" localSheetId="8" hidden="1">[1]Sheet1!#REF!</definedName>
    <definedName name="_5__123Graph_X_FABP_L.WK1_FAB" localSheetId="15" hidden="1">[1]Sheet1!#REF!</definedName>
    <definedName name="_5__123Graph_X_FABP_L.WK1_FAB" localSheetId="14" hidden="1">[1]Sheet1!#REF!</definedName>
    <definedName name="_5__123Graph_X_FABP_L.WK1_FAB" localSheetId="7" hidden="1">[1]Sheet1!#REF!</definedName>
    <definedName name="_5__123Graph_X_FABP_L.WK1_FAB" hidden="1">[1]Sheet1!#REF!</definedName>
    <definedName name="_Fill" localSheetId="9" hidden="1">#REF!</definedName>
    <definedName name="_Fill" localSheetId="0" hidden="1">#REF!</definedName>
    <definedName name="_Fill" localSheetId="3" hidden="1">#REF!</definedName>
    <definedName name="_Fill" localSheetId="1" hidden="1">#REF!</definedName>
    <definedName name="_Fill" localSheetId="6" hidden="1">#REF!</definedName>
    <definedName name="_Fill" localSheetId="8" hidden="1">#REF!</definedName>
    <definedName name="_Fill" localSheetId="15" hidden="1">#REF!</definedName>
    <definedName name="_Fill" localSheetId="14" hidden="1">#REF!</definedName>
    <definedName name="_Fill" localSheetId="7" hidden="1">#REF!</definedName>
    <definedName name="_Fill" localSheetId="4" hidden="1">#REF!</definedName>
    <definedName name="_Fill" hidden="1">#REF!</definedName>
    <definedName name="_xlnm._FilterDatabase" localSheetId="15" hidden="1">'Refrigerant GWPs'!$A$1:$G$156</definedName>
    <definedName name="_Key1" localSheetId="9" hidden="1">#REF!</definedName>
    <definedName name="_Key1" localSheetId="0" hidden="1">#REF!</definedName>
    <definedName name="_Key1" localSheetId="3" hidden="1">#REF!</definedName>
    <definedName name="_Key1" localSheetId="1" hidden="1">#REF!</definedName>
    <definedName name="_Key1" localSheetId="6" hidden="1">#REF!</definedName>
    <definedName name="_Key1" localSheetId="8" hidden="1">#REF!</definedName>
    <definedName name="_Key1" localSheetId="15" hidden="1">#REF!</definedName>
    <definedName name="_Key1" localSheetId="14" hidden="1">#REF!</definedName>
    <definedName name="_Key1" localSheetId="7" hidden="1">#REF!</definedName>
    <definedName name="_Key1" localSheetId="4" hidden="1">#REF!</definedName>
    <definedName name="_Key1" hidden="1">#REF!</definedName>
    <definedName name="_Key2" localSheetId="8" hidden="1">#REF!</definedName>
    <definedName name="_Key2" localSheetId="15" hidden="1">#REF!</definedName>
    <definedName name="_Key2" localSheetId="14" hidden="1">#REF!</definedName>
    <definedName name="_Key2" hidden="1">#REF!</definedName>
    <definedName name="_Order1" hidden="1">255</definedName>
    <definedName name="_Order2" hidden="1">255</definedName>
    <definedName name="_Sort" localSheetId="9" hidden="1">#REF!</definedName>
    <definedName name="_Sort" localSheetId="0" hidden="1">#REF!</definedName>
    <definedName name="_Sort" localSheetId="3" hidden="1">#REF!</definedName>
    <definedName name="_Sort" localSheetId="1" hidden="1">#REF!</definedName>
    <definedName name="_Sort" localSheetId="6" hidden="1">#REF!</definedName>
    <definedName name="_Sort" localSheetId="8" hidden="1">#REF!</definedName>
    <definedName name="_Sort" localSheetId="15" hidden="1">#REF!</definedName>
    <definedName name="_Sort" localSheetId="14" hidden="1">#REF!</definedName>
    <definedName name="_Sort" localSheetId="7" hidden="1">#REF!</definedName>
    <definedName name="_Sort" localSheetId="4" hidden="1">#REF!</definedName>
    <definedName name="_Sort" hidden="1">#REF!</definedName>
    <definedName name="_Table2_In1" localSheetId="8" hidden="1">#REF!</definedName>
    <definedName name="_Table2_In1" localSheetId="15" hidden="1">#REF!</definedName>
    <definedName name="_Table2_In1" localSheetId="14" hidden="1">#REF!</definedName>
    <definedName name="_Table2_In1" hidden="1">#REF!</definedName>
    <definedName name="_Table2_In2" localSheetId="8" hidden="1">#REF!</definedName>
    <definedName name="_Table2_In2" localSheetId="15" hidden="1">#REF!</definedName>
    <definedName name="_Table2_In2" localSheetId="14" hidden="1">#REF!</definedName>
    <definedName name="_Table2_In2" hidden="1">#REF!</definedName>
    <definedName name="_Table2_Out" hidden="1">#REF!</definedName>
    <definedName name="ACC_Dollar_Year">'ACC Inputs'!$G$7</definedName>
    <definedName name="ACC_Inflation_Rate">'ACC Inputs'!$I$7</definedName>
    <definedName name="anscount" hidden="1">3</definedName>
    <definedName name="asd" localSheetId="9" hidden="1">[1]Sheet1!#REF!</definedName>
    <definedName name="asd" localSheetId="0" hidden="1">[1]Sheet1!#REF!</definedName>
    <definedName name="asd" localSheetId="3" hidden="1">[1]Sheet1!#REF!</definedName>
    <definedName name="asd" localSheetId="1" hidden="1">[1]Sheet1!#REF!</definedName>
    <definedName name="asd" localSheetId="6" hidden="1">[1]Sheet1!#REF!</definedName>
    <definedName name="asd" localSheetId="8" hidden="1">[1]Sheet1!#REF!</definedName>
    <definedName name="asd" localSheetId="15" hidden="1">[1]Sheet1!#REF!</definedName>
    <definedName name="asd" localSheetId="14" hidden="1">[1]Sheet1!#REF!</definedName>
    <definedName name="asd" localSheetId="7" hidden="1">[1]Sheet1!#REF!</definedName>
    <definedName name="asd" localSheetId="4" hidden="1">[1]Sheet1!#REF!</definedName>
    <definedName name="asd" hidden="1">[1]Sheet1!#REF!</definedName>
    <definedName name="asdf" localSheetId="8" hidden="1">[1]Sheet1!#REF!</definedName>
    <definedName name="asdf" localSheetId="15" hidden="1">[1]Sheet1!#REF!</definedName>
    <definedName name="asdf" localSheetId="14" hidden="1">[1]Sheet1!#REF!</definedName>
    <definedName name="asdf" localSheetId="4" hidden="1">[1]Sheet1!#REF!</definedName>
    <definedName name="asdf" hidden="1">[1]Sheet1!#REF!</definedName>
    <definedName name="BLPB1" hidden="1">'[2]One-Pager'!$A$5</definedName>
    <definedName name="BLPB2" hidden="1">'[2]One-Pager'!$B$5</definedName>
    <definedName name="BLPB3" hidden="1">'[2]One-Pager'!$A$6</definedName>
    <definedName name="BLPB4" hidden="1">'[2]One-Pager'!$A$2</definedName>
    <definedName name="BLPB5" hidden="1">'[2]One-Pager'!$Q$3</definedName>
    <definedName name="BLPB6" hidden="1">'[2]One-Pager'!$I$2</definedName>
    <definedName name="BLPB7" hidden="1">'[2]One-Pager'!$G$2</definedName>
    <definedName name="BLPB8" hidden="1">'[2]One-Pager'!$F$6</definedName>
    <definedName name="BLPH1" localSheetId="9" hidden="1">#REF!</definedName>
    <definedName name="BLPH1" localSheetId="0" hidden="1">#REF!</definedName>
    <definedName name="BLPH1" localSheetId="3" hidden="1">#REF!</definedName>
    <definedName name="BLPH1" localSheetId="1" hidden="1">#REF!</definedName>
    <definedName name="BLPH1" localSheetId="6" hidden="1">#REF!</definedName>
    <definedName name="BLPH1" localSheetId="8" hidden="1">#REF!</definedName>
    <definedName name="BLPH1" localSheetId="15" hidden="1">#REF!</definedName>
    <definedName name="BLPH1" localSheetId="14" hidden="1">#REF!</definedName>
    <definedName name="BLPH1" localSheetId="7" hidden="1">#REF!</definedName>
    <definedName name="BLPH1" localSheetId="4" hidden="1">#REF!</definedName>
    <definedName name="BLPH1" hidden="1">#REF!</definedName>
    <definedName name="BLPH10" localSheetId="8" hidden="1">#REF!</definedName>
    <definedName name="BLPH10" localSheetId="15" hidden="1">#REF!</definedName>
    <definedName name="BLPH10" localSheetId="14" hidden="1">#REF!</definedName>
    <definedName name="BLPH10" hidden="1">#REF!</definedName>
    <definedName name="BLPH11" localSheetId="8" hidden="1">#REF!</definedName>
    <definedName name="BLPH11" localSheetId="15" hidden="1">#REF!</definedName>
    <definedName name="BLPH11" localSheetId="14"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const_100_yr">Constants!$M$5</definedName>
    <definedName name="const_20_yr">Constants!$M$6</definedName>
    <definedName name="const_AR">Constants!$G$5</definedName>
    <definedName name="const_device_e3none">Constants!$O$8</definedName>
    <definedName name="const_device_nonrefrig">Constants!$O$14</definedName>
    <definedName name="const_NC">Constants!$G$6</definedName>
    <definedName name="const_NR">Constants!$G$7</definedName>
    <definedName name="const_tg_none">Constants!$O$11</definedName>
    <definedName name="const_userspec">Constants!$O$5</definedName>
    <definedName name="Dropdown_Claim_Year">Constants!$E$5:$E$14</definedName>
    <definedName name="Dropdown_Existing_Device_Installation_Yr">Constants!$K$5:$K$19</definedName>
    <definedName name="Dropdown_GWP_Time_Horizon">Constants!$M$5:$M$6</definedName>
    <definedName name="Dropdown_Leakage_Device_Type">'Refrigerant Leakage'!$B$2:$B$41</definedName>
    <definedName name="Dropdown_MAT">Constants!$G$5:$G$8</definedName>
    <definedName name="DropdownRefrigTech">TechGroup_NormUnit_Table[DropdownRefrigTech]</definedName>
    <definedName name="DY">'Deemed Dashboard'!$E$3</definedName>
    <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GHG_Adder_dollar_per_tonne">'ACC Inputs'!$D$4:$AI$4</definedName>
    <definedName name="GHG_Adder_Yr1">'ACC Inputs'!$D$3</definedName>
    <definedName name="GWP_Values_100_year_AR4">'Refrigerant GWPs'!$D$2:$D$156</definedName>
    <definedName name="GWP_Values_20_year_AR4">'Refrigerant GWPs'!$E$2:$E$156</definedName>
    <definedName name="HTML_CodePage" hidden="1">1252</definedName>
    <definedName name="HTML_Control" localSheetId="9" hidden="1">{"'Summary'!$A$1:$J$24"}</definedName>
    <definedName name="HTML_Control" localSheetId="0" hidden="1">{"'Summary'!$A$1:$J$24"}</definedName>
    <definedName name="HTML_Control" localSheetId="3" hidden="1">{"'Summary'!$A$1:$J$24"}</definedName>
    <definedName name="HTML_Control" localSheetId="1" hidden="1">{"'Summary'!$A$1:$J$24"}</definedName>
    <definedName name="HTML_Control" localSheetId="6" hidden="1">{"'Summary'!$A$1:$J$24"}</definedName>
    <definedName name="HTML_Control" localSheetId="8" hidden="1">{"'Summary'!$A$1:$J$24"}</definedName>
    <definedName name="HTML_Control" localSheetId="15" hidden="1">{"'Summary'!$A$1:$J$24"}</definedName>
    <definedName name="HTML_Control" localSheetId="14" hidden="1">{"'Summary'!$A$1:$J$24"}</definedName>
    <definedName name="HTML_Control" localSheetId="7" hidden="1">{"'Summary'!$A$1:$J$24"}</definedName>
    <definedName name="HTML_Control" localSheetId="4" hidden="1">{"'Summary'!$A$1:$J$24"}</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mcount" hidden="1">3</definedName>
    <definedName name="Password">'Cover Sheet'!$B$269</definedName>
    <definedName name="pounds_per_metric_ton">Constants!$C$4</definedName>
    <definedName name="_xlnm.Print_Area" localSheetId="15">'Refrigerant GWPs'!$A$1:$E$159</definedName>
    <definedName name="q_ann">'Refrigerant Leakage'!$E$2:$E$41</definedName>
    <definedName name="q_EOL">'Refrigerant Leakage'!$F$2:$F$41</definedName>
    <definedName name="RefrigDropdownList">'Refrigerant GWPs'!$A$2:$A$156</definedName>
    <definedName name="sencount" hidden="1">1</definedName>
    <definedName name="solargraph" localSheetId="9" hidden="1">[1]Sheet1!#REF!</definedName>
    <definedName name="solargraph" localSheetId="0" hidden="1">[1]Sheet1!#REF!</definedName>
    <definedName name="solargraph" localSheetId="3" hidden="1">[1]Sheet1!#REF!</definedName>
    <definedName name="solargraph" localSheetId="1" hidden="1">[1]Sheet1!#REF!</definedName>
    <definedName name="solargraph" localSheetId="6" hidden="1">[1]Sheet1!#REF!</definedName>
    <definedName name="solargraph" localSheetId="8" hidden="1">[1]Sheet1!#REF!</definedName>
    <definedName name="solargraph" localSheetId="15" hidden="1">[1]Sheet1!#REF!</definedName>
    <definedName name="solargraph" localSheetId="14" hidden="1">[1]Sheet1!#REF!</definedName>
    <definedName name="solargraph" localSheetId="7" hidden="1">[1]Sheet1!#REF!</definedName>
    <definedName name="solargraph" localSheetId="4" hidden="1">[1]Sheet1!#REF!</definedName>
    <definedName name="solargraph" hidden="1">[1]Sheet1!#REF!</definedName>
    <definedName name="solver_adj" localSheetId="9" hidden="1">#REF!</definedName>
    <definedName name="solver_adj" localSheetId="0" hidden="1">#REF!</definedName>
    <definedName name="solver_adj" localSheetId="3" hidden="1">#REF!</definedName>
    <definedName name="solver_adj" localSheetId="1" hidden="1">#REF!</definedName>
    <definedName name="solver_adj" localSheetId="6" hidden="1">#REF!</definedName>
    <definedName name="solver_adj" localSheetId="8" hidden="1">#REF!</definedName>
    <definedName name="solver_adj" localSheetId="15" hidden="1">#REF!</definedName>
    <definedName name="solver_adj" localSheetId="14" hidden="1">#REF!</definedName>
    <definedName name="solver_adj" localSheetId="7" hidden="1">#REF!</definedName>
    <definedName name="solver_adj" localSheetId="4"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8" hidden="1">#REF!</definedName>
    <definedName name="solver_opt" localSheetId="15" hidden="1">#REF!</definedName>
    <definedName name="solver_opt" localSheetId="14" hidden="1">#REF!</definedName>
    <definedName name="solver_opt" localSheetId="4"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t_EOL">'Refrigerant Leakage'!$G$2:$G$41</definedName>
    <definedName name="TechGroup_and_NormUnit">OFFSET(tg_category1,0,0,tg_numcategories,1)</definedName>
    <definedName name="tg_category1">'Predefined Device Types'!$N$12</definedName>
    <definedName name="TG_dropdown_values">'Predefined Device Types'!$R$12</definedName>
    <definedName name="TG_dropdown_with_blank">'Predefined Device Types'!$Q$12</definedName>
    <definedName name="tg_numcategories">'Predefined Device Types'!$M$12</definedName>
    <definedName name="TGRows">OFFSET(tgrows_1,0,0,tg_numcategories,1)</definedName>
    <definedName name="tgrows_1">'Predefined Device Types'!$P$12</definedName>
    <definedName name="WACC">'Deemed Dashboard'!$E$6</definedName>
    <definedName name="wrn.ALL." localSheetId="9" hidden="1">{#N/A,#N/A,FALSE,"ASSUMPTIONS";#N/A,#N/A,FALSE,"Valuation Summary";"page1",#N/A,FALSE,"PRESENTATION";"page2",#N/A,FALSE,"PRESENTATION";#N/A,#N/A,FALSE,"ORIGINAL_ROLLBACK"}</definedName>
    <definedName name="wrn.ALL." localSheetId="0" hidden="1">{#N/A,#N/A,FALSE,"ASSUMPTIONS";#N/A,#N/A,FALSE,"Valuation Summary";"page1",#N/A,FALSE,"PRESENTATION";"page2",#N/A,FALSE,"PRESENTATION";#N/A,#N/A,FALSE,"ORIGINAL_ROLLBACK"}</definedName>
    <definedName name="wrn.ALL." localSheetId="3" hidden="1">{#N/A,#N/A,FALSE,"ASSUMPTIONS";#N/A,#N/A,FALSE,"Valuation Summary";"page1",#N/A,FALSE,"PRESENTATION";"page2",#N/A,FALSE,"PRESENTATION";#N/A,#N/A,FALSE,"ORIGINAL_ROLLBACK"}</definedName>
    <definedName name="wrn.ALL." localSheetId="1" hidden="1">{#N/A,#N/A,FALSE,"ASSUMPTIONS";#N/A,#N/A,FALSE,"Valuation Summary";"page1",#N/A,FALSE,"PRESENTATION";"page2",#N/A,FALSE,"PRESENTATION";#N/A,#N/A,FALSE,"ORIGINAL_ROLLBACK"}</definedName>
    <definedName name="wrn.ALL." localSheetId="6" hidden="1">{#N/A,#N/A,FALSE,"ASSUMPTIONS";#N/A,#N/A,FALSE,"Valuation Summary";"page1",#N/A,FALSE,"PRESENTATION";"page2",#N/A,FALSE,"PRESENTATION";#N/A,#N/A,FALSE,"ORIGINAL_ROLLBACK"}</definedName>
    <definedName name="wrn.ALL." localSheetId="8" hidden="1">{#N/A,#N/A,FALSE,"ASSUMPTIONS";#N/A,#N/A,FALSE,"Valuation Summary";"page1",#N/A,FALSE,"PRESENTATION";"page2",#N/A,FALSE,"PRESENTATION";#N/A,#N/A,FALSE,"ORIGINAL_ROLLBACK"}</definedName>
    <definedName name="wrn.ALL." localSheetId="15" hidden="1">{#N/A,#N/A,FALSE,"ASSUMPTIONS";#N/A,#N/A,FALSE,"Valuation Summary";"page1",#N/A,FALSE,"PRESENTATION";"page2",#N/A,FALSE,"PRESENTATION";#N/A,#N/A,FALSE,"ORIGINAL_ROLLBACK"}</definedName>
    <definedName name="wrn.ALL." localSheetId="14" hidden="1">{#N/A,#N/A,FALSE,"ASSUMPTIONS";#N/A,#N/A,FALSE,"Valuation Summary";"page1",#N/A,FALSE,"PRESENTATION";"page2",#N/A,FALSE,"PRESENTATION";#N/A,#N/A,FALSE,"ORIGINAL_ROLLBACK"}</definedName>
    <definedName name="wrn.ALL." localSheetId="7" hidden="1">{#N/A,#N/A,FALSE,"ASSUMPTIONS";#N/A,#N/A,FALSE,"Valuation Summary";"page1",#N/A,FALSE,"PRESENTATION";"page2",#N/A,FALSE,"PRESENTATION";#N/A,#N/A,FALSE,"ORIGINAL_ROLLBACK"}</definedName>
    <definedName name="wrn.ALL." localSheetId="4"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0"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1"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6"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8"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15"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14"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7"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4"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localSheetId="9" hidden="1">{#N/A,#N/A,FALSE,"FY97";#N/A,#N/A,FALSE,"FY98";#N/A,#N/A,FALSE,"FY99";#N/A,#N/A,FALSE,"FY00";#N/A,#N/A,FALSE,"FY01"}</definedName>
    <definedName name="wrn.FY97SBP." localSheetId="0" hidden="1">{#N/A,#N/A,FALSE,"FY97";#N/A,#N/A,FALSE,"FY98";#N/A,#N/A,FALSE,"FY99";#N/A,#N/A,FALSE,"FY00";#N/A,#N/A,FALSE,"FY01"}</definedName>
    <definedName name="wrn.FY97SBP." localSheetId="3" hidden="1">{#N/A,#N/A,FALSE,"FY97";#N/A,#N/A,FALSE,"FY98";#N/A,#N/A,FALSE,"FY99";#N/A,#N/A,FALSE,"FY00";#N/A,#N/A,FALSE,"FY01"}</definedName>
    <definedName name="wrn.FY97SBP." localSheetId="1" hidden="1">{#N/A,#N/A,FALSE,"FY97";#N/A,#N/A,FALSE,"FY98";#N/A,#N/A,FALSE,"FY99";#N/A,#N/A,FALSE,"FY00";#N/A,#N/A,FALSE,"FY01"}</definedName>
    <definedName name="wrn.FY97SBP." localSheetId="6" hidden="1">{#N/A,#N/A,FALSE,"FY97";#N/A,#N/A,FALSE,"FY98";#N/A,#N/A,FALSE,"FY99";#N/A,#N/A,FALSE,"FY00";#N/A,#N/A,FALSE,"FY01"}</definedName>
    <definedName name="wrn.FY97SBP." localSheetId="8" hidden="1">{#N/A,#N/A,FALSE,"FY97";#N/A,#N/A,FALSE,"FY98";#N/A,#N/A,FALSE,"FY99";#N/A,#N/A,FALSE,"FY00";#N/A,#N/A,FALSE,"FY01"}</definedName>
    <definedName name="wrn.FY97SBP." localSheetId="15" hidden="1">{#N/A,#N/A,FALSE,"FY97";#N/A,#N/A,FALSE,"FY98";#N/A,#N/A,FALSE,"FY99";#N/A,#N/A,FALSE,"FY00";#N/A,#N/A,FALSE,"FY01"}</definedName>
    <definedName name="wrn.FY97SBP." localSheetId="14" hidden="1">{#N/A,#N/A,FALSE,"FY97";#N/A,#N/A,FALSE,"FY98";#N/A,#N/A,FALSE,"FY99";#N/A,#N/A,FALSE,"FY00";#N/A,#N/A,FALSE,"FY01"}</definedName>
    <definedName name="wrn.FY97SBP." localSheetId="7" hidden="1">{#N/A,#N/A,FALSE,"FY97";#N/A,#N/A,FALSE,"FY98";#N/A,#N/A,FALSE,"FY99";#N/A,#N/A,FALSE,"FY00";#N/A,#N/A,FALSE,"FY01"}</definedName>
    <definedName name="wrn.FY97SBP." localSheetId="4" hidden="1">{#N/A,#N/A,FALSE,"FY97";#N/A,#N/A,FALSE,"FY98";#N/A,#N/A,FALSE,"FY99";#N/A,#N/A,FALSE,"FY00";#N/A,#N/A,FALSE,"FY01"}</definedName>
    <definedName name="wrn.FY97SBP." hidden="1">{#N/A,#N/A,FALSE,"FY97";#N/A,#N/A,FALSE,"FY98";#N/A,#N/A,FALSE,"FY99";#N/A,#N/A,FALSE,"FY00";#N/A,#N/A,FALSE,"FY01"}</definedName>
    <definedName name="wrn.PRES_OUT." localSheetId="9" hidden="1">{"page1",#N/A,FALSE,"PRESENTATION";"page2",#N/A,FALSE,"PRESENTATION";#N/A,#N/A,FALSE,"Valuation Summary"}</definedName>
    <definedName name="wrn.PRES_OUT." localSheetId="0" hidden="1">{"page1",#N/A,FALSE,"PRESENTATION";"page2",#N/A,FALSE,"PRESENTATION";#N/A,#N/A,FALSE,"Valuation Summary"}</definedName>
    <definedName name="wrn.PRES_OUT." localSheetId="3" hidden="1">{"page1",#N/A,FALSE,"PRESENTATION";"page2",#N/A,FALSE,"PRESENTATION";#N/A,#N/A,FALSE,"Valuation Summary"}</definedName>
    <definedName name="wrn.PRES_OUT." localSheetId="1" hidden="1">{"page1",#N/A,FALSE,"PRESENTATION";"page2",#N/A,FALSE,"PRESENTATION";#N/A,#N/A,FALSE,"Valuation Summary"}</definedName>
    <definedName name="wrn.PRES_OUT." localSheetId="6" hidden="1">{"page1",#N/A,FALSE,"PRESENTATION";"page2",#N/A,FALSE,"PRESENTATION";#N/A,#N/A,FALSE,"Valuation Summary"}</definedName>
    <definedName name="wrn.PRES_OUT." localSheetId="8" hidden="1">{"page1",#N/A,FALSE,"PRESENTATION";"page2",#N/A,FALSE,"PRESENTATION";#N/A,#N/A,FALSE,"Valuation Summary"}</definedName>
    <definedName name="wrn.PRES_OUT." localSheetId="15" hidden="1">{"page1",#N/A,FALSE,"PRESENTATION";"page2",#N/A,FALSE,"PRESENTATION";#N/A,#N/A,FALSE,"Valuation Summary"}</definedName>
    <definedName name="wrn.PRES_OUT." localSheetId="14" hidden="1">{"page1",#N/A,FALSE,"PRESENTATION";"page2",#N/A,FALSE,"PRESENTATION";#N/A,#N/A,FALSE,"Valuation Summary"}</definedName>
    <definedName name="wrn.PRES_OUT." localSheetId="7" hidden="1">{"page1",#N/A,FALSE,"PRESENTATION";"page2",#N/A,FALSE,"PRESENTATION";#N/A,#N/A,FALSE,"Valuation Summary"}</definedName>
    <definedName name="wrn.PRES_OUT." localSheetId="4" hidden="1">{"page1",#N/A,FALSE,"PRESENTATION";"page2",#N/A,FALSE,"PRESENTATION";#N/A,#N/A,FALSE,"Valuation Summary"}</definedName>
    <definedName name="wrn.PRES_OUT." hidden="1">{"page1",#N/A,FALSE,"PRESENTATION";"page2",#N/A,FALSE,"PRESENTATION";#N/A,#N/A,FALSE,"Valuation Summary"}</definedName>
    <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0"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3"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1"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6"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8"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15"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14"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7"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4"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0"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3"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1"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6"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15"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14"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7"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4"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0"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3"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1"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8"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15"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14"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7"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4"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CURRENT._.PAGE." localSheetId="9" hidden="1">{"CURRENT",#N/A,FALSE,"REGISTER"}</definedName>
    <definedName name="wrn.PRINT_CURRENT._.PAGE." localSheetId="0" hidden="1">{"CURRENT",#N/A,FALSE,"REGISTER"}</definedName>
    <definedName name="wrn.PRINT_CURRENT._.PAGE." localSheetId="3" hidden="1">{"CURRENT",#N/A,FALSE,"REGISTER"}</definedName>
    <definedName name="wrn.PRINT_CURRENT._.PAGE." localSheetId="1" hidden="1">{"CURRENT",#N/A,FALSE,"REGISTER"}</definedName>
    <definedName name="wrn.PRINT_CURRENT._.PAGE." localSheetId="6" hidden="1">{"CURRENT",#N/A,FALSE,"REGISTER"}</definedName>
    <definedName name="wrn.PRINT_CURRENT._.PAGE." localSheetId="8" hidden="1">{"CURRENT",#N/A,FALSE,"REGISTER"}</definedName>
    <definedName name="wrn.PRINT_CURRENT._.PAGE." localSheetId="15" hidden="1">{"CURRENT",#N/A,FALSE,"REGISTER"}</definedName>
    <definedName name="wrn.PRINT_CURRENT._.PAGE." localSheetId="14" hidden="1">{"CURRENT",#N/A,FALSE,"REGISTER"}</definedName>
    <definedName name="wrn.PRINT_CURRENT._.PAGE." localSheetId="7" hidden="1">{"CURRENT",#N/A,FALSE,"REGISTER"}</definedName>
    <definedName name="wrn.PRINT_CURRENT._.PAGE." localSheetId="4" hidden="1">{"CURRENT",#N/A,FALSE,"REGISTER"}</definedName>
    <definedName name="wrn.PRINT_CURRENT._.PAGE." hidden="1">{"CURRENT",#N/A,FALSE,"REGISTER"}</definedName>
    <definedName name="wrn.PRINT_HISTORY." localSheetId="9" hidden="1">{"HISTORY",#N/A,FALSE,"REGISTER"}</definedName>
    <definedName name="wrn.PRINT_HISTORY." localSheetId="0" hidden="1">{"HISTORY",#N/A,FALSE,"REGISTER"}</definedName>
    <definedName name="wrn.PRINT_HISTORY." localSheetId="3" hidden="1">{"HISTORY",#N/A,FALSE,"REGISTER"}</definedName>
    <definedName name="wrn.PRINT_HISTORY." localSheetId="1" hidden="1">{"HISTORY",#N/A,FALSE,"REGISTER"}</definedName>
    <definedName name="wrn.PRINT_HISTORY." localSheetId="6" hidden="1">{"HISTORY",#N/A,FALSE,"REGISTER"}</definedName>
    <definedName name="wrn.PRINT_HISTORY." localSheetId="8" hidden="1">{"HISTORY",#N/A,FALSE,"REGISTER"}</definedName>
    <definedName name="wrn.PRINT_HISTORY." localSheetId="15" hidden="1">{"HISTORY",#N/A,FALSE,"REGISTER"}</definedName>
    <definedName name="wrn.PRINT_HISTORY." localSheetId="14" hidden="1">{"HISTORY",#N/A,FALSE,"REGISTER"}</definedName>
    <definedName name="wrn.PRINT_HISTORY." localSheetId="7" hidden="1">{"HISTORY",#N/A,FALSE,"REGISTER"}</definedName>
    <definedName name="wrn.PRINT_HISTORY." localSheetId="4" hidden="1">{"HISTORY",#N/A,FALSE,"REGISTER"}</definedName>
    <definedName name="wrn.PRINT_HISTORY." hidden="1">{"HISTORY",#N/A,FALSE,"REGISTER"}</definedName>
    <definedName name="wrn.printall." localSheetId="9" hidden="1">{"page1",#N/A,FALSE,"DCM";"page2",#N/A,FALSE,"DCM";"page3",#N/A,FALSE,"DCM";"page4",#N/A,FALSE,"DCM";"page5",#N/A,FALSE,"DCM";"page6",#N/A,FALSE,"DCM";"page7",#N/A,FALSE,"DCM";"page8",#N/A,FALSE,"DCM"}</definedName>
    <definedName name="wrn.printall." localSheetId="0" hidden="1">{"page1",#N/A,FALSE,"DCM";"page2",#N/A,FALSE,"DCM";"page3",#N/A,FALSE,"DCM";"page4",#N/A,FALSE,"DCM";"page5",#N/A,FALSE,"DCM";"page6",#N/A,FALSE,"DCM";"page7",#N/A,FALSE,"DCM";"page8",#N/A,FALSE,"DCM"}</definedName>
    <definedName name="wrn.printall." localSheetId="3" hidden="1">{"page1",#N/A,FALSE,"DCM";"page2",#N/A,FALSE,"DCM";"page3",#N/A,FALSE,"DCM";"page4",#N/A,FALSE,"DCM";"page5",#N/A,FALSE,"DCM";"page6",#N/A,FALSE,"DCM";"page7",#N/A,FALSE,"DCM";"page8",#N/A,FALSE,"DCM"}</definedName>
    <definedName name="wrn.printall." localSheetId="1" hidden="1">{"page1",#N/A,FALSE,"DCM";"page2",#N/A,FALSE,"DCM";"page3",#N/A,FALSE,"DCM";"page4",#N/A,FALSE,"DCM";"page5",#N/A,FALSE,"DCM";"page6",#N/A,FALSE,"DCM";"page7",#N/A,FALSE,"DCM";"page8",#N/A,FALSE,"DCM"}</definedName>
    <definedName name="wrn.printall." localSheetId="6" hidden="1">{"page1",#N/A,FALSE,"DCM";"page2",#N/A,FALSE,"DCM";"page3",#N/A,FALSE,"DCM";"page4",#N/A,FALSE,"DCM";"page5",#N/A,FALSE,"DCM";"page6",#N/A,FALSE,"DCM";"page7",#N/A,FALSE,"DCM";"page8",#N/A,FALSE,"DCM"}</definedName>
    <definedName name="wrn.printall." localSheetId="8" hidden="1">{"page1",#N/A,FALSE,"DCM";"page2",#N/A,FALSE,"DCM";"page3",#N/A,FALSE,"DCM";"page4",#N/A,FALSE,"DCM";"page5",#N/A,FALSE,"DCM";"page6",#N/A,FALSE,"DCM";"page7",#N/A,FALSE,"DCM";"page8",#N/A,FALSE,"DCM"}</definedName>
    <definedName name="wrn.printall." localSheetId="15" hidden="1">{"page1",#N/A,FALSE,"DCM";"page2",#N/A,FALSE,"DCM";"page3",#N/A,FALSE,"DCM";"page4",#N/A,FALSE,"DCM";"page5",#N/A,FALSE,"DCM";"page6",#N/A,FALSE,"DCM";"page7",#N/A,FALSE,"DCM";"page8",#N/A,FALSE,"DCM"}</definedName>
    <definedName name="wrn.printall." localSheetId="14" hidden="1">{"page1",#N/A,FALSE,"DCM";"page2",#N/A,FALSE,"DCM";"page3",#N/A,FALSE,"DCM";"page4",#N/A,FALSE,"DCM";"page5",#N/A,FALSE,"DCM";"page6",#N/A,FALSE,"DCM";"page7",#N/A,FALSE,"DCM";"page8",#N/A,FALSE,"DCM"}</definedName>
    <definedName name="wrn.printall." localSheetId="7" hidden="1">{"page1",#N/A,FALSE,"DCM";"page2",#N/A,FALSE,"DCM";"page3",#N/A,FALSE,"DCM";"page4",#N/A,FALSE,"DCM";"page5",#N/A,FALSE,"DCM";"page6",#N/A,FALSE,"DCM";"page7",#N/A,FALSE,"DCM";"page8",#N/A,FALSE,"DCM"}</definedName>
    <definedName name="wrn.printall." localSheetId="4" hidden="1">{"page1",#N/A,FALSE,"DCM";"page2",#N/A,FALSE,"DCM";"page3",#N/A,FALSE,"DCM";"page4",#N/A,FALSE,"DCM";"page5",#N/A,FALSE,"DCM";"page6",#N/A,FALSE,"DCM";"page7",#N/A,FALSE,"DCM";"page8",#N/A,FALSE,"DCM"}</definedName>
    <definedName name="wrn.printall." hidden="1">{"page1",#N/A,FALSE,"DCM";"page2",#N/A,FALSE,"DCM";"page3",#N/A,FALSE,"DCM";"page4",#N/A,FALSE,"DCM";"page5",#N/A,FALSE,"DCM";"page6",#N/A,FALSE,"DCM";"page7",#N/A,FALSE,"DCM";"page8",#N/A,FALSE,"DCM"}</definedName>
    <definedName name="wrn.sum1." localSheetId="9" hidden="1">{"Summary","1",FALSE,"Summary"}</definedName>
    <definedName name="wrn.sum1." localSheetId="0" hidden="1">{"Summary","1",FALSE,"Summary"}</definedName>
    <definedName name="wrn.sum1." localSheetId="3" hidden="1">{"Summary","1",FALSE,"Summary"}</definedName>
    <definedName name="wrn.sum1." localSheetId="1" hidden="1">{"Summary","1",FALSE,"Summary"}</definedName>
    <definedName name="wrn.sum1." localSheetId="6" hidden="1">{"Summary","1",FALSE,"Summary"}</definedName>
    <definedName name="wrn.sum1." localSheetId="8" hidden="1">{"Summary","1",FALSE,"Summary"}</definedName>
    <definedName name="wrn.sum1." localSheetId="15" hidden="1">{"Summary","1",FALSE,"Summary"}</definedName>
    <definedName name="wrn.sum1." localSheetId="14" hidden="1">{"Summary","1",FALSE,"Summary"}</definedName>
    <definedName name="wrn.sum1." localSheetId="7" hidden="1">{"Summary","1",FALSE,"Summary"}</definedName>
    <definedName name="wrn.sum1." localSheetId="4" hidden="1">{"Summary","1",FALSE,"Summary"}</definedName>
    <definedName name="wrn.sum1." hidden="1">{"Summary","1",FALSE,"Summary"}</definedName>
    <definedName name="wrn.Summary." localSheetId="9" hidden="1">{"page1",#N/A,FALSE,"DCM";"page3",#N/A,FALSE,"DCM"}</definedName>
    <definedName name="wrn.Summary." localSheetId="0" hidden="1">{"page1",#N/A,FALSE,"DCM";"page3",#N/A,FALSE,"DCM"}</definedName>
    <definedName name="wrn.Summary." localSheetId="3" hidden="1">{"page1",#N/A,FALSE,"DCM";"page3",#N/A,FALSE,"DCM"}</definedName>
    <definedName name="wrn.Summary." localSheetId="1" hidden="1">{"page1",#N/A,FALSE,"DCM";"page3",#N/A,FALSE,"DCM"}</definedName>
    <definedName name="wrn.Summary." localSheetId="6" hidden="1">{"page1",#N/A,FALSE,"DCM";"page3",#N/A,FALSE,"DCM"}</definedName>
    <definedName name="wrn.Summary." localSheetId="8" hidden="1">{"page1",#N/A,FALSE,"DCM";"page3",#N/A,FALSE,"DCM"}</definedName>
    <definedName name="wrn.Summary." localSheetId="15" hidden="1">{"page1",#N/A,FALSE,"DCM";"page3",#N/A,FALSE,"DCM"}</definedName>
    <definedName name="wrn.Summary." localSheetId="14" hidden="1">{"page1",#N/A,FALSE,"DCM";"page3",#N/A,FALSE,"DCM"}</definedName>
    <definedName name="wrn.Summary." localSheetId="7" hidden="1">{"page1",#N/A,FALSE,"DCM";"page3",#N/A,FALSE,"DCM"}</definedName>
    <definedName name="wrn.Summary." localSheetId="4" hidden="1">{"page1",#N/A,FALSE,"DCM";"page3",#N/A,FALSE,"DCM"}</definedName>
    <definedName name="wrn.Summary." hidden="1">{"page1",#N/A,FALSE,"DCM";"page3",#N/A,FALSE,"DCM"}</definedName>
    <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0"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1"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6"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8"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15"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14"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7"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4"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localSheetId="9" hidden="1">{#N/A,#N/A,FALSE,"Inputs And Assumptions";#N/A,#N/A,FALSE,"Revenue Allocation";#N/A,#N/A,FALSE,"RSP Surch Allocations";#N/A,#N/A,FALSE,"Generation Calculations";#N/A,#N/A,FALSE,"Test Year 2001 Sales and Revs."}</definedName>
    <definedName name="wrn.workpapers." localSheetId="0" hidden="1">{#N/A,#N/A,FALSE,"Inputs And Assumptions";#N/A,#N/A,FALSE,"Revenue Allocation";#N/A,#N/A,FALSE,"RSP Surch Allocations";#N/A,#N/A,FALSE,"Generation Calculations";#N/A,#N/A,FALSE,"Test Year 2001 Sales and Revs."}</definedName>
    <definedName name="wrn.workpapers." localSheetId="3" hidden="1">{#N/A,#N/A,FALSE,"Inputs And Assumptions";#N/A,#N/A,FALSE,"Revenue Allocation";#N/A,#N/A,FALSE,"RSP Surch Allocations";#N/A,#N/A,FALSE,"Generation Calculations";#N/A,#N/A,FALSE,"Test Year 2001 Sales and Revs."}</definedName>
    <definedName name="wrn.workpapers." localSheetId="1" hidden="1">{#N/A,#N/A,FALSE,"Inputs And Assumptions";#N/A,#N/A,FALSE,"Revenue Allocation";#N/A,#N/A,FALSE,"RSP Surch Allocations";#N/A,#N/A,FALSE,"Generation Calculations";#N/A,#N/A,FALSE,"Test Year 2001 Sales and Revs."}</definedName>
    <definedName name="wrn.workpapers." localSheetId="6" hidden="1">{#N/A,#N/A,FALSE,"Inputs And Assumptions";#N/A,#N/A,FALSE,"Revenue Allocation";#N/A,#N/A,FALSE,"RSP Surch Allocations";#N/A,#N/A,FALSE,"Generation Calculations";#N/A,#N/A,FALSE,"Test Year 2001 Sales and Revs."}</definedName>
    <definedName name="wrn.workpapers." localSheetId="8" hidden="1">{#N/A,#N/A,FALSE,"Inputs And Assumptions";#N/A,#N/A,FALSE,"Revenue Allocation";#N/A,#N/A,FALSE,"RSP Surch Allocations";#N/A,#N/A,FALSE,"Generation Calculations";#N/A,#N/A,FALSE,"Test Year 2001 Sales and Revs."}</definedName>
    <definedName name="wrn.workpapers." localSheetId="15" hidden="1">{#N/A,#N/A,FALSE,"Inputs And Assumptions";#N/A,#N/A,FALSE,"Revenue Allocation";#N/A,#N/A,FALSE,"RSP Surch Allocations";#N/A,#N/A,FALSE,"Generation Calculations";#N/A,#N/A,FALSE,"Test Year 2001 Sales and Revs."}</definedName>
    <definedName name="wrn.workpapers." localSheetId="14" hidden="1">{#N/A,#N/A,FALSE,"Inputs And Assumptions";#N/A,#N/A,FALSE,"Revenue Allocation";#N/A,#N/A,FALSE,"RSP Surch Allocations";#N/A,#N/A,FALSE,"Generation Calculations";#N/A,#N/A,FALSE,"Test Year 2001 Sales and Revs."}</definedName>
    <definedName name="wrn.workpapers." localSheetId="7" hidden="1">{#N/A,#N/A,FALSE,"Inputs And Assumptions";#N/A,#N/A,FALSE,"Revenue Allocation";#N/A,#N/A,FALSE,"RSP Surch Allocations";#N/A,#N/A,FALSE,"Generation Calculations";#N/A,#N/A,FALSE,"Test Year 2001 Sales and Revs."}</definedName>
    <definedName name="wrn.workpapers." localSheetId="4"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0"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1"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6"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8"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15"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14"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7"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4"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localSheetId="9" hidden="1">{"page1",#N/A,FALSE,"DCM";"page2",#N/A,FALSE,"DCM";"page3",#N/A,FALSE,"DCM";"page4",#N/A,FALSE,"DCM";"page5",#N/A,FALSE,"DCM";"page6",#N/A,FALSE,"DCM";"page7",#N/A,FALSE,"DCM";"page8",#N/A,FALSE,"DCM"}</definedName>
    <definedName name="wrn1.printall" localSheetId="0" hidden="1">{"page1",#N/A,FALSE,"DCM";"page2",#N/A,FALSE,"DCM";"page3",#N/A,FALSE,"DCM";"page4",#N/A,FALSE,"DCM";"page5",#N/A,FALSE,"DCM";"page6",#N/A,FALSE,"DCM";"page7",#N/A,FALSE,"DCM";"page8",#N/A,FALSE,"DCM"}</definedName>
    <definedName name="wrn1.printall" localSheetId="3" hidden="1">{"page1",#N/A,FALSE,"DCM";"page2",#N/A,FALSE,"DCM";"page3",#N/A,FALSE,"DCM";"page4",#N/A,FALSE,"DCM";"page5",#N/A,FALSE,"DCM";"page6",#N/A,FALSE,"DCM";"page7",#N/A,FALSE,"DCM";"page8",#N/A,FALSE,"DCM"}</definedName>
    <definedName name="wrn1.printall" localSheetId="1" hidden="1">{"page1",#N/A,FALSE,"DCM";"page2",#N/A,FALSE,"DCM";"page3",#N/A,FALSE,"DCM";"page4",#N/A,FALSE,"DCM";"page5",#N/A,FALSE,"DCM";"page6",#N/A,FALSE,"DCM";"page7",#N/A,FALSE,"DCM";"page8",#N/A,FALSE,"DCM"}</definedName>
    <definedName name="wrn1.printall" localSheetId="6" hidden="1">{"page1",#N/A,FALSE,"DCM";"page2",#N/A,FALSE,"DCM";"page3",#N/A,FALSE,"DCM";"page4",#N/A,FALSE,"DCM";"page5",#N/A,FALSE,"DCM";"page6",#N/A,FALSE,"DCM";"page7",#N/A,FALSE,"DCM";"page8",#N/A,FALSE,"DCM"}</definedName>
    <definedName name="wrn1.printall" localSheetId="8" hidden="1">{"page1",#N/A,FALSE,"DCM";"page2",#N/A,FALSE,"DCM";"page3",#N/A,FALSE,"DCM";"page4",#N/A,FALSE,"DCM";"page5",#N/A,FALSE,"DCM";"page6",#N/A,FALSE,"DCM";"page7",#N/A,FALSE,"DCM";"page8",#N/A,FALSE,"DCM"}</definedName>
    <definedName name="wrn1.printall" localSheetId="15" hidden="1">{"page1",#N/A,FALSE,"DCM";"page2",#N/A,FALSE,"DCM";"page3",#N/A,FALSE,"DCM";"page4",#N/A,FALSE,"DCM";"page5",#N/A,FALSE,"DCM";"page6",#N/A,FALSE,"DCM";"page7",#N/A,FALSE,"DCM";"page8",#N/A,FALSE,"DCM"}</definedName>
    <definedName name="wrn1.printall" localSheetId="14" hidden="1">{"page1",#N/A,FALSE,"DCM";"page2",#N/A,FALSE,"DCM";"page3",#N/A,FALSE,"DCM";"page4",#N/A,FALSE,"DCM";"page5",#N/A,FALSE,"DCM";"page6",#N/A,FALSE,"DCM";"page7",#N/A,FALSE,"DCM";"page8",#N/A,FALSE,"DCM"}</definedName>
    <definedName name="wrn1.printall" localSheetId="7" hidden="1">{"page1",#N/A,FALSE,"DCM";"page2",#N/A,FALSE,"DCM";"page3",#N/A,FALSE,"DCM";"page4",#N/A,FALSE,"DCM";"page5",#N/A,FALSE,"DCM";"page6",#N/A,FALSE,"DCM";"page7",#N/A,FALSE,"DCM";"page8",#N/A,FALSE,"DCM"}</definedName>
    <definedName name="wrn1.printall" localSheetId="4" hidden="1">{"page1",#N/A,FALSE,"DCM";"page2",#N/A,FALSE,"DCM";"page3",#N/A,FALSE,"DCM";"page4",#N/A,FALSE,"DCM";"page5",#N/A,FALSE,"DCM";"page6",#N/A,FALSE,"DCM";"page7",#N/A,FALSE,"DCM";"page8",#N/A,FALSE,"DCM"}</definedName>
    <definedName name="wrn1.printall" hidden="1">{"page1",#N/A,FALSE,"DCM";"page2",#N/A,FALSE,"DCM";"page3",#N/A,FALSE,"DCM";"page4",#N/A,FALSE,"DCM";"page5",#N/A,FALSE,"DCM";"page6",#N/A,FALSE,"DCM";"page7",#N/A,FALSE,"DCM";"page8",#N/A,FALSE,"DCM"}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4" l="1"/>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Q69" i="14"/>
  <c r="Q70" i="14"/>
  <c r="Q71" i="14"/>
  <c r="Q72" i="14"/>
  <c r="Q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O10" i="14"/>
  <c r="P10" i="14"/>
  <c r="Q10" i="14"/>
  <c r="R10" i="14" a="1"/>
  <c r="R10" i="14" s="1"/>
  <c r="S10" i="14" a="1"/>
  <c r="S10" i="14" s="1"/>
  <c r="T10" i="14" a="1"/>
  <c r="T10" i="14"/>
  <c r="O11" i="14"/>
  <c r="P11" i="14"/>
  <c r="R11" i="14" a="1"/>
  <c r="R11" i="14"/>
  <c r="S11" i="14" a="1"/>
  <c r="S11" i="14"/>
  <c r="T11" i="14" a="1"/>
  <c r="T11" i="14" s="1"/>
  <c r="O12" i="14"/>
  <c r="P12" i="14"/>
  <c r="R12" i="14" a="1"/>
  <c r="R12" i="14" s="1"/>
  <c r="S12" i="14" a="1"/>
  <c r="S12" i="14"/>
  <c r="T12" i="14" a="1"/>
  <c r="T12" i="14" s="1"/>
  <c r="O13" i="14"/>
  <c r="P13" i="14"/>
  <c r="R13" i="14" a="1"/>
  <c r="R13" i="14"/>
  <c r="S13" i="14" a="1"/>
  <c r="S13" i="14" s="1"/>
  <c r="T13" i="14" a="1"/>
  <c r="T13" i="14" s="1"/>
  <c r="O14" i="14"/>
  <c r="P14" i="14"/>
  <c r="R14" i="14" a="1"/>
  <c r="R14" i="14"/>
  <c r="S14" i="14" a="1"/>
  <c r="S14" i="14" s="1"/>
  <c r="T14" i="14" a="1"/>
  <c r="T14" i="14"/>
  <c r="O15" i="14"/>
  <c r="P15" i="14"/>
  <c r="R15" i="14" a="1"/>
  <c r="R15" i="14" s="1"/>
  <c r="S15" i="14" a="1"/>
  <c r="S15" i="14" s="1"/>
  <c r="T15" i="14" a="1"/>
  <c r="T15" i="14"/>
  <c r="O16" i="14"/>
  <c r="P16" i="14"/>
  <c r="R16" i="14" a="1"/>
  <c r="R16" i="14" s="1"/>
  <c r="S16" i="14" a="1"/>
  <c r="S16" i="14"/>
  <c r="T16" i="14" a="1"/>
  <c r="T16" i="14"/>
  <c r="O17" i="14"/>
  <c r="P17" i="14"/>
  <c r="R17" i="14" a="1"/>
  <c r="R17" i="14" s="1"/>
  <c r="S17" i="14" a="1"/>
  <c r="S17" i="14" s="1"/>
  <c r="T17" i="14" a="1"/>
  <c r="T17" i="14"/>
  <c r="O18" i="14"/>
  <c r="P18" i="14"/>
  <c r="R18" i="14" a="1"/>
  <c r="R18" i="14"/>
  <c r="S18" i="14" a="1"/>
  <c r="S18" i="14"/>
  <c r="T18" i="14" a="1"/>
  <c r="T18" i="14" s="1"/>
  <c r="O19" i="14"/>
  <c r="P19" i="14"/>
  <c r="R19" i="14" a="1"/>
  <c r="R19" i="14" s="1"/>
  <c r="S19" i="14" a="1"/>
  <c r="S19" i="14"/>
  <c r="T19" i="14" a="1"/>
  <c r="T19" i="14" s="1"/>
  <c r="O20" i="14"/>
  <c r="P20" i="14"/>
  <c r="R20" i="14" a="1"/>
  <c r="R20" i="14"/>
  <c r="S20" i="14" a="1"/>
  <c r="S20" i="14" s="1"/>
  <c r="T20" i="14" a="1"/>
  <c r="T20" i="14"/>
  <c r="O21" i="14"/>
  <c r="P21" i="14"/>
  <c r="R21" i="14" a="1"/>
  <c r="R21" i="14" s="1"/>
  <c r="S21" i="14" a="1"/>
  <c r="S21" i="14" s="1"/>
  <c r="T21" i="14" a="1"/>
  <c r="T21" i="14"/>
  <c r="O22" i="14"/>
  <c r="P22" i="14"/>
  <c r="R22" i="14" a="1"/>
  <c r="R22" i="14" s="1"/>
  <c r="S22" i="14" a="1"/>
  <c r="S22" i="14"/>
  <c r="T22" i="14" a="1"/>
  <c r="T22" i="14"/>
  <c r="O23" i="14"/>
  <c r="P23" i="14"/>
  <c r="R23" i="14" a="1"/>
  <c r="R23" i="14" s="1"/>
  <c r="S23" i="14" a="1"/>
  <c r="S23" i="14"/>
  <c r="T23" i="14" a="1"/>
  <c r="T23" i="14"/>
  <c r="O24" i="14"/>
  <c r="P24" i="14"/>
  <c r="R24" i="14" a="1"/>
  <c r="R24" i="14" s="1"/>
  <c r="S24" i="14" a="1"/>
  <c r="S24" i="14"/>
  <c r="T24" i="14" a="1"/>
  <c r="T24" i="14"/>
  <c r="O25" i="14"/>
  <c r="P25" i="14"/>
  <c r="R25" i="14" a="1"/>
  <c r="R25" i="14"/>
  <c r="S25" i="14" a="1"/>
  <c r="S25" i="14"/>
  <c r="T25" i="14" a="1"/>
  <c r="T25" i="14"/>
  <c r="O26" i="14"/>
  <c r="P26" i="14"/>
  <c r="R26" i="14" a="1"/>
  <c r="R26" i="14" s="1"/>
  <c r="S26" i="14" a="1"/>
  <c r="S26" i="14" s="1"/>
  <c r="T26" i="14" a="1"/>
  <c r="T26" i="14"/>
  <c r="O27" i="14"/>
  <c r="P27" i="14"/>
  <c r="R27" i="14" a="1"/>
  <c r="R27" i="14"/>
  <c r="S27" i="14" a="1"/>
  <c r="S27" i="14"/>
  <c r="T27" i="14" a="1"/>
  <c r="T27" i="14" s="1"/>
  <c r="O28" i="14"/>
  <c r="P28" i="14"/>
  <c r="R28" i="14" a="1"/>
  <c r="R28" i="14" s="1"/>
  <c r="S28" i="14" a="1"/>
  <c r="S28" i="14"/>
  <c r="T28" i="14" a="1"/>
  <c r="T28" i="14" s="1"/>
  <c r="O29" i="14"/>
  <c r="P29" i="14"/>
  <c r="R29" i="14" a="1"/>
  <c r="R29" i="14"/>
  <c r="S29" i="14" a="1"/>
  <c r="S29" i="14" s="1"/>
  <c r="T29" i="14" a="1"/>
  <c r="T29" i="14" s="1"/>
  <c r="O30" i="14"/>
  <c r="P30" i="14"/>
  <c r="R30" i="14" a="1"/>
  <c r="R30" i="14"/>
  <c r="S30" i="14" a="1"/>
  <c r="S30" i="14" s="1"/>
  <c r="T30" i="14" a="1"/>
  <c r="T30" i="14"/>
  <c r="O31" i="14"/>
  <c r="P31" i="14"/>
  <c r="R31" i="14" a="1"/>
  <c r="R31" i="14" s="1"/>
  <c r="S31" i="14" a="1"/>
  <c r="S31" i="14" s="1"/>
  <c r="T31" i="14" a="1"/>
  <c r="T31" i="14"/>
  <c r="O32" i="14"/>
  <c r="P32" i="14"/>
  <c r="R32" i="14" a="1"/>
  <c r="R32" i="14" s="1"/>
  <c r="S32" i="14" a="1"/>
  <c r="S32" i="14"/>
  <c r="T32" i="14" a="1"/>
  <c r="T32" i="14"/>
  <c r="O33" i="14"/>
  <c r="P33" i="14"/>
  <c r="R33" i="14" a="1"/>
  <c r="R33" i="14" s="1"/>
  <c r="S33" i="14" a="1"/>
  <c r="S33" i="14" s="1"/>
  <c r="T33" i="14" a="1"/>
  <c r="T33" i="14"/>
  <c r="O34" i="14"/>
  <c r="P34" i="14"/>
  <c r="R34" i="14" a="1"/>
  <c r="R34" i="14"/>
  <c r="S34" i="14" a="1"/>
  <c r="S34" i="14"/>
  <c r="T34" i="14" a="1"/>
  <c r="T34" i="14" s="1"/>
  <c r="O35" i="14"/>
  <c r="P35" i="14"/>
  <c r="R35" i="14" a="1"/>
  <c r="R35" i="14" s="1"/>
  <c r="S35" i="14" a="1"/>
  <c r="S35" i="14"/>
  <c r="T35" i="14" a="1"/>
  <c r="T35" i="14" s="1"/>
  <c r="O36" i="14"/>
  <c r="P36" i="14"/>
  <c r="R36" i="14" a="1"/>
  <c r="R36" i="14"/>
  <c r="S36" i="14" a="1"/>
  <c r="S36" i="14" s="1"/>
  <c r="T36" i="14" a="1"/>
  <c r="T36" i="14"/>
  <c r="BS15" i="14"/>
  <c r="O37" i="14"/>
  <c r="P37" i="14"/>
  <c r="O38" i="14"/>
  <c r="P38" i="14"/>
  <c r="O39" i="14"/>
  <c r="P39" i="14"/>
  <c r="O40" i="14"/>
  <c r="P40" i="14"/>
  <c r="O41" i="14"/>
  <c r="P41" i="14"/>
  <c r="O42" i="14"/>
  <c r="P42" i="14"/>
  <c r="O43" i="14"/>
  <c r="P43" i="14"/>
  <c r="O44" i="14"/>
  <c r="P44" i="14"/>
  <c r="O45" i="14"/>
  <c r="P45" i="14"/>
  <c r="O46" i="14"/>
  <c r="P46" i="14"/>
  <c r="O47" i="14"/>
  <c r="P47" i="14"/>
  <c r="O48" i="14"/>
  <c r="P48" i="14"/>
  <c r="O49" i="14"/>
  <c r="P49" i="14"/>
  <c r="O50" i="14"/>
  <c r="P50" i="14"/>
  <c r="O51" i="14"/>
  <c r="P51" i="14"/>
  <c r="O52" i="14"/>
  <c r="P52" i="14"/>
  <c r="O53" i="14"/>
  <c r="P53" i="14"/>
  <c r="O54" i="14"/>
  <c r="P54" i="14"/>
  <c r="O55" i="14"/>
  <c r="P55" i="14"/>
  <c r="O56" i="14"/>
  <c r="P56" i="14"/>
  <c r="O57" i="14"/>
  <c r="P57" i="14"/>
  <c r="O58" i="14"/>
  <c r="P58" i="14"/>
  <c r="O59" i="14"/>
  <c r="P59" i="14"/>
  <c r="O60" i="14"/>
  <c r="P60" i="14"/>
  <c r="O61" i="14"/>
  <c r="P61" i="14"/>
  <c r="O62" i="14"/>
  <c r="P62" i="14"/>
  <c r="O63" i="14"/>
  <c r="P63" i="14"/>
  <c r="O64" i="14"/>
  <c r="P64" i="14"/>
  <c r="O65" i="14"/>
  <c r="P65" i="14"/>
  <c r="O66" i="14"/>
  <c r="P66" i="14"/>
  <c r="O67" i="14"/>
  <c r="P67" i="14"/>
  <c r="O68" i="14"/>
  <c r="P68" i="14"/>
  <c r="O69" i="14"/>
  <c r="P69" i="14"/>
  <c r="O70" i="14"/>
  <c r="P70" i="14"/>
  <c r="O71" i="14"/>
  <c r="P71" i="14"/>
  <c r="O72" i="14"/>
  <c r="P72" i="14"/>
  <c r="O73" i="14"/>
  <c r="P73" i="14"/>
  <c r="O74" i="14"/>
  <c r="P74" i="14"/>
  <c r="O75" i="14"/>
  <c r="P75" i="14"/>
  <c r="O76" i="14"/>
  <c r="P76" i="14"/>
  <c r="O77" i="14"/>
  <c r="P77" i="14"/>
  <c r="O78" i="14"/>
  <c r="P78" i="14"/>
  <c r="O79" i="14"/>
  <c r="P79" i="14"/>
  <c r="O80" i="14"/>
  <c r="P80" i="14"/>
  <c r="O81" i="14"/>
  <c r="P81" i="14"/>
  <c r="O82" i="14"/>
  <c r="P82" i="14"/>
  <c r="O83" i="14"/>
  <c r="P83" i="14"/>
  <c r="O84" i="14"/>
  <c r="P84" i="14"/>
  <c r="O85" i="14"/>
  <c r="P85" i="14"/>
  <c r="O86" i="14"/>
  <c r="P86" i="14"/>
  <c r="O87" i="14"/>
  <c r="P87" i="14"/>
  <c r="O88" i="14"/>
  <c r="P88" i="14"/>
  <c r="O89" i="14"/>
  <c r="P89" i="14"/>
  <c r="O90" i="14"/>
  <c r="P90" i="14"/>
  <c r="O91" i="14"/>
  <c r="P91" i="14"/>
  <c r="O92" i="14"/>
  <c r="P92" i="14"/>
  <c r="O93" i="14"/>
  <c r="P93" i="14"/>
  <c r="O94" i="14"/>
  <c r="P94" i="14"/>
  <c r="O95" i="14"/>
  <c r="P95" i="14"/>
  <c r="O96" i="14"/>
  <c r="P96" i="14"/>
  <c r="O97" i="14"/>
  <c r="P97" i="14"/>
  <c r="O98" i="14"/>
  <c r="P98" i="14"/>
  <c r="O99" i="14"/>
  <c r="P99" i="14"/>
  <c r="O100" i="14"/>
  <c r="P100" i="14"/>
  <c r="O101" i="14"/>
  <c r="P101" i="14"/>
  <c r="O102" i="14"/>
  <c r="P102" i="14"/>
  <c r="O103" i="14"/>
  <c r="P103" i="14"/>
  <c r="O104" i="14"/>
  <c r="P104" i="14"/>
  <c r="O105" i="14"/>
  <c r="P105" i="14"/>
  <c r="O106" i="14"/>
  <c r="P106" i="14"/>
  <c r="O107" i="14"/>
  <c r="P107" i="14"/>
  <c r="O108" i="14"/>
  <c r="P108" i="14"/>
  <c r="O109" i="14"/>
  <c r="P109" i="14"/>
  <c r="BS10" i="14"/>
  <c r="BS11" i="14"/>
  <c r="BS12" i="14"/>
  <c r="BS13" i="14"/>
  <c r="BS14" i="14"/>
  <c r="BS16" i="14"/>
  <c r="BS17" i="14"/>
  <c r="BS18" i="14"/>
  <c r="BS19" i="14"/>
  <c r="BS20" i="14"/>
  <c r="BS21" i="14"/>
  <c r="BS22" i="14"/>
  <c r="BS23" i="14"/>
  <c r="BS24" i="14"/>
  <c r="BS25" i="14"/>
  <c r="BS26" i="14"/>
  <c r="BS27" i="14"/>
  <c r="BS28" i="14"/>
  <c r="BS29" i="14"/>
  <c r="BS30" i="14"/>
  <c r="BS31" i="14"/>
  <c r="BS32" i="14"/>
  <c r="BS33" i="14"/>
  <c r="BS34" i="14"/>
  <c r="BS35" i="14"/>
  <c r="BS36" i="14"/>
  <c r="BS37" i="14"/>
  <c r="BS38" i="14"/>
  <c r="BS39" i="14"/>
  <c r="BS40" i="14"/>
  <c r="BS41" i="14"/>
  <c r="BS42" i="14"/>
  <c r="BS43" i="14"/>
  <c r="BS44" i="14"/>
  <c r="BS45" i="14"/>
  <c r="BS46" i="14"/>
  <c r="BS47" i="14"/>
  <c r="BS48" i="14"/>
  <c r="BS49" i="14"/>
  <c r="BS50" i="14"/>
  <c r="BS51" i="14"/>
  <c r="BS52" i="14"/>
  <c r="BS53" i="14"/>
  <c r="BS54" i="14"/>
  <c r="BS55" i="14"/>
  <c r="BS56" i="14"/>
  <c r="BS57" i="14"/>
  <c r="BS58" i="14"/>
  <c r="BS59" i="14"/>
  <c r="BS60" i="14"/>
  <c r="BS61" i="14"/>
  <c r="BS62" i="14"/>
  <c r="BS63" i="14"/>
  <c r="BS64" i="14"/>
  <c r="BS65" i="14"/>
  <c r="BS66" i="14"/>
  <c r="BS67" i="14"/>
  <c r="BS68" i="14"/>
  <c r="BS69" i="14"/>
  <c r="BS70" i="14"/>
  <c r="BS71" i="14"/>
  <c r="BS72" i="14"/>
  <c r="BS73" i="14"/>
  <c r="BS74" i="14"/>
  <c r="BS75" i="14"/>
  <c r="BS76" i="14"/>
  <c r="BS77" i="14"/>
  <c r="BS78" i="14"/>
  <c r="BS79" i="14"/>
  <c r="BS80" i="14"/>
  <c r="BS81" i="14"/>
  <c r="BS82" i="14"/>
  <c r="BS83" i="14"/>
  <c r="BS84" i="14"/>
  <c r="BS85" i="14"/>
  <c r="BS86" i="14"/>
  <c r="BS87" i="14"/>
  <c r="BS88" i="14"/>
  <c r="BS89" i="14"/>
  <c r="BS90" i="14"/>
  <c r="BS91" i="14"/>
  <c r="BS92" i="14"/>
  <c r="BS93" i="14"/>
  <c r="BS94" i="14"/>
  <c r="BS95" i="14"/>
  <c r="BS96" i="14"/>
  <c r="BS97" i="14"/>
  <c r="BS98" i="14"/>
  <c r="BS99" i="14"/>
  <c r="BS100" i="14"/>
  <c r="BS101" i="14"/>
  <c r="BS102" i="14"/>
  <c r="BS103" i="14"/>
  <c r="BS104" i="14"/>
  <c r="BS105" i="14"/>
  <c r="BS106" i="14"/>
  <c r="BS107" i="14"/>
  <c r="BS108" i="14"/>
  <c r="BS109" i="14"/>
  <c r="BR10" i="14"/>
  <c r="BR11" i="14"/>
  <c r="BR12" i="14"/>
  <c r="BR13" i="14"/>
  <c r="BR14" i="14"/>
  <c r="BR16" i="14"/>
  <c r="BR17" i="14"/>
  <c r="BR18" i="14"/>
  <c r="BR19" i="14"/>
  <c r="BR20" i="14"/>
  <c r="BR21" i="14"/>
  <c r="BR22" i="14"/>
  <c r="BR23" i="14"/>
  <c r="BR24" i="14"/>
  <c r="BR25" i="14"/>
  <c r="BR26" i="14"/>
  <c r="BR27" i="14"/>
  <c r="BR28" i="14"/>
  <c r="BR29" i="14"/>
  <c r="BR30" i="14"/>
  <c r="BR31" i="14"/>
  <c r="BR32" i="14"/>
  <c r="BR33" i="14"/>
  <c r="BR34" i="14"/>
  <c r="BR35" i="14"/>
  <c r="BR36" i="14"/>
  <c r="BR37" i="14"/>
  <c r="BR38" i="14"/>
  <c r="BR39" i="14"/>
  <c r="BR40" i="14"/>
  <c r="BR41" i="14"/>
  <c r="BR42" i="14"/>
  <c r="BR43" i="14"/>
  <c r="BR44" i="14"/>
  <c r="BR45" i="14"/>
  <c r="BR46" i="14"/>
  <c r="BR47" i="14"/>
  <c r="BR48" i="14"/>
  <c r="BR49" i="14"/>
  <c r="BR50" i="14"/>
  <c r="BR51" i="14"/>
  <c r="BR52" i="14"/>
  <c r="BR53" i="14"/>
  <c r="BR54" i="14"/>
  <c r="BR55" i="14"/>
  <c r="BR56" i="14"/>
  <c r="BR57" i="14"/>
  <c r="BR58" i="14"/>
  <c r="BR59" i="14"/>
  <c r="BR60" i="14"/>
  <c r="BR61" i="14"/>
  <c r="BR62" i="14"/>
  <c r="BR63" i="14"/>
  <c r="BR64" i="14"/>
  <c r="BR65" i="14"/>
  <c r="BR66" i="14"/>
  <c r="BR67" i="14"/>
  <c r="BR68" i="14"/>
  <c r="BR69" i="14"/>
  <c r="BR70" i="14"/>
  <c r="BR71" i="14"/>
  <c r="BR72" i="14"/>
  <c r="BR73" i="14"/>
  <c r="BR74" i="14"/>
  <c r="BR75" i="14"/>
  <c r="BR76" i="14"/>
  <c r="BR77" i="14"/>
  <c r="BR78" i="14"/>
  <c r="BR79" i="14"/>
  <c r="BR80" i="14"/>
  <c r="BR81" i="14"/>
  <c r="BR82" i="14"/>
  <c r="BR83" i="14"/>
  <c r="BR84" i="14"/>
  <c r="BR85" i="14"/>
  <c r="BR86" i="14"/>
  <c r="BR87" i="14"/>
  <c r="BR88" i="14"/>
  <c r="BR89" i="14"/>
  <c r="BR90" i="14"/>
  <c r="BR91" i="14"/>
  <c r="BR92" i="14"/>
  <c r="BR93" i="14"/>
  <c r="BR94" i="14"/>
  <c r="BR95" i="14"/>
  <c r="BR96" i="14"/>
  <c r="BR97" i="14"/>
  <c r="BR98" i="14"/>
  <c r="BR99" i="14"/>
  <c r="BR100" i="14"/>
  <c r="BR101" i="14"/>
  <c r="BR102" i="14"/>
  <c r="BR103" i="14"/>
  <c r="BR104" i="14"/>
  <c r="BR105" i="14"/>
  <c r="BR106" i="14"/>
  <c r="BR107" i="14"/>
  <c r="BR108" i="14"/>
  <c r="BR109" i="14"/>
  <c r="BR15" i="14" l="1"/>
  <c r="BO37" i="14" l="1"/>
  <c r="BO38" i="14"/>
  <c r="BO39" i="14"/>
  <c r="BO40" i="14"/>
  <c r="BO41" i="14"/>
  <c r="BO42" i="14"/>
  <c r="BO43" i="14"/>
  <c r="BO44" i="14"/>
  <c r="BO45" i="14"/>
  <c r="BO46" i="14"/>
  <c r="BO47" i="14"/>
  <c r="BO48" i="14"/>
  <c r="BO49" i="14"/>
  <c r="BO50" i="14"/>
  <c r="BO51" i="14"/>
  <c r="BO52" i="14"/>
  <c r="BO53" i="14"/>
  <c r="BO54" i="14"/>
  <c r="BO55" i="14"/>
  <c r="BO56" i="14"/>
  <c r="BO57" i="14"/>
  <c r="BO58" i="14"/>
  <c r="BO59" i="14"/>
  <c r="BO60" i="14"/>
  <c r="BO61" i="14"/>
  <c r="BO62" i="14"/>
  <c r="BO63" i="14"/>
  <c r="BO64" i="14"/>
  <c r="BO65" i="14"/>
  <c r="BO66" i="14"/>
  <c r="BO67" i="14"/>
  <c r="BO68" i="14"/>
  <c r="BO69" i="14"/>
  <c r="BO70" i="14"/>
  <c r="BO71" i="14"/>
  <c r="BO72" i="14"/>
  <c r="BO73" i="14"/>
  <c r="BO74" i="14"/>
  <c r="BO75" i="14"/>
  <c r="BO76" i="14"/>
  <c r="BO77" i="14"/>
  <c r="BO78" i="14"/>
  <c r="BO79" i="14"/>
  <c r="BO80" i="14"/>
  <c r="BO81" i="14"/>
  <c r="BO82" i="14"/>
  <c r="BO83" i="14"/>
  <c r="BO84" i="14"/>
  <c r="BO85" i="14"/>
  <c r="BO86" i="14"/>
  <c r="BO87" i="14"/>
  <c r="BO88" i="14"/>
  <c r="BO89" i="14"/>
  <c r="BO90" i="14"/>
  <c r="BO91" i="14"/>
  <c r="BO92" i="14"/>
  <c r="BO93" i="14"/>
  <c r="BO94" i="14"/>
  <c r="BO95" i="14"/>
  <c r="BO96" i="14"/>
  <c r="BO97" i="14"/>
  <c r="BO98" i="14"/>
  <c r="BO99" i="14"/>
  <c r="BO100" i="14"/>
  <c r="BO101" i="14"/>
  <c r="BO102" i="14"/>
  <c r="BO103" i="14"/>
  <c r="BO104" i="14"/>
  <c r="BO105" i="14"/>
  <c r="BO106" i="14"/>
  <c r="BO107" i="14"/>
  <c r="BO108" i="14"/>
  <c r="BO109" i="14"/>
  <c r="AY11" i="14"/>
  <c r="AY18" i="14"/>
  <c r="AY19" i="14"/>
  <c r="AY20" i="14"/>
  <c r="AY21" i="14"/>
  <c r="AY22" i="14"/>
  <c r="AY23" i="14"/>
  <c r="AY24" i="14"/>
  <c r="AY25" i="14"/>
  <c r="AY26" i="14"/>
  <c r="AY27" i="14"/>
  <c r="AY28" i="14"/>
  <c r="AY29" i="14"/>
  <c r="AY30" i="14"/>
  <c r="AY31" i="14"/>
  <c r="AY32" i="14"/>
  <c r="AY33" i="14"/>
  <c r="AY34" i="14"/>
  <c r="AY35" i="14"/>
  <c r="AY36" i="14"/>
  <c r="AY37" i="14"/>
  <c r="AY38" i="14"/>
  <c r="AY39" i="14"/>
  <c r="AY40" i="14"/>
  <c r="AY41" i="14"/>
  <c r="AY42" i="14"/>
  <c r="AY43" i="14"/>
  <c r="AY44" i="14"/>
  <c r="AY45" i="14"/>
  <c r="AY46" i="14"/>
  <c r="AY47" i="14"/>
  <c r="AY48" i="14"/>
  <c r="AY49" i="14"/>
  <c r="AY50" i="14"/>
  <c r="AY51" i="14"/>
  <c r="AY52" i="14"/>
  <c r="AY53" i="14"/>
  <c r="AY54" i="14"/>
  <c r="AY55" i="14"/>
  <c r="AY56" i="14"/>
  <c r="AY57" i="14"/>
  <c r="AY58" i="14"/>
  <c r="AY59" i="14"/>
  <c r="AY60" i="14"/>
  <c r="AY61" i="14"/>
  <c r="AY62" i="14"/>
  <c r="AY63" i="14"/>
  <c r="AY64" i="14"/>
  <c r="AY65" i="14"/>
  <c r="AY66" i="14"/>
  <c r="AY67" i="14"/>
  <c r="AY68" i="14"/>
  <c r="AY69" i="14"/>
  <c r="AY70" i="14"/>
  <c r="AY71" i="14"/>
  <c r="AY72" i="14"/>
  <c r="AY73" i="14"/>
  <c r="AY74" i="14"/>
  <c r="AY75" i="14"/>
  <c r="AY76" i="14"/>
  <c r="AY77" i="14"/>
  <c r="AY78" i="14"/>
  <c r="AY79" i="14"/>
  <c r="AY80" i="14"/>
  <c r="AY81" i="14"/>
  <c r="AY82" i="14"/>
  <c r="AY83" i="14"/>
  <c r="AY84" i="14"/>
  <c r="AY85" i="14"/>
  <c r="AY86" i="14"/>
  <c r="AY87" i="14"/>
  <c r="AY88" i="14"/>
  <c r="AY89" i="14"/>
  <c r="AY90" i="14"/>
  <c r="AY91" i="14"/>
  <c r="AY92" i="14"/>
  <c r="AY93" i="14"/>
  <c r="AY94" i="14"/>
  <c r="AY95" i="14"/>
  <c r="AY96" i="14"/>
  <c r="AY97" i="14"/>
  <c r="AY98" i="14"/>
  <c r="AY99" i="14"/>
  <c r="AY100" i="14"/>
  <c r="AY101" i="14"/>
  <c r="AY102" i="14"/>
  <c r="AY103" i="14"/>
  <c r="AY104" i="14"/>
  <c r="AY105" i="14"/>
  <c r="AY106" i="14"/>
  <c r="AY107" i="14"/>
  <c r="AY108" i="14"/>
  <c r="AY109" i="14"/>
  <c r="AX11" i="14"/>
  <c r="AX18" i="14"/>
  <c r="AX19" i="14"/>
  <c r="AX20" i="14"/>
  <c r="AX21" i="14"/>
  <c r="AX22" i="14"/>
  <c r="AX23" i="14"/>
  <c r="AX24" i="14"/>
  <c r="AX25" i="14"/>
  <c r="AX26" i="14"/>
  <c r="AX27" i="14"/>
  <c r="AX28" i="14"/>
  <c r="AX29" i="14"/>
  <c r="AX30" i="14"/>
  <c r="AX31" i="14"/>
  <c r="AX32" i="14"/>
  <c r="AX33" i="14"/>
  <c r="AX34" i="14"/>
  <c r="AX35" i="14"/>
  <c r="AX36" i="14"/>
  <c r="AX37" i="14"/>
  <c r="AX38" i="14"/>
  <c r="AX39" i="14"/>
  <c r="AX40" i="14"/>
  <c r="AX41" i="14"/>
  <c r="AX42" i="14"/>
  <c r="AX43" i="14"/>
  <c r="AX44" i="14"/>
  <c r="AX45" i="14"/>
  <c r="AX46" i="14"/>
  <c r="AX47" i="14"/>
  <c r="AX48" i="14"/>
  <c r="AX49" i="14"/>
  <c r="AX50" i="14"/>
  <c r="AX51" i="14"/>
  <c r="AX52" i="14"/>
  <c r="AX53" i="14"/>
  <c r="AX54" i="14"/>
  <c r="AX55" i="14"/>
  <c r="AX56" i="14"/>
  <c r="AX57" i="14"/>
  <c r="AX58" i="14"/>
  <c r="AX59" i="14"/>
  <c r="AX60" i="14"/>
  <c r="AX61" i="14"/>
  <c r="AX62" i="14"/>
  <c r="AX63" i="14"/>
  <c r="AX64" i="14"/>
  <c r="AX65" i="14"/>
  <c r="AX66" i="14"/>
  <c r="AX67" i="14"/>
  <c r="AX68" i="14"/>
  <c r="AX69" i="14"/>
  <c r="AX70" i="14"/>
  <c r="AX71" i="14"/>
  <c r="AX72" i="14"/>
  <c r="AX73" i="14"/>
  <c r="AX74" i="14"/>
  <c r="AX75" i="14"/>
  <c r="AX76" i="14"/>
  <c r="AX77" i="14"/>
  <c r="AX78" i="14"/>
  <c r="AX79" i="14"/>
  <c r="AX80" i="14"/>
  <c r="AX81" i="14"/>
  <c r="AX82" i="14"/>
  <c r="AX83" i="14"/>
  <c r="AX84" i="14"/>
  <c r="AX85" i="14"/>
  <c r="AX86" i="14"/>
  <c r="AX87" i="14"/>
  <c r="AX88" i="14"/>
  <c r="AX89" i="14"/>
  <c r="AX90" i="14"/>
  <c r="AX91" i="14"/>
  <c r="AX92" i="14"/>
  <c r="AX93" i="14"/>
  <c r="AX94" i="14"/>
  <c r="AX95" i="14"/>
  <c r="AX96" i="14"/>
  <c r="AX97" i="14"/>
  <c r="AX98" i="14"/>
  <c r="AX99" i="14"/>
  <c r="AX100" i="14"/>
  <c r="AX101" i="14"/>
  <c r="AX102" i="14"/>
  <c r="AX103" i="14"/>
  <c r="AX104" i="14"/>
  <c r="AX105" i="14"/>
  <c r="AX106" i="14"/>
  <c r="AX107" i="14"/>
  <c r="AX108" i="14"/>
  <c r="AX109" i="14"/>
  <c r="AU10" i="14"/>
  <c r="AU11" i="14"/>
  <c r="AU12" i="14"/>
  <c r="AU13" i="14"/>
  <c r="AU14" i="14"/>
  <c r="AU15" i="14"/>
  <c r="AU16" i="14"/>
  <c r="AU17" i="14"/>
  <c r="AU18" i="14"/>
  <c r="AU19" i="14"/>
  <c r="AU20" i="14"/>
  <c r="AU21" i="14"/>
  <c r="AU22" i="14"/>
  <c r="AU23" i="14"/>
  <c r="AU24" i="14"/>
  <c r="AU25" i="14"/>
  <c r="AU26" i="14"/>
  <c r="AU27" i="14"/>
  <c r="AU28" i="14"/>
  <c r="AU29" i="14"/>
  <c r="AU30" i="14"/>
  <c r="AU31" i="14"/>
  <c r="AU32" i="14"/>
  <c r="AU33" i="14"/>
  <c r="AU34" i="14"/>
  <c r="AU35" i="14"/>
  <c r="AU36" i="14"/>
  <c r="AU37" i="14"/>
  <c r="AU38" i="14"/>
  <c r="AU39" i="14"/>
  <c r="AU40" i="14"/>
  <c r="AU41" i="14"/>
  <c r="AU42" i="14"/>
  <c r="AU43" i="14"/>
  <c r="AU44" i="14"/>
  <c r="AU45" i="14"/>
  <c r="AU46" i="14"/>
  <c r="AU47" i="14"/>
  <c r="AU48" i="14"/>
  <c r="AU49" i="14"/>
  <c r="AU50" i="14"/>
  <c r="AU51" i="14"/>
  <c r="AU52" i="14"/>
  <c r="AU53" i="14"/>
  <c r="AU54" i="14"/>
  <c r="AU55" i="14"/>
  <c r="AU56" i="14"/>
  <c r="AU57" i="14"/>
  <c r="AU58" i="14"/>
  <c r="AU59" i="14"/>
  <c r="AU60" i="14"/>
  <c r="AU61" i="14"/>
  <c r="AU62" i="14"/>
  <c r="AU63" i="14"/>
  <c r="AU64" i="14"/>
  <c r="AU65" i="14"/>
  <c r="AU66" i="14"/>
  <c r="AU67" i="14"/>
  <c r="AU68" i="14"/>
  <c r="AU69" i="14"/>
  <c r="AU70" i="14"/>
  <c r="AU71" i="14"/>
  <c r="AU72" i="14"/>
  <c r="AU73" i="14"/>
  <c r="AU74" i="14"/>
  <c r="AU75" i="14"/>
  <c r="AU76" i="14"/>
  <c r="AU77" i="14"/>
  <c r="AU78" i="14"/>
  <c r="AU79" i="14"/>
  <c r="AU80" i="14"/>
  <c r="AU81" i="14"/>
  <c r="AU82" i="14"/>
  <c r="AU83" i="14"/>
  <c r="AU84" i="14"/>
  <c r="AU85" i="14"/>
  <c r="AU86" i="14"/>
  <c r="AU87" i="14"/>
  <c r="AU88" i="14"/>
  <c r="AU89" i="14"/>
  <c r="AU90" i="14"/>
  <c r="AU91" i="14"/>
  <c r="AU92" i="14"/>
  <c r="AU93" i="14"/>
  <c r="AU94" i="14"/>
  <c r="AU95" i="14"/>
  <c r="AU96" i="14"/>
  <c r="AU97" i="14"/>
  <c r="AU98" i="14"/>
  <c r="AU99" i="14"/>
  <c r="AU100" i="14"/>
  <c r="AU101" i="14"/>
  <c r="AU102" i="14"/>
  <c r="AU103" i="14"/>
  <c r="AU104" i="14"/>
  <c r="AU105" i="14"/>
  <c r="AU106" i="14"/>
  <c r="AU107" i="14"/>
  <c r="AU108" i="14"/>
  <c r="AU109" i="14"/>
  <c r="AT11" i="14"/>
  <c r="AT18" i="14"/>
  <c r="AT19" i="14"/>
  <c r="AT20" i="14"/>
  <c r="AT21" i="14"/>
  <c r="AT22" i="14"/>
  <c r="AT23" i="14"/>
  <c r="AT24" i="14"/>
  <c r="AT25" i="14"/>
  <c r="AT26" i="14"/>
  <c r="AT27" i="14"/>
  <c r="AT28" i="14"/>
  <c r="AT29" i="14"/>
  <c r="AT30" i="14"/>
  <c r="AT31" i="14"/>
  <c r="AT32" i="14"/>
  <c r="AT33" i="14"/>
  <c r="AT34" i="14"/>
  <c r="AT35" i="14"/>
  <c r="AT36" i="14"/>
  <c r="AT37" i="14"/>
  <c r="AT38" i="14"/>
  <c r="AT39" i="14"/>
  <c r="AT40" i="14"/>
  <c r="AT41" i="14"/>
  <c r="AT42" i="14"/>
  <c r="AT43" i="14"/>
  <c r="AT44" i="14"/>
  <c r="AT45" i="14"/>
  <c r="AT46" i="14"/>
  <c r="AT47" i="14"/>
  <c r="AT48" i="14"/>
  <c r="AT49" i="14"/>
  <c r="AT50" i="14"/>
  <c r="AT51" i="14"/>
  <c r="AT52" i="14"/>
  <c r="AT53" i="14"/>
  <c r="AT54" i="14"/>
  <c r="AT55" i="14"/>
  <c r="AT56" i="14"/>
  <c r="AT57" i="14"/>
  <c r="AT58" i="14"/>
  <c r="AT59" i="14"/>
  <c r="AT60" i="14"/>
  <c r="AT61" i="14"/>
  <c r="AT62" i="14"/>
  <c r="AT63" i="14"/>
  <c r="AT64" i="14"/>
  <c r="AT65" i="14"/>
  <c r="AT66" i="14"/>
  <c r="AT67" i="14"/>
  <c r="AT68" i="14"/>
  <c r="AT69" i="14"/>
  <c r="AT70" i="14"/>
  <c r="AT71" i="14"/>
  <c r="AT72" i="14"/>
  <c r="AT73" i="14"/>
  <c r="AT74" i="14"/>
  <c r="AT75" i="14"/>
  <c r="AT76" i="14"/>
  <c r="AT77" i="14"/>
  <c r="AT78" i="14"/>
  <c r="AT79" i="14"/>
  <c r="AT80" i="14"/>
  <c r="AT81" i="14"/>
  <c r="AT82" i="14"/>
  <c r="AT83" i="14"/>
  <c r="AT84" i="14"/>
  <c r="AT85" i="14"/>
  <c r="AT86" i="14"/>
  <c r="AT87" i="14"/>
  <c r="AT88" i="14"/>
  <c r="AT89" i="14"/>
  <c r="AT90" i="14"/>
  <c r="AT91" i="14"/>
  <c r="AT92" i="14"/>
  <c r="AT93" i="14"/>
  <c r="AT94" i="14"/>
  <c r="AT95" i="14"/>
  <c r="AT96" i="14"/>
  <c r="AT97" i="14"/>
  <c r="AT98" i="14"/>
  <c r="AT99" i="14"/>
  <c r="AT100" i="14"/>
  <c r="AT101" i="14"/>
  <c r="AT102" i="14"/>
  <c r="AT103" i="14"/>
  <c r="AT104" i="14"/>
  <c r="AT105" i="14"/>
  <c r="AT106" i="14"/>
  <c r="AT107" i="14"/>
  <c r="AT108" i="14"/>
  <c r="AT109" i="14"/>
  <c r="DA22" i="14"/>
  <c r="DA23" i="14"/>
  <c r="DA24" i="14"/>
  <c r="DA25" i="14"/>
  <c r="DA26" i="14"/>
  <c r="DA27" i="14"/>
  <c r="DA28" i="14"/>
  <c r="DA29" i="14"/>
  <c r="DA30" i="14"/>
  <c r="DA31" i="14"/>
  <c r="DA32" i="14"/>
  <c r="DA33" i="14"/>
  <c r="DA34" i="14"/>
  <c r="DA35" i="14"/>
  <c r="DA36" i="14"/>
  <c r="DA37" i="14"/>
  <c r="DA38" i="14"/>
  <c r="DA39" i="14"/>
  <c r="DA40" i="14"/>
  <c r="DA41" i="14"/>
  <c r="DA42" i="14"/>
  <c r="DA43" i="14"/>
  <c r="DA44" i="14"/>
  <c r="DA45" i="14"/>
  <c r="DA46" i="14"/>
  <c r="DA47" i="14"/>
  <c r="DA48" i="14"/>
  <c r="DA49" i="14"/>
  <c r="DA50" i="14"/>
  <c r="DA51" i="14"/>
  <c r="DA52" i="14"/>
  <c r="DA53" i="14"/>
  <c r="DA54" i="14"/>
  <c r="DA55" i="14"/>
  <c r="DA56" i="14"/>
  <c r="DA57" i="14"/>
  <c r="DA58" i="14"/>
  <c r="DA59" i="14"/>
  <c r="DA60" i="14"/>
  <c r="DA61" i="14"/>
  <c r="DA62" i="14"/>
  <c r="DA63" i="14"/>
  <c r="DA64" i="14"/>
  <c r="DA65" i="14"/>
  <c r="DA66" i="14"/>
  <c r="DA67" i="14"/>
  <c r="DA68" i="14"/>
  <c r="DA69" i="14"/>
  <c r="DA70" i="14"/>
  <c r="DA71" i="14"/>
  <c r="DA72" i="14"/>
  <c r="DA73" i="14"/>
  <c r="DA74" i="14"/>
  <c r="DA75" i="14"/>
  <c r="DA76" i="14"/>
  <c r="DA77" i="14"/>
  <c r="DA78" i="14"/>
  <c r="DA79" i="14"/>
  <c r="DA80" i="14"/>
  <c r="DA81" i="14"/>
  <c r="DA82" i="14"/>
  <c r="DA83" i="14"/>
  <c r="DA84" i="14"/>
  <c r="DA85" i="14"/>
  <c r="DA86" i="14"/>
  <c r="DA87" i="14"/>
  <c r="DA88" i="14"/>
  <c r="DA89" i="14"/>
  <c r="DA90" i="14"/>
  <c r="DA91" i="14"/>
  <c r="DA92" i="14"/>
  <c r="DA93" i="14"/>
  <c r="DA94" i="14"/>
  <c r="DA95" i="14"/>
  <c r="DA96" i="14"/>
  <c r="DA97" i="14"/>
  <c r="DA98" i="14"/>
  <c r="DA99" i="14"/>
  <c r="DA100" i="14"/>
  <c r="DA101" i="14"/>
  <c r="DA102" i="14"/>
  <c r="DA103" i="14"/>
  <c r="DA104" i="14"/>
  <c r="DA105" i="14"/>
  <c r="DA106" i="14"/>
  <c r="DA107" i="14"/>
  <c r="DA108" i="14"/>
  <c r="DA109" i="14"/>
  <c r="CI11" i="14"/>
  <c r="CI18" i="14"/>
  <c r="CI19" i="14"/>
  <c r="CI20" i="14"/>
  <c r="CI21" i="14"/>
  <c r="CI22" i="14"/>
  <c r="CI23" i="14"/>
  <c r="CI24" i="14"/>
  <c r="CI25" i="14"/>
  <c r="CI26" i="14"/>
  <c r="CI27" i="14"/>
  <c r="CI28" i="14"/>
  <c r="CI29" i="14"/>
  <c r="CI30" i="14"/>
  <c r="CI31" i="14"/>
  <c r="CI32" i="14"/>
  <c r="CI33" i="14"/>
  <c r="CI34" i="14"/>
  <c r="CI35" i="14"/>
  <c r="CI36" i="14"/>
  <c r="CI37" i="14"/>
  <c r="CI38" i="14"/>
  <c r="CI39" i="14"/>
  <c r="CI40" i="14"/>
  <c r="CI41" i="14"/>
  <c r="CI42" i="14"/>
  <c r="CI43" i="14"/>
  <c r="CI44" i="14"/>
  <c r="CI45" i="14"/>
  <c r="CI46" i="14"/>
  <c r="CI47" i="14"/>
  <c r="CI48" i="14"/>
  <c r="CI49" i="14"/>
  <c r="CI50" i="14"/>
  <c r="CI51" i="14"/>
  <c r="CI52" i="14"/>
  <c r="CI53" i="14"/>
  <c r="CI54" i="14"/>
  <c r="CI55" i="14"/>
  <c r="CI56" i="14"/>
  <c r="CI57" i="14"/>
  <c r="CI58" i="14"/>
  <c r="CI59" i="14"/>
  <c r="CI60" i="14"/>
  <c r="CI61" i="14"/>
  <c r="CI62" i="14"/>
  <c r="CI63" i="14"/>
  <c r="CI64" i="14"/>
  <c r="CI65" i="14"/>
  <c r="CI66" i="14"/>
  <c r="CI67" i="14"/>
  <c r="CI68" i="14"/>
  <c r="CI69" i="14"/>
  <c r="CI70" i="14"/>
  <c r="CI71" i="14"/>
  <c r="CI72" i="14"/>
  <c r="CI73" i="14"/>
  <c r="CI74" i="14"/>
  <c r="CI75" i="14"/>
  <c r="CI76" i="14"/>
  <c r="CI77" i="14"/>
  <c r="CI78" i="14"/>
  <c r="CI79" i="14"/>
  <c r="CI80" i="14"/>
  <c r="CI81" i="14"/>
  <c r="CI82" i="14"/>
  <c r="CI83" i="14"/>
  <c r="CI84" i="14"/>
  <c r="CI85" i="14"/>
  <c r="CI86" i="14"/>
  <c r="CI87" i="14"/>
  <c r="CI88" i="14"/>
  <c r="CI89" i="14"/>
  <c r="CI90" i="14"/>
  <c r="CI91" i="14"/>
  <c r="CI92" i="14"/>
  <c r="CI93" i="14"/>
  <c r="CI94" i="14"/>
  <c r="CI95" i="14"/>
  <c r="CI96" i="14"/>
  <c r="CI97" i="14"/>
  <c r="CI98" i="14"/>
  <c r="CI99" i="14"/>
  <c r="CI100" i="14"/>
  <c r="CI101" i="14"/>
  <c r="CI102" i="14"/>
  <c r="CI103" i="14"/>
  <c r="CI104" i="14"/>
  <c r="CI105" i="14"/>
  <c r="CI106" i="14"/>
  <c r="CI107" i="14"/>
  <c r="CI108" i="14"/>
  <c r="CI109" i="14"/>
  <c r="CH11" i="14"/>
  <c r="CH18" i="14"/>
  <c r="CH19" i="14"/>
  <c r="CH20" i="14"/>
  <c r="CH21" i="14"/>
  <c r="CH22" i="14"/>
  <c r="CH23" i="14"/>
  <c r="CH24" i="14"/>
  <c r="CH25" i="14"/>
  <c r="CH26" i="14"/>
  <c r="CH27" i="14"/>
  <c r="CH28" i="14"/>
  <c r="CH29" i="14"/>
  <c r="CH30" i="14"/>
  <c r="CH31" i="14"/>
  <c r="CH32" i="14"/>
  <c r="CH33" i="14"/>
  <c r="CH34" i="14"/>
  <c r="CH35" i="14"/>
  <c r="CH36" i="14"/>
  <c r="CH37" i="14"/>
  <c r="CH38" i="14"/>
  <c r="CH39" i="14"/>
  <c r="CH40" i="14"/>
  <c r="CH41" i="14"/>
  <c r="CH42" i="14"/>
  <c r="CH43" i="14"/>
  <c r="CH44" i="14"/>
  <c r="CH45" i="14"/>
  <c r="CH46" i="14"/>
  <c r="CH47" i="14"/>
  <c r="CH48" i="14"/>
  <c r="CH49" i="14"/>
  <c r="CH50" i="14"/>
  <c r="CH51" i="14"/>
  <c r="CH52" i="14"/>
  <c r="CH53" i="14"/>
  <c r="CH54" i="14"/>
  <c r="CH55" i="14"/>
  <c r="CH56" i="14"/>
  <c r="CH57" i="14"/>
  <c r="CH58" i="14"/>
  <c r="CH59" i="14"/>
  <c r="CH60" i="14"/>
  <c r="CH61" i="14"/>
  <c r="CH62" i="14"/>
  <c r="CH63" i="14"/>
  <c r="CH64" i="14"/>
  <c r="CH65" i="14"/>
  <c r="CH66" i="14"/>
  <c r="CH67" i="14"/>
  <c r="CH68" i="14"/>
  <c r="CH69" i="14"/>
  <c r="CH70" i="14"/>
  <c r="CH71" i="14"/>
  <c r="CH72" i="14"/>
  <c r="CH73" i="14"/>
  <c r="CH74" i="14"/>
  <c r="CH75" i="14"/>
  <c r="CH76" i="14"/>
  <c r="CH77" i="14"/>
  <c r="CH78" i="14"/>
  <c r="CH79" i="14"/>
  <c r="CH80" i="14"/>
  <c r="CH81" i="14"/>
  <c r="CH82" i="14"/>
  <c r="CH83" i="14"/>
  <c r="CH84" i="14"/>
  <c r="CH85" i="14"/>
  <c r="CH86" i="14"/>
  <c r="CH87" i="14"/>
  <c r="CH88" i="14"/>
  <c r="CH89" i="14"/>
  <c r="CH90" i="14"/>
  <c r="CH91" i="14"/>
  <c r="CH92" i="14"/>
  <c r="CH93" i="14"/>
  <c r="CH94" i="14"/>
  <c r="CH95" i="14"/>
  <c r="CH96" i="14"/>
  <c r="CH97" i="14"/>
  <c r="CH98" i="14"/>
  <c r="CH99" i="14"/>
  <c r="CH100" i="14"/>
  <c r="CH101" i="14"/>
  <c r="CH102" i="14"/>
  <c r="CH103" i="14"/>
  <c r="CH104" i="14"/>
  <c r="CH105" i="14"/>
  <c r="CH106" i="14"/>
  <c r="CH107" i="14"/>
  <c r="CH108" i="14"/>
  <c r="CH109" i="14"/>
  <c r="CM11" i="14"/>
  <c r="CM18" i="14"/>
  <c r="CM19" i="14"/>
  <c r="CM20" i="14"/>
  <c r="CM21" i="14"/>
  <c r="CM22" i="14"/>
  <c r="CM23" i="14"/>
  <c r="CM24" i="14"/>
  <c r="CM25" i="14"/>
  <c r="CM26" i="14"/>
  <c r="CM27" i="14"/>
  <c r="CM28" i="14"/>
  <c r="CM29" i="14"/>
  <c r="CM30" i="14"/>
  <c r="CM31" i="14"/>
  <c r="CM32" i="14"/>
  <c r="CM33" i="14"/>
  <c r="CM34" i="14"/>
  <c r="CM35" i="14"/>
  <c r="CM36" i="14"/>
  <c r="CM37" i="14"/>
  <c r="CM38" i="14"/>
  <c r="CM39" i="14"/>
  <c r="CM40" i="14"/>
  <c r="CM41" i="14"/>
  <c r="CM42" i="14"/>
  <c r="CM43" i="14"/>
  <c r="CM44" i="14"/>
  <c r="CM45" i="14"/>
  <c r="CM46" i="14"/>
  <c r="CM47" i="14"/>
  <c r="CM48" i="14"/>
  <c r="CM49" i="14"/>
  <c r="CM50" i="14"/>
  <c r="CM51" i="14"/>
  <c r="CM52" i="14"/>
  <c r="CM53" i="14"/>
  <c r="CM54" i="14"/>
  <c r="CM55" i="14"/>
  <c r="CM56" i="14"/>
  <c r="CM57" i="14"/>
  <c r="CM58" i="14"/>
  <c r="CM59" i="14"/>
  <c r="CM60" i="14"/>
  <c r="CM61" i="14"/>
  <c r="CM62" i="14"/>
  <c r="CM63" i="14"/>
  <c r="CM64" i="14"/>
  <c r="CM65" i="14"/>
  <c r="CM66" i="14"/>
  <c r="CM67" i="14"/>
  <c r="CM68" i="14"/>
  <c r="CM69" i="14"/>
  <c r="CM70" i="14"/>
  <c r="CM71" i="14"/>
  <c r="CM72" i="14"/>
  <c r="CM73" i="14"/>
  <c r="CM74" i="14"/>
  <c r="CM75" i="14"/>
  <c r="CM76" i="14"/>
  <c r="CM77" i="14"/>
  <c r="CM78" i="14"/>
  <c r="CM79" i="14"/>
  <c r="CM80" i="14"/>
  <c r="CM81" i="14"/>
  <c r="CM82" i="14"/>
  <c r="CM83" i="14"/>
  <c r="CM84" i="14"/>
  <c r="CM85" i="14"/>
  <c r="CM86" i="14"/>
  <c r="CM87" i="14"/>
  <c r="CM88" i="14"/>
  <c r="CM89" i="14"/>
  <c r="CM90" i="14"/>
  <c r="CM91" i="14"/>
  <c r="CM92" i="14"/>
  <c r="CM93" i="14"/>
  <c r="CM94" i="14"/>
  <c r="CM95" i="14"/>
  <c r="CM96" i="14"/>
  <c r="CM97" i="14"/>
  <c r="CM98" i="14"/>
  <c r="CM99" i="14"/>
  <c r="CM100" i="14"/>
  <c r="CM101" i="14"/>
  <c r="CM102" i="14"/>
  <c r="CM103" i="14"/>
  <c r="CM104" i="14"/>
  <c r="CM105" i="14"/>
  <c r="CM106" i="14"/>
  <c r="CM107" i="14"/>
  <c r="CM108" i="14"/>
  <c r="CM109" i="14"/>
  <c r="CL11" i="14"/>
  <c r="CL18" i="14"/>
  <c r="CL19" i="14"/>
  <c r="CL20" i="14"/>
  <c r="CL21" i="14"/>
  <c r="CL22" i="14"/>
  <c r="CL23" i="14"/>
  <c r="CL24" i="14"/>
  <c r="CL25" i="14"/>
  <c r="CL26" i="14"/>
  <c r="CL27" i="14"/>
  <c r="CL28" i="14"/>
  <c r="CL29" i="14"/>
  <c r="CL30" i="14"/>
  <c r="CL31" i="14"/>
  <c r="CL32" i="14"/>
  <c r="CL33" i="14"/>
  <c r="CL34" i="14"/>
  <c r="CL35" i="14"/>
  <c r="CL36" i="14"/>
  <c r="CL37" i="14"/>
  <c r="CL38" i="14"/>
  <c r="CL39" i="14"/>
  <c r="CL40" i="14"/>
  <c r="CL41" i="14"/>
  <c r="CL42" i="14"/>
  <c r="CL43" i="14"/>
  <c r="CL44" i="14"/>
  <c r="CL45" i="14"/>
  <c r="CL46" i="14"/>
  <c r="CL47" i="14"/>
  <c r="CL48" i="14"/>
  <c r="CL49" i="14"/>
  <c r="CL50" i="14"/>
  <c r="CL51" i="14"/>
  <c r="CL52" i="14"/>
  <c r="CL53" i="14"/>
  <c r="CL54" i="14"/>
  <c r="CL55" i="14"/>
  <c r="CL56" i="14"/>
  <c r="CL57" i="14"/>
  <c r="CL58" i="14"/>
  <c r="CL59" i="14"/>
  <c r="CL60" i="14"/>
  <c r="CL61" i="14"/>
  <c r="CL62" i="14"/>
  <c r="CL63" i="14"/>
  <c r="CL64" i="14"/>
  <c r="CL65" i="14"/>
  <c r="CL66" i="14"/>
  <c r="CL67" i="14"/>
  <c r="CL68" i="14"/>
  <c r="CL69" i="14"/>
  <c r="CL70" i="14"/>
  <c r="CL71" i="14"/>
  <c r="CL72" i="14"/>
  <c r="CL73" i="14"/>
  <c r="CL74" i="14"/>
  <c r="CL75" i="14"/>
  <c r="CL76" i="14"/>
  <c r="CL77" i="14"/>
  <c r="CL78" i="14"/>
  <c r="CL79" i="14"/>
  <c r="CL80" i="14"/>
  <c r="CL81" i="14"/>
  <c r="CL82" i="14"/>
  <c r="CL83" i="14"/>
  <c r="CL84" i="14"/>
  <c r="CL85" i="14"/>
  <c r="CL86" i="14"/>
  <c r="CL87" i="14"/>
  <c r="CL88" i="14"/>
  <c r="CL89" i="14"/>
  <c r="CL90" i="14"/>
  <c r="CL91" i="14"/>
  <c r="CL92" i="14"/>
  <c r="CL93" i="14"/>
  <c r="CL94" i="14"/>
  <c r="CL95" i="14"/>
  <c r="CL96" i="14"/>
  <c r="CL97" i="14"/>
  <c r="CL98" i="14"/>
  <c r="CL99" i="14"/>
  <c r="CL100" i="14"/>
  <c r="CL101" i="14"/>
  <c r="CL102" i="14"/>
  <c r="CL103" i="14"/>
  <c r="CL104" i="14"/>
  <c r="CL105" i="14"/>
  <c r="CL106" i="14"/>
  <c r="CL107" i="14"/>
  <c r="CL108" i="14"/>
  <c r="CL109" i="14"/>
  <c r="C9" i="27"/>
  <c r="C31" i="27"/>
  <c r="D35" i="27"/>
  <c r="D29" i="27"/>
  <c r="D13" i="27"/>
  <c r="C20" i="27"/>
  <c r="D6" i="27"/>
  <c r="C38" i="27"/>
  <c r="C24" i="27"/>
  <c r="C4" i="27"/>
  <c r="C14" i="27"/>
  <c r="D23" i="27"/>
  <c r="C17" i="27"/>
  <c r="D30" i="27"/>
  <c r="C12" i="27"/>
  <c r="D36" i="27"/>
  <c r="C30" i="27"/>
  <c r="C26" i="27"/>
  <c r="D16" i="27"/>
  <c r="C16" i="27"/>
  <c r="D9" i="27"/>
  <c r="D31" i="27"/>
  <c r="C5" i="27"/>
  <c r="D5" i="27"/>
  <c r="C11" i="27"/>
  <c r="C7" i="27"/>
  <c r="D8" i="27"/>
  <c r="C13" i="27"/>
  <c r="C37" i="27"/>
  <c r="D21" i="27"/>
  <c r="D34" i="27"/>
  <c r="C29" i="27"/>
  <c r="C3" i="27"/>
  <c r="C35" i="27"/>
  <c r="D28" i="27"/>
  <c r="C18" i="27"/>
  <c r="D25" i="27"/>
  <c r="D32" i="27"/>
  <c r="D11" i="27"/>
  <c r="D24" i="27"/>
  <c r="D33" i="27"/>
  <c r="C25" i="27"/>
  <c r="C10" i="27"/>
  <c r="D37" i="27"/>
  <c r="C36" i="27"/>
  <c r="D3" i="27"/>
  <c r="C22" i="27"/>
  <c r="C34" i="27"/>
  <c r="C32" i="27"/>
  <c r="C40" i="27"/>
  <c r="D20" i="27"/>
  <c r="C39" i="27"/>
  <c r="D4" i="27"/>
  <c r="D12" i="27"/>
  <c r="D7" i="27"/>
  <c r="D2" i="27"/>
  <c r="D39" i="27"/>
  <c r="C27" i="27"/>
  <c r="D27" i="27"/>
  <c r="C6" i="27"/>
  <c r="D40" i="27"/>
  <c r="C33" i="27"/>
  <c r="C15" i="27"/>
  <c r="D14" i="27"/>
  <c r="D38" i="27"/>
  <c r="C21" i="27"/>
  <c r="D18" i="27"/>
  <c r="C23" i="27"/>
  <c r="C8" i="27"/>
  <c r="C19" i="27"/>
  <c r="D15" i="27"/>
  <c r="D22" i="27"/>
  <c r="D17" i="27"/>
  <c r="C41" i="27"/>
  <c r="D41" i="27"/>
  <c r="C28" i="27"/>
  <c r="D10" i="27"/>
  <c r="D19" i="27"/>
  <c r="D26" i="27"/>
  <c r="C2" i="27"/>
  <c r="E17" i="27" l="1" a="1"/>
  <c r="E17" i="27" s="1"/>
  <c r="E31" i="27" a="1"/>
  <c r="E31" i="27" s="1"/>
  <c r="E30" i="27" a="1"/>
  <c r="E30" i="27" s="1"/>
  <c r="E13" i="27" a="1"/>
  <c r="E13" i="27" s="1"/>
  <c r="E28" i="27" a="1"/>
  <c r="E28" i="27" s="1"/>
  <c r="E27" i="27" a="1"/>
  <c r="E27" i="27" s="1"/>
  <c r="E26" i="27" a="1"/>
  <c r="E26" i="27" s="1"/>
  <c r="E32" i="27" a="1"/>
  <c r="E32" i="27" s="1"/>
  <c r="E24" i="27" a="1"/>
  <c r="E24" i="27" s="1"/>
  <c r="E22" i="27" a="1"/>
  <c r="E22" i="27" s="1"/>
  <c r="E20" i="27" a="1"/>
  <c r="E20" i="27" s="1"/>
  <c r="E34" i="27" a="1"/>
  <c r="E34" i="27" s="1"/>
  <c r="E18" i="27" a="1"/>
  <c r="E18" i="27" s="1"/>
  <c r="E39" i="27" a="1"/>
  <c r="E33" i="27" a="1"/>
  <c r="E16" i="27" a="1"/>
  <c r="E15" i="27" a="1"/>
  <c r="E25" i="27" a="1"/>
  <c r="E14" i="27" a="1"/>
  <c r="E21" i="27" a="1"/>
  <c r="E6" i="27" a="1"/>
  <c r="E29" i="27" a="1"/>
  <c r="E4" i="27" a="1"/>
  <c r="E41" i="27" a="1"/>
  <c r="E9" i="27" a="1"/>
  <c r="E12" i="27" a="1"/>
  <c r="E40" i="27" a="1"/>
  <c r="E38" i="27" a="1"/>
  <c r="E8" i="27" a="1"/>
  <c r="E3" i="27" a="1"/>
  <c r="E2" i="27" a="1"/>
  <c r="E37" i="27" a="1"/>
  <c r="E11" i="27" a="1"/>
  <c r="E36" i="27" a="1"/>
  <c r="E10" i="27" a="1"/>
  <c r="E19" i="27" a="1"/>
  <c r="E35" i="27" a="1"/>
  <c r="E5" i="27" a="1"/>
  <c r="E37" i="27" l="1"/>
  <c r="E9" i="27"/>
  <c r="E38" i="27"/>
  <c r="E19" i="27"/>
  <c r="E21" i="27"/>
  <c r="E12" i="27"/>
  <c r="E29" i="27"/>
  <c r="E35" i="27"/>
  <c r="E36" i="27"/>
  <c r="E6" i="27"/>
  <c r="E11" i="27"/>
  <c r="E2" i="27"/>
  <c r="E39" i="27"/>
  <c r="E3" i="27"/>
  <c r="E8" i="27"/>
  <c r="E40" i="27"/>
  <c r="E4" i="27"/>
  <c r="E15" i="27"/>
  <c r="E14" i="27"/>
  <c r="E25" i="27"/>
  <c r="E16" i="27"/>
  <c r="E41" i="27"/>
  <c r="E5" i="27"/>
  <c r="E10" i="27"/>
  <c r="E33" i="27"/>
  <c r="F8" i="15" l="1"/>
  <c r="F10" i="15"/>
  <c r="Q19" i="16"/>
  <c r="Q18" i="16"/>
  <c r="Q17" i="16"/>
  <c r="Q16" i="16"/>
  <c r="Q15" i="16"/>
  <c r="Q14" i="16"/>
  <c r="Q13" i="16"/>
  <c r="Q12" i="16"/>
  <c r="R41" i="16"/>
  <c r="R40" i="16"/>
  <c r="R39" i="16"/>
  <c r="R38" i="16"/>
  <c r="R37" i="16"/>
  <c r="R36" i="16"/>
  <c r="R35" i="16"/>
  <c r="R34" i="16"/>
  <c r="R33" i="16"/>
  <c r="R32" i="16"/>
  <c r="R31" i="16"/>
  <c r="R30" i="16"/>
  <c r="R29" i="16"/>
  <c r="R28" i="16"/>
  <c r="R27" i="16"/>
  <c r="R26" i="16"/>
  <c r="R25" i="16"/>
  <c r="R24" i="16"/>
  <c r="R23" i="16"/>
  <c r="R22" i="16"/>
  <c r="R21" i="16"/>
  <c r="R20" i="16"/>
  <c r="R19" i="16"/>
  <c r="R18" i="16"/>
  <c r="R17" i="16"/>
  <c r="R16" i="16"/>
  <c r="R15" i="16"/>
  <c r="R14" i="16"/>
  <c r="R13" i="16"/>
  <c r="Q20" i="16"/>
  <c r="Q21" i="16"/>
  <c r="Q22" i="16"/>
  <c r="Q23" i="16"/>
  <c r="Q24" i="16"/>
  <c r="Q25" i="16"/>
  <c r="Q26" i="16"/>
  <c r="Q27" i="16"/>
  <c r="Q28" i="16"/>
  <c r="Q29" i="16"/>
  <c r="Q30" i="16"/>
  <c r="Q31" i="16"/>
  <c r="Q32" i="16"/>
  <c r="Q33" i="16"/>
  <c r="Q34" i="16"/>
  <c r="Q35" i="16"/>
  <c r="Q36" i="16"/>
  <c r="Q37" i="16"/>
  <c r="Q38" i="16"/>
  <c r="Q39" i="16"/>
  <c r="Q40" i="16"/>
  <c r="Q41" i="16"/>
  <c r="AZ22" i="14"/>
  <c r="AZ23" i="14"/>
  <c r="AZ24" i="14"/>
  <c r="AZ25" i="14"/>
  <c r="AZ26" i="14"/>
  <c r="AZ27" i="14"/>
  <c r="AZ28" i="14"/>
  <c r="AZ29" i="14"/>
  <c r="AZ30" i="14"/>
  <c r="AZ31" i="14"/>
  <c r="AZ32" i="14"/>
  <c r="AZ33" i="14"/>
  <c r="AZ34" i="14"/>
  <c r="AZ35" i="14"/>
  <c r="AZ36" i="14"/>
  <c r="AZ37" i="14"/>
  <c r="AZ38" i="14"/>
  <c r="AZ39" i="14"/>
  <c r="AZ40" i="14"/>
  <c r="AZ41" i="14"/>
  <c r="AZ42" i="14"/>
  <c r="AZ43" i="14"/>
  <c r="AZ44" i="14"/>
  <c r="AZ45" i="14"/>
  <c r="AZ46" i="14"/>
  <c r="AZ47" i="14"/>
  <c r="AZ48" i="14"/>
  <c r="AZ49" i="14"/>
  <c r="AZ50" i="14"/>
  <c r="AZ51" i="14"/>
  <c r="AZ52" i="14"/>
  <c r="AZ53" i="14"/>
  <c r="AZ54" i="14"/>
  <c r="AZ55" i="14"/>
  <c r="AZ56" i="14"/>
  <c r="AZ57" i="14"/>
  <c r="AZ58" i="14"/>
  <c r="AZ59" i="14"/>
  <c r="AZ60" i="14"/>
  <c r="AZ61" i="14"/>
  <c r="AZ62" i="14"/>
  <c r="AZ63" i="14"/>
  <c r="AZ64" i="14"/>
  <c r="AZ65" i="14"/>
  <c r="AZ66" i="14"/>
  <c r="AZ67" i="14"/>
  <c r="AZ68" i="14"/>
  <c r="AZ69" i="14"/>
  <c r="AZ70" i="14"/>
  <c r="AZ71" i="14"/>
  <c r="AZ72" i="14"/>
  <c r="AZ73" i="14"/>
  <c r="AZ74" i="14"/>
  <c r="AZ75" i="14"/>
  <c r="AZ76" i="14"/>
  <c r="AZ77" i="14"/>
  <c r="AZ78" i="14"/>
  <c r="AZ79" i="14"/>
  <c r="AZ80" i="14"/>
  <c r="AZ81" i="14"/>
  <c r="AZ82" i="14"/>
  <c r="AZ83" i="14"/>
  <c r="AZ84" i="14"/>
  <c r="AZ85" i="14"/>
  <c r="AZ86" i="14"/>
  <c r="AZ87" i="14"/>
  <c r="AZ88" i="14"/>
  <c r="AZ89" i="14"/>
  <c r="AZ90" i="14"/>
  <c r="AZ91" i="14"/>
  <c r="AZ92" i="14"/>
  <c r="AZ93" i="14"/>
  <c r="AZ94" i="14"/>
  <c r="AZ95" i="14"/>
  <c r="AZ96" i="14"/>
  <c r="AZ97" i="14"/>
  <c r="AZ98" i="14"/>
  <c r="AZ99" i="14"/>
  <c r="AZ100" i="14"/>
  <c r="AZ101" i="14"/>
  <c r="AZ102" i="14"/>
  <c r="AZ103" i="14"/>
  <c r="AZ104" i="14"/>
  <c r="AZ105" i="14"/>
  <c r="AZ106" i="14"/>
  <c r="AZ107" i="14"/>
  <c r="AZ108" i="14"/>
  <c r="AZ109" i="14"/>
  <c r="AN22" i="14"/>
  <c r="AN23" i="14"/>
  <c r="AN24" i="14"/>
  <c r="AN25" i="14"/>
  <c r="AN26" i="14"/>
  <c r="AN27" i="14"/>
  <c r="AN28" i="14"/>
  <c r="AN29" i="14"/>
  <c r="AN30" i="14"/>
  <c r="AN31" i="14"/>
  <c r="AN32" i="14"/>
  <c r="AN33" i="14"/>
  <c r="AN34" i="14"/>
  <c r="AN35" i="14"/>
  <c r="AN36" i="14"/>
  <c r="AN37" i="14"/>
  <c r="AN38" i="14"/>
  <c r="AN39" i="14"/>
  <c r="AN40" i="14"/>
  <c r="AN41" i="14"/>
  <c r="AN42" i="14"/>
  <c r="AN43" i="14"/>
  <c r="AN44" i="14"/>
  <c r="AN45" i="14"/>
  <c r="AN46" i="14"/>
  <c r="AN47" i="14"/>
  <c r="AN48" i="14"/>
  <c r="AN49" i="14"/>
  <c r="AN50" i="14"/>
  <c r="AN51" i="14"/>
  <c r="AN52" i="14"/>
  <c r="AN53" i="14"/>
  <c r="AN54" i="14"/>
  <c r="AN55" i="14"/>
  <c r="AN56" i="14"/>
  <c r="AN57" i="14"/>
  <c r="AN58" i="14"/>
  <c r="AN59" i="14"/>
  <c r="AN60" i="14"/>
  <c r="AN61" i="14"/>
  <c r="AN62" i="14"/>
  <c r="AN63" i="14"/>
  <c r="AN64" i="14"/>
  <c r="AN65" i="14"/>
  <c r="AN66" i="14"/>
  <c r="AN67" i="14"/>
  <c r="AN68" i="14"/>
  <c r="AN69" i="14"/>
  <c r="AN70" i="14"/>
  <c r="AN71" i="14"/>
  <c r="AN72" i="14"/>
  <c r="AN73" i="14"/>
  <c r="AN74" i="14"/>
  <c r="AN75" i="14"/>
  <c r="AN76" i="14"/>
  <c r="AN77" i="14"/>
  <c r="AN78" i="14"/>
  <c r="AN79" i="14"/>
  <c r="AN80" i="14"/>
  <c r="AN81" i="14"/>
  <c r="AN82" i="14"/>
  <c r="AN83" i="14"/>
  <c r="AN84" i="14"/>
  <c r="AN85" i="14"/>
  <c r="AN86" i="14"/>
  <c r="AN87" i="14"/>
  <c r="AN88" i="14"/>
  <c r="AN89" i="14"/>
  <c r="AN90" i="14"/>
  <c r="AN91" i="14"/>
  <c r="AN92" i="14"/>
  <c r="AN93" i="14"/>
  <c r="AN94" i="14"/>
  <c r="AN95" i="14"/>
  <c r="AN96" i="14"/>
  <c r="AN97" i="14"/>
  <c r="AN98" i="14"/>
  <c r="AN99" i="14"/>
  <c r="AN100" i="14"/>
  <c r="AN101" i="14"/>
  <c r="AN102" i="14"/>
  <c r="AN103" i="14"/>
  <c r="AN104" i="14"/>
  <c r="AN105" i="14"/>
  <c r="AN106" i="14"/>
  <c r="AN107" i="14"/>
  <c r="AN108" i="14"/>
  <c r="AN109" i="14"/>
  <c r="AE22" i="14"/>
  <c r="AE23" i="14"/>
  <c r="AE24" i="14"/>
  <c r="AE25" i="14"/>
  <c r="AE26" i="14"/>
  <c r="AE27" i="14"/>
  <c r="AE28" i="14"/>
  <c r="AE29" i="14"/>
  <c r="AE30" i="14"/>
  <c r="AE31" i="14"/>
  <c r="AE32" i="14"/>
  <c r="AE33" i="14"/>
  <c r="AE34" i="14"/>
  <c r="AE35" i="14"/>
  <c r="AE36" i="14"/>
  <c r="AE37" i="14"/>
  <c r="AE38" i="14"/>
  <c r="AE39" i="14"/>
  <c r="AE40" i="14"/>
  <c r="AE41" i="14"/>
  <c r="AE42" i="14"/>
  <c r="AE43" i="14"/>
  <c r="AE44" i="14"/>
  <c r="AE45" i="14"/>
  <c r="AE46" i="14"/>
  <c r="AE47" i="14"/>
  <c r="AE48" i="14"/>
  <c r="AE49" i="14"/>
  <c r="AE50" i="14"/>
  <c r="AE51" i="14"/>
  <c r="AE52" i="14"/>
  <c r="AE53" i="14"/>
  <c r="AE54" i="14"/>
  <c r="AE55" i="14"/>
  <c r="AE56" i="14"/>
  <c r="AE57" i="14"/>
  <c r="AE58" i="14"/>
  <c r="AE59" i="14"/>
  <c r="AE60" i="14"/>
  <c r="AE61" i="14"/>
  <c r="AE62" i="14"/>
  <c r="AE63" i="14"/>
  <c r="AE64" i="14"/>
  <c r="AE65" i="14"/>
  <c r="AE66" i="14"/>
  <c r="AE67" i="14"/>
  <c r="AE68" i="14"/>
  <c r="AE69" i="14"/>
  <c r="AE70" i="14"/>
  <c r="AE71" i="14"/>
  <c r="AE72" i="14"/>
  <c r="AE73" i="14"/>
  <c r="AE74" i="14"/>
  <c r="AE75" i="14"/>
  <c r="AE76" i="14"/>
  <c r="AE77" i="14"/>
  <c r="AE78" i="14"/>
  <c r="AE79" i="14"/>
  <c r="AE80" i="14"/>
  <c r="AE81" i="14"/>
  <c r="AE82" i="14"/>
  <c r="AE83" i="14"/>
  <c r="AE84" i="14"/>
  <c r="AE85" i="14"/>
  <c r="AE86" i="14"/>
  <c r="AE87" i="14"/>
  <c r="AE88" i="14"/>
  <c r="AE89" i="14"/>
  <c r="AE90" i="14"/>
  <c r="AE91" i="14"/>
  <c r="AE92" i="14"/>
  <c r="AE93" i="14"/>
  <c r="AE94" i="14"/>
  <c r="AE95" i="14"/>
  <c r="AE96" i="14"/>
  <c r="AE97" i="14"/>
  <c r="AE98" i="14"/>
  <c r="AE99" i="14"/>
  <c r="AE100" i="14"/>
  <c r="AE101" i="14"/>
  <c r="AE102" i="14"/>
  <c r="AE103" i="14"/>
  <c r="AE104" i="14"/>
  <c r="AE105" i="14"/>
  <c r="AE106" i="14"/>
  <c r="AE107" i="14"/>
  <c r="AE108" i="14"/>
  <c r="AE109" i="14"/>
  <c r="R12" i="16" l="1"/>
  <c r="AD10" i="14"/>
  <c r="AD11" i="14"/>
  <c r="AD12" i="14"/>
  <c r="AD13" i="14"/>
  <c r="AD14" i="14"/>
  <c r="AD15" i="14"/>
  <c r="AD16" i="14"/>
  <c r="AD17" i="14"/>
  <c r="AD18" i="14"/>
  <c r="AD19" i="14"/>
  <c r="AD20" i="14"/>
  <c r="AD21" i="14"/>
  <c r="AD22" i="14"/>
  <c r="AD23" i="14"/>
  <c r="AD24" i="14"/>
  <c r="AD25" i="14"/>
  <c r="AD26" i="14"/>
  <c r="AD27" i="14"/>
  <c r="AD28" i="14"/>
  <c r="AD29" i="14"/>
  <c r="AD30" i="14"/>
  <c r="AD31" i="14"/>
  <c r="AD32" i="14"/>
  <c r="AD33" i="14"/>
  <c r="AD34" i="14"/>
  <c r="AD35" i="14"/>
  <c r="AD36" i="14"/>
  <c r="AD37" i="14"/>
  <c r="AD38" i="14"/>
  <c r="AD39" i="14"/>
  <c r="AD40" i="14"/>
  <c r="AD41" i="14"/>
  <c r="AD42" i="14"/>
  <c r="AD43" i="14"/>
  <c r="AD44" i="14"/>
  <c r="AD45" i="14"/>
  <c r="AD46" i="14"/>
  <c r="AD47" i="14"/>
  <c r="AD48" i="14"/>
  <c r="AD49" i="14"/>
  <c r="AD50" i="14"/>
  <c r="AD51" i="14"/>
  <c r="AD52" i="14"/>
  <c r="AD53" i="14"/>
  <c r="AD54" i="14"/>
  <c r="AD55" i="14"/>
  <c r="AD56" i="14"/>
  <c r="AD57" i="14"/>
  <c r="AD58" i="14"/>
  <c r="AD59" i="14"/>
  <c r="AD60" i="14"/>
  <c r="AD61" i="14"/>
  <c r="AD62" i="14"/>
  <c r="AD63" i="14"/>
  <c r="AD64" i="14"/>
  <c r="AD65" i="14"/>
  <c r="AD66" i="14"/>
  <c r="AD67" i="14"/>
  <c r="AD68" i="14"/>
  <c r="AD69" i="14"/>
  <c r="AD70" i="14"/>
  <c r="AD71" i="14"/>
  <c r="AD72" i="14"/>
  <c r="AD73" i="14"/>
  <c r="AD74" i="14"/>
  <c r="AD75" i="14"/>
  <c r="AD76" i="14"/>
  <c r="AD77" i="14"/>
  <c r="AD78" i="14"/>
  <c r="AD79" i="14"/>
  <c r="AD80" i="14"/>
  <c r="AD81" i="14"/>
  <c r="AD82" i="14"/>
  <c r="AD83" i="14"/>
  <c r="AD84" i="14"/>
  <c r="AD85" i="14"/>
  <c r="AD86" i="14"/>
  <c r="AD87" i="14"/>
  <c r="AD88" i="14"/>
  <c r="AD89" i="14"/>
  <c r="AD90" i="14"/>
  <c r="AD91" i="14"/>
  <c r="AD92" i="14"/>
  <c r="AD93" i="14"/>
  <c r="AD94" i="14"/>
  <c r="AD95" i="14"/>
  <c r="AD96" i="14"/>
  <c r="AD97" i="14"/>
  <c r="AD98" i="14"/>
  <c r="AD99" i="14"/>
  <c r="AD100" i="14"/>
  <c r="AD101" i="14"/>
  <c r="AD102" i="14"/>
  <c r="AD103" i="14"/>
  <c r="AD104" i="14"/>
  <c r="AD105" i="14"/>
  <c r="AD106" i="14"/>
  <c r="AD107" i="14"/>
  <c r="AD108" i="14"/>
  <c r="AD109" i="14"/>
  <c r="CQ22" i="14"/>
  <c r="CQ23" i="14"/>
  <c r="CQ24" i="14"/>
  <c r="CQ25" i="14"/>
  <c r="CQ26" i="14"/>
  <c r="CQ27" i="14"/>
  <c r="CQ28" i="14"/>
  <c r="CQ29" i="14"/>
  <c r="CQ30" i="14"/>
  <c r="CQ31" i="14"/>
  <c r="CQ32" i="14"/>
  <c r="CQ33" i="14"/>
  <c r="CQ34" i="14"/>
  <c r="CQ35" i="14"/>
  <c r="CQ36" i="14"/>
  <c r="CQ37" i="14"/>
  <c r="CQ38" i="14"/>
  <c r="CQ39" i="14"/>
  <c r="CQ40" i="14"/>
  <c r="CQ41" i="14"/>
  <c r="CQ42" i="14"/>
  <c r="CQ43" i="14"/>
  <c r="CQ44" i="14"/>
  <c r="CQ45" i="14"/>
  <c r="CQ46" i="14"/>
  <c r="CQ47" i="14"/>
  <c r="CQ48" i="14"/>
  <c r="CQ49" i="14"/>
  <c r="CQ50" i="14"/>
  <c r="CQ51" i="14"/>
  <c r="CQ52" i="14"/>
  <c r="CQ53" i="14"/>
  <c r="CQ54" i="14"/>
  <c r="CQ55" i="14"/>
  <c r="CQ56" i="14"/>
  <c r="CQ57" i="14"/>
  <c r="CQ58" i="14"/>
  <c r="CQ59" i="14"/>
  <c r="CQ60" i="14"/>
  <c r="CQ61" i="14"/>
  <c r="CQ62" i="14"/>
  <c r="CQ63" i="14"/>
  <c r="CQ64" i="14"/>
  <c r="CQ65" i="14"/>
  <c r="CQ66" i="14"/>
  <c r="CQ67" i="14"/>
  <c r="CQ68" i="14"/>
  <c r="CQ69" i="14"/>
  <c r="CQ70" i="14"/>
  <c r="CQ71" i="14"/>
  <c r="CQ72" i="14"/>
  <c r="CQ73" i="14"/>
  <c r="CQ74" i="14"/>
  <c r="CQ75" i="14"/>
  <c r="CQ76" i="14"/>
  <c r="CQ77" i="14"/>
  <c r="CQ78" i="14"/>
  <c r="CQ79" i="14"/>
  <c r="CQ80" i="14"/>
  <c r="CQ81" i="14"/>
  <c r="CQ82" i="14"/>
  <c r="CQ83" i="14"/>
  <c r="CQ84" i="14"/>
  <c r="CQ85" i="14"/>
  <c r="CQ86" i="14"/>
  <c r="CQ87" i="14"/>
  <c r="CQ88" i="14"/>
  <c r="CQ89" i="14"/>
  <c r="CQ90" i="14"/>
  <c r="CQ91" i="14"/>
  <c r="CQ92" i="14"/>
  <c r="CQ93" i="14"/>
  <c r="CQ94" i="14"/>
  <c r="CQ95" i="14"/>
  <c r="CQ96" i="14"/>
  <c r="CQ97" i="14"/>
  <c r="CQ98" i="14"/>
  <c r="CQ99" i="14"/>
  <c r="CQ100" i="14"/>
  <c r="CQ101" i="14"/>
  <c r="CQ102" i="14"/>
  <c r="CQ103" i="14"/>
  <c r="CQ104" i="14"/>
  <c r="CQ105" i="14"/>
  <c r="CQ106" i="14"/>
  <c r="CQ107" i="14"/>
  <c r="CQ108" i="14"/>
  <c r="CQ109" i="14"/>
  <c r="BF11" i="14"/>
  <c r="BF18" i="14"/>
  <c r="BF19" i="14"/>
  <c r="BF20" i="14"/>
  <c r="BF21" i="14"/>
  <c r="BF22" i="14"/>
  <c r="BF23" i="14"/>
  <c r="BF24" i="14"/>
  <c r="BF25" i="14"/>
  <c r="BF26" i="14"/>
  <c r="BF27" i="14"/>
  <c r="BF28" i="14"/>
  <c r="BF29" i="14"/>
  <c r="BF30" i="14"/>
  <c r="BF31" i="14"/>
  <c r="BF32" i="14"/>
  <c r="BF33" i="14"/>
  <c r="BF34" i="14"/>
  <c r="BF35" i="14"/>
  <c r="BF36" i="14"/>
  <c r="BF37" i="14"/>
  <c r="BF38" i="14"/>
  <c r="BF39" i="14"/>
  <c r="BF40" i="14"/>
  <c r="BF41" i="14"/>
  <c r="BF42" i="14"/>
  <c r="BF43" i="14"/>
  <c r="BF44" i="14"/>
  <c r="BF45" i="14"/>
  <c r="BF46" i="14"/>
  <c r="BF47" i="14"/>
  <c r="BF48" i="14"/>
  <c r="BF49" i="14"/>
  <c r="BF50" i="14"/>
  <c r="BF51" i="14"/>
  <c r="BF52" i="14"/>
  <c r="BF53" i="14"/>
  <c r="BF54" i="14"/>
  <c r="BF55" i="14"/>
  <c r="BF56" i="14"/>
  <c r="BF57" i="14"/>
  <c r="BF58" i="14"/>
  <c r="BF59" i="14"/>
  <c r="BF60" i="14"/>
  <c r="BF61" i="14"/>
  <c r="BF62" i="14"/>
  <c r="BF63" i="14"/>
  <c r="BF64" i="14"/>
  <c r="BF65" i="14"/>
  <c r="BF66" i="14"/>
  <c r="BF67" i="14"/>
  <c r="BF68" i="14"/>
  <c r="BF69" i="14"/>
  <c r="BF70" i="14"/>
  <c r="BF71" i="14"/>
  <c r="BF72" i="14"/>
  <c r="BF73" i="14"/>
  <c r="BF74" i="14"/>
  <c r="BF75" i="14"/>
  <c r="BF76" i="14"/>
  <c r="BF77" i="14"/>
  <c r="BF78" i="14"/>
  <c r="BF79" i="14"/>
  <c r="BF80" i="14"/>
  <c r="BF81" i="14"/>
  <c r="BF82" i="14"/>
  <c r="BF83" i="14"/>
  <c r="BF84" i="14"/>
  <c r="BF85" i="14"/>
  <c r="BF86" i="14"/>
  <c r="BF87" i="14"/>
  <c r="BF88" i="14"/>
  <c r="BF89" i="14"/>
  <c r="BF90" i="14"/>
  <c r="BF91" i="14"/>
  <c r="BF92" i="14"/>
  <c r="BF93" i="14"/>
  <c r="BF94" i="14"/>
  <c r="BF95" i="14"/>
  <c r="BF96" i="14"/>
  <c r="BF97" i="14"/>
  <c r="BF98" i="14"/>
  <c r="BF99" i="14"/>
  <c r="BF100" i="14"/>
  <c r="BF101" i="14"/>
  <c r="BF102" i="14"/>
  <c r="BF103" i="14"/>
  <c r="BF104" i="14"/>
  <c r="BF105" i="14"/>
  <c r="BF106" i="14"/>
  <c r="BF107" i="14"/>
  <c r="BF108" i="14"/>
  <c r="BF109" i="14"/>
  <c r="BB22" i="14"/>
  <c r="BB23" i="14"/>
  <c r="BB24" i="14"/>
  <c r="BB25" i="14"/>
  <c r="BB26" i="14"/>
  <c r="BB27" i="14"/>
  <c r="BB28" i="14"/>
  <c r="BB29" i="14"/>
  <c r="BB30" i="14"/>
  <c r="BB31" i="14"/>
  <c r="BB32" i="14"/>
  <c r="BB33" i="14"/>
  <c r="BB34" i="14"/>
  <c r="BB35" i="14"/>
  <c r="BB36" i="14"/>
  <c r="BB37" i="14"/>
  <c r="BB38" i="14"/>
  <c r="BB39" i="14"/>
  <c r="BB40" i="14"/>
  <c r="BB41" i="14"/>
  <c r="BB42" i="14"/>
  <c r="BB43" i="14"/>
  <c r="BB44" i="14"/>
  <c r="BB45" i="14"/>
  <c r="BB46" i="14"/>
  <c r="BB47" i="14"/>
  <c r="BB48" i="14"/>
  <c r="BB49" i="14"/>
  <c r="BB50" i="14"/>
  <c r="BB51" i="14"/>
  <c r="BB52" i="14"/>
  <c r="BB53" i="14"/>
  <c r="BB54" i="14"/>
  <c r="BB55" i="14"/>
  <c r="BB56" i="14"/>
  <c r="BB57" i="14"/>
  <c r="BB58" i="14"/>
  <c r="BB59" i="14"/>
  <c r="BB60" i="14"/>
  <c r="BB61" i="14"/>
  <c r="BB62" i="14"/>
  <c r="BB63" i="14"/>
  <c r="BB64" i="14"/>
  <c r="BB65" i="14"/>
  <c r="BB66" i="14"/>
  <c r="BB67" i="14"/>
  <c r="BB68" i="14"/>
  <c r="BB69" i="14"/>
  <c r="BB70" i="14"/>
  <c r="BB71" i="14"/>
  <c r="BB72" i="14"/>
  <c r="BB73" i="14"/>
  <c r="BB74" i="14"/>
  <c r="BB75" i="14"/>
  <c r="BB76" i="14"/>
  <c r="BB77" i="14"/>
  <c r="BB78" i="14"/>
  <c r="BB79" i="14"/>
  <c r="BB80" i="14"/>
  <c r="BB81" i="14"/>
  <c r="BB82" i="14"/>
  <c r="BB83" i="14"/>
  <c r="BB84" i="14"/>
  <c r="BB85" i="14"/>
  <c r="BB86" i="14"/>
  <c r="BB87" i="14"/>
  <c r="BB88" i="14"/>
  <c r="BB89" i="14"/>
  <c r="BB90" i="14"/>
  <c r="BB91" i="14"/>
  <c r="BB92" i="14"/>
  <c r="BB93" i="14"/>
  <c r="BB94" i="14"/>
  <c r="BB95" i="14"/>
  <c r="BB96" i="14"/>
  <c r="BB97" i="14"/>
  <c r="BB98" i="14"/>
  <c r="BB99" i="14"/>
  <c r="BB100" i="14"/>
  <c r="BB101" i="14"/>
  <c r="BB102" i="14"/>
  <c r="BB103" i="14"/>
  <c r="BB104" i="14"/>
  <c r="BB105" i="14"/>
  <c r="BB106" i="14"/>
  <c r="BB107" i="14"/>
  <c r="BB108" i="14"/>
  <c r="BB109" i="14"/>
  <c r="BA22" i="14"/>
  <c r="BA23" i="14"/>
  <c r="BA24" i="14"/>
  <c r="BA25" i="14"/>
  <c r="BA26" i="14"/>
  <c r="BA27" i="14"/>
  <c r="BA28" i="14"/>
  <c r="BA29" i="14"/>
  <c r="BA30" i="14"/>
  <c r="BA31" i="14"/>
  <c r="BA32" i="14"/>
  <c r="BA33" i="14"/>
  <c r="BA34" i="14"/>
  <c r="BA35" i="14"/>
  <c r="BA36" i="14"/>
  <c r="BA37" i="14"/>
  <c r="BA38" i="14"/>
  <c r="BA39" i="14"/>
  <c r="BA40" i="14"/>
  <c r="BA41" i="14"/>
  <c r="BA42" i="14"/>
  <c r="BA43" i="14"/>
  <c r="BA44" i="14"/>
  <c r="BA45" i="14"/>
  <c r="BA46" i="14"/>
  <c r="BA47" i="14"/>
  <c r="BA48" i="14"/>
  <c r="BA49" i="14"/>
  <c r="BA50" i="14"/>
  <c r="BA51" i="14"/>
  <c r="BA52" i="14"/>
  <c r="BA53" i="14"/>
  <c r="BA54" i="14"/>
  <c r="BA55" i="14"/>
  <c r="BA56" i="14"/>
  <c r="BA57" i="14"/>
  <c r="BA58" i="14"/>
  <c r="BA59" i="14"/>
  <c r="BA60" i="14"/>
  <c r="BA61" i="14"/>
  <c r="BA62" i="14"/>
  <c r="BA63" i="14"/>
  <c r="BA64" i="14"/>
  <c r="BA65" i="14"/>
  <c r="BA66" i="14"/>
  <c r="BA67" i="14"/>
  <c r="BA68" i="14"/>
  <c r="BA69" i="14"/>
  <c r="BA70" i="14"/>
  <c r="BA71" i="14"/>
  <c r="BA72" i="14"/>
  <c r="BA73" i="14"/>
  <c r="BA74" i="14"/>
  <c r="BA75" i="14"/>
  <c r="BA76" i="14"/>
  <c r="BA77" i="14"/>
  <c r="BA78" i="14"/>
  <c r="BA79" i="14"/>
  <c r="BA80" i="14"/>
  <c r="BA81" i="14"/>
  <c r="BA82" i="14"/>
  <c r="BA83" i="14"/>
  <c r="BA84" i="14"/>
  <c r="BA85" i="14"/>
  <c r="BA86" i="14"/>
  <c r="BA87" i="14"/>
  <c r="BA88" i="14"/>
  <c r="BA89" i="14"/>
  <c r="BA90" i="14"/>
  <c r="BA91" i="14"/>
  <c r="BA92" i="14"/>
  <c r="BA93" i="14"/>
  <c r="BA94" i="14"/>
  <c r="BA95" i="14"/>
  <c r="BA96" i="14"/>
  <c r="BA97" i="14"/>
  <c r="BA98" i="14"/>
  <c r="BA99" i="14"/>
  <c r="BA100" i="14"/>
  <c r="BA101" i="14"/>
  <c r="BA102" i="14"/>
  <c r="BA103" i="14"/>
  <c r="BA104" i="14"/>
  <c r="BA105" i="14"/>
  <c r="BA106" i="14"/>
  <c r="BA107" i="14"/>
  <c r="BA108" i="14"/>
  <c r="BA109" i="14"/>
  <c r="AW22" i="14"/>
  <c r="AW23" i="14"/>
  <c r="AW24" i="14"/>
  <c r="AW25" i="14"/>
  <c r="AW26" i="14"/>
  <c r="AW27" i="14"/>
  <c r="AW28" i="14"/>
  <c r="AW29" i="14"/>
  <c r="AW30" i="14"/>
  <c r="AW31" i="14"/>
  <c r="AW32" i="14"/>
  <c r="AW33" i="14"/>
  <c r="AW34" i="14"/>
  <c r="AW35" i="14"/>
  <c r="AW36" i="14"/>
  <c r="AW37" i="14"/>
  <c r="AW38" i="14"/>
  <c r="AW39" i="14"/>
  <c r="AW40" i="14"/>
  <c r="AW41" i="14"/>
  <c r="AW42" i="14"/>
  <c r="AW43" i="14"/>
  <c r="AW44" i="14"/>
  <c r="AW45" i="14"/>
  <c r="AW46" i="14"/>
  <c r="AW47" i="14"/>
  <c r="AW48" i="14"/>
  <c r="AW49" i="14"/>
  <c r="AW50" i="14"/>
  <c r="AW51" i="14"/>
  <c r="AW52" i="14"/>
  <c r="AW53" i="14"/>
  <c r="AW54" i="14"/>
  <c r="AW55" i="14"/>
  <c r="AW56" i="14"/>
  <c r="AW57" i="14"/>
  <c r="AW58" i="14"/>
  <c r="AW59" i="14"/>
  <c r="AW60" i="14"/>
  <c r="AW61" i="14"/>
  <c r="AW62" i="14"/>
  <c r="AW63" i="14"/>
  <c r="AW64" i="14"/>
  <c r="AW65" i="14"/>
  <c r="AW66" i="14"/>
  <c r="AW67" i="14"/>
  <c r="AW68" i="14"/>
  <c r="AW69" i="14"/>
  <c r="AW70" i="14"/>
  <c r="AW71" i="14"/>
  <c r="AW72" i="14"/>
  <c r="AW73" i="14"/>
  <c r="AW74" i="14"/>
  <c r="AW75" i="14"/>
  <c r="AW76" i="14"/>
  <c r="AW77" i="14"/>
  <c r="AW78" i="14"/>
  <c r="AW79" i="14"/>
  <c r="AW80" i="14"/>
  <c r="AW81" i="14"/>
  <c r="AW82" i="14"/>
  <c r="AW83" i="14"/>
  <c r="AW84" i="14"/>
  <c r="AW85" i="14"/>
  <c r="AW86" i="14"/>
  <c r="AW87" i="14"/>
  <c r="AW88" i="14"/>
  <c r="AW89" i="14"/>
  <c r="AW90" i="14"/>
  <c r="AW91" i="14"/>
  <c r="AW92" i="14"/>
  <c r="AW93" i="14"/>
  <c r="AW94" i="14"/>
  <c r="AW95" i="14"/>
  <c r="AW96" i="14"/>
  <c r="AW97" i="14"/>
  <c r="AW98" i="14"/>
  <c r="AW99" i="14"/>
  <c r="AW100" i="14"/>
  <c r="AW101" i="14"/>
  <c r="AW102" i="14"/>
  <c r="AW103" i="14"/>
  <c r="AW104" i="14"/>
  <c r="AW105" i="14"/>
  <c r="AW106" i="14"/>
  <c r="AW107" i="14"/>
  <c r="AW108" i="14"/>
  <c r="AW109" i="14"/>
  <c r="AV22" i="14"/>
  <c r="AV23" i="14"/>
  <c r="AV24" i="14"/>
  <c r="AV25" i="14"/>
  <c r="AV26" i="14"/>
  <c r="AV27" i="14"/>
  <c r="AV28" i="14"/>
  <c r="AV29" i="14"/>
  <c r="AV30" i="14"/>
  <c r="AV31" i="14"/>
  <c r="AV32" i="14"/>
  <c r="AV33" i="14"/>
  <c r="AV34" i="14"/>
  <c r="AV35" i="14"/>
  <c r="AV36" i="14"/>
  <c r="AV37" i="14"/>
  <c r="AV38" i="14"/>
  <c r="AV39" i="14"/>
  <c r="AV40" i="14"/>
  <c r="AV41" i="14"/>
  <c r="AV42" i="14"/>
  <c r="AV43" i="14"/>
  <c r="AV44" i="14"/>
  <c r="AV45" i="14"/>
  <c r="AV46" i="14"/>
  <c r="AV47" i="14"/>
  <c r="AV48" i="14"/>
  <c r="AV49" i="14"/>
  <c r="AV50" i="14"/>
  <c r="AV51" i="14"/>
  <c r="AV52" i="14"/>
  <c r="AV53" i="14"/>
  <c r="AV54" i="14"/>
  <c r="AV55" i="14"/>
  <c r="AV56" i="14"/>
  <c r="AV57" i="14"/>
  <c r="AV58" i="14"/>
  <c r="AV59" i="14"/>
  <c r="AV60" i="14"/>
  <c r="AV61" i="14"/>
  <c r="AV62" i="14"/>
  <c r="AV63" i="14"/>
  <c r="AV64" i="14"/>
  <c r="AV65" i="14"/>
  <c r="AV66" i="14"/>
  <c r="AV67" i="14"/>
  <c r="AV68" i="14"/>
  <c r="AV69" i="14"/>
  <c r="AV70" i="14"/>
  <c r="AV71" i="14"/>
  <c r="AV72" i="14"/>
  <c r="AV73" i="14"/>
  <c r="AV74" i="14"/>
  <c r="AV75" i="14"/>
  <c r="AV76" i="14"/>
  <c r="AV77" i="14"/>
  <c r="AV78" i="14"/>
  <c r="AV79" i="14"/>
  <c r="AV80" i="14"/>
  <c r="AV81" i="14"/>
  <c r="AV82" i="14"/>
  <c r="AV83" i="14"/>
  <c r="AV84" i="14"/>
  <c r="AV85" i="14"/>
  <c r="AV86" i="14"/>
  <c r="AV87" i="14"/>
  <c r="AV88" i="14"/>
  <c r="AV89" i="14"/>
  <c r="AV90" i="14"/>
  <c r="AV91" i="14"/>
  <c r="AV92" i="14"/>
  <c r="AV93" i="14"/>
  <c r="AV94" i="14"/>
  <c r="AV95" i="14"/>
  <c r="AV96" i="14"/>
  <c r="AV97" i="14"/>
  <c r="AV98" i="14"/>
  <c r="AV99" i="14"/>
  <c r="AV100" i="14"/>
  <c r="AV101" i="14"/>
  <c r="AV102" i="14"/>
  <c r="AV103" i="14"/>
  <c r="AV104" i="14"/>
  <c r="AV105" i="14"/>
  <c r="AV106" i="14"/>
  <c r="AV107" i="14"/>
  <c r="AV108" i="14"/>
  <c r="AV109" i="14"/>
  <c r="AI10" i="14"/>
  <c r="AI11" i="14"/>
  <c r="AI12" i="14"/>
  <c r="AI13" i="14"/>
  <c r="AI14" i="14"/>
  <c r="AI15" i="14"/>
  <c r="AI16" i="14"/>
  <c r="AI17" i="14"/>
  <c r="AI18" i="14"/>
  <c r="AI19" i="14"/>
  <c r="AI20" i="14"/>
  <c r="AI21" i="14"/>
  <c r="AI22" i="14"/>
  <c r="AI23" i="14"/>
  <c r="AI24" i="14"/>
  <c r="AI25" i="14"/>
  <c r="AI26" i="14"/>
  <c r="AI27" i="14"/>
  <c r="AI28" i="14"/>
  <c r="AI29" i="14"/>
  <c r="AI30" i="14"/>
  <c r="AI31" i="14"/>
  <c r="AI32" i="14"/>
  <c r="AI33" i="14"/>
  <c r="AI34" i="14"/>
  <c r="AI35" i="14"/>
  <c r="AI36" i="14"/>
  <c r="AI37" i="14"/>
  <c r="AI38" i="14"/>
  <c r="AI39" i="14"/>
  <c r="AI40" i="14"/>
  <c r="AI41" i="14"/>
  <c r="AI42" i="14"/>
  <c r="AI43" i="14"/>
  <c r="AI44" i="14"/>
  <c r="AI45" i="14"/>
  <c r="AI46" i="14"/>
  <c r="AI47" i="14"/>
  <c r="AI48" i="14"/>
  <c r="AI49" i="14"/>
  <c r="AI50" i="14"/>
  <c r="AI51" i="14"/>
  <c r="AI52" i="14"/>
  <c r="AI53" i="14"/>
  <c r="AI54" i="14"/>
  <c r="AI55" i="14"/>
  <c r="AI56" i="14"/>
  <c r="AI57" i="14"/>
  <c r="AI58" i="14"/>
  <c r="AI59" i="14"/>
  <c r="AI60" i="14"/>
  <c r="AI61" i="14"/>
  <c r="AI62" i="14"/>
  <c r="AI63" i="14"/>
  <c r="AI64" i="14"/>
  <c r="AI65" i="14"/>
  <c r="AI66" i="14"/>
  <c r="AI67" i="14"/>
  <c r="AI68" i="14"/>
  <c r="AI69" i="14"/>
  <c r="AI70" i="14"/>
  <c r="AI71" i="14"/>
  <c r="AI72" i="14"/>
  <c r="AI73" i="14"/>
  <c r="AI74" i="14"/>
  <c r="AI75" i="14"/>
  <c r="AI76" i="14"/>
  <c r="AI77" i="14"/>
  <c r="AI78" i="14"/>
  <c r="AI79" i="14"/>
  <c r="AI80" i="14"/>
  <c r="AI81" i="14"/>
  <c r="AI82" i="14"/>
  <c r="AI83" i="14"/>
  <c r="AI84" i="14"/>
  <c r="AI85" i="14"/>
  <c r="AI86" i="14"/>
  <c r="AI87" i="14"/>
  <c r="AI88" i="14"/>
  <c r="AI89" i="14"/>
  <c r="AI90" i="14"/>
  <c r="AI91" i="14"/>
  <c r="AI92" i="14"/>
  <c r="AI93" i="14"/>
  <c r="AI94" i="14"/>
  <c r="AI95" i="14"/>
  <c r="AI96" i="14"/>
  <c r="AI97" i="14"/>
  <c r="AI98" i="14"/>
  <c r="AI99" i="14"/>
  <c r="AI100" i="14"/>
  <c r="AI101" i="14"/>
  <c r="AI102" i="14"/>
  <c r="AI103" i="14"/>
  <c r="AI104" i="14"/>
  <c r="AI105" i="14"/>
  <c r="AI106" i="14"/>
  <c r="AI107" i="14"/>
  <c r="AI108" i="14"/>
  <c r="AI109" i="14"/>
  <c r="AH10" i="14"/>
  <c r="AH11" i="14"/>
  <c r="AH12" i="14"/>
  <c r="AH13" i="14"/>
  <c r="AH14" i="14"/>
  <c r="AH15" i="14"/>
  <c r="AH16" i="14"/>
  <c r="AH17" i="14"/>
  <c r="AH18" i="14"/>
  <c r="AH19" i="14"/>
  <c r="AH20" i="14"/>
  <c r="AH21" i="14"/>
  <c r="AH22" i="14"/>
  <c r="AH23" i="14"/>
  <c r="AH24" i="14"/>
  <c r="AH25" i="14"/>
  <c r="AH26" i="14"/>
  <c r="AH27" i="14"/>
  <c r="AH28" i="14"/>
  <c r="AH29" i="14"/>
  <c r="AH30" i="14"/>
  <c r="AH31" i="14"/>
  <c r="AH32" i="14"/>
  <c r="AH33" i="14"/>
  <c r="AH34" i="14"/>
  <c r="AH35" i="14"/>
  <c r="AH36" i="14"/>
  <c r="AH37" i="14"/>
  <c r="AH38" i="14"/>
  <c r="AH39" i="14"/>
  <c r="AH40" i="14"/>
  <c r="AH41" i="14"/>
  <c r="AH42" i="14"/>
  <c r="AH43" i="14"/>
  <c r="AH44" i="14"/>
  <c r="AH45" i="14"/>
  <c r="AH46" i="14"/>
  <c r="AH47" i="14"/>
  <c r="AH48" i="14"/>
  <c r="AH49" i="14"/>
  <c r="AH50" i="14"/>
  <c r="AH51" i="14"/>
  <c r="AH52" i="14"/>
  <c r="AH53" i="14"/>
  <c r="AH54" i="14"/>
  <c r="AH55" i="14"/>
  <c r="AH56" i="14"/>
  <c r="AH57" i="14"/>
  <c r="AH58" i="14"/>
  <c r="AH59" i="14"/>
  <c r="AH60" i="14"/>
  <c r="AH61" i="14"/>
  <c r="AH62" i="14"/>
  <c r="AH63" i="14"/>
  <c r="AH64" i="14"/>
  <c r="AH65" i="14"/>
  <c r="AH66" i="14"/>
  <c r="AH67" i="14"/>
  <c r="AH68" i="14"/>
  <c r="AH69" i="14"/>
  <c r="AH70" i="14"/>
  <c r="AH71" i="14"/>
  <c r="AH72" i="14"/>
  <c r="AH73" i="14"/>
  <c r="AH74" i="14"/>
  <c r="AH75" i="14"/>
  <c r="AH76" i="14"/>
  <c r="AH77" i="14"/>
  <c r="AH78" i="14"/>
  <c r="AH79" i="14"/>
  <c r="AH80" i="14"/>
  <c r="AH81" i="14"/>
  <c r="AH82" i="14"/>
  <c r="AH83" i="14"/>
  <c r="AH84" i="14"/>
  <c r="AH85" i="14"/>
  <c r="AH86" i="14"/>
  <c r="AH87" i="14"/>
  <c r="AH88" i="14"/>
  <c r="AH89" i="14"/>
  <c r="AH90" i="14"/>
  <c r="AH91" i="14"/>
  <c r="AH92" i="14"/>
  <c r="AH93" i="14"/>
  <c r="AH94" i="14"/>
  <c r="AH95" i="14"/>
  <c r="AH96" i="14"/>
  <c r="AH97" i="14"/>
  <c r="AH98" i="14"/>
  <c r="AH99" i="14"/>
  <c r="AH100" i="14"/>
  <c r="AH101" i="14"/>
  <c r="AH102" i="14"/>
  <c r="AH103" i="14"/>
  <c r="AH104" i="14"/>
  <c r="AH105" i="14"/>
  <c r="AH106" i="14"/>
  <c r="AH107" i="14"/>
  <c r="AH108" i="14"/>
  <c r="AH109" i="14"/>
  <c r="AG10" i="14"/>
  <c r="AG11" i="14"/>
  <c r="AG12" i="14"/>
  <c r="AG13" i="14"/>
  <c r="AG14" i="14"/>
  <c r="AG15" i="14"/>
  <c r="AG16" i="14"/>
  <c r="AG17" i="14"/>
  <c r="AG18" i="14"/>
  <c r="AG19" i="14"/>
  <c r="AG20" i="14"/>
  <c r="AG21" i="14"/>
  <c r="AG22" i="14"/>
  <c r="AG23" i="14"/>
  <c r="AG24" i="14"/>
  <c r="AG25" i="14"/>
  <c r="AG26" i="14"/>
  <c r="AG27" i="14"/>
  <c r="AG28" i="14"/>
  <c r="AG29" i="14"/>
  <c r="AG30" i="14"/>
  <c r="AG31" i="14"/>
  <c r="AG32" i="14"/>
  <c r="AG33" i="14"/>
  <c r="AG34" i="14"/>
  <c r="AG35" i="14"/>
  <c r="AG36" i="14"/>
  <c r="AG37" i="14"/>
  <c r="AG38" i="14"/>
  <c r="AG39" i="14"/>
  <c r="AG40" i="14"/>
  <c r="AG41" i="14"/>
  <c r="AG42" i="14"/>
  <c r="AG43" i="14"/>
  <c r="AG44" i="14"/>
  <c r="AG45" i="14"/>
  <c r="AG46" i="14"/>
  <c r="AG47" i="14"/>
  <c r="AG48" i="14"/>
  <c r="AG49" i="14"/>
  <c r="AG50" i="14"/>
  <c r="AG51" i="14"/>
  <c r="AG52" i="14"/>
  <c r="AG53" i="14"/>
  <c r="AG54" i="14"/>
  <c r="AG55" i="14"/>
  <c r="AG56" i="14"/>
  <c r="AG57" i="14"/>
  <c r="AG58" i="14"/>
  <c r="AG59" i="14"/>
  <c r="AG60" i="14"/>
  <c r="AG61" i="14"/>
  <c r="AG62" i="14"/>
  <c r="AG63" i="14"/>
  <c r="AG64" i="14"/>
  <c r="AG65" i="14"/>
  <c r="AG66" i="14"/>
  <c r="AG67" i="14"/>
  <c r="AG68" i="14"/>
  <c r="AG69" i="14"/>
  <c r="AG70" i="14"/>
  <c r="AG71" i="14"/>
  <c r="AG72" i="14"/>
  <c r="AG73" i="14"/>
  <c r="AG74" i="14"/>
  <c r="AG75" i="14"/>
  <c r="AG76" i="14"/>
  <c r="AG77" i="14"/>
  <c r="AG78" i="14"/>
  <c r="AG79" i="14"/>
  <c r="AG80" i="14"/>
  <c r="AG81" i="14"/>
  <c r="AG82" i="14"/>
  <c r="AG83" i="14"/>
  <c r="AG84" i="14"/>
  <c r="AG85" i="14"/>
  <c r="AG86" i="14"/>
  <c r="AG87" i="14"/>
  <c r="AG88" i="14"/>
  <c r="AG89" i="14"/>
  <c r="AG90" i="14"/>
  <c r="AG91" i="14"/>
  <c r="AG92" i="14"/>
  <c r="AG93" i="14"/>
  <c r="AG94" i="14"/>
  <c r="AG95" i="14"/>
  <c r="AG96" i="14"/>
  <c r="AG97" i="14"/>
  <c r="AG98" i="14"/>
  <c r="AG99" i="14"/>
  <c r="AG100" i="14"/>
  <c r="AG101" i="14"/>
  <c r="AG102" i="14"/>
  <c r="AG103" i="14"/>
  <c r="AG104" i="14"/>
  <c r="AG105" i="14"/>
  <c r="AG106" i="14"/>
  <c r="AG107" i="14"/>
  <c r="AG108" i="14"/>
  <c r="AG109" i="14"/>
  <c r="AF10" i="14"/>
  <c r="AF11" i="14"/>
  <c r="AF12" i="14"/>
  <c r="AF13" i="14"/>
  <c r="AF14" i="14"/>
  <c r="AF15" i="14"/>
  <c r="AF16" i="14"/>
  <c r="AF17" i="14"/>
  <c r="AF18" i="14"/>
  <c r="AF19" i="14"/>
  <c r="AF20" i="14"/>
  <c r="AF21" i="14"/>
  <c r="AF22" i="14"/>
  <c r="AF23" i="14"/>
  <c r="AF24" i="14"/>
  <c r="AF25" i="14"/>
  <c r="AF26" i="14"/>
  <c r="AF27" i="14"/>
  <c r="AF28" i="14"/>
  <c r="AF29" i="14"/>
  <c r="AF30" i="14"/>
  <c r="AF31" i="14"/>
  <c r="AF32" i="14"/>
  <c r="AF33" i="14"/>
  <c r="AF34" i="14"/>
  <c r="AF35" i="14"/>
  <c r="AF36" i="14"/>
  <c r="AF37" i="14"/>
  <c r="AF38" i="14"/>
  <c r="AF39" i="14"/>
  <c r="AF40" i="14"/>
  <c r="AF41" i="14"/>
  <c r="AF42" i="14"/>
  <c r="AF43" i="14"/>
  <c r="AF44" i="14"/>
  <c r="AF45" i="14"/>
  <c r="AF46" i="14"/>
  <c r="AF47" i="14"/>
  <c r="AF48" i="14"/>
  <c r="AF49" i="14"/>
  <c r="AF50" i="14"/>
  <c r="AF51" i="14"/>
  <c r="AF52" i="14"/>
  <c r="AF53" i="14"/>
  <c r="AF54" i="14"/>
  <c r="AF55" i="14"/>
  <c r="AF56" i="14"/>
  <c r="AF57" i="14"/>
  <c r="AF58" i="14"/>
  <c r="AF59" i="14"/>
  <c r="AF60" i="14"/>
  <c r="AF61" i="14"/>
  <c r="AF62" i="14"/>
  <c r="AF63" i="14"/>
  <c r="AF64" i="14"/>
  <c r="AF65" i="14"/>
  <c r="AF66" i="14"/>
  <c r="AF67" i="14"/>
  <c r="AF68" i="14"/>
  <c r="AF69" i="14"/>
  <c r="AF70" i="14"/>
  <c r="AF71" i="14"/>
  <c r="AF72" i="14"/>
  <c r="AF73" i="14"/>
  <c r="AF74" i="14"/>
  <c r="AF75" i="14"/>
  <c r="AF76" i="14"/>
  <c r="AF77" i="14"/>
  <c r="AF78" i="14"/>
  <c r="AF79" i="14"/>
  <c r="AF80" i="14"/>
  <c r="AF81" i="14"/>
  <c r="AF82" i="14"/>
  <c r="AF83" i="14"/>
  <c r="AF84" i="14"/>
  <c r="AF85" i="14"/>
  <c r="AF86" i="14"/>
  <c r="AF87" i="14"/>
  <c r="AF88" i="14"/>
  <c r="AF89" i="14"/>
  <c r="AF90" i="14"/>
  <c r="AF91" i="14"/>
  <c r="AF92" i="14"/>
  <c r="AF93" i="14"/>
  <c r="AF94" i="14"/>
  <c r="AF95" i="14"/>
  <c r="AF96" i="14"/>
  <c r="AF97" i="14"/>
  <c r="AF98" i="14"/>
  <c r="AF99" i="14"/>
  <c r="AF100" i="14"/>
  <c r="AF101" i="14"/>
  <c r="AF102" i="14"/>
  <c r="AF103" i="14"/>
  <c r="AF104" i="14"/>
  <c r="AF105" i="14"/>
  <c r="AF106" i="14"/>
  <c r="AF107" i="14"/>
  <c r="AF108" i="14"/>
  <c r="AF109" i="14"/>
  <c r="G77" i="12"/>
  <c r="G76" i="12"/>
  <c r="D77" i="12"/>
  <c r="D76" i="12"/>
  <c r="D74" i="12"/>
  <c r="E77" i="12"/>
  <c r="E76" i="12"/>
  <c r="E75" i="12"/>
  <c r="E74" i="12"/>
  <c r="G75" i="12"/>
  <c r="D75" i="12"/>
  <c r="G74" i="12"/>
  <c r="AN19" i="14" l="1"/>
  <c r="AE19" i="14"/>
  <c r="AN20" i="14"/>
  <c r="AE20" i="14"/>
  <c r="AN16" i="14"/>
  <c r="AE16" i="14"/>
  <c r="AE15" i="14"/>
  <c r="AN15" i="14"/>
  <c r="AE14" i="14"/>
  <c r="AN14" i="14"/>
  <c r="AE13" i="14"/>
  <c r="AN13" i="14"/>
  <c r="AN18" i="14"/>
  <c r="AE18" i="14"/>
  <c r="AN12" i="14"/>
  <c r="AE12" i="14"/>
  <c r="AN17" i="14"/>
  <c r="AE17" i="14"/>
  <c r="AE11" i="14"/>
  <c r="AN11" i="14"/>
  <c r="AN21" i="14"/>
  <c r="AE21" i="14"/>
  <c r="AN10" i="14"/>
  <c r="AE10" i="14"/>
  <c r="CV23" i="14" l="1"/>
  <c r="CV24" i="14"/>
  <c r="CV25" i="14"/>
  <c r="CV26" i="14"/>
  <c r="CV27" i="14"/>
  <c r="CV28" i="14"/>
  <c r="CV29" i="14"/>
  <c r="CV30" i="14"/>
  <c r="CV31" i="14"/>
  <c r="CV32" i="14"/>
  <c r="CV33" i="14"/>
  <c r="CV34" i="14"/>
  <c r="CV35" i="14"/>
  <c r="CV36" i="14"/>
  <c r="CV37" i="14"/>
  <c r="CV38" i="14"/>
  <c r="CV39" i="14"/>
  <c r="CV40" i="14"/>
  <c r="CV41" i="14"/>
  <c r="CV42" i="14"/>
  <c r="CV43" i="14"/>
  <c r="CV44" i="14"/>
  <c r="CV45" i="14"/>
  <c r="CV46" i="14"/>
  <c r="CV47" i="14"/>
  <c r="CV48" i="14"/>
  <c r="CV49" i="14"/>
  <c r="CV50" i="14"/>
  <c r="CV51" i="14"/>
  <c r="CV52" i="14"/>
  <c r="CV53" i="14"/>
  <c r="CV54" i="14"/>
  <c r="CV55" i="14"/>
  <c r="CV56" i="14"/>
  <c r="CV57" i="14"/>
  <c r="CV58" i="14"/>
  <c r="CV59" i="14"/>
  <c r="CV60" i="14"/>
  <c r="CV61" i="14"/>
  <c r="CV62" i="14"/>
  <c r="CV63" i="14"/>
  <c r="CV64" i="14"/>
  <c r="CV65" i="14"/>
  <c r="CV66" i="14"/>
  <c r="CV67" i="14"/>
  <c r="CV68" i="14"/>
  <c r="CV69" i="14"/>
  <c r="CV70" i="14"/>
  <c r="CV71" i="14"/>
  <c r="CV72" i="14"/>
  <c r="CV73" i="14"/>
  <c r="CV74" i="14"/>
  <c r="CV75" i="14"/>
  <c r="CV76" i="14"/>
  <c r="CV77" i="14"/>
  <c r="CV78" i="14"/>
  <c r="CV79" i="14"/>
  <c r="CV80" i="14"/>
  <c r="CV81" i="14"/>
  <c r="CV82" i="14"/>
  <c r="CV83" i="14"/>
  <c r="CV84" i="14"/>
  <c r="CV85" i="14"/>
  <c r="CV86" i="14"/>
  <c r="CV87" i="14"/>
  <c r="CV88" i="14"/>
  <c r="CV89" i="14"/>
  <c r="CV90" i="14"/>
  <c r="CV91" i="14"/>
  <c r="CV92" i="14"/>
  <c r="CV93" i="14"/>
  <c r="CV94" i="14"/>
  <c r="CV95" i="14"/>
  <c r="CV96" i="14"/>
  <c r="CV97" i="14"/>
  <c r="CV98" i="14"/>
  <c r="CV99" i="14"/>
  <c r="CV100" i="14"/>
  <c r="CV101" i="14"/>
  <c r="CV102" i="14"/>
  <c r="CV103" i="14"/>
  <c r="CV104" i="14"/>
  <c r="CV105" i="14"/>
  <c r="CV106" i="14"/>
  <c r="CV107" i="14"/>
  <c r="CV108" i="14"/>
  <c r="CV109" i="14"/>
  <c r="CU37" i="14"/>
  <c r="CU38" i="14"/>
  <c r="CU50" i="14"/>
  <c r="CU61" i="14"/>
  <c r="CU62" i="14"/>
  <c r="CU85" i="14"/>
  <c r="CU86" i="14"/>
  <c r="CU98" i="14"/>
  <c r="CU109" i="14"/>
  <c r="CT27" i="14"/>
  <c r="CT28" i="14"/>
  <c r="CT52" i="14"/>
  <c r="CT64" i="14"/>
  <c r="CT76" i="14"/>
  <c r="CT100" i="14"/>
  <c r="BZ10" i="14"/>
  <c r="CH10" i="14" s="1"/>
  <c r="BZ11" i="14"/>
  <c r="BZ12" i="14"/>
  <c r="BZ13" i="14"/>
  <c r="BZ14" i="14"/>
  <c r="BZ15" i="14"/>
  <c r="BZ16" i="14"/>
  <c r="BZ17" i="14"/>
  <c r="BZ18" i="14"/>
  <c r="BZ19" i="14"/>
  <c r="BZ20" i="14"/>
  <c r="BZ21" i="14"/>
  <c r="BZ22" i="14"/>
  <c r="BZ23" i="14"/>
  <c r="BZ24" i="14"/>
  <c r="BZ25" i="14"/>
  <c r="BZ26" i="14"/>
  <c r="BZ27" i="14"/>
  <c r="BZ28" i="14"/>
  <c r="BZ29" i="14"/>
  <c r="BZ30" i="14"/>
  <c r="BZ31" i="14"/>
  <c r="BZ32" i="14"/>
  <c r="BZ33" i="14"/>
  <c r="BZ34" i="14"/>
  <c r="BZ35" i="14"/>
  <c r="BZ36" i="14"/>
  <c r="BZ37" i="14"/>
  <c r="BZ38" i="14"/>
  <c r="BZ39" i="14"/>
  <c r="BZ40" i="14"/>
  <c r="BZ41" i="14"/>
  <c r="BZ42" i="14"/>
  <c r="BZ43" i="14"/>
  <c r="BZ44" i="14"/>
  <c r="BZ45" i="14"/>
  <c r="BZ46" i="14"/>
  <c r="BZ47" i="14"/>
  <c r="BZ48" i="14"/>
  <c r="BZ49" i="14"/>
  <c r="BZ50" i="14"/>
  <c r="BZ51" i="14"/>
  <c r="BZ52" i="14"/>
  <c r="BZ53" i="14"/>
  <c r="BZ54" i="14"/>
  <c r="BZ55" i="14"/>
  <c r="BZ56" i="14"/>
  <c r="BZ57" i="14"/>
  <c r="BZ58" i="14"/>
  <c r="BZ59" i="14"/>
  <c r="BZ60" i="14"/>
  <c r="BZ61" i="14"/>
  <c r="BZ62" i="14"/>
  <c r="BZ63" i="14"/>
  <c r="BZ64" i="14"/>
  <c r="BZ65" i="14"/>
  <c r="BZ66" i="14"/>
  <c r="BZ67" i="14"/>
  <c r="BZ68" i="14"/>
  <c r="BZ69" i="14"/>
  <c r="BZ70" i="14"/>
  <c r="BZ71" i="14"/>
  <c r="BZ72" i="14"/>
  <c r="BZ73" i="14"/>
  <c r="BZ74" i="14"/>
  <c r="BZ75" i="14"/>
  <c r="BZ76" i="14"/>
  <c r="BZ77" i="14"/>
  <c r="BZ78" i="14"/>
  <c r="BZ79" i="14"/>
  <c r="BZ80" i="14"/>
  <c r="BZ81" i="14"/>
  <c r="BZ82" i="14"/>
  <c r="BZ83" i="14"/>
  <c r="BZ84" i="14"/>
  <c r="BZ85" i="14"/>
  <c r="BZ86" i="14"/>
  <c r="BZ87" i="14"/>
  <c r="BZ88" i="14"/>
  <c r="BZ89" i="14"/>
  <c r="BZ90" i="14"/>
  <c r="BZ91" i="14"/>
  <c r="BZ92" i="14"/>
  <c r="BZ93" i="14"/>
  <c r="BZ94" i="14"/>
  <c r="BZ95" i="14"/>
  <c r="BZ96" i="14"/>
  <c r="BZ97" i="14"/>
  <c r="BZ98" i="14"/>
  <c r="BZ99" i="14"/>
  <c r="BZ100" i="14"/>
  <c r="BZ101" i="14"/>
  <c r="BZ102" i="14"/>
  <c r="BZ103" i="14"/>
  <c r="BZ104" i="14"/>
  <c r="BZ105" i="14"/>
  <c r="BZ106" i="14"/>
  <c r="BZ107" i="14"/>
  <c r="BZ108" i="14"/>
  <c r="BZ109" i="14"/>
  <c r="BC34" i="14"/>
  <c r="BC50" i="14"/>
  <c r="BC66" i="14"/>
  <c r="BC82" i="14"/>
  <c r="BC98" i="14"/>
  <c r="BG10" i="14"/>
  <c r="BG11" i="14"/>
  <c r="BG12" i="14"/>
  <c r="BG13" i="14"/>
  <c r="BG14" i="14"/>
  <c r="BG15" i="14"/>
  <c r="BG16" i="14"/>
  <c r="BG17" i="14"/>
  <c r="BG18" i="14"/>
  <c r="BG19" i="14"/>
  <c r="BG20" i="14"/>
  <c r="BG21" i="14"/>
  <c r="BG22" i="14"/>
  <c r="BG23" i="14"/>
  <c r="BG24" i="14"/>
  <c r="BG25" i="14"/>
  <c r="BG26" i="14"/>
  <c r="BG27" i="14"/>
  <c r="BG28" i="14"/>
  <c r="BG29" i="14"/>
  <c r="BG30" i="14"/>
  <c r="BG31" i="14"/>
  <c r="BG32" i="14"/>
  <c r="BG33" i="14"/>
  <c r="BG34" i="14"/>
  <c r="BG35" i="14"/>
  <c r="BG36" i="14"/>
  <c r="BG37" i="14"/>
  <c r="BG38" i="14"/>
  <c r="BG39" i="14"/>
  <c r="BG40" i="14"/>
  <c r="BG41" i="14"/>
  <c r="BG42" i="14"/>
  <c r="BG43" i="14"/>
  <c r="BG44" i="14"/>
  <c r="BG45" i="14"/>
  <c r="BG46" i="14"/>
  <c r="BG47" i="14"/>
  <c r="BG48" i="14"/>
  <c r="BG49" i="14"/>
  <c r="BG50" i="14"/>
  <c r="BG51" i="14"/>
  <c r="BG52" i="14"/>
  <c r="BG53" i="14"/>
  <c r="BG54" i="14"/>
  <c r="BG55" i="14"/>
  <c r="BG56" i="14"/>
  <c r="BG57" i="14"/>
  <c r="BG58" i="14"/>
  <c r="BG59" i="14"/>
  <c r="BG60" i="14"/>
  <c r="BG61" i="14"/>
  <c r="BG62" i="14"/>
  <c r="BG63" i="14"/>
  <c r="BG64" i="14"/>
  <c r="BG65" i="14"/>
  <c r="BG66" i="14"/>
  <c r="BG67" i="14"/>
  <c r="BG68" i="14"/>
  <c r="BG69" i="14"/>
  <c r="BG70" i="14"/>
  <c r="BG71" i="14"/>
  <c r="BG72" i="14"/>
  <c r="BG73" i="14"/>
  <c r="BG74" i="14"/>
  <c r="BG75" i="14"/>
  <c r="BG76" i="14"/>
  <c r="BG77" i="14"/>
  <c r="BG78" i="14"/>
  <c r="BG79" i="14"/>
  <c r="BG80" i="14"/>
  <c r="BG81" i="14"/>
  <c r="BG82" i="14"/>
  <c r="BG83" i="14"/>
  <c r="BG84" i="14"/>
  <c r="BG85" i="14"/>
  <c r="BG86" i="14"/>
  <c r="BG87" i="14"/>
  <c r="BG88" i="14"/>
  <c r="BG89" i="14"/>
  <c r="BG90" i="14"/>
  <c r="BG91" i="14"/>
  <c r="BG92" i="14"/>
  <c r="BG93" i="14"/>
  <c r="BG94" i="14"/>
  <c r="BG95" i="14"/>
  <c r="BG96" i="14"/>
  <c r="BG97" i="14"/>
  <c r="BG98" i="14"/>
  <c r="BG99" i="14"/>
  <c r="BG100" i="14"/>
  <c r="BG101" i="14"/>
  <c r="BG102" i="14"/>
  <c r="BG103" i="14"/>
  <c r="BG104" i="14"/>
  <c r="BG105" i="14"/>
  <c r="BG106" i="14"/>
  <c r="BG107" i="14"/>
  <c r="BG108" i="14"/>
  <c r="BG109" i="14"/>
  <c r="AS10" i="14"/>
  <c r="BE10" i="14" s="1"/>
  <c r="AS11" i="14"/>
  <c r="BE11" i="14" s="1"/>
  <c r="AS12" i="14"/>
  <c r="BE12" i="14" s="1"/>
  <c r="AS13" i="14"/>
  <c r="BE13" i="14" s="1"/>
  <c r="AS14" i="14"/>
  <c r="BE14" i="14" s="1"/>
  <c r="AS15" i="14"/>
  <c r="BE15" i="14" s="1"/>
  <c r="AS16" i="14"/>
  <c r="BE16" i="14" s="1"/>
  <c r="AS17" i="14"/>
  <c r="BE17" i="14" s="1"/>
  <c r="AS18" i="14"/>
  <c r="BE18" i="14" s="1"/>
  <c r="AS19" i="14"/>
  <c r="BE19" i="14" s="1"/>
  <c r="AS20" i="14"/>
  <c r="BE20" i="14" s="1"/>
  <c r="AS21" i="14"/>
  <c r="BE21" i="14" s="1"/>
  <c r="AS22" i="14"/>
  <c r="BE22" i="14" s="1"/>
  <c r="AS23" i="14"/>
  <c r="BE23" i="14" s="1"/>
  <c r="AS24" i="14"/>
  <c r="BE24" i="14" s="1"/>
  <c r="AS25" i="14"/>
  <c r="BE25" i="14" s="1"/>
  <c r="AS26" i="14"/>
  <c r="BE26" i="14" s="1"/>
  <c r="AS27" i="14"/>
  <c r="BE27" i="14" s="1"/>
  <c r="AS28" i="14"/>
  <c r="BE28" i="14" s="1"/>
  <c r="AS29" i="14"/>
  <c r="BE29" i="14" s="1"/>
  <c r="AS30" i="14"/>
  <c r="BE30" i="14" s="1"/>
  <c r="AS31" i="14"/>
  <c r="BE31" i="14" s="1"/>
  <c r="AS32" i="14"/>
  <c r="BE32" i="14" s="1"/>
  <c r="AS33" i="14"/>
  <c r="BE33" i="14" s="1"/>
  <c r="AS34" i="14"/>
  <c r="BE34" i="14" s="1"/>
  <c r="AS35" i="14"/>
  <c r="BE35" i="14" s="1"/>
  <c r="AS36" i="14"/>
  <c r="BE36" i="14" s="1"/>
  <c r="AS37" i="14"/>
  <c r="BE37" i="14" s="1"/>
  <c r="AS38" i="14"/>
  <c r="BE38" i="14" s="1"/>
  <c r="AS39" i="14"/>
  <c r="BE39" i="14" s="1"/>
  <c r="AS40" i="14"/>
  <c r="BE40" i="14" s="1"/>
  <c r="AS41" i="14"/>
  <c r="BE41" i="14" s="1"/>
  <c r="AS42" i="14"/>
  <c r="BE42" i="14" s="1"/>
  <c r="AS43" i="14"/>
  <c r="BE43" i="14" s="1"/>
  <c r="AS44" i="14"/>
  <c r="BE44" i="14" s="1"/>
  <c r="AS45" i="14"/>
  <c r="BE45" i="14" s="1"/>
  <c r="AS46" i="14"/>
  <c r="BE46" i="14" s="1"/>
  <c r="AS47" i="14"/>
  <c r="BE47" i="14" s="1"/>
  <c r="AS48" i="14"/>
  <c r="BE48" i="14" s="1"/>
  <c r="AS49" i="14"/>
  <c r="BE49" i="14" s="1"/>
  <c r="AS50" i="14"/>
  <c r="BE50" i="14" s="1"/>
  <c r="AS51" i="14"/>
  <c r="BE51" i="14" s="1"/>
  <c r="AS52" i="14"/>
  <c r="BE52" i="14" s="1"/>
  <c r="AS53" i="14"/>
  <c r="BE53" i="14" s="1"/>
  <c r="AS54" i="14"/>
  <c r="BE54" i="14" s="1"/>
  <c r="AS55" i="14"/>
  <c r="BE55" i="14" s="1"/>
  <c r="AS56" i="14"/>
  <c r="BE56" i="14" s="1"/>
  <c r="AS57" i="14"/>
  <c r="BE57" i="14" s="1"/>
  <c r="AS58" i="14"/>
  <c r="BE58" i="14" s="1"/>
  <c r="AS59" i="14"/>
  <c r="BE59" i="14" s="1"/>
  <c r="AS60" i="14"/>
  <c r="BE60" i="14" s="1"/>
  <c r="AS61" i="14"/>
  <c r="BE61" i="14" s="1"/>
  <c r="AS62" i="14"/>
  <c r="BE62" i="14" s="1"/>
  <c r="AS63" i="14"/>
  <c r="BE63" i="14" s="1"/>
  <c r="AS64" i="14"/>
  <c r="BE64" i="14" s="1"/>
  <c r="AS65" i="14"/>
  <c r="BE65" i="14" s="1"/>
  <c r="AS66" i="14"/>
  <c r="BE66" i="14" s="1"/>
  <c r="AS67" i="14"/>
  <c r="BE67" i="14" s="1"/>
  <c r="AS68" i="14"/>
  <c r="BE68" i="14" s="1"/>
  <c r="AS69" i="14"/>
  <c r="BE69" i="14" s="1"/>
  <c r="AS70" i="14"/>
  <c r="BE70" i="14" s="1"/>
  <c r="AS71" i="14"/>
  <c r="BE71" i="14" s="1"/>
  <c r="AS72" i="14"/>
  <c r="BE72" i="14" s="1"/>
  <c r="AS73" i="14"/>
  <c r="BE73" i="14" s="1"/>
  <c r="AS74" i="14"/>
  <c r="BE74" i="14" s="1"/>
  <c r="AS75" i="14"/>
  <c r="BE75" i="14" s="1"/>
  <c r="AS76" i="14"/>
  <c r="BE76" i="14" s="1"/>
  <c r="AS77" i="14"/>
  <c r="BE77" i="14" s="1"/>
  <c r="AS78" i="14"/>
  <c r="BE78" i="14" s="1"/>
  <c r="AS79" i="14"/>
  <c r="BE79" i="14" s="1"/>
  <c r="AS80" i="14"/>
  <c r="BE80" i="14" s="1"/>
  <c r="AS81" i="14"/>
  <c r="BE81" i="14" s="1"/>
  <c r="AS82" i="14"/>
  <c r="BE82" i="14" s="1"/>
  <c r="AS83" i="14"/>
  <c r="BE83" i="14" s="1"/>
  <c r="AS84" i="14"/>
  <c r="BE84" i="14" s="1"/>
  <c r="AS85" i="14"/>
  <c r="BE85" i="14" s="1"/>
  <c r="AS86" i="14"/>
  <c r="BE86" i="14" s="1"/>
  <c r="AS87" i="14"/>
  <c r="BE87" i="14" s="1"/>
  <c r="AS88" i="14"/>
  <c r="BE88" i="14" s="1"/>
  <c r="AS89" i="14"/>
  <c r="BE89" i="14" s="1"/>
  <c r="AS90" i="14"/>
  <c r="BE90" i="14" s="1"/>
  <c r="AS91" i="14"/>
  <c r="BE91" i="14" s="1"/>
  <c r="AS92" i="14"/>
  <c r="BE92" i="14" s="1"/>
  <c r="AS93" i="14"/>
  <c r="BE93" i="14" s="1"/>
  <c r="AS94" i="14"/>
  <c r="BE94" i="14" s="1"/>
  <c r="AS95" i="14"/>
  <c r="BE95" i="14" s="1"/>
  <c r="AS96" i="14"/>
  <c r="BE96" i="14" s="1"/>
  <c r="AS97" i="14"/>
  <c r="BE97" i="14" s="1"/>
  <c r="AS98" i="14"/>
  <c r="BE98" i="14" s="1"/>
  <c r="AS99" i="14"/>
  <c r="BE99" i="14" s="1"/>
  <c r="AS100" i="14"/>
  <c r="BE100" i="14" s="1"/>
  <c r="AS101" i="14"/>
  <c r="BE101" i="14" s="1"/>
  <c r="AS102" i="14"/>
  <c r="BE102" i="14" s="1"/>
  <c r="AS103" i="14"/>
  <c r="BE103" i="14" s="1"/>
  <c r="AS104" i="14"/>
  <c r="BE104" i="14" s="1"/>
  <c r="AS105" i="14"/>
  <c r="BE105" i="14" s="1"/>
  <c r="AS106" i="14"/>
  <c r="BE106" i="14" s="1"/>
  <c r="AS107" i="14"/>
  <c r="BE107" i="14" s="1"/>
  <c r="AS108" i="14"/>
  <c r="BE108" i="14" s="1"/>
  <c r="AS109" i="14"/>
  <c r="BE109" i="14" s="1"/>
  <c r="AR10" i="14"/>
  <c r="BD10" i="14" s="1"/>
  <c r="AR11" i="14"/>
  <c r="BD11" i="14" s="1"/>
  <c r="AR12" i="14"/>
  <c r="BD12" i="14" s="1"/>
  <c r="AR13" i="14"/>
  <c r="BD13" i="14" s="1"/>
  <c r="AR14" i="14"/>
  <c r="BD14" i="14" s="1"/>
  <c r="AR15" i="14"/>
  <c r="BD15" i="14" s="1"/>
  <c r="AR16" i="14"/>
  <c r="BD16" i="14" s="1"/>
  <c r="AR17" i="14"/>
  <c r="BD17" i="14" s="1"/>
  <c r="AR18" i="14"/>
  <c r="BD18" i="14" s="1"/>
  <c r="AR19" i="14"/>
  <c r="BD19" i="14" s="1"/>
  <c r="AR20" i="14"/>
  <c r="BD20" i="14" s="1"/>
  <c r="AR21" i="14"/>
  <c r="BD21" i="14" s="1"/>
  <c r="AR22" i="14"/>
  <c r="BD22" i="14" s="1"/>
  <c r="AR23" i="14"/>
  <c r="BD23" i="14" s="1"/>
  <c r="AR24" i="14"/>
  <c r="BD24" i="14" s="1"/>
  <c r="AR25" i="14"/>
  <c r="BD25" i="14" s="1"/>
  <c r="AR26" i="14"/>
  <c r="BD26" i="14" s="1"/>
  <c r="AR27" i="14"/>
  <c r="BD27" i="14" s="1"/>
  <c r="AR28" i="14"/>
  <c r="BD28" i="14" s="1"/>
  <c r="AR29" i="14"/>
  <c r="BD29" i="14" s="1"/>
  <c r="AR30" i="14"/>
  <c r="BD30" i="14" s="1"/>
  <c r="AR31" i="14"/>
  <c r="BD31" i="14" s="1"/>
  <c r="AR32" i="14"/>
  <c r="BD32" i="14" s="1"/>
  <c r="AR33" i="14"/>
  <c r="BD33" i="14" s="1"/>
  <c r="AR34" i="14"/>
  <c r="BD34" i="14" s="1"/>
  <c r="AR35" i="14"/>
  <c r="BD35" i="14" s="1"/>
  <c r="AR36" i="14"/>
  <c r="BD36" i="14" s="1"/>
  <c r="AR37" i="14"/>
  <c r="BD37" i="14" s="1"/>
  <c r="AR38" i="14"/>
  <c r="BD38" i="14" s="1"/>
  <c r="AR39" i="14"/>
  <c r="BD39" i="14" s="1"/>
  <c r="AR40" i="14"/>
  <c r="BD40" i="14" s="1"/>
  <c r="AR41" i="14"/>
  <c r="BD41" i="14" s="1"/>
  <c r="AR42" i="14"/>
  <c r="BD42" i="14" s="1"/>
  <c r="AR43" i="14"/>
  <c r="BD43" i="14" s="1"/>
  <c r="AR44" i="14"/>
  <c r="BD44" i="14" s="1"/>
  <c r="AR45" i="14"/>
  <c r="BD45" i="14" s="1"/>
  <c r="AR46" i="14"/>
  <c r="BD46" i="14" s="1"/>
  <c r="AR47" i="14"/>
  <c r="BD47" i="14" s="1"/>
  <c r="AR48" i="14"/>
  <c r="BD48" i="14" s="1"/>
  <c r="AR49" i="14"/>
  <c r="BD49" i="14" s="1"/>
  <c r="AR50" i="14"/>
  <c r="BD50" i="14" s="1"/>
  <c r="AR51" i="14"/>
  <c r="BD51" i="14" s="1"/>
  <c r="AR52" i="14"/>
  <c r="BD52" i="14" s="1"/>
  <c r="AR53" i="14"/>
  <c r="BD53" i="14" s="1"/>
  <c r="AR54" i="14"/>
  <c r="BD54" i="14" s="1"/>
  <c r="AR55" i="14"/>
  <c r="BD55" i="14" s="1"/>
  <c r="AR56" i="14"/>
  <c r="BD56" i="14" s="1"/>
  <c r="AR57" i="14"/>
  <c r="BD57" i="14" s="1"/>
  <c r="AR58" i="14"/>
  <c r="BD58" i="14" s="1"/>
  <c r="AR59" i="14"/>
  <c r="BD59" i="14" s="1"/>
  <c r="AR60" i="14"/>
  <c r="BD60" i="14" s="1"/>
  <c r="AR61" i="14"/>
  <c r="BD61" i="14" s="1"/>
  <c r="AR62" i="14"/>
  <c r="BD62" i="14" s="1"/>
  <c r="AR63" i="14"/>
  <c r="BD63" i="14" s="1"/>
  <c r="AR64" i="14"/>
  <c r="BD64" i="14" s="1"/>
  <c r="AR65" i="14"/>
  <c r="BD65" i="14" s="1"/>
  <c r="AR66" i="14"/>
  <c r="BD66" i="14" s="1"/>
  <c r="AR67" i="14"/>
  <c r="BD67" i="14" s="1"/>
  <c r="AR68" i="14"/>
  <c r="BD68" i="14" s="1"/>
  <c r="AR69" i="14"/>
  <c r="BD69" i="14" s="1"/>
  <c r="AR70" i="14"/>
  <c r="BD70" i="14" s="1"/>
  <c r="AR71" i="14"/>
  <c r="BD71" i="14" s="1"/>
  <c r="AR72" i="14"/>
  <c r="BD72" i="14" s="1"/>
  <c r="AR73" i="14"/>
  <c r="BD73" i="14" s="1"/>
  <c r="AR74" i="14"/>
  <c r="BD74" i="14" s="1"/>
  <c r="AR75" i="14"/>
  <c r="BD75" i="14" s="1"/>
  <c r="AR76" i="14"/>
  <c r="BD76" i="14" s="1"/>
  <c r="AR77" i="14"/>
  <c r="BD77" i="14" s="1"/>
  <c r="AR78" i="14"/>
  <c r="BD78" i="14" s="1"/>
  <c r="AR79" i="14"/>
  <c r="BD79" i="14" s="1"/>
  <c r="AR80" i="14"/>
  <c r="BD80" i="14" s="1"/>
  <c r="AR81" i="14"/>
  <c r="BD81" i="14" s="1"/>
  <c r="AR82" i="14"/>
  <c r="BD82" i="14" s="1"/>
  <c r="AR83" i="14"/>
  <c r="BD83" i="14" s="1"/>
  <c r="AR84" i="14"/>
  <c r="BD84" i="14" s="1"/>
  <c r="AR85" i="14"/>
  <c r="BD85" i="14" s="1"/>
  <c r="AR86" i="14"/>
  <c r="BD86" i="14" s="1"/>
  <c r="AR87" i="14"/>
  <c r="BD87" i="14" s="1"/>
  <c r="AR88" i="14"/>
  <c r="BD88" i="14" s="1"/>
  <c r="AR89" i="14"/>
  <c r="BD89" i="14" s="1"/>
  <c r="AR90" i="14"/>
  <c r="BD90" i="14" s="1"/>
  <c r="AR91" i="14"/>
  <c r="BD91" i="14" s="1"/>
  <c r="AR92" i="14"/>
  <c r="BD92" i="14" s="1"/>
  <c r="AR93" i="14"/>
  <c r="BD93" i="14" s="1"/>
  <c r="AR94" i="14"/>
  <c r="BD94" i="14" s="1"/>
  <c r="AR95" i="14"/>
  <c r="BD95" i="14" s="1"/>
  <c r="AR96" i="14"/>
  <c r="BD96" i="14" s="1"/>
  <c r="AR97" i="14"/>
  <c r="BD97" i="14" s="1"/>
  <c r="AR98" i="14"/>
  <c r="BD98" i="14" s="1"/>
  <c r="AR99" i="14"/>
  <c r="BD99" i="14" s="1"/>
  <c r="AR100" i="14"/>
  <c r="BD100" i="14" s="1"/>
  <c r="AR101" i="14"/>
  <c r="BD101" i="14" s="1"/>
  <c r="AR102" i="14"/>
  <c r="BD102" i="14" s="1"/>
  <c r="AR103" i="14"/>
  <c r="BD103" i="14" s="1"/>
  <c r="AR104" i="14"/>
  <c r="BD104" i="14" s="1"/>
  <c r="AR105" i="14"/>
  <c r="BD105" i="14" s="1"/>
  <c r="AR106" i="14"/>
  <c r="BD106" i="14" s="1"/>
  <c r="AR107" i="14"/>
  <c r="BD107" i="14" s="1"/>
  <c r="AR108" i="14"/>
  <c r="BD108" i="14" s="1"/>
  <c r="AR109" i="14"/>
  <c r="BD109" i="14" s="1"/>
  <c r="AQ11" i="14"/>
  <c r="AQ18" i="14"/>
  <c r="AQ19" i="14"/>
  <c r="AQ20" i="14"/>
  <c r="AQ21" i="14"/>
  <c r="AQ22" i="14"/>
  <c r="AQ23" i="14"/>
  <c r="AQ24" i="14"/>
  <c r="AQ25" i="14"/>
  <c r="AQ26" i="14"/>
  <c r="AQ27" i="14"/>
  <c r="AQ28" i="14"/>
  <c r="AQ29" i="14"/>
  <c r="AQ30" i="14"/>
  <c r="AQ31" i="14"/>
  <c r="AQ32" i="14"/>
  <c r="AQ33" i="14"/>
  <c r="AQ34" i="14"/>
  <c r="AQ35" i="14"/>
  <c r="AQ36" i="14"/>
  <c r="AQ37" i="14"/>
  <c r="AQ38" i="14"/>
  <c r="AQ39" i="14"/>
  <c r="AQ40" i="14"/>
  <c r="AQ41" i="14"/>
  <c r="AQ42" i="14"/>
  <c r="AQ43" i="14"/>
  <c r="AQ44" i="14"/>
  <c r="AQ45" i="14"/>
  <c r="AQ46" i="14"/>
  <c r="AQ47" i="14"/>
  <c r="AQ48" i="14"/>
  <c r="AQ49" i="14"/>
  <c r="AQ50" i="14"/>
  <c r="AQ51" i="14"/>
  <c r="AQ52" i="14"/>
  <c r="AQ53" i="14"/>
  <c r="AQ54" i="14"/>
  <c r="AQ55" i="14"/>
  <c r="AQ56" i="14"/>
  <c r="AQ57" i="14"/>
  <c r="AQ58" i="14"/>
  <c r="AQ59" i="14"/>
  <c r="AQ60" i="14"/>
  <c r="AQ61" i="14"/>
  <c r="AQ62" i="14"/>
  <c r="AQ63" i="14"/>
  <c r="AQ64" i="14"/>
  <c r="AQ65" i="14"/>
  <c r="AQ66" i="14"/>
  <c r="AQ67" i="14"/>
  <c r="AQ68" i="14"/>
  <c r="AQ69" i="14"/>
  <c r="AQ70" i="14"/>
  <c r="AQ71" i="14"/>
  <c r="AQ72" i="14"/>
  <c r="AQ73" i="14"/>
  <c r="AQ74" i="14"/>
  <c r="AQ75" i="14"/>
  <c r="AQ76" i="14"/>
  <c r="AQ77" i="14"/>
  <c r="AQ78" i="14"/>
  <c r="AQ79" i="14"/>
  <c r="AQ80" i="14"/>
  <c r="AQ81" i="14"/>
  <c r="AQ82" i="14"/>
  <c r="AQ83" i="14"/>
  <c r="AQ84" i="14"/>
  <c r="AQ85" i="14"/>
  <c r="AQ86" i="14"/>
  <c r="AQ87" i="14"/>
  <c r="AQ88" i="14"/>
  <c r="AQ89" i="14"/>
  <c r="AQ90" i="14"/>
  <c r="AQ91" i="14"/>
  <c r="AQ92" i="14"/>
  <c r="AQ93" i="14"/>
  <c r="AQ94" i="14"/>
  <c r="AQ95" i="14"/>
  <c r="AQ96" i="14"/>
  <c r="AQ97" i="14"/>
  <c r="AQ98" i="14"/>
  <c r="AQ99" i="14"/>
  <c r="AQ100" i="14"/>
  <c r="AQ101" i="14"/>
  <c r="AQ102" i="14"/>
  <c r="AQ103" i="14"/>
  <c r="AQ104" i="14"/>
  <c r="AQ105" i="14"/>
  <c r="AQ106" i="14"/>
  <c r="AQ107" i="14"/>
  <c r="AQ108" i="14"/>
  <c r="AQ109" i="14"/>
  <c r="AL10" i="14"/>
  <c r="AL11" i="14"/>
  <c r="AL18" i="14"/>
  <c r="AL19" i="14"/>
  <c r="AL20" i="14"/>
  <c r="AL21" i="14"/>
  <c r="AL22" i="14"/>
  <c r="AL23" i="14"/>
  <c r="AL24" i="14"/>
  <c r="AL25" i="14"/>
  <c r="AL26" i="14"/>
  <c r="AL27" i="14"/>
  <c r="AL28" i="14"/>
  <c r="AL29" i="14"/>
  <c r="AL30" i="14"/>
  <c r="AL31" i="14"/>
  <c r="AL32" i="14"/>
  <c r="AL33" i="14"/>
  <c r="AL34" i="14"/>
  <c r="AL35" i="14"/>
  <c r="AL36" i="14"/>
  <c r="AL37" i="14"/>
  <c r="AL38" i="14"/>
  <c r="AL39" i="14"/>
  <c r="AL40" i="14"/>
  <c r="AL41" i="14"/>
  <c r="AL42" i="14"/>
  <c r="AL43" i="14"/>
  <c r="AL44" i="14"/>
  <c r="AL45" i="14"/>
  <c r="AL46" i="14"/>
  <c r="AL47" i="14"/>
  <c r="AL48" i="14"/>
  <c r="AL49" i="14"/>
  <c r="AL50" i="14"/>
  <c r="AL51" i="14"/>
  <c r="AL52" i="14"/>
  <c r="AL53" i="14"/>
  <c r="AL54" i="14"/>
  <c r="AL55" i="14"/>
  <c r="AL56" i="14"/>
  <c r="AL57" i="14"/>
  <c r="AL58" i="14"/>
  <c r="AL59" i="14"/>
  <c r="AL60" i="14"/>
  <c r="AL61" i="14"/>
  <c r="AL62" i="14"/>
  <c r="AL63" i="14"/>
  <c r="AL64" i="14"/>
  <c r="AL65" i="14"/>
  <c r="AL66" i="14"/>
  <c r="AL67" i="14"/>
  <c r="AL68" i="14"/>
  <c r="AL69" i="14"/>
  <c r="AL70" i="14"/>
  <c r="AL71" i="14"/>
  <c r="AL72" i="14"/>
  <c r="AL73" i="14"/>
  <c r="AL74" i="14"/>
  <c r="AL75" i="14"/>
  <c r="AL76" i="14"/>
  <c r="AL77" i="14"/>
  <c r="AL78" i="14"/>
  <c r="AL79" i="14"/>
  <c r="AL80" i="14"/>
  <c r="AL81" i="14"/>
  <c r="AL82" i="14"/>
  <c r="AL83" i="14"/>
  <c r="AL84" i="14"/>
  <c r="AL85" i="14"/>
  <c r="AL86" i="14"/>
  <c r="AL87" i="14"/>
  <c r="AL88" i="14"/>
  <c r="AL89" i="14"/>
  <c r="AL90" i="14"/>
  <c r="AL91" i="14"/>
  <c r="AL92" i="14"/>
  <c r="AL93" i="14"/>
  <c r="AL94" i="14"/>
  <c r="AL95" i="14"/>
  <c r="AL96" i="14"/>
  <c r="AL97" i="14"/>
  <c r="AL98" i="14"/>
  <c r="AL99" i="14"/>
  <c r="AL100" i="14"/>
  <c r="AL101" i="14"/>
  <c r="AL102" i="14"/>
  <c r="AL103" i="14"/>
  <c r="AL104" i="14"/>
  <c r="AL105" i="14"/>
  <c r="AL106" i="14"/>
  <c r="AL107" i="14"/>
  <c r="AL108" i="14"/>
  <c r="AL109" i="14"/>
  <c r="AL13" i="14"/>
  <c r="AL14" i="14"/>
  <c r="T37" i="14" a="1"/>
  <c r="T37" i="14" s="1"/>
  <c r="T38" i="14" a="1"/>
  <c r="T38" i="14" s="1"/>
  <c r="T39" i="14" a="1"/>
  <c r="T39" i="14" s="1"/>
  <c r="T40" i="14" a="1"/>
  <c r="T40" i="14" s="1"/>
  <c r="T41" i="14" a="1"/>
  <c r="T41" i="14" s="1"/>
  <c r="T42" i="14" a="1"/>
  <c r="T42" i="14" s="1"/>
  <c r="T43" i="14" a="1"/>
  <c r="T43" i="14" s="1"/>
  <c r="T44" i="14" a="1"/>
  <c r="T44" i="14" s="1"/>
  <c r="T45" i="14" a="1"/>
  <c r="T45" i="14" s="1"/>
  <c r="T46" i="14" a="1"/>
  <c r="T46" i="14" s="1"/>
  <c r="T47" i="14" a="1"/>
  <c r="T47" i="14" s="1"/>
  <c r="T48" i="14" a="1"/>
  <c r="T48" i="14" s="1"/>
  <c r="T49" i="14" a="1"/>
  <c r="T49" i="14" s="1"/>
  <c r="T50" i="14" a="1"/>
  <c r="T50" i="14" s="1"/>
  <c r="T51" i="14" a="1"/>
  <c r="T51" i="14" s="1"/>
  <c r="T52" i="14" a="1"/>
  <c r="T52" i="14" s="1"/>
  <c r="T53" i="14" a="1"/>
  <c r="T53" i="14" s="1"/>
  <c r="T54" i="14" a="1"/>
  <c r="T54" i="14" s="1"/>
  <c r="T55" i="14" a="1"/>
  <c r="T55" i="14" s="1"/>
  <c r="T56" i="14" a="1"/>
  <c r="T56" i="14" s="1"/>
  <c r="T57" i="14" a="1"/>
  <c r="T57" i="14" s="1"/>
  <c r="T58" i="14" a="1"/>
  <c r="T58" i="14" s="1"/>
  <c r="T59" i="14" a="1"/>
  <c r="T59" i="14" s="1"/>
  <c r="T60" i="14" a="1"/>
  <c r="T60" i="14" s="1"/>
  <c r="T61" i="14" a="1"/>
  <c r="T61" i="14" s="1"/>
  <c r="T62" i="14" a="1"/>
  <c r="T62" i="14" s="1"/>
  <c r="T63" i="14" a="1"/>
  <c r="T63" i="14" s="1"/>
  <c r="T64" i="14" a="1"/>
  <c r="T64" i="14" s="1"/>
  <c r="T65" i="14" a="1"/>
  <c r="T65" i="14" s="1"/>
  <c r="T66" i="14" a="1"/>
  <c r="T66" i="14" s="1"/>
  <c r="T67" i="14" a="1"/>
  <c r="T67" i="14" s="1"/>
  <c r="T68" i="14" a="1"/>
  <c r="T68" i="14" s="1"/>
  <c r="T69" i="14" a="1"/>
  <c r="T69" i="14" s="1"/>
  <c r="T70" i="14" a="1"/>
  <c r="T70" i="14" s="1"/>
  <c r="T71" i="14" a="1"/>
  <c r="T71" i="14" s="1"/>
  <c r="T72" i="14" a="1"/>
  <c r="T72" i="14" s="1"/>
  <c r="T73" i="14" a="1"/>
  <c r="T73" i="14" s="1"/>
  <c r="T74" i="14" a="1"/>
  <c r="T74" i="14" s="1"/>
  <c r="T75" i="14" a="1"/>
  <c r="T75" i="14" s="1"/>
  <c r="T76" i="14" a="1"/>
  <c r="T76" i="14" s="1"/>
  <c r="T77" i="14" a="1"/>
  <c r="T77" i="14" s="1"/>
  <c r="T78" i="14" a="1"/>
  <c r="T78" i="14" s="1"/>
  <c r="T79" i="14" a="1"/>
  <c r="T79" i="14" s="1"/>
  <c r="T80" i="14" a="1"/>
  <c r="T80" i="14" s="1"/>
  <c r="T81" i="14" a="1"/>
  <c r="T81" i="14" s="1"/>
  <c r="T82" i="14" a="1"/>
  <c r="T82" i="14" s="1"/>
  <c r="T83" i="14" a="1"/>
  <c r="T83" i="14" s="1"/>
  <c r="T84" i="14" a="1"/>
  <c r="T84" i="14" s="1"/>
  <c r="T85" i="14" a="1"/>
  <c r="T85" i="14" s="1"/>
  <c r="T86" i="14" a="1"/>
  <c r="T86" i="14" s="1"/>
  <c r="T87" i="14" a="1"/>
  <c r="T87" i="14" s="1"/>
  <c r="T88" i="14" a="1"/>
  <c r="T88" i="14" s="1"/>
  <c r="T89" i="14" a="1"/>
  <c r="T89" i="14" s="1"/>
  <c r="T90" i="14" a="1"/>
  <c r="T90" i="14" s="1"/>
  <c r="T91" i="14" a="1"/>
  <c r="T91" i="14" s="1"/>
  <c r="T92" i="14" a="1"/>
  <c r="T92" i="14" s="1"/>
  <c r="T93" i="14" a="1"/>
  <c r="T93" i="14" s="1"/>
  <c r="T94" i="14" a="1"/>
  <c r="T94" i="14" s="1"/>
  <c r="T95" i="14" a="1"/>
  <c r="T95" i="14" s="1"/>
  <c r="T96" i="14" a="1"/>
  <c r="T96" i="14" s="1"/>
  <c r="T97" i="14" a="1"/>
  <c r="T97" i="14" s="1"/>
  <c r="T98" i="14" a="1"/>
  <c r="T98" i="14" s="1"/>
  <c r="T99" i="14" a="1"/>
  <c r="T99" i="14" s="1"/>
  <c r="T100" i="14" a="1"/>
  <c r="T100" i="14" s="1"/>
  <c r="T101" i="14" a="1"/>
  <c r="T101" i="14" s="1"/>
  <c r="T102" i="14" a="1"/>
  <c r="T102" i="14" s="1"/>
  <c r="T103" i="14" a="1"/>
  <c r="T103" i="14" s="1"/>
  <c r="T104" i="14" a="1"/>
  <c r="T104" i="14" s="1"/>
  <c r="T105" i="14" a="1"/>
  <c r="T105" i="14" s="1"/>
  <c r="T106" i="14" a="1"/>
  <c r="T106" i="14" s="1"/>
  <c r="T107" i="14" a="1"/>
  <c r="T107" i="14" s="1"/>
  <c r="T108" i="14" a="1"/>
  <c r="T108" i="14" s="1"/>
  <c r="T109" i="14" a="1"/>
  <c r="T109" i="14" s="1"/>
  <c r="S37" i="14" a="1"/>
  <c r="S37" i="14" s="1"/>
  <c r="S38" i="14" a="1"/>
  <c r="S38" i="14" s="1"/>
  <c r="S39" i="14" a="1"/>
  <c r="S39" i="14" s="1"/>
  <c r="S40" i="14" a="1"/>
  <c r="S40" i="14" s="1"/>
  <c r="S41" i="14" a="1"/>
  <c r="S41" i="14" s="1"/>
  <c r="S42" i="14" a="1"/>
  <c r="S42" i="14" s="1"/>
  <c r="S43" i="14" a="1"/>
  <c r="S43" i="14" s="1"/>
  <c r="S44" i="14" a="1"/>
  <c r="S44" i="14" s="1"/>
  <c r="S45" i="14" a="1"/>
  <c r="S45" i="14" s="1"/>
  <c r="S46" i="14" a="1"/>
  <c r="S46" i="14" s="1"/>
  <c r="S47" i="14" a="1"/>
  <c r="S47" i="14" s="1"/>
  <c r="S48" i="14" a="1"/>
  <c r="S48" i="14" s="1"/>
  <c r="S49" i="14" a="1"/>
  <c r="S49" i="14" s="1"/>
  <c r="S50" i="14" a="1"/>
  <c r="S50" i="14" s="1"/>
  <c r="S51" i="14" a="1"/>
  <c r="S51" i="14" s="1"/>
  <c r="S52" i="14" a="1"/>
  <c r="S52" i="14" s="1"/>
  <c r="S53" i="14" a="1"/>
  <c r="S53" i="14" s="1"/>
  <c r="S54" i="14" a="1"/>
  <c r="S54" i="14" s="1"/>
  <c r="S55" i="14" a="1"/>
  <c r="S55" i="14" s="1"/>
  <c r="S56" i="14" a="1"/>
  <c r="S56" i="14" s="1"/>
  <c r="S57" i="14" a="1"/>
  <c r="S57" i="14" s="1"/>
  <c r="S58" i="14" a="1"/>
  <c r="S58" i="14" s="1"/>
  <c r="S59" i="14" a="1"/>
  <c r="S59" i="14" s="1"/>
  <c r="S60" i="14" a="1"/>
  <c r="S60" i="14" s="1"/>
  <c r="S61" i="14" a="1"/>
  <c r="S61" i="14" s="1"/>
  <c r="S62" i="14" a="1"/>
  <c r="S62" i="14" s="1"/>
  <c r="S63" i="14" a="1"/>
  <c r="S63" i="14" s="1"/>
  <c r="S64" i="14" a="1"/>
  <c r="S64" i="14" s="1"/>
  <c r="S65" i="14" a="1"/>
  <c r="S65" i="14" s="1"/>
  <c r="S66" i="14" a="1"/>
  <c r="S66" i="14" s="1"/>
  <c r="S67" i="14" a="1"/>
  <c r="S67" i="14" s="1"/>
  <c r="S68" i="14" a="1"/>
  <c r="S68" i="14" s="1"/>
  <c r="S69" i="14" a="1"/>
  <c r="S69" i="14" s="1"/>
  <c r="S70" i="14" a="1"/>
  <c r="S70" i="14" s="1"/>
  <c r="S71" i="14" a="1"/>
  <c r="S71" i="14" s="1"/>
  <c r="S72" i="14" a="1"/>
  <c r="S72" i="14" s="1"/>
  <c r="S73" i="14" a="1"/>
  <c r="S73" i="14" s="1"/>
  <c r="S74" i="14" a="1"/>
  <c r="S74" i="14" s="1"/>
  <c r="S75" i="14" a="1"/>
  <c r="S75" i="14" s="1"/>
  <c r="S76" i="14" a="1"/>
  <c r="S76" i="14" s="1"/>
  <c r="S77" i="14" a="1"/>
  <c r="S77" i="14" s="1"/>
  <c r="S78" i="14" a="1"/>
  <c r="S78" i="14" s="1"/>
  <c r="S79" i="14" a="1"/>
  <c r="S79" i="14" s="1"/>
  <c r="S80" i="14" a="1"/>
  <c r="S80" i="14" s="1"/>
  <c r="S81" i="14" a="1"/>
  <c r="S81" i="14" s="1"/>
  <c r="S82" i="14" a="1"/>
  <c r="S82" i="14" s="1"/>
  <c r="S83" i="14" a="1"/>
  <c r="S83" i="14" s="1"/>
  <c r="S84" i="14" a="1"/>
  <c r="S84" i="14" s="1"/>
  <c r="S85" i="14" a="1"/>
  <c r="S85" i="14" s="1"/>
  <c r="S86" i="14" a="1"/>
  <c r="S86" i="14" s="1"/>
  <c r="S87" i="14" a="1"/>
  <c r="S87" i="14" s="1"/>
  <c r="S88" i="14" a="1"/>
  <c r="S88" i="14" s="1"/>
  <c r="S89" i="14" a="1"/>
  <c r="S89" i="14" s="1"/>
  <c r="S90" i="14" a="1"/>
  <c r="S90" i="14" s="1"/>
  <c r="S91" i="14" a="1"/>
  <c r="S91" i="14" s="1"/>
  <c r="S92" i="14" a="1"/>
  <c r="S92" i="14" s="1"/>
  <c r="S93" i="14" a="1"/>
  <c r="S93" i="14" s="1"/>
  <c r="S94" i="14" a="1"/>
  <c r="S94" i="14" s="1"/>
  <c r="S95" i="14" a="1"/>
  <c r="S95" i="14" s="1"/>
  <c r="S96" i="14" a="1"/>
  <c r="S96" i="14" s="1"/>
  <c r="S97" i="14" a="1"/>
  <c r="S97" i="14" s="1"/>
  <c r="S98" i="14" a="1"/>
  <c r="S98" i="14" s="1"/>
  <c r="S99" i="14" a="1"/>
  <c r="S99" i="14" s="1"/>
  <c r="S100" i="14" a="1"/>
  <c r="S100" i="14" s="1"/>
  <c r="S101" i="14" a="1"/>
  <c r="S101" i="14" s="1"/>
  <c r="S102" i="14" a="1"/>
  <c r="S102" i="14" s="1"/>
  <c r="S103" i="14" a="1"/>
  <c r="S103" i="14" s="1"/>
  <c r="S104" i="14" a="1"/>
  <c r="S104" i="14" s="1"/>
  <c r="S105" i="14" a="1"/>
  <c r="S105" i="14" s="1"/>
  <c r="S106" i="14" a="1"/>
  <c r="S106" i="14" s="1"/>
  <c r="S107" i="14" a="1"/>
  <c r="S107" i="14" s="1"/>
  <c r="S108" i="14" a="1"/>
  <c r="S108" i="14" s="1"/>
  <c r="S109" i="14" a="1"/>
  <c r="S109" i="14" s="1"/>
  <c r="R37" i="14" a="1"/>
  <c r="R37" i="14" s="1"/>
  <c r="R38" i="14" a="1"/>
  <c r="R38" i="14" s="1"/>
  <c r="R39" i="14" a="1"/>
  <c r="R39" i="14" s="1"/>
  <c r="R40" i="14" a="1"/>
  <c r="R40" i="14" s="1"/>
  <c r="R41" i="14" a="1"/>
  <c r="R41" i="14" s="1"/>
  <c r="R42" i="14" a="1"/>
  <c r="R42" i="14" s="1"/>
  <c r="R43" i="14" a="1"/>
  <c r="R43" i="14" s="1"/>
  <c r="R44" i="14" a="1"/>
  <c r="R44" i="14" s="1"/>
  <c r="R45" i="14" a="1"/>
  <c r="R45" i="14" s="1"/>
  <c r="R46" i="14" a="1"/>
  <c r="R46" i="14" s="1"/>
  <c r="R47" i="14" a="1"/>
  <c r="R47" i="14" s="1"/>
  <c r="R48" i="14" a="1"/>
  <c r="R48" i="14" s="1"/>
  <c r="R49" i="14" a="1"/>
  <c r="R49" i="14" s="1"/>
  <c r="R50" i="14" a="1"/>
  <c r="R50" i="14" s="1"/>
  <c r="R51" i="14" a="1"/>
  <c r="R51" i="14" s="1"/>
  <c r="R52" i="14" a="1"/>
  <c r="R52" i="14" s="1"/>
  <c r="R53" i="14" a="1"/>
  <c r="R53" i="14" s="1"/>
  <c r="R54" i="14" a="1"/>
  <c r="R54" i="14" s="1"/>
  <c r="R55" i="14" a="1"/>
  <c r="R55" i="14" s="1"/>
  <c r="R56" i="14" a="1"/>
  <c r="R56" i="14" s="1"/>
  <c r="R57" i="14" a="1"/>
  <c r="R57" i="14" s="1"/>
  <c r="R58" i="14" a="1"/>
  <c r="R58" i="14" s="1"/>
  <c r="R59" i="14" a="1"/>
  <c r="R59" i="14" s="1"/>
  <c r="R60" i="14" a="1"/>
  <c r="R60" i="14" s="1"/>
  <c r="R61" i="14" a="1"/>
  <c r="R61" i="14" s="1"/>
  <c r="R62" i="14" a="1"/>
  <c r="R62" i="14" s="1"/>
  <c r="R63" i="14" a="1"/>
  <c r="R63" i="14" s="1"/>
  <c r="R64" i="14" a="1"/>
  <c r="R64" i="14" s="1"/>
  <c r="R65" i="14" a="1"/>
  <c r="R65" i="14" s="1"/>
  <c r="R66" i="14" a="1"/>
  <c r="R66" i="14" s="1"/>
  <c r="R67" i="14" a="1"/>
  <c r="R67" i="14" s="1"/>
  <c r="R68" i="14" a="1"/>
  <c r="R68" i="14" s="1"/>
  <c r="R69" i="14" a="1"/>
  <c r="R69" i="14" s="1"/>
  <c r="R70" i="14" a="1"/>
  <c r="R70" i="14" s="1"/>
  <c r="R71" i="14" a="1"/>
  <c r="R71" i="14" s="1"/>
  <c r="R72" i="14" a="1"/>
  <c r="R72" i="14" s="1"/>
  <c r="R73" i="14" a="1"/>
  <c r="R73" i="14" s="1"/>
  <c r="R74" i="14" a="1"/>
  <c r="R74" i="14" s="1"/>
  <c r="R75" i="14" a="1"/>
  <c r="R75" i="14" s="1"/>
  <c r="R76" i="14" a="1"/>
  <c r="R76" i="14" s="1"/>
  <c r="R77" i="14" a="1"/>
  <c r="R77" i="14" s="1"/>
  <c r="R78" i="14" a="1"/>
  <c r="R78" i="14" s="1"/>
  <c r="R79" i="14" a="1"/>
  <c r="R79" i="14" s="1"/>
  <c r="R80" i="14" a="1"/>
  <c r="R80" i="14" s="1"/>
  <c r="R81" i="14" a="1"/>
  <c r="R81" i="14" s="1"/>
  <c r="R82" i="14" a="1"/>
  <c r="R82" i="14" s="1"/>
  <c r="R83" i="14" a="1"/>
  <c r="R83" i="14" s="1"/>
  <c r="R84" i="14" a="1"/>
  <c r="R84" i="14" s="1"/>
  <c r="R85" i="14" a="1"/>
  <c r="R85" i="14" s="1"/>
  <c r="R86" i="14" a="1"/>
  <c r="R86" i="14" s="1"/>
  <c r="R87" i="14" a="1"/>
  <c r="R87" i="14" s="1"/>
  <c r="R88" i="14" a="1"/>
  <c r="R88" i="14" s="1"/>
  <c r="R89" i="14" a="1"/>
  <c r="R89" i="14" s="1"/>
  <c r="R90" i="14" a="1"/>
  <c r="R90" i="14" s="1"/>
  <c r="R91" i="14" a="1"/>
  <c r="R91" i="14" s="1"/>
  <c r="R92" i="14" a="1"/>
  <c r="R92" i="14" s="1"/>
  <c r="R93" i="14" a="1"/>
  <c r="R93" i="14" s="1"/>
  <c r="R94" i="14" a="1"/>
  <c r="R94" i="14" s="1"/>
  <c r="R95" i="14" a="1"/>
  <c r="R95" i="14" s="1"/>
  <c r="R96" i="14" a="1"/>
  <c r="R96" i="14" s="1"/>
  <c r="R97" i="14" a="1"/>
  <c r="R97" i="14" s="1"/>
  <c r="R98" i="14" a="1"/>
  <c r="R98" i="14" s="1"/>
  <c r="R99" i="14" a="1"/>
  <c r="R99" i="14" s="1"/>
  <c r="R100" i="14" a="1"/>
  <c r="R100" i="14" s="1"/>
  <c r="R101" i="14" a="1"/>
  <c r="R101" i="14" s="1"/>
  <c r="R102" i="14" a="1"/>
  <c r="R102" i="14" s="1"/>
  <c r="R103" i="14" a="1"/>
  <c r="R103" i="14" s="1"/>
  <c r="R104" i="14" a="1"/>
  <c r="R104" i="14" s="1"/>
  <c r="R105" i="14" a="1"/>
  <c r="R105" i="14" s="1"/>
  <c r="R106" i="14" a="1"/>
  <c r="R106" i="14" s="1"/>
  <c r="R107" i="14" a="1"/>
  <c r="R107" i="14" s="1"/>
  <c r="R108" i="14" a="1"/>
  <c r="R108" i="14" s="1"/>
  <c r="R109" i="14" a="1"/>
  <c r="R109" i="14" s="1"/>
  <c r="CT99" i="14" l="1"/>
  <c r="CT75" i="14"/>
  <c r="CT51" i="14"/>
  <c r="CT94" i="14"/>
  <c r="CT82" i="14"/>
  <c r="CT107" i="14"/>
  <c r="CT83" i="14"/>
  <c r="CT59" i="14"/>
  <c r="CT35" i="14"/>
  <c r="CU93" i="14"/>
  <c r="CT97" i="14"/>
  <c r="CT73" i="14"/>
  <c r="CT108" i="14"/>
  <c r="CT96" i="14"/>
  <c r="CT84" i="14"/>
  <c r="CT60" i="14"/>
  <c r="CT48" i="14"/>
  <c r="CT36" i="14"/>
  <c r="CU94" i="14"/>
  <c r="CU82" i="14"/>
  <c r="CU70" i="14"/>
  <c r="CU46" i="14"/>
  <c r="CU34" i="14"/>
  <c r="CT46" i="14"/>
  <c r="CT34" i="14"/>
  <c r="CU80" i="14"/>
  <c r="CU68" i="14"/>
  <c r="CU32" i="14"/>
  <c r="CT49" i="14"/>
  <c r="CT91" i="14"/>
  <c r="CT67" i="14"/>
  <c r="CT43" i="14"/>
  <c r="CU101" i="14"/>
  <c r="CU77" i="14"/>
  <c r="CU53" i="14"/>
  <c r="CU29" i="14"/>
  <c r="CU83" i="14"/>
  <c r="CU35" i="14"/>
  <c r="CU69" i="14"/>
  <c r="CU45" i="14"/>
  <c r="CT78" i="14"/>
  <c r="CT66" i="14"/>
  <c r="CT30" i="14"/>
  <c r="CU100" i="14"/>
  <c r="CU64" i="14"/>
  <c r="CU52" i="14"/>
  <c r="CT89" i="14"/>
  <c r="CT65" i="14"/>
  <c r="CT41" i="14"/>
  <c r="CU99" i="14"/>
  <c r="CU51" i="14"/>
  <c r="CT105" i="14"/>
  <c r="CT81" i="14"/>
  <c r="CT57" i="14"/>
  <c r="CT33" i="14"/>
  <c r="CU67" i="14"/>
  <c r="AP105" i="14"/>
  <c r="CT98" i="14"/>
  <c r="CT62" i="14"/>
  <c r="CT50" i="14"/>
  <c r="CU96" i="14"/>
  <c r="CU84" i="14"/>
  <c r="CU48" i="14"/>
  <c r="CU36" i="14"/>
  <c r="CT92" i="14"/>
  <c r="CT80" i="14"/>
  <c r="CT68" i="14"/>
  <c r="CT44" i="14"/>
  <c r="CT32" i="14"/>
  <c r="CU102" i="14"/>
  <c r="CU78" i="14"/>
  <c r="CU66" i="14"/>
  <c r="CU54" i="14"/>
  <c r="CU30" i="14"/>
  <c r="CU21" i="14"/>
  <c r="CU19" i="14"/>
  <c r="CT20" i="14"/>
  <c r="CU11" i="14"/>
  <c r="CT18" i="14"/>
  <c r="CU22" i="14"/>
  <c r="CU20" i="14"/>
  <c r="CU18" i="14"/>
  <c r="CT19" i="14"/>
  <c r="AL17" i="14"/>
  <c r="AL16" i="14"/>
  <c r="CW94" i="14"/>
  <c r="CW78" i="14"/>
  <c r="CW62" i="14"/>
  <c r="CW46" i="14"/>
  <c r="CW30" i="14"/>
  <c r="CW109" i="14"/>
  <c r="CW93" i="14"/>
  <c r="CW77" i="14"/>
  <c r="CW61" i="14"/>
  <c r="CW45" i="14"/>
  <c r="CW29" i="14"/>
  <c r="CW108" i="14"/>
  <c r="CW92" i="14"/>
  <c r="CW76" i="14"/>
  <c r="CW60" i="14"/>
  <c r="CW44" i="14"/>
  <c r="CW28" i="14"/>
  <c r="CW107" i="14"/>
  <c r="CW91" i="14"/>
  <c r="CW75" i="14"/>
  <c r="CW59" i="14"/>
  <c r="CW43" i="14"/>
  <c r="CW27" i="14"/>
  <c r="CW106" i="14"/>
  <c r="CW90" i="14"/>
  <c r="CW74" i="14"/>
  <c r="CW58" i="14"/>
  <c r="CW42" i="14"/>
  <c r="CW26" i="14"/>
  <c r="CW105" i="14"/>
  <c r="CW89" i="14"/>
  <c r="CW73" i="14"/>
  <c r="CW57" i="14"/>
  <c r="CW41" i="14"/>
  <c r="CW25" i="14"/>
  <c r="CW104" i="14"/>
  <c r="CW88" i="14"/>
  <c r="CW72" i="14"/>
  <c r="CW56" i="14"/>
  <c r="CW40" i="14"/>
  <c r="CW24" i="14"/>
  <c r="CW103" i="14"/>
  <c r="CW87" i="14"/>
  <c r="CW71" i="14"/>
  <c r="CW55" i="14"/>
  <c r="CW39" i="14"/>
  <c r="CW23" i="14"/>
  <c r="CW102" i="14"/>
  <c r="CW86" i="14"/>
  <c r="CW70" i="14"/>
  <c r="CW54" i="14"/>
  <c r="CW38" i="14"/>
  <c r="CW101" i="14"/>
  <c r="CW85" i="14"/>
  <c r="CW69" i="14"/>
  <c r="CW53" i="14"/>
  <c r="CW37" i="14"/>
  <c r="CW100" i="14"/>
  <c r="CW84" i="14"/>
  <c r="CW68" i="14"/>
  <c r="CW52" i="14"/>
  <c r="CW36" i="14"/>
  <c r="CW99" i="14"/>
  <c r="CW83" i="14"/>
  <c r="CW67" i="14"/>
  <c r="CW51" i="14"/>
  <c r="CW35" i="14"/>
  <c r="CW98" i="14"/>
  <c r="CW82" i="14"/>
  <c r="CW66" i="14"/>
  <c r="CW50" i="14"/>
  <c r="CW34" i="14"/>
  <c r="CW97" i="14"/>
  <c r="CW81" i="14"/>
  <c r="CW65" i="14"/>
  <c r="CW49" i="14"/>
  <c r="CW33" i="14"/>
  <c r="CW96" i="14"/>
  <c r="CW80" i="14"/>
  <c r="CW64" i="14"/>
  <c r="CW48" i="14"/>
  <c r="CW32" i="14"/>
  <c r="CW95" i="14"/>
  <c r="CW79" i="14"/>
  <c r="CW63" i="14"/>
  <c r="CW47" i="14"/>
  <c r="CW31" i="14"/>
  <c r="AL15" i="14"/>
  <c r="CT95" i="14"/>
  <c r="CT79" i="14"/>
  <c r="CT63" i="14"/>
  <c r="CT47" i="14"/>
  <c r="CT31" i="14"/>
  <c r="CU97" i="14"/>
  <c r="CU81" i="14"/>
  <c r="CU65" i="14"/>
  <c r="CU49" i="14"/>
  <c r="CU33" i="14"/>
  <c r="AP43" i="14"/>
  <c r="CT101" i="14"/>
  <c r="CT85" i="14"/>
  <c r="CT69" i="14"/>
  <c r="AP101" i="14"/>
  <c r="AP85" i="14"/>
  <c r="AP69" i="14"/>
  <c r="AP53" i="14"/>
  <c r="AP37" i="14"/>
  <c r="AP21" i="14"/>
  <c r="BB21" i="14" s="1"/>
  <c r="AP98" i="14"/>
  <c r="AP82" i="14"/>
  <c r="AP66" i="14"/>
  <c r="AP50" i="14"/>
  <c r="AP34" i="14"/>
  <c r="AP18" i="14"/>
  <c r="BB18" i="14" s="1"/>
  <c r="AP97" i="14"/>
  <c r="AP81" i="14"/>
  <c r="AP65" i="14"/>
  <c r="AP49" i="14"/>
  <c r="AP33" i="14"/>
  <c r="CT25" i="14"/>
  <c r="CU107" i="14"/>
  <c r="CU91" i="14"/>
  <c r="CU75" i="14"/>
  <c r="CU59" i="14"/>
  <c r="CU43" i="14"/>
  <c r="CU27" i="14"/>
  <c r="AP109" i="14"/>
  <c r="AP93" i="14"/>
  <c r="CT104" i="14"/>
  <c r="CT88" i="14"/>
  <c r="CT72" i="14"/>
  <c r="CT56" i="14"/>
  <c r="CT40" i="14"/>
  <c r="CT24" i="14"/>
  <c r="CU106" i="14"/>
  <c r="CU90" i="14"/>
  <c r="CU74" i="14"/>
  <c r="CU58" i="14"/>
  <c r="CU42" i="14"/>
  <c r="CU26" i="14"/>
  <c r="CT103" i="14"/>
  <c r="CT87" i="14"/>
  <c r="CT71" i="14"/>
  <c r="CT55" i="14"/>
  <c r="CT39" i="14"/>
  <c r="CT23" i="14"/>
  <c r="CU105" i="14"/>
  <c r="CU89" i="14"/>
  <c r="CU73" i="14"/>
  <c r="CU57" i="14"/>
  <c r="CU41" i="14"/>
  <c r="CU25" i="14"/>
  <c r="AP96" i="14"/>
  <c r="AP80" i="14"/>
  <c r="AP64" i="14"/>
  <c r="AP48" i="14"/>
  <c r="AP32" i="14"/>
  <c r="AP95" i="14"/>
  <c r="AP79" i="14"/>
  <c r="AP63" i="14"/>
  <c r="AP47" i="14"/>
  <c r="AP31" i="14"/>
  <c r="AP94" i="14"/>
  <c r="AP78" i="14"/>
  <c r="AP62" i="14"/>
  <c r="AP46" i="14"/>
  <c r="AP30" i="14"/>
  <c r="AP14" i="14"/>
  <c r="AP77" i="14"/>
  <c r="AP61" i="14"/>
  <c r="AP45" i="14"/>
  <c r="AP29" i="14"/>
  <c r="CT109" i="14"/>
  <c r="CT93" i="14"/>
  <c r="CT77" i="14"/>
  <c r="CT61" i="14"/>
  <c r="CT45" i="14"/>
  <c r="CT29" i="14"/>
  <c r="CT11" i="14"/>
  <c r="CU95" i="14"/>
  <c r="CU79" i="14"/>
  <c r="CU63" i="14"/>
  <c r="CU47" i="14"/>
  <c r="CU31" i="14"/>
  <c r="AP108" i="14"/>
  <c r="AP92" i="14"/>
  <c r="AP76" i="14"/>
  <c r="AP60" i="14"/>
  <c r="AP44" i="14"/>
  <c r="AP28" i="14"/>
  <c r="AL12" i="14"/>
  <c r="AP107" i="14"/>
  <c r="AP91" i="14"/>
  <c r="AP75" i="14"/>
  <c r="AP59" i="14"/>
  <c r="AP27" i="14"/>
  <c r="AP106" i="14"/>
  <c r="AP90" i="14"/>
  <c r="AP74" i="14"/>
  <c r="AP58" i="14"/>
  <c r="AP42" i="14"/>
  <c r="AP26" i="14"/>
  <c r="AP10" i="14"/>
  <c r="AT10" i="14" s="1"/>
  <c r="BF10" i="14" s="1"/>
  <c r="CT106" i="14"/>
  <c r="CT90" i="14"/>
  <c r="CT74" i="14"/>
  <c r="CT58" i="14"/>
  <c r="CT42" i="14"/>
  <c r="CT26" i="14"/>
  <c r="CU108" i="14"/>
  <c r="CU92" i="14"/>
  <c r="CU76" i="14"/>
  <c r="CU60" i="14"/>
  <c r="CU44" i="14"/>
  <c r="CU28" i="14"/>
  <c r="AP89" i="14"/>
  <c r="AP73" i="14"/>
  <c r="AP57" i="14"/>
  <c r="AP41" i="14"/>
  <c r="AP25" i="14"/>
  <c r="AP104" i="14"/>
  <c r="AP88" i="14"/>
  <c r="AP72" i="14"/>
  <c r="AP56" i="14"/>
  <c r="AP40" i="14"/>
  <c r="AP24" i="14"/>
  <c r="AP103" i="14"/>
  <c r="AP87" i="14"/>
  <c r="AP71" i="14"/>
  <c r="AP55" i="14"/>
  <c r="AP39" i="14"/>
  <c r="AP23" i="14"/>
  <c r="AP102" i="14"/>
  <c r="AP86" i="14"/>
  <c r="AP70" i="14"/>
  <c r="AP54" i="14"/>
  <c r="AP38" i="14"/>
  <c r="AP22" i="14"/>
  <c r="CT102" i="14"/>
  <c r="CT86" i="14"/>
  <c r="CT70" i="14"/>
  <c r="CT54" i="14"/>
  <c r="CT38" i="14"/>
  <c r="CT22" i="14"/>
  <c r="CU104" i="14"/>
  <c r="CU88" i="14"/>
  <c r="CU72" i="14"/>
  <c r="CU56" i="14"/>
  <c r="CU40" i="14"/>
  <c r="CU24" i="14"/>
  <c r="CT53" i="14"/>
  <c r="CT37" i="14"/>
  <c r="CT21" i="14"/>
  <c r="CU103" i="14"/>
  <c r="CU87" i="14"/>
  <c r="CU71" i="14"/>
  <c r="CU55" i="14"/>
  <c r="CU39" i="14"/>
  <c r="CU23" i="14"/>
  <c r="AP100" i="14"/>
  <c r="AP84" i="14"/>
  <c r="AP68" i="14"/>
  <c r="AP52" i="14"/>
  <c r="AP36" i="14"/>
  <c r="AP20" i="14"/>
  <c r="AP99" i="14"/>
  <c r="AP83" i="14"/>
  <c r="AP67" i="14"/>
  <c r="AP51" i="14"/>
  <c r="AP35" i="14"/>
  <c r="AP19" i="14"/>
  <c r="BB19" i="14" s="1"/>
  <c r="AP13" i="14"/>
  <c r="BC101" i="14"/>
  <c r="BC95" i="14"/>
  <c r="BC85" i="14"/>
  <c r="BC79" i="14"/>
  <c r="BC69" i="14"/>
  <c r="BC63" i="14"/>
  <c r="BC53" i="14"/>
  <c r="BC47" i="14"/>
  <c r="BC37" i="14"/>
  <c r="BC31" i="14"/>
  <c r="BC89" i="14"/>
  <c r="BC25" i="14"/>
  <c r="BC105" i="14"/>
  <c r="BC57" i="14"/>
  <c r="BC41" i="14"/>
  <c r="BC73" i="14"/>
  <c r="BC99" i="14"/>
  <c r="BC83" i="14"/>
  <c r="BC67" i="14"/>
  <c r="BC51" i="14"/>
  <c r="BC35" i="14"/>
  <c r="BC94" i="14"/>
  <c r="BC78" i="14"/>
  <c r="BC62" i="14"/>
  <c r="BC46" i="14"/>
  <c r="BC30" i="14"/>
  <c r="BC109" i="14"/>
  <c r="BC93" i="14"/>
  <c r="BC77" i="14"/>
  <c r="BC61" i="14"/>
  <c r="BC45" i="14"/>
  <c r="BC29" i="14"/>
  <c r="BC108" i="14"/>
  <c r="BC92" i="14"/>
  <c r="BC76" i="14"/>
  <c r="BC60" i="14"/>
  <c r="BC44" i="14"/>
  <c r="BC28" i="14"/>
  <c r="BC107" i="14"/>
  <c r="BC91" i="14"/>
  <c r="BC75" i="14"/>
  <c r="BC59" i="14"/>
  <c r="BC43" i="14"/>
  <c r="BC27" i="14"/>
  <c r="BC106" i="14"/>
  <c r="BC90" i="14"/>
  <c r="BC74" i="14"/>
  <c r="BC58" i="14"/>
  <c r="BC42" i="14"/>
  <c r="BC26" i="14"/>
  <c r="BC104" i="14"/>
  <c r="BC88" i="14"/>
  <c r="BC72" i="14"/>
  <c r="BC56" i="14"/>
  <c r="BC40" i="14"/>
  <c r="BC24" i="14"/>
  <c r="BC103" i="14"/>
  <c r="BC87" i="14"/>
  <c r="BC71" i="14"/>
  <c r="BC55" i="14"/>
  <c r="BC39" i="14"/>
  <c r="BC23" i="14"/>
  <c r="BC102" i="14"/>
  <c r="BC86" i="14"/>
  <c r="BC70" i="14"/>
  <c r="BC54" i="14"/>
  <c r="BC38" i="14"/>
  <c r="BC100" i="14"/>
  <c r="BC84" i="14"/>
  <c r="BC68" i="14"/>
  <c r="BC52" i="14"/>
  <c r="BC36" i="14"/>
  <c r="BC97" i="14"/>
  <c r="BC81" i="14"/>
  <c r="BC65" i="14"/>
  <c r="BC49" i="14"/>
  <c r="BC33" i="14"/>
  <c r="BC96" i="14"/>
  <c r="BC80" i="14"/>
  <c r="BC64" i="14"/>
  <c r="BC48" i="14"/>
  <c r="BC32" i="14"/>
  <c r="AP11" i="14"/>
  <c r="AX10" i="14" l="1"/>
  <c r="BB10" i="14" s="1"/>
  <c r="AX13" i="14"/>
  <c r="BB13" i="14" s="1"/>
  <c r="AP16" i="14"/>
  <c r="AT16" i="14" s="1"/>
  <c r="BF16" i="14" s="1"/>
  <c r="AX14" i="14"/>
  <c r="BB14" i="14" s="1"/>
  <c r="AT13" i="14"/>
  <c r="BF13" i="14" s="1"/>
  <c r="AT14" i="14"/>
  <c r="BF14" i="14" s="1"/>
  <c r="BB11" i="14"/>
  <c r="AP17" i="14"/>
  <c r="AT17" i="14" s="1"/>
  <c r="AP15" i="14"/>
  <c r="BB20" i="14"/>
  <c r="AP12" i="14"/>
  <c r="AT12" i="14" s="1"/>
  <c r="AX15" i="14" l="1"/>
  <c r="BB15" i="14" s="1"/>
  <c r="AX16" i="14"/>
  <c r="BB16" i="14" s="1"/>
  <c r="AX12" i="14"/>
  <c r="BB12" i="14" s="1"/>
  <c r="AT15" i="14"/>
  <c r="BF15" i="14" s="1"/>
  <c r="AX17" i="14"/>
  <c r="BB17" i="14" s="1"/>
  <c r="BF12" i="14"/>
  <c r="BF17" i="14"/>
  <c r="B12" i="16"/>
  <c r="S28" i="16" s="1" a="1"/>
  <c r="S28" i="16" s="1"/>
  <c r="P28" i="16" s="1"/>
  <c r="N12" i="16"/>
  <c r="S39" i="16" l="1" a="1"/>
  <c r="S39" i="16" s="1"/>
  <c r="P39" i="16" s="1"/>
  <c r="S27" i="16" a="1"/>
  <c r="S27" i="16" s="1"/>
  <c r="P27" i="16" s="1"/>
  <c r="S26" i="16" a="1"/>
  <c r="S26" i="16" s="1"/>
  <c r="P26" i="16" s="1"/>
  <c r="S25" i="16" a="1"/>
  <c r="S25" i="16" s="1"/>
  <c r="P25" i="16" s="1"/>
  <c r="S24" i="16" a="1"/>
  <c r="S24" i="16" s="1"/>
  <c r="P24" i="16" s="1"/>
  <c r="S37" i="16" a="1"/>
  <c r="S37" i="16" s="1"/>
  <c r="P37" i="16" s="1"/>
  <c r="S35" i="16" a="1"/>
  <c r="S35" i="16" s="1"/>
  <c r="P35" i="16" s="1"/>
  <c r="S23" i="16" a="1"/>
  <c r="S23" i="16" s="1"/>
  <c r="P23" i="16" s="1"/>
  <c r="S36" i="16" a="1"/>
  <c r="S36" i="16" s="1"/>
  <c r="P36" i="16" s="1"/>
  <c r="S34" i="16" a="1"/>
  <c r="S34" i="16" s="1"/>
  <c r="P34" i="16" s="1"/>
  <c r="S22" i="16" a="1"/>
  <c r="S22" i="16" s="1"/>
  <c r="P22" i="16" s="1"/>
  <c r="S38" i="16" a="1"/>
  <c r="S38" i="16" s="1"/>
  <c r="P38" i="16" s="1"/>
  <c r="S33" i="16" a="1"/>
  <c r="S33" i="16" s="1"/>
  <c r="P33" i="16" s="1"/>
  <c r="S21" i="16" a="1"/>
  <c r="S21" i="16" s="1"/>
  <c r="P21" i="16" s="1"/>
  <c r="S32" i="16" a="1"/>
  <c r="S32" i="16" s="1"/>
  <c r="P32" i="16" s="1"/>
  <c r="S20" i="16" a="1"/>
  <c r="S20" i="16" s="1"/>
  <c r="P20" i="16" s="1"/>
  <c r="S31" i="16" a="1"/>
  <c r="S31" i="16" s="1"/>
  <c r="P31" i="16" s="1"/>
  <c r="S19" i="16" a="1"/>
  <c r="S19" i="16" s="1"/>
  <c r="P19" i="16" s="1"/>
  <c r="N13" i="16" a="1"/>
  <c r="S30" i="16" a="1"/>
  <c r="S30" i="16" s="1"/>
  <c r="P30" i="16" s="1"/>
  <c r="S29" i="16" a="1"/>
  <c r="S29" i="16" s="1"/>
  <c r="P29" i="16" s="1"/>
  <c r="S41" i="16" a="1"/>
  <c r="S41" i="16" s="1"/>
  <c r="P41" i="16" s="1"/>
  <c r="S40" i="16" a="1"/>
  <c r="S40" i="16" s="1"/>
  <c r="P40" i="16" s="1"/>
  <c r="N13" i="16" l="1"/>
  <c r="S18" i="16" a="1"/>
  <c r="S18" i="16" s="1"/>
  <c r="P18" i="16" s="1"/>
  <c r="S17" i="16" a="1"/>
  <c r="S17" i="16" s="1"/>
  <c r="P17" i="16" s="1"/>
  <c r="S16" i="16" a="1"/>
  <c r="S16" i="16" s="1"/>
  <c r="P16" i="16" s="1"/>
  <c r="S15" i="16" a="1"/>
  <c r="S15" i="16" s="1"/>
  <c r="P15" i="16" s="1"/>
  <c r="S14" i="16" a="1"/>
  <c r="S14" i="16" s="1"/>
  <c r="P14" i="16" s="1"/>
  <c r="C12" i="16"/>
  <c r="G12" i="16"/>
  <c r="H12" i="16"/>
  <c r="I12" i="16"/>
  <c r="O8" i="20"/>
  <c r="O40" i="16"/>
  <c r="O41" i="16"/>
  <c r="O36" i="16"/>
  <c r="O37" i="16"/>
  <c r="O38" i="16"/>
  <c r="O39" i="16"/>
  <c r="O22" i="16"/>
  <c r="O23" i="16"/>
  <c r="O24" i="16"/>
  <c r="O25" i="16"/>
  <c r="O26" i="16"/>
  <c r="O27" i="16"/>
  <c r="O28" i="16"/>
  <c r="O29" i="16"/>
  <c r="O30" i="16"/>
  <c r="O31" i="16"/>
  <c r="O32" i="16"/>
  <c r="O33" i="16"/>
  <c r="O34" i="16"/>
  <c r="O35" i="16"/>
  <c r="O18" i="16"/>
  <c r="O19" i="16"/>
  <c r="O20" i="16"/>
  <c r="O21" i="16"/>
  <c r="E7" i="27" a="1"/>
  <c r="S13" i="16" l="1" a="1"/>
  <c r="S13" i="16" s="1"/>
  <c r="P13" i="16" s="1"/>
  <c r="E7" i="27"/>
  <c r="AC18" i="14"/>
  <c r="AC30" i="14"/>
  <c r="AC42" i="14"/>
  <c r="AC54" i="14"/>
  <c r="AC66" i="14"/>
  <c r="AC78" i="14"/>
  <c r="AC90" i="14"/>
  <c r="AC102" i="14"/>
  <c r="AB26" i="14"/>
  <c r="AB38" i="14"/>
  <c r="AB50" i="14"/>
  <c r="AB62" i="14"/>
  <c r="AB74" i="14"/>
  <c r="AB86" i="14"/>
  <c r="AB98" i="14"/>
  <c r="AA22" i="14"/>
  <c r="AA34" i="14"/>
  <c r="AA46" i="14"/>
  <c r="AA58" i="14"/>
  <c r="AA70" i="14"/>
  <c r="AA82" i="14"/>
  <c r="AA94" i="14"/>
  <c r="AA106" i="14"/>
  <c r="Z18" i="14"/>
  <c r="Z30" i="14"/>
  <c r="Z42" i="14"/>
  <c r="Z54" i="14"/>
  <c r="Z66" i="14"/>
  <c r="Z78" i="14"/>
  <c r="Z90" i="14"/>
  <c r="Z102" i="14"/>
  <c r="Y26" i="14"/>
  <c r="Y38" i="14"/>
  <c r="Y50" i="14"/>
  <c r="Y62" i="14"/>
  <c r="Y74" i="14"/>
  <c r="Y86" i="14"/>
  <c r="Y98" i="14"/>
  <c r="X23" i="14"/>
  <c r="X35" i="14"/>
  <c r="X47" i="14"/>
  <c r="X59" i="14"/>
  <c r="X71" i="14"/>
  <c r="X83" i="14"/>
  <c r="X95" i="14"/>
  <c r="X107" i="14"/>
  <c r="W19" i="14"/>
  <c r="W31" i="14"/>
  <c r="W43" i="14"/>
  <c r="W55" i="14"/>
  <c r="W67" i="14"/>
  <c r="W79" i="14"/>
  <c r="W91" i="14"/>
  <c r="W103" i="14"/>
  <c r="V27" i="14"/>
  <c r="V39" i="14"/>
  <c r="BQ39" i="14" s="1"/>
  <c r="V51" i="14"/>
  <c r="BQ51" i="14" s="1"/>
  <c r="V63" i="14"/>
  <c r="BQ63" i="14" s="1"/>
  <c r="V75" i="14"/>
  <c r="BQ75" i="14" s="1"/>
  <c r="V87" i="14"/>
  <c r="V99" i="14"/>
  <c r="U23" i="14"/>
  <c r="U35" i="14"/>
  <c r="U47" i="14"/>
  <c r="U59" i="14"/>
  <c r="U71" i="14"/>
  <c r="U83" i="14"/>
  <c r="U95" i="14"/>
  <c r="U107" i="14"/>
  <c r="AC19" i="14"/>
  <c r="AC31" i="14"/>
  <c r="AC43" i="14"/>
  <c r="AC55" i="14"/>
  <c r="AC67" i="14"/>
  <c r="AC79" i="14"/>
  <c r="AC91" i="14"/>
  <c r="AC103" i="14"/>
  <c r="AB27" i="14"/>
  <c r="AB39" i="14"/>
  <c r="AB51" i="14"/>
  <c r="AB63" i="14"/>
  <c r="AB75" i="14"/>
  <c r="AB87" i="14"/>
  <c r="AB99" i="14"/>
  <c r="AA23" i="14"/>
  <c r="AA35" i="14"/>
  <c r="AA47" i="14"/>
  <c r="AA59" i="14"/>
  <c r="AA71" i="14"/>
  <c r="AA83" i="14"/>
  <c r="AA95" i="14"/>
  <c r="AA107" i="14"/>
  <c r="Z19" i="14"/>
  <c r="Z31" i="14"/>
  <c r="Z43" i="14"/>
  <c r="Z55" i="14"/>
  <c r="Z67" i="14"/>
  <c r="Z79" i="14"/>
  <c r="Z91" i="14"/>
  <c r="Z103" i="14"/>
  <c r="Y27" i="14"/>
  <c r="Y39" i="14"/>
  <c r="Y51" i="14"/>
  <c r="Y63" i="14"/>
  <c r="Y75" i="14"/>
  <c r="Y87" i="14"/>
  <c r="Y99" i="14"/>
  <c r="X24" i="14"/>
  <c r="X36" i="14"/>
  <c r="X48" i="14"/>
  <c r="X60" i="14"/>
  <c r="X72" i="14"/>
  <c r="X84" i="14"/>
  <c r="X96" i="14"/>
  <c r="X108" i="14"/>
  <c r="W20" i="14"/>
  <c r="W32" i="14"/>
  <c r="W44" i="14"/>
  <c r="W56" i="14"/>
  <c r="W68" i="14"/>
  <c r="W80" i="14"/>
  <c r="W92" i="14"/>
  <c r="W104" i="14"/>
  <c r="V28" i="14"/>
  <c r="V40" i="14"/>
  <c r="V52" i="14"/>
  <c r="V64" i="14"/>
  <c r="BQ64" i="14" s="1"/>
  <c r="V76" i="14"/>
  <c r="BQ76" i="14" s="1"/>
  <c r="V88" i="14"/>
  <c r="V100" i="14"/>
  <c r="U24" i="14"/>
  <c r="U36" i="14"/>
  <c r="U48" i="14"/>
  <c r="U60" i="14"/>
  <c r="U72" i="14"/>
  <c r="U84" i="14"/>
  <c r="U96" i="14"/>
  <c r="U108" i="14"/>
  <c r="AC20" i="14"/>
  <c r="AC32" i="14"/>
  <c r="AC44" i="14"/>
  <c r="AC56" i="14"/>
  <c r="AC68" i="14"/>
  <c r="AC80" i="14"/>
  <c r="AC92" i="14"/>
  <c r="AC104" i="14"/>
  <c r="AB28" i="14"/>
  <c r="AB40" i="14"/>
  <c r="AB52" i="14"/>
  <c r="AB64" i="14"/>
  <c r="AB76" i="14"/>
  <c r="AB88" i="14"/>
  <c r="AB100" i="14"/>
  <c r="AA24" i="14"/>
  <c r="AA36" i="14"/>
  <c r="AA48" i="14"/>
  <c r="AA60" i="14"/>
  <c r="AA72" i="14"/>
  <c r="AA84" i="14"/>
  <c r="AA96" i="14"/>
  <c r="AA108" i="14"/>
  <c r="Z20" i="14"/>
  <c r="Z32" i="14"/>
  <c r="Z44" i="14"/>
  <c r="Z56" i="14"/>
  <c r="Z68" i="14"/>
  <c r="Z80" i="14"/>
  <c r="Z92" i="14"/>
  <c r="Z104" i="14"/>
  <c r="Y28" i="14"/>
  <c r="Y40" i="14"/>
  <c r="Y52" i="14"/>
  <c r="Y64" i="14"/>
  <c r="Y76" i="14"/>
  <c r="Y88" i="14"/>
  <c r="Y100" i="14"/>
  <c r="X25" i="14"/>
  <c r="X37" i="14"/>
  <c r="X49" i="14"/>
  <c r="X61" i="14"/>
  <c r="X73" i="14"/>
  <c r="X85" i="14"/>
  <c r="X97" i="14"/>
  <c r="X109" i="14"/>
  <c r="W21" i="14"/>
  <c r="W33" i="14"/>
  <c r="W45" i="14"/>
  <c r="W57" i="14"/>
  <c r="W69" i="14"/>
  <c r="W81" i="14"/>
  <c r="W93" i="14"/>
  <c r="W105" i="14"/>
  <c r="V29" i="14"/>
  <c r="V41" i="14"/>
  <c r="V53" i="14"/>
  <c r="V65" i="14"/>
  <c r="V77" i="14"/>
  <c r="V89" i="14"/>
  <c r="V101" i="14"/>
  <c r="U25" i="14"/>
  <c r="U37" i="14"/>
  <c r="U49" i="14"/>
  <c r="U61" i="14"/>
  <c r="U73" i="14"/>
  <c r="U85" i="14"/>
  <c r="U97" i="14"/>
  <c r="U109" i="14"/>
  <c r="BQ28" i="14"/>
  <c r="AC21" i="14"/>
  <c r="AC33" i="14"/>
  <c r="AC45" i="14"/>
  <c r="AC57" i="14"/>
  <c r="AC69" i="14"/>
  <c r="AC81" i="14"/>
  <c r="AC93" i="14"/>
  <c r="AC105" i="14"/>
  <c r="AB29" i="14"/>
  <c r="AB41" i="14"/>
  <c r="AB53" i="14"/>
  <c r="AB65" i="14"/>
  <c r="AB77" i="14"/>
  <c r="AB89" i="14"/>
  <c r="AB101" i="14"/>
  <c r="AA25" i="14"/>
  <c r="AA37" i="14"/>
  <c r="AA49" i="14"/>
  <c r="AA61" i="14"/>
  <c r="AA73" i="14"/>
  <c r="AA85" i="14"/>
  <c r="AA97" i="14"/>
  <c r="AA109" i="14"/>
  <c r="Z21" i="14"/>
  <c r="Z33" i="14"/>
  <c r="Z45" i="14"/>
  <c r="Z57" i="14"/>
  <c r="Z69" i="14"/>
  <c r="Z81" i="14"/>
  <c r="Z93" i="14"/>
  <c r="Z105" i="14"/>
  <c r="Y29" i="14"/>
  <c r="Y41" i="14"/>
  <c r="Y53" i="14"/>
  <c r="Y65" i="14"/>
  <c r="Y77" i="14"/>
  <c r="Y89" i="14"/>
  <c r="Y101" i="14"/>
  <c r="X26" i="14"/>
  <c r="X38" i="14"/>
  <c r="X50" i="14"/>
  <c r="X62" i="14"/>
  <c r="X74" i="14"/>
  <c r="X86" i="14"/>
  <c r="X98" i="14"/>
  <c r="W10" i="14"/>
  <c r="W22" i="14"/>
  <c r="W34" i="14"/>
  <c r="W46" i="14"/>
  <c r="W58" i="14"/>
  <c r="W70" i="14"/>
  <c r="W82" i="14"/>
  <c r="W94" i="14"/>
  <c r="W106" i="14"/>
  <c r="V30" i="14"/>
  <c r="V42" i="14"/>
  <c r="BQ42" i="14" s="1"/>
  <c r="V54" i="14"/>
  <c r="V66" i="14"/>
  <c r="V78" i="14"/>
  <c r="V90" i="14"/>
  <c r="V102" i="14"/>
  <c r="U26" i="14"/>
  <c r="U38" i="14"/>
  <c r="U50" i="14"/>
  <c r="U62" i="14"/>
  <c r="U74" i="14"/>
  <c r="U86" i="14"/>
  <c r="U98" i="14"/>
  <c r="AC10" i="14"/>
  <c r="AC22" i="14"/>
  <c r="AC34" i="14"/>
  <c r="AC46" i="14"/>
  <c r="AC58" i="14"/>
  <c r="AC70" i="14"/>
  <c r="AC82" i="14"/>
  <c r="AC94" i="14"/>
  <c r="AC106" i="14"/>
  <c r="AB30" i="14"/>
  <c r="AB42" i="14"/>
  <c r="AB54" i="14"/>
  <c r="AB66" i="14"/>
  <c r="AB78" i="14"/>
  <c r="AB90" i="14"/>
  <c r="AB102" i="14"/>
  <c r="AA26" i="14"/>
  <c r="AA38" i="14"/>
  <c r="AA50" i="14"/>
  <c r="AA62" i="14"/>
  <c r="AA74" i="14"/>
  <c r="AA86" i="14"/>
  <c r="AA98" i="14"/>
  <c r="Z10" i="14"/>
  <c r="Z22" i="14"/>
  <c r="Z34" i="14"/>
  <c r="Z46" i="14"/>
  <c r="Z58" i="14"/>
  <c r="Z70" i="14"/>
  <c r="Z82" i="14"/>
  <c r="Z94" i="14"/>
  <c r="Z106" i="14"/>
  <c r="Y30" i="14"/>
  <c r="Y42" i="14"/>
  <c r="Y54" i="14"/>
  <c r="Y66" i="14"/>
  <c r="Y78" i="14"/>
  <c r="Y90" i="14"/>
  <c r="Y102" i="14"/>
  <c r="X27" i="14"/>
  <c r="X39" i="14"/>
  <c r="X51" i="14"/>
  <c r="X63" i="14"/>
  <c r="X75" i="14"/>
  <c r="X87" i="14"/>
  <c r="X99" i="14"/>
  <c r="W11" i="14"/>
  <c r="W23" i="14"/>
  <c r="W35" i="14"/>
  <c r="W47" i="14"/>
  <c r="W59" i="14"/>
  <c r="W71" i="14"/>
  <c r="W83" i="14"/>
  <c r="W95" i="14"/>
  <c r="W107" i="14"/>
  <c r="V31" i="14"/>
  <c r="BQ31" i="14" s="1"/>
  <c r="V43" i="14"/>
  <c r="BQ43" i="14" s="1"/>
  <c r="V55" i="14"/>
  <c r="V67" i="14"/>
  <c r="V79" i="14"/>
  <c r="V91" i="14"/>
  <c r="V103" i="14"/>
  <c r="U27" i="14"/>
  <c r="U39" i="14"/>
  <c r="U51" i="14"/>
  <c r="U63" i="14"/>
  <c r="U75" i="14"/>
  <c r="U87" i="14"/>
  <c r="U99" i="14"/>
  <c r="AC11" i="14"/>
  <c r="AC23" i="14"/>
  <c r="AC35" i="14"/>
  <c r="AC47" i="14"/>
  <c r="AC59" i="14"/>
  <c r="AC71" i="14"/>
  <c r="AC83" i="14"/>
  <c r="AC95" i="14"/>
  <c r="AC107" i="14"/>
  <c r="AB31" i="14"/>
  <c r="AB43" i="14"/>
  <c r="AB55" i="14"/>
  <c r="AB67" i="14"/>
  <c r="AB79" i="14"/>
  <c r="AB91" i="14"/>
  <c r="AB103" i="14"/>
  <c r="AA27" i="14"/>
  <c r="AA39" i="14"/>
  <c r="AA51" i="14"/>
  <c r="AA63" i="14"/>
  <c r="AA75" i="14"/>
  <c r="AA87" i="14"/>
  <c r="AA99" i="14"/>
  <c r="Z11" i="14"/>
  <c r="Z23" i="14"/>
  <c r="Z35" i="14"/>
  <c r="Z47" i="14"/>
  <c r="Z59" i="14"/>
  <c r="Z71" i="14"/>
  <c r="Z83" i="14"/>
  <c r="Z95" i="14"/>
  <c r="Z107" i="14"/>
  <c r="Y31" i="14"/>
  <c r="Y43" i="14"/>
  <c r="Y55" i="14"/>
  <c r="Y67" i="14"/>
  <c r="Y79" i="14"/>
  <c r="Y91" i="14"/>
  <c r="Y103" i="14"/>
  <c r="X28" i="14"/>
  <c r="X40" i="14"/>
  <c r="X52" i="14"/>
  <c r="X64" i="14"/>
  <c r="X76" i="14"/>
  <c r="X88" i="14"/>
  <c r="X100" i="14"/>
  <c r="W24" i="14"/>
  <c r="W36" i="14"/>
  <c r="W48" i="14"/>
  <c r="W60" i="14"/>
  <c r="W72" i="14"/>
  <c r="W84" i="14"/>
  <c r="W96" i="14"/>
  <c r="W108" i="14"/>
  <c r="V32" i="14"/>
  <c r="V44" i="14"/>
  <c r="BQ44" i="14" s="1"/>
  <c r="V56" i="14"/>
  <c r="V68" i="14"/>
  <c r="V80" i="14"/>
  <c r="V92" i="14"/>
  <c r="V104" i="14"/>
  <c r="U28" i="14"/>
  <c r="U40" i="14"/>
  <c r="U52" i="14"/>
  <c r="U64" i="14"/>
  <c r="U76" i="14"/>
  <c r="U88" i="14"/>
  <c r="U100" i="14"/>
  <c r="AC24" i="14"/>
  <c r="AC36" i="14"/>
  <c r="AC48" i="14"/>
  <c r="AC60" i="14"/>
  <c r="AC72" i="14"/>
  <c r="AC84" i="14"/>
  <c r="AC96" i="14"/>
  <c r="AC108" i="14"/>
  <c r="AB32" i="14"/>
  <c r="AB44" i="14"/>
  <c r="AB56" i="14"/>
  <c r="AB68" i="14"/>
  <c r="AB80" i="14"/>
  <c r="AB92" i="14"/>
  <c r="AB104" i="14"/>
  <c r="AA28" i="14"/>
  <c r="AA40" i="14"/>
  <c r="AA52" i="14"/>
  <c r="AA64" i="14"/>
  <c r="AA76" i="14"/>
  <c r="AA88" i="14"/>
  <c r="AA100" i="14"/>
  <c r="Z24" i="14"/>
  <c r="Z36" i="14"/>
  <c r="Z48" i="14"/>
  <c r="Z60" i="14"/>
  <c r="Z72" i="14"/>
  <c r="Z84" i="14"/>
  <c r="Z96" i="14"/>
  <c r="Z108" i="14"/>
  <c r="Y32" i="14"/>
  <c r="Y44" i="14"/>
  <c r="Y56" i="14"/>
  <c r="Y68" i="14"/>
  <c r="Y80" i="14"/>
  <c r="Y92" i="14"/>
  <c r="Y104" i="14"/>
  <c r="X29" i="14"/>
  <c r="X41" i="14"/>
  <c r="X53" i="14"/>
  <c r="X65" i="14"/>
  <c r="X77" i="14"/>
  <c r="X89" i="14"/>
  <c r="X101" i="14"/>
  <c r="W25" i="14"/>
  <c r="W37" i="14"/>
  <c r="W49" i="14"/>
  <c r="W61" i="14"/>
  <c r="W73" i="14"/>
  <c r="W85" i="14"/>
  <c r="W97" i="14"/>
  <c r="W109" i="14"/>
  <c r="V33" i="14"/>
  <c r="V45" i="14"/>
  <c r="V57" i="14"/>
  <c r="V69" i="14"/>
  <c r="V81" i="14"/>
  <c r="V93" i="14"/>
  <c r="V105" i="14"/>
  <c r="U29" i="14"/>
  <c r="U41" i="14"/>
  <c r="U53" i="14"/>
  <c r="U65" i="14"/>
  <c r="U77" i="14"/>
  <c r="U89" i="14"/>
  <c r="U101" i="14"/>
  <c r="AC25" i="14"/>
  <c r="AC37" i="14"/>
  <c r="AC49" i="14"/>
  <c r="AC61" i="14"/>
  <c r="AC73" i="14"/>
  <c r="AC85" i="14"/>
  <c r="AC97" i="14"/>
  <c r="AC109" i="14"/>
  <c r="AB33" i="14"/>
  <c r="AB45" i="14"/>
  <c r="AB57" i="14"/>
  <c r="AB69" i="14"/>
  <c r="AB81" i="14"/>
  <c r="AB93" i="14"/>
  <c r="AB105" i="14"/>
  <c r="AA29" i="14"/>
  <c r="AA41" i="14"/>
  <c r="AA53" i="14"/>
  <c r="AA65" i="14"/>
  <c r="AA77" i="14"/>
  <c r="AA89" i="14"/>
  <c r="AA101" i="14"/>
  <c r="Z25" i="14"/>
  <c r="Z37" i="14"/>
  <c r="Z49" i="14"/>
  <c r="Z61" i="14"/>
  <c r="Z73" i="14"/>
  <c r="Z85" i="14"/>
  <c r="Z97" i="14"/>
  <c r="Z109" i="14"/>
  <c r="Y33" i="14"/>
  <c r="Y45" i="14"/>
  <c r="Y57" i="14"/>
  <c r="Y69" i="14"/>
  <c r="Y81" i="14"/>
  <c r="Y93" i="14"/>
  <c r="Y105" i="14"/>
  <c r="X30" i="14"/>
  <c r="X42" i="14"/>
  <c r="X54" i="14"/>
  <c r="X66" i="14"/>
  <c r="X78" i="14"/>
  <c r="X90" i="14"/>
  <c r="X102" i="14"/>
  <c r="W26" i="14"/>
  <c r="W38" i="14"/>
  <c r="W50" i="14"/>
  <c r="W62" i="14"/>
  <c r="W74" i="14"/>
  <c r="W86" i="14"/>
  <c r="W98" i="14"/>
  <c r="V22" i="14"/>
  <c r="V34" i="14"/>
  <c r="BQ34" i="14" s="1"/>
  <c r="V46" i="14"/>
  <c r="V58" i="14"/>
  <c r="V70" i="14"/>
  <c r="V82" i="14"/>
  <c r="BQ82" i="14" s="1"/>
  <c r="V94" i="14"/>
  <c r="V106" i="14"/>
  <c r="U30" i="14"/>
  <c r="U42" i="14"/>
  <c r="U54" i="14"/>
  <c r="U66" i="14"/>
  <c r="U78" i="14"/>
  <c r="U90" i="14"/>
  <c r="U102" i="14"/>
  <c r="AC26" i="14"/>
  <c r="AC38" i="14"/>
  <c r="AC50" i="14"/>
  <c r="AC62" i="14"/>
  <c r="AC74" i="14"/>
  <c r="AC86" i="14"/>
  <c r="AC98" i="14"/>
  <c r="AB22" i="14"/>
  <c r="AB34" i="14"/>
  <c r="AB46" i="14"/>
  <c r="AB58" i="14"/>
  <c r="AB70" i="14"/>
  <c r="AB82" i="14"/>
  <c r="AB94" i="14"/>
  <c r="AB106" i="14"/>
  <c r="AA30" i="14"/>
  <c r="AA42" i="14"/>
  <c r="AA54" i="14"/>
  <c r="AA66" i="14"/>
  <c r="AA78" i="14"/>
  <c r="AA90" i="14"/>
  <c r="AA102" i="14"/>
  <c r="Z26" i="14"/>
  <c r="Z38" i="14"/>
  <c r="Z50" i="14"/>
  <c r="Z62" i="14"/>
  <c r="Z74" i="14"/>
  <c r="Z86" i="14"/>
  <c r="Z98" i="14"/>
  <c r="Y22" i="14"/>
  <c r="Y34" i="14"/>
  <c r="Y46" i="14"/>
  <c r="Y58" i="14"/>
  <c r="Y70" i="14"/>
  <c r="Y82" i="14"/>
  <c r="Y94" i="14"/>
  <c r="Y106" i="14"/>
  <c r="X31" i="14"/>
  <c r="X43" i="14"/>
  <c r="X55" i="14"/>
  <c r="X67" i="14"/>
  <c r="X79" i="14"/>
  <c r="X91" i="14"/>
  <c r="X103" i="14"/>
  <c r="W27" i="14"/>
  <c r="W39" i="14"/>
  <c r="W51" i="14"/>
  <c r="W63" i="14"/>
  <c r="W75" i="14"/>
  <c r="W87" i="14"/>
  <c r="W99" i="14"/>
  <c r="V23" i="14"/>
  <c r="V35" i="14"/>
  <c r="V47" i="14"/>
  <c r="V59" i="14"/>
  <c r="V71" i="14"/>
  <c r="BQ71" i="14" s="1"/>
  <c r="V83" i="14"/>
  <c r="BQ83" i="14" s="1"/>
  <c r="V95" i="14"/>
  <c r="V107" i="14"/>
  <c r="U31" i="14"/>
  <c r="U43" i="14"/>
  <c r="U55" i="14"/>
  <c r="U67" i="14"/>
  <c r="U79" i="14"/>
  <c r="U91" i="14"/>
  <c r="U103" i="14"/>
  <c r="AC29" i="14"/>
  <c r="AC41" i="14"/>
  <c r="AC53" i="14"/>
  <c r="AC65" i="14"/>
  <c r="AC77" i="14"/>
  <c r="AC89" i="14"/>
  <c r="AC101" i="14"/>
  <c r="AB25" i="14"/>
  <c r="AB37" i="14"/>
  <c r="AB49" i="14"/>
  <c r="AB61" i="14"/>
  <c r="AB73" i="14"/>
  <c r="AB85" i="14"/>
  <c r="AB97" i="14"/>
  <c r="AB109" i="14"/>
  <c r="AA33" i="14"/>
  <c r="AA45" i="14"/>
  <c r="AA57" i="14"/>
  <c r="AA69" i="14"/>
  <c r="AA81" i="14"/>
  <c r="AA93" i="14"/>
  <c r="AA105" i="14"/>
  <c r="Z29" i="14"/>
  <c r="Z41" i="14"/>
  <c r="Z53" i="14"/>
  <c r="Z65" i="14"/>
  <c r="Z77" i="14"/>
  <c r="Z89" i="14"/>
  <c r="Z101" i="14"/>
  <c r="Y25" i="14"/>
  <c r="Y37" i="14"/>
  <c r="Y49" i="14"/>
  <c r="Y61" i="14"/>
  <c r="Y73" i="14"/>
  <c r="Y85" i="14"/>
  <c r="Y97" i="14"/>
  <c r="Y109" i="14"/>
  <c r="X22" i="14"/>
  <c r="X34" i="14"/>
  <c r="X46" i="14"/>
  <c r="X58" i="14"/>
  <c r="X70" i="14"/>
  <c r="X82" i="14"/>
  <c r="X94" i="14"/>
  <c r="X106" i="14"/>
  <c r="W18" i="14"/>
  <c r="W30" i="14"/>
  <c r="W42" i="14"/>
  <c r="BK42" i="14" s="1"/>
  <c r="W54" i="14"/>
  <c r="BK54" i="14" s="1"/>
  <c r="W66" i="14"/>
  <c r="BK66" i="14" s="1"/>
  <c r="W78" i="14"/>
  <c r="BK78" i="14" s="1"/>
  <c r="W90" i="14"/>
  <c r="BK90" i="14" s="1"/>
  <c r="W102" i="14"/>
  <c r="BK102" i="14" s="1"/>
  <c r="V26" i="14"/>
  <c r="V38" i="14"/>
  <c r="BI38" i="14" s="1"/>
  <c r="V50" i="14"/>
  <c r="BI50" i="14" s="1"/>
  <c r="BM50" i="14" s="1"/>
  <c r="V62" i="14"/>
  <c r="BI62" i="14" s="1"/>
  <c r="BM62" i="14" s="1"/>
  <c r="V74" i="14"/>
  <c r="BI74" i="14" s="1"/>
  <c r="BM74" i="14" s="1"/>
  <c r="V86" i="14"/>
  <c r="BI86" i="14" s="1"/>
  <c r="BM86" i="14" s="1"/>
  <c r="V98" i="14"/>
  <c r="BI98" i="14" s="1"/>
  <c r="BM98" i="14" s="1"/>
  <c r="U22" i="14"/>
  <c r="U34" i="14"/>
  <c r="U46" i="14"/>
  <c r="U58" i="14"/>
  <c r="U70" i="14"/>
  <c r="U82" i="14"/>
  <c r="U94" i="14"/>
  <c r="BH94" i="14" s="1"/>
  <c r="U106" i="14"/>
  <c r="BH106" i="14" s="1"/>
  <c r="AC75" i="14"/>
  <c r="AB47" i="14"/>
  <c r="AA91" i="14"/>
  <c r="Z63" i="14"/>
  <c r="Y35" i="14"/>
  <c r="Y107" i="14"/>
  <c r="X80" i="14"/>
  <c r="W52" i="14"/>
  <c r="V24" i="14"/>
  <c r="V96" i="14"/>
  <c r="BQ96" i="14" s="1"/>
  <c r="U68" i="14"/>
  <c r="BP46" i="14"/>
  <c r="BQ67" i="14"/>
  <c r="BP47" i="14"/>
  <c r="U44" i="14"/>
  <c r="BP78" i="14"/>
  <c r="W40" i="14"/>
  <c r="Z52" i="14"/>
  <c r="AC76" i="14"/>
  <c r="AB48" i="14"/>
  <c r="AA92" i="14"/>
  <c r="Z64" i="14"/>
  <c r="Y36" i="14"/>
  <c r="Y108" i="14"/>
  <c r="X81" i="14"/>
  <c r="W53" i="14"/>
  <c r="V25" i="14"/>
  <c r="V97" i="14"/>
  <c r="BQ97" i="14" s="1"/>
  <c r="U69" i="14"/>
  <c r="BQ103" i="14"/>
  <c r="BP35" i="14"/>
  <c r="BP59" i="14"/>
  <c r="AB107" i="14"/>
  <c r="AA80" i="14"/>
  <c r="U57" i="14"/>
  <c r="AC87" i="14"/>
  <c r="AB59" i="14"/>
  <c r="AA31" i="14"/>
  <c r="AA103" i="14"/>
  <c r="Z75" i="14"/>
  <c r="Y47" i="14"/>
  <c r="X92" i="14"/>
  <c r="W64" i="14"/>
  <c r="V36" i="14"/>
  <c r="V108" i="14"/>
  <c r="BQ108" i="14" s="1"/>
  <c r="U80" i="14"/>
  <c r="BQ32" i="14"/>
  <c r="BQ56" i="14"/>
  <c r="BP24" i="14"/>
  <c r="BP60" i="14"/>
  <c r="BP96" i="14"/>
  <c r="BP109" i="14"/>
  <c r="V72" i="14"/>
  <c r="X68" i="14"/>
  <c r="AC64" i="14"/>
  <c r="V85" i="14"/>
  <c r="BQ85" i="14" s="1"/>
  <c r="BQ77" i="14"/>
  <c r="AC88" i="14"/>
  <c r="AB60" i="14"/>
  <c r="AA32" i="14"/>
  <c r="AA104" i="14"/>
  <c r="Z76" i="14"/>
  <c r="Y48" i="14"/>
  <c r="X93" i="14"/>
  <c r="W65" i="14"/>
  <c r="V37" i="14"/>
  <c r="V109" i="14"/>
  <c r="BI109" i="14" s="1"/>
  <c r="U81" i="14"/>
  <c r="BQ81" i="14"/>
  <c r="BQ93" i="14"/>
  <c r="Y83" i="14"/>
  <c r="AA79" i="14"/>
  <c r="U56" i="14"/>
  <c r="AB108" i="14"/>
  <c r="BQ41" i="14"/>
  <c r="AC27" i="14"/>
  <c r="AC99" i="14"/>
  <c r="AB71" i="14"/>
  <c r="AA43" i="14"/>
  <c r="Z87" i="14"/>
  <c r="Y59" i="14"/>
  <c r="X32" i="14"/>
  <c r="X104" i="14"/>
  <c r="W76" i="14"/>
  <c r="V48" i="14"/>
  <c r="BQ48" i="14" s="1"/>
  <c r="U92" i="14"/>
  <c r="BP86" i="14"/>
  <c r="BP88" i="14"/>
  <c r="AB35" i="14"/>
  <c r="X69" i="14"/>
  <c r="AC28" i="14"/>
  <c r="AC100" i="14"/>
  <c r="AB72" i="14"/>
  <c r="AA44" i="14"/>
  <c r="Z88" i="14"/>
  <c r="Y60" i="14"/>
  <c r="X33" i="14"/>
  <c r="X105" i="14"/>
  <c r="W77" i="14"/>
  <c r="V49" i="14"/>
  <c r="U93" i="14"/>
  <c r="BQ47" i="14"/>
  <c r="BP27" i="14"/>
  <c r="BP65" i="14"/>
  <c r="Z39" i="14"/>
  <c r="BP90" i="14"/>
  <c r="Y23" i="14"/>
  <c r="AB36" i="14"/>
  <c r="W41" i="14"/>
  <c r="BK41" i="14" s="1"/>
  <c r="AC39" i="14"/>
  <c r="AB83" i="14"/>
  <c r="AA55" i="14"/>
  <c r="Z27" i="14"/>
  <c r="Z99" i="14"/>
  <c r="Y71" i="14"/>
  <c r="X44" i="14"/>
  <c r="W88" i="14"/>
  <c r="V60" i="14"/>
  <c r="U32" i="14"/>
  <c r="U104" i="14"/>
  <c r="BP28" i="14"/>
  <c r="X56" i="14"/>
  <c r="AC40" i="14"/>
  <c r="AB84" i="14"/>
  <c r="AA56" i="14"/>
  <c r="Z28" i="14"/>
  <c r="Z100" i="14"/>
  <c r="Y72" i="14"/>
  <c r="X45" i="14"/>
  <c r="W89" i="14"/>
  <c r="BK89" i="14" s="1"/>
  <c r="V61" i="14"/>
  <c r="U33" i="14"/>
  <c r="BH33" i="14" s="1"/>
  <c r="U105" i="14"/>
  <c r="BQ37" i="14"/>
  <c r="W100" i="14"/>
  <c r="Z51" i="14"/>
  <c r="Y24" i="14"/>
  <c r="AC51" i="14"/>
  <c r="AB23" i="14"/>
  <c r="AB95" i="14"/>
  <c r="AA67" i="14"/>
  <c r="W28" i="14"/>
  <c r="Y95" i="14"/>
  <c r="AC52" i="14"/>
  <c r="AB24" i="14"/>
  <c r="AB96" i="14"/>
  <c r="AA68" i="14"/>
  <c r="Z40" i="14"/>
  <c r="Y84" i="14"/>
  <c r="X57" i="14"/>
  <c r="W29" i="14"/>
  <c r="W101" i="14"/>
  <c r="V73" i="14"/>
  <c r="BI73" i="14" s="1"/>
  <c r="U45" i="14"/>
  <c r="AC63" i="14"/>
  <c r="V84" i="14"/>
  <c r="Y96" i="14"/>
  <c r="BQ65" i="14"/>
  <c r="A101" i="18"/>
  <c r="A100" i="18"/>
  <c r="A99" i="18"/>
  <c r="A98" i="18"/>
  <c r="A97" i="18"/>
  <c r="A96" i="18"/>
  <c r="A95" i="18"/>
  <c r="A94" i="18"/>
  <c r="A93" i="18"/>
  <c r="A92" i="18"/>
  <c r="A91" i="18"/>
  <c r="A90" i="18"/>
  <c r="A89" i="18"/>
  <c r="A88" i="18"/>
  <c r="A87" i="18"/>
  <c r="A86" i="18"/>
  <c r="A85" i="18"/>
  <c r="A84" i="18"/>
  <c r="A83" i="18"/>
  <c r="A82" i="18"/>
  <c r="A81" i="18"/>
  <c r="A80" i="18"/>
  <c r="A79" i="18"/>
  <c r="A78" i="18"/>
  <c r="A77" i="18"/>
  <c r="A76" i="18"/>
  <c r="A75" i="18"/>
  <c r="A74" i="18"/>
  <c r="A73" i="18"/>
  <c r="A72" i="18"/>
  <c r="A71" i="18"/>
  <c r="A70" i="18"/>
  <c r="A69" i="18"/>
  <c r="A68" i="18"/>
  <c r="A67" i="18"/>
  <c r="A66" i="18"/>
  <c r="A65" i="18"/>
  <c r="A64" i="18"/>
  <c r="A63" i="18"/>
  <c r="A62" i="18"/>
  <c r="A61" i="18"/>
  <c r="A60" i="18"/>
  <c r="A59" i="18"/>
  <c r="A58" i="18"/>
  <c r="A57" i="18"/>
  <c r="A56" i="18"/>
  <c r="A55" i="18"/>
  <c r="A54" i="18"/>
  <c r="A53" i="18"/>
  <c r="A52" i="18"/>
  <c r="A51" i="18"/>
  <c r="A50" i="18"/>
  <c r="A49" i="18"/>
  <c r="A48" i="18"/>
  <c r="A47" i="18"/>
  <c r="A46" i="18"/>
  <c r="A45" i="18"/>
  <c r="A44" i="18"/>
  <c r="A43" i="18"/>
  <c r="A42" i="18"/>
  <c r="A41" i="18"/>
  <c r="A40" i="18"/>
  <c r="A39" i="18"/>
  <c r="A38" i="18"/>
  <c r="A37" i="18"/>
  <c r="A36" i="18"/>
  <c r="A35" i="18"/>
  <c r="A34" i="18"/>
  <c r="A33" i="18"/>
  <c r="A32" i="18"/>
  <c r="A31" i="18"/>
  <c r="A30" i="18"/>
  <c r="A29" i="18"/>
  <c r="A28" i="18"/>
  <c r="A27" i="18"/>
  <c r="A26" i="18"/>
  <c r="A25" i="18"/>
  <c r="A24" i="18"/>
  <c r="A23" i="18"/>
  <c r="A22" i="18"/>
  <c r="A21" i="18"/>
  <c r="A20" i="18"/>
  <c r="A19" i="18"/>
  <c r="A18" i="18"/>
  <c r="A17" i="18"/>
  <c r="A16" i="18"/>
  <c r="A15" i="18"/>
  <c r="A14" i="18"/>
  <c r="A13" i="18"/>
  <c r="A12" i="18"/>
  <c r="A11" i="18"/>
  <c r="A10" i="18"/>
  <c r="A9" i="18"/>
  <c r="A8" i="18"/>
  <c r="A7" i="18"/>
  <c r="A6" i="18"/>
  <c r="A5" i="18"/>
  <c r="A4" i="18"/>
  <c r="A3" i="18"/>
  <c r="A2" i="18"/>
  <c r="A10" i="26"/>
  <c r="A11" i="26"/>
  <c r="A12" i="26"/>
  <c r="A13" i="26"/>
  <c r="A14" i="26"/>
  <c r="A15" i="26"/>
  <c r="A16" i="26"/>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A57" i="26"/>
  <c r="A58" i="26"/>
  <c r="A59" i="26"/>
  <c r="A60" i="26"/>
  <c r="A61" i="26"/>
  <c r="A62" i="26"/>
  <c r="A63" i="26"/>
  <c r="A64" i="26"/>
  <c r="A65" i="26"/>
  <c r="A66" i="26"/>
  <c r="A67" i="26"/>
  <c r="A68" i="26"/>
  <c r="A69" i="26"/>
  <c r="A70" i="26"/>
  <c r="A71" i="26"/>
  <c r="A72"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108" i="26"/>
  <c r="A109" i="26"/>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BK29" i="14" l="1"/>
  <c r="BO29" i="14" s="1"/>
  <c r="BQ94" i="14"/>
  <c r="BM109" i="14"/>
  <c r="BQ46" i="14"/>
  <c r="BQ69" i="14"/>
  <c r="BP108" i="14"/>
  <c r="BQ91" i="14"/>
  <c r="BP84" i="14"/>
  <c r="BP49" i="14"/>
  <c r="BP76" i="14"/>
  <c r="BK88" i="14"/>
  <c r="BP30" i="14"/>
  <c r="BK64" i="14"/>
  <c r="BK53" i="14"/>
  <c r="BK101" i="14"/>
  <c r="BK28" i="14"/>
  <c r="BO28" i="14" s="1"/>
  <c r="BK50" i="14"/>
  <c r="BK73" i="14"/>
  <c r="BK96" i="14"/>
  <c r="BK10" i="14"/>
  <c r="BO10" i="14" s="1"/>
  <c r="BK81" i="14"/>
  <c r="BK71" i="14"/>
  <c r="BK68" i="14"/>
  <c r="BP100" i="14"/>
  <c r="BK63" i="14"/>
  <c r="BK86" i="14"/>
  <c r="BK109" i="14"/>
  <c r="BK43" i="14"/>
  <c r="BK74" i="14"/>
  <c r="BK97" i="14"/>
  <c r="BK34" i="14"/>
  <c r="BO34" i="14" s="1"/>
  <c r="BK31" i="14"/>
  <c r="BO31" i="14" s="1"/>
  <c r="BK38" i="14"/>
  <c r="BK61" i="14"/>
  <c r="BK84" i="14"/>
  <c r="BK69" i="14"/>
  <c r="BK26" i="14"/>
  <c r="BO26" i="14" s="1"/>
  <c r="BK49" i="14"/>
  <c r="BK72" i="14"/>
  <c r="BK57" i="14"/>
  <c r="BK37" i="14"/>
  <c r="BK60" i="14"/>
  <c r="BK107" i="14"/>
  <c r="BK45" i="14"/>
  <c r="BK104" i="14"/>
  <c r="BK25" i="14"/>
  <c r="BO25" i="14" s="1"/>
  <c r="BK48" i="14"/>
  <c r="BK95" i="14"/>
  <c r="BK33" i="14"/>
  <c r="BO33" i="14" s="1"/>
  <c r="BK92" i="14"/>
  <c r="BK36" i="14"/>
  <c r="BO36" i="14" s="1"/>
  <c r="BK83" i="14"/>
  <c r="BK21" i="14"/>
  <c r="BO21" i="14" s="1"/>
  <c r="BK80" i="14"/>
  <c r="BK24" i="14"/>
  <c r="BO24" i="14" s="1"/>
  <c r="BK59" i="14"/>
  <c r="BK56" i="14"/>
  <c r="BJ100" i="14"/>
  <c r="BK100" i="14"/>
  <c r="BK76" i="14"/>
  <c r="BJ65" i="14"/>
  <c r="BK65" i="14"/>
  <c r="BK47" i="14"/>
  <c r="BK106" i="14"/>
  <c r="BK44" i="14"/>
  <c r="BK103" i="14"/>
  <c r="BK35" i="14"/>
  <c r="BO35" i="14" s="1"/>
  <c r="BK94" i="14"/>
  <c r="BK32" i="14"/>
  <c r="BO32" i="14" s="1"/>
  <c r="BK91" i="14"/>
  <c r="BK27" i="14"/>
  <c r="BO27" i="14" s="1"/>
  <c r="BK40" i="14"/>
  <c r="BP22" i="14"/>
  <c r="BK99" i="14"/>
  <c r="BK23" i="14"/>
  <c r="BO23" i="14" s="1"/>
  <c r="BK82" i="14"/>
  <c r="BK20" i="14"/>
  <c r="BO20" i="14" s="1"/>
  <c r="BK79" i="14"/>
  <c r="BK87" i="14"/>
  <c r="BK11" i="14"/>
  <c r="BO11" i="14" s="1"/>
  <c r="BK70" i="14"/>
  <c r="BK67" i="14"/>
  <c r="BK77" i="14"/>
  <c r="BJ30" i="14"/>
  <c r="BK30" i="14"/>
  <c r="BO30" i="14" s="1"/>
  <c r="BK75" i="14"/>
  <c r="BK98" i="14"/>
  <c r="BK58" i="14"/>
  <c r="BK55" i="14"/>
  <c r="BK46" i="14"/>
  <c r="BJ18" i="14"/>
  <c r="BK18" i="14"/>
  <c r="BO18" i="14" s="1"/>
  <c r="BK51" i="14"/>
  <c r="BK105" i="14"/>
  <c r="BK52" i="14"/>
  <c r="BK39" i="14"/>
  <c r="BK62" i="14"/>
  <c r="BK85" i="14"/>
  <c r="BK108" i="14"/>
  <c r="BK22" i="14"/>
  <c r="BO22" i="14" s="1"/>
  <c r="BK93" i="14"/>
  <c r="BK19" i="14"/>
  <c r="BO19" i="14" s="1"/>
  <c r="BP58" i="14"/>
  <c r="BP44" i="14"/>
  <c r="BP69" i="14"/>
  <c r="BH105" i="14"/>
  <c r="BL105" i="14" s="1"/>
  <c r="BT105" i="14" s="1"/>
  <c r="BP52" i="14"/>
  <c r="BP92" i="14"/>
  <c r="BP23" i="14"/>
  <c r="BP89" i="14"/>
  <c r="DA10" i="14"/>
  <c r="DA12" i="14"/>
  <c r="BP43" i="14"/>
  <c r="DA21" i="14"/>
  <c r="BJ76" i="14"/>
  <c r="DA11" i="14"/>
  <c r="BI61" i="14"/>
  <c r="BM61" i="14" s="1"/>
  <c r="BU61" i="14" s="1"/>
  <c r="BQ74" i="14"/>
  <c r="BH45" i="14"/>
  <c r="BL45" i="14" s="1"/>
  <c r="BT45" i="14" s="1"/>
  <c r="DA20" i="14"/>
  <c r="DA19" i="14"/>
  <c r="BJ29" i="14"/>
  <c r="BI49" i="14"/>
  <c r="BM49" i="14" s="1"/>
  <c r="BU49" i="14" s="1"/>
  <c r="DA17" i="14"/>
  <c r="DA16" i="14"/>
  <c r="BP98" i="14"/>
  <c r="DA15" i="14"/>
  <c r="DA18" i="14"/>
  <c r="DA14" i="14"/>
  <c r="DA13" i="14"/>
  <c r="BJ53" i="14"/>
  <c r="BP79" i="14"/>
  <c r="BH80" i="14"/>
  <c r="BL80" i="14" s="1"/>
  <c r="BT80" i="14" s="1"/>
  <c r="BJ88" i="14"/>
  <c r="BW88" i="14" s="1"/>
  <c r="BH57" i="14"/>
  <c r="BP55" i="14"/>
  <c r="BP41" i="14"/>
  <c r="BI48" i="14"/>
  <c r="BM48" i="14" s="1"/>
  <c r="BU48" i="14" s="1"/>
  <c r="BP107" i="14"/>
  <c r="BP95" i="14"/>
  <c r="BP37" i="14"/>
  <c r="BP25" i="14"/>
  <c r="BH104" i="14"/>
  <c r="BL104" i="14" s="1"/>
  <c r="BT104" i="14" s="1"/>
  <c r="BP99" i="14"/>
  <c r="BH70" i="14"/>
  <c r="BL70" i="14" s="1"/>
  <c r="BT70" i="14" s="1"/>
  <c r="BJ102" i="14"/>
  <c r="BI26" i="14"/>
  <c r="BM26" i="14" s="1"/>
  <c r="BU26" i="14" s="1"/>
  <c r="BP29" i="14"/>
  <c r="BP26" i="14"/>
  <c r="BP62" i="14"/>
  <c r="BH82" i="14"/>
  <c r="BI60" i="14"/>
  <c r="BM60" i="14" s="1"/>
  <c r="BU60" i="14" s="1"/>
  <c r="BP94" i="14"/>
  <c r="BP93" i="14"/>
  <c r="BP82" i="14"/>
  <c r="BQ49" i="14"/>
  <c r="BP68" i="14"/>
  <c r="BM38" i="14"/>
  <c r="BU38" i="14" s="1"/>
  <c r="BH92" i="14"/>
  <c r="BL92" i="14" s="1"/>
  <c r="BT92" i="14" s="1"/>
  <c r="BP83" i="14"/>
  <c r="BJ89" i="14"/>
  <c r="BJ77" i="14"/>
  <c r="BJ54" i="14"/>
  <c r="BJ42" i="14"/>
  <c r="BU109" i="14"/>
  <c r="BI84" i="14"/>
  <c r="BM84" i="14" s="1"/>
  <c r="BU84" i="14" s="1"/>
  <c r="BQ105" i="14"/>
  <c r="BQ87" i="14"/>
  <c r="BP74" i="14"/>
  <c r="BP91" i="14"/>
  <c r="BQ89" i="14"/>
  <c r="BL33" i="14"/>
  <c r="BT33" i="14" s="1"/>
  <c r="BI97" i="14"/>
  <c r="BM97" i="14" s="1"/>
  <c r="BU97" i="14" s="1"/>
  <c r="BJ86" i="14"/>
  <c r="BJ24" i="14"/>
  <c r="BI90" i="14"/>
  <c r="BM90" i="14" s="1"/>
  <c r="BU90" i="14" s="1"/>
  <c r="BH73" i="14"/>
  <c r="BL73" i="14" s="1"/>
  <c r="BT73" i="14" s="1"/>
  <c r="BH71" i="14"/>
  <c r="BL71" i="14" s="1"/>
  <c r="BT71" i="14" s="1"/>
  <c r="BH93" i="14"/>
  <c r="BL93" i="14" s="1"/>
  <c r="BT93" i="14" s="1"/>
  <c r="BP77" i="14"/>
  <c r="BP42" i="14"/>
  <c r="BP31" i="14"/>
  <c r="BQ45" i="14"/>
  <c r="BH58" i="14"/>
  <c r="BL58" i="14" s="1"/>
  <c r="BT58" i="14" s="1"/>
  <c r="BJ90" i="14"/>
  <c r="BJ101" i="14"/>
  <c r="BP85" i="14"/>
  <c r="BQ92" i="14"/>
  <c r="BH34" i="14"/>
  <c r="BL34" i="14" s="1"/>
  <c r="BT34" i="14" s="1"/>
  <c r="BJ66" i="14"/>
  <c r="BQ29" i="14"/>
  <c r="BP75" i="14"/>
  <c r="BP57" i="14"/>
  <c r="BQ95" i="14"/>
  <c r="BP61" i="14"/>
  <c r="BH62" i="14"/>
  <c r="BL62" i="14" s="1"/>
  <c r="BJ21" i="14"/>
  <c r="BJ92" i="14"/>
  <c r="BJ19" i="14"/>
  <c r="BJ82" i="14"/>
  <c r="BI37" i="14"/>
  <c r="BM37" i="14" s="1"/>
  <c r="BU37" i="14" s="1"/>
  <c r="BH69" i="14"/>
  <c r="BL69" i="14" s="1"/>
  <c r="BT69" i="14" s="1"/>
  <c r="BL106" i="14"/>
  <c r="BT106" i="14" s="1"/>
  <c r="BQ78" i="14"/>
  <c r="BH51" i="14"/>
  <c r="BL51" i="14" s="1"/>
  <c r="BT51" i="14" s="1"/>
  <c r="BI108" i="14"/>
  <c r="BM108" i="14" s="1"/>
  <c r="BJ81" i="14"/>
  <c r="BI64" i="14"/>
  <c r="BM64" i="14" s="1"/>
  <c r="BU64" i="14" s="1"/>
  <c r="BQ61" i="14"/>
  <c r="BH29" i="14"/>
  <c r="BL29" i="14" s="1"/>
  <c r="BT29" i="14" s="1"/>
  <c r="BI22" i="14"/>
  <c r="BM22" i="14" s="1"/>
  <c r="BU22" i="14" s="1"/>
  <c r="BI57" i="14"/>
  <c r="BM57" i="14" s="1"/>
  <c r="BU57" i="14" s="1"/>
  <c r="BI25" i="14"/>
  <c r="BM25" i="14" s="1"/>
  <c r="BU25" i="14" s="1"/>
  <c r="BU62" i="14"/>
  <c r="BH31" i="14"/>
  <c r="BL31" i="14" s="1"/>
  <c r="BT31" i="14" s="1"/>
  <c r="BH66" i="14"/>
  <c r="BL66" i="14" s="1"/>
  <c r="BT66" i="14" s="1"/>
  <c r="BH101" i="14"/>
  <c r="BL101" i="14" s="1"/>
  <c r="BT101" i="14" s="1"/>
  <c r="BI92" i="14"/>
  <c r="BM92" i="14" s="1"/>
  <c r="BU92" i="14" s="1"/>
  <c r="BQ30" i="14"/>
  <c r="BJ107" i="14"/>
  <c r="BW107" i="14" s="1"/>
  <c r="BJ46" i="14"/>
  <c r="BI29" i="14"/>
  <c r="BI100" i="14"/>
  <c r="BM100" i="14" s="1"/>
  <c r="BU100" i="14" s="1"/>
  <c r="BI27" i="14"/>
  <c r="BM27" i="14" s="1"/>
  <c r="BU27" i="14" s="1"/>
  <c r="BP33" i="14"/>
  <c r="BJ40" i="14"/>
  <c r="BL94" i="14"/>
  <c r="BT94" i="14" s="1"/>
  <c r="BI68" i="14"/>
  <c r="BM68" i="14" s="1"/>
  <c r="BU68" i="14" s="1"/>
  <c r="BJ93" i="14"/>
  <c r="BW93" i="14" s="1"/>
  <c r="BJ20" i="14"/>
  <c r="BJ91" i="14"/>
  <c r="BP63" i="14"/>
  <c r="BH30" i="14"/>
  <c r="BL30" i="14" s="1"/>
  <c r="BT30" i="14" s="1"/>
  <c r="BH65" i="14"/>
  <c r="BL65" i="14" s="1"/>
  <c r="BT65" i="14" s="1"/>
  <c r="BJ71" i="14"/>
  <c r="BJ10" i="14"/>
  <c r="BP104" i="14"/>
  <c r="BQ25" i="14"/>
  <c r="BJ50" i="14"/>
  <c r="BJ85" i="14"/>
  <c r="BJ59" i="14"/>
  <c r="BW59" i="14" s="1"/>
  <c r="BI54" i="14"/>
  <c r="BM54" i="14" s="1"/>
  <c r="BU54" i="14" s="1"/>
  <c r="BH37" i="14"/>
  <c r="BL37" i="14" s="1"/>
  <c r="BT37" i="14" s="1"/>
  <c r="BH108" i="14"/>
  <c r="BL108" i="14" s="1"/>
  <c r="BT108" i="14" s="1"/>
  <c r="BH35" i="14"/>
  <c r="BL35" i="14" s="1"/>
  <c r="BT35" i="14" s="1"/>
  <c r="BI59" i="14"/>
  <c r="BM59" i="14" s="1"/>
  <c r="BU59" i="14" s="1"/>
  <c r="BI94" i="14"/>
  <c r="BM94" i="14" s="1"/>
  <c r="BU94" i="14" s="1"/>
  <c r="BI32" i="14"/>
  <c r="BM32" i="14" s="1"/>
  <c r="BU32" i="14" s="1"/>
  <c r="BI103" i="14"/>
  <c r="BM103" i="14" s="1"/>
  <c r="BU103" i="14" s="1"/>
  <c r="BH98" i="14"/>
  <c r="BL98" i="14" s="1"/>
  <c r="BT98" i="14" s="1"/>
  <c r="BH25" i="14"/>
  <c r="BL25" i="14" s="1"/>
  <c r="BJ57" i="14"/>
  <c r="BJ55" i="14"/>
  <c r="BQ33" i="14"/>
  <c r="BH46" i="14"/>
  <c r="BL46" i="14" s="1"/>
  <c r="BT46" i="14" s="1"/>
  <c r="BH103" i="14"/>
  <c r="BL103" i="14" s="1"/>
  <c r="BT103" i="14" s="1"/>
  <c r="BH76" i="14"/>
  <c r="BL76" i="14" s="1"/>
  <c r="BT76" i="14" s="1"/>
  <c r="BJ35" i="14"/>
  <c r="BI101" i="14"/>
  <c r="BM101" i="14" s="1"/>
  <c r="BU101" i="14" s="1"/>
  <c r="BI28" i="14"/>
  <c r="BM28" i="14" s="1"/>
  <c r="BU28" i="14" s="1"/>
  <c r="BI99" i="14"/>
  <c r="BM99" i="14" s="1"/>
  <c r="BU99" i="14" s="1"/>
  <c r="BJ28" i="14"/>
  <c r="BP73" i="14"/>
  <c r="BJ49" i="14"/>
  <c r="BJ96" i="14"/>
  <c r="BI79" i="14"/>
  <c r="BM79" i="14" s="1"/>
  <c r="BU79" i="14" s="1"/>
  <c r="BH72" i="14"/>
  <c r="BL72" i="14" s="1"/>
  <c r="BT72" i="14" s="1"/>
  <c r="BH81" i="14"/>
  <c r="BL81" i="14" s="1"/>
  <c r="BT81" i="14" s="1"/>
  <c r="BQ80" i="14"/>
  <c r="BP71" i="14"/>
  <c r="BI58" i="14"/>
  <c r="BM58" i="14" s="1"/>
  <c r="BU58" i="14" s="1"/>
  <c r="BI93" i="14"/>
  <c r="BM93" i="14" s="1"/>
  <c r="BU93" i="14" s="1"/>
  <c r="BH102" i="14"/>
  <c r="BL102" i="14" s="1"/>
  <c r="BT102" i="14" s="1"/>
  <c r="BH40" i="14"/>
  <c r="BL40" i="14" s="1"/>
  <c r="BT40" i="14" s="1"/>
  <c r="BI65" i="14"/>
  <c r="BM65" i="14" s="1"/>
  <c r="BU65" i="14" s="1"/>
  <c r="BI63" i="14"/>
  <c r="BM63" i="14" s="1"/>
  <c r="BU63" i="14" s="1"/>
  <c r="BP54" i="14"/>
  <c r="BJ87" i="14"/>
  <c r="BJ60" i="14"/>
  <c r="BI43" i="14"/>
  <c r="BM43" i="14" s="1"/>
  <c r="BU43" i="14" s="1"/>
  <c r="BJ70" i="14"/>
  <c r="BH109" i="14"/>
  <c r="BL109" i="14" s="1"/>
  <c r="BT109" i="14" s="1"/>
  <c r="BH36" i="14"/>
  <c r="BL36" i="14" s="1"/>
  <c r="BT36" i="14" s="1"/>
  <c r="BH107" i="14"/>
  <c r="BL107" i="14" s="1"/>
  <c r="BT107" i="14" s="1"/>
  <c r="BQ50" i="14"/>
  <c r="BP80" i="14"/>
  <c r="BI104" i="14"/>
  <c r="BM104" i="14" s="1"/>
  <c r="BU104" i="14" s="1"/>
  <c r="BJ48" i="14"/>
  <c r="BH87" i="14"/>
  <c r="BL87" i="14" s="1"/>
  <c r="BT87" i="14" s="1"/>
  <c r="BH26" i="14"/>
  <c r="BL26" i="14" s="1"/>
  <c r="BT26" i="14" s="1"/>
  <c r="BJ56" i="14"/>
  <c r="BP40" i="14"/>
  <c r="BQ73" i="14"/>
  <c r="BP66" i="14"/>
  <c r="BJ64" i="14"/>
  <c r="BP106" i="14"/>
  <c r="BQ54" i="14"/>
  <c r="BU74" i="14"/>
  <c r="BI71" i="14"/>
  <c r="BM71" i="14" s="1"/>
  <c r="BU71" i="14" s="1"/>
  <c r="BJ27" i="14"/>
  <c r="BI70" i="14"/>
  <c r="BM70" i="14" s="1"/>
  <c r="BU70" i="14" s="1"/>
  <c r="BJ26" i="14"/>
  <c r="BI69" i="14"/>
  <c r="BM69" i="14" s="1"/>
  <c r="BU69" i="14" s="1"/>
  <c r="BJ25" i="14"/>
  <c r="BI80" i="14"/>
  <c r="BM80" i="14" s="1"/>
  <c r="BU80" i="14" s="1"/>
  <c r="BJ36" i="14"/>
  <c r="BI91" i="14"/>
  <c r="BM91" i="14" s="1"/>
  <c r="BU91" i="14" s="1"/>
  <c r="BJ47" i="14"/>
  <c r="BI102" i="14"/>
  <c r="BM102" i="14" s="1"/>
  <c r="BU102" i="14" s="1"/>
  <c r="BJ58" i="14"/>
  <c r="BJ69" i="14"/>
  <c r="BJ68" i="14"/>
  <c r="BJ67" i="14"/>
  <c r="BP67" i="14"/>
  <c r="BQ84" i="14"/>
  <c r="BQ40" i="14"/>
  <c r="BH56" i="14"/>
  <c r="BL56" i="14" s="1"/>
  <c r="BT56" i="14" s="1"/>
  <c r="BP81" i="14"/>
  <c r="BP101" i="14"/>
  <c r="BP32" i="14"/>
  <c r="BQ79" i="14"/>
  <c r="BQ23" i="14"/>
  <c r="BU50" i="14"/>
  <c r="BH91" i="14"/>
  <c r="BL91" i="14" s="1"/>
  <c r="BT91" i="14" s="1"/>
  <c r="BI47" i="14"/>
  <c r="BM47" i="14" s="1"/>
  <c r="BU47" i="14" s="1"/>
  <c r="BH90" i="14"/>
  <c r="BL90" i="14" s="1"/>
  <c r="BT90" i="14" s="1"/>
  <c r="BI46" i="14"/>
  <c r="BM46" i="14" s="1"/>
  <c r="BU46" i="14" s="1"/>
  <c r="BH89" i="14"/>
  <c r="BL89" i="14" s="1"/>
  <c r="BT89" i="14" s="1"/>
  <c r="BI45" i="14"/>
  <c r="BM45" i="14" s="1"/>
  <c r="BU45" i="14" s="1"/>
  <c r="BH100" i="14"/>
  <c r="BL100" i="14" s="1"/>
  <c r="BT100" i="14" s="1"/>
  <c r="BI56" i="14"/>
  <c r="BM56" i="14" s="1"/>
  <c r="BU56" i="14" s="1"/>
  <c r="BI67" i="14"/>
  <c r="BM67" i="14" s="1"/>
  <c r="BU67" i="14" s="1"/>
  <c r="BJ23" i="14"/>
  <c r="BI78" i="14"/>
  <c r="BM78" i="14" s="1"/>
  <c r="BU78" i="14" s="1"/>
  <c r="BJ34" i="14"/>
  <c r="BI89" i="14"/>
  <c r="BM89" i="14" s="1"/>
  <c r="BU89" i="14" s="1"/>
  <c r="BJ45" i="14"/>
  <c r="BI88" i="14"/>
  <c r="BM88" i="14" s="1"/>
  <c r="BU88" i="14" s="1"/>
  <c r="BJ44" i="14"/>
  <c r="BI87" i="14"/>
  <c r="BM87" i="14" s="1"/>
  <c r="BU87" i="14" s="1"/>
  <c r="BJ43" i="14"/>
  <c r="BQ72" i="14"/>
  <c r="BP53" i="14"/>
  <c r="BQ109" i="14"/>
  <c r="BQ52" i="14"/>
  <c r="BQ55" i="14"/>
  <c r="BP70" i="14"/>
  <c r="BL82" i="14"/>
  <c r="BT82" i="14" s="1"/>
  <c r="BH79" i="14"/>
  <c r="BL79" i="14" s="1"/>
  <c r="BT79" i="14" s="1"/>
  <c r="BI35" i="14"/>
  <c r="BM35" i="14" s="1"/>
  <c r="BU35" i="14" s="1"/>
  <c r="BH78" i="14"/>
  <c r="BL78" i="14" s="1"/>
  <c r="BT78" i="14" s="1"/>
  <c r="BI34" i="14"/>
  <c r="BM34" i="14" s="1"/>
  <c r="BU34" i="14" s="1"/>
  <c r="BH77" i="14"/>
  <c r="BL77" i="14" s="1"/>
  <c r="BT77" i="14" s="1"/>
  <c r="BI33" i="14"/>
  <c r="BM33" i="14" s="1"/>
  <c r="BU33" i="14" s="1"/>
  <c r="BH88" i="14"/>
  <c r="BL88" i="14" s="1"/>
  <c r="BT88" i="14" s="1"/>
  <c r="BI44" i="14"/>
  <c r="BM44" i="14" s="1"/>
  <c r="BU44" i="14" s="1"/>
  <c r="BH99" i="14"/>
  <c r="BL99" i="14" s="1"/>
  <c r="BT99" i="14" s="1"/>
  <c r="BI55" i="14"/>
  <c r="BM55" i="14" s="1"/>
  <c r="BU55" i="14" s="1"/>
  <c r="BJ11" i="14"/>
  <c r="BI66" i="14"/>
  <c r="BM66" i="14" s="1"/>
  <c r="BU66" i="14" s="1"/>
  <c r="BJ22" i="14"/>
  <c r="BI77" i="14"/>
  <c r="BM77" i="14" s="1"/>
  <c r="BU77" i="14" s="1"/>
  <c r="BJ33" i="14"/>
  <c r="BI76" i="14"/>
  <c r="BM76" i="14" s="1"/>
  <c r="BU76" i="14" s="1"/>
  <c r="BJ32" i="14"/>
  <c r="BI75" i="14"/>
  <c r="BM75" i="14" s="1"/>
  <c r="BU75" i="14" s="1"/>
  <c r="BJ31" i="14"/>
  <c r="BQ70" i="14"/>
  <c r="BI85" i="14"/>
  <c r="BM85" i="14" s="1"/>
  <c r="BU85" i="14" s="1"/>
  <c r="BQ68" i="14"/>
  <c r="BQ62" i="14"/>
  <c r="BH68" i="14"/>
  <c r="BL68" i="14" s="1"/>
  <c r="BT68" i="14" s="1"/>
  <c r="BQ22" i="14"/>
  <c r="BH67" i="14"/>
  <c r="BL67" i="14" s="1"/>
  <c r="BT67" i="14" s="1"/>
  <c r="BI23" i="14"/>
  <c r="BM23" i="14" s="1"/>
  <c r="BU23" i="14" s="1"/>
  <c r="BQ35" i="14"/>
  <c r="BP102" i="14"/>
  <c r="BQ60" i="14"/>
  <c r="BP51" i="14"/>
  <c r="BP39" i="14"/>
  <c r="BQ58" i="14"/>
  <c r="BP103" i="14"/>
  <c r="BQ24" i="14"/>
  <c r="BH44" i="14"/>
  <c r="BL44" i="14" s="1"/>
  <c r="BT44" i="14" s="1"/>
  <c r="BI96" i="14"/>
  <c r="BM96" i="14" s="1"/>
  <c r="BU96" i="14" s="1"/>
  <c r="BH55" i="14"/>
  <c r="BL55" i="14" s="1"/>
  <c r="BT55" i="14" s="1"/>
  <c r="BH54" i="14"/>
  <c r="BL54" i="14" s="1"/>
  <c r="BT54" i="14" s="1"/>
  <c r="BH53" i="14"/>
  <c r="BL53" i="14" s="1"/>
  <c r="BT53" i="14" s="1"/>
  <c r="BJ109" i="14"/>
  <c r="BH64" i="14"/>
  <c r="BL64" i="14" s="1"/>
  <c r="BT64" i="14" s="1"/>
  <c r="BH75" i="14"/>
  <c r="BL75" i="14" s="1"/>
  <c r="BT75" i="14" s="1"/>
  <c r="BI31" i="14"/>
  <c r="BM31" i="14" s="1"/>
  <c r="BU31" i="14" s="1"/>
  <c r="BH86" i="14"/>
  <c r="BL86" i="14" s="1"/>
  <c r="BT86" i="14" s="1"/>
  <c r="BI42" i="14"/>
  <c r="BM42" i="14" s="1"/>
  <c r="BU42" i="14" s="1"/>
  <c r="BH97" i="14"/>
  <c r="BL97" i="14" s="1"/>
  <c r="BT97" i="14" s="1"/>
  <c r="BI53" i="14"/>
  <c r="BM53" i="14" s="1"/>
  <c r="BU53" i="14" s="1"/>
  <c r="BH96" i="14"/>
  <c r="BL96" i="14" s="1"/>
  <c r="BT96" i="14" s="1"/>
  <c r="BI52" i="14"/>
  <c r="BM52" i="14" s="1"/>
  <c r="BU52" i="14" s="1"/>
  <c r="BH95" i="14"/>
  <c r="BL95" i="14" s="1"/>
  <c r="BT95" i="14" s="1"/>
  <c r="BI51" i="14"/>
  <c r="BM51" i="14" s="1"/>
  <c r="BU51" i="14" s="1"/>
  <c r="BP87" i="14"/>
  <c r="BQ36" i="14"/>
  <c r="BP34" i="14"/>
  <c r="BI24" i="14"/>
  <c r="BM24" i="14" s="1"/>
  <c r="BU24" i="14" s="1"/>
  <c r="BH43" i="14"/>
  <c r="BL43" i="14" s="1"/>
  <c r="BT43" i="14" s="1"/>
  <c r="BJ99" i="14"/>
  <c r="BH42" i="14"/>
  <c r="BL42" i="14" s="1"/>
  <c r="BT42" i="14" s="1"/>
  <c r="BJ98" i="14"/>
  <c r="BH41" i="14"/>
  <c r="BL41" i="14" s="1"/>
  <c r="BT41" i="14" s="1"/>
  <c r="BJ97" i="14"/>
  <c r="BH52" i="14"/>
  <c r="BL52" i="14" s="1"/>
  <c r="BT52" i="14" s="1"/>
  <c r="BJ108" i="14"/>
  <c r="BH63" i="14"/>
  <c r="BL63" i="14" s="1"/>
  <c r="BT63" i="14" s="1"/>
  <c r="BH74" i="14"/>
  <c r="BL74" i="14" s="1"/>
  <c r="BT74" i="14" s="1"/>
  <c r="BI30" i="14"/>
  <c r="BM30" i="14" s="1"/>
  <c r="BU30" i="14" s="1"/>
  <c r="BH85" i="14"/>
  <c r="BL85" i="14" s="1"/>
  <c r="BT85" i="14" s="1"/>
  <c r="BI41" i="14"/>
  <c r="BM41" i="14" s="1"/>
  <c r="BU41" i="14" s="1"/>
  <c r="BH84" i="14"/>
  <c r="BL84" i="14" s="1"/>
  <c r="BT84" i="14" s="1"/>
  <c r="BI40" i="14"/>
  <c r="BM40" i="14" s="1"/>
  <c r="BU40" i="14" s="1"/>
  <c r="BH83" i="14"/>
  <c r="BL83" i="14" s="1"/>
  <c r="BT83" i="14" s="1"/>
  <c r="BI39" i="14"/>
  <c r="BM39" i="14" s="1"/>
  <c r="BU39" i="14" s="1"/>
  <c r="BQ106" i="14"/>
  <c r="BP105" i="14"/>
  <c r="BJ52" i="14"/>
  <c r="BT62" i="14"/>
  <c r="BM29" i="14"/>
  <c r="BU29" i="14" s="1"/>
  <c r="BQ27" i="14"/>
  <c r="BQ26" i="14"/>
  <c r="BI72" i="14"/>
  <c r="BM72" i="14" s="1"/>
  <c r="BU72" i="14" s="1"/>
  <c r="BQ107" i="14"/>
  <c r="BQ98" i="14"/>
  <c r="BU98" i="14"/>
  <c r="BP72" i="14"/>
  <c r="BQ102" i="14"/>
  <c r="BH22" i="14"/>
  <c r="BL22" i="14" s="1"/>
  <c r="BT22" i="14" s="1"/>
  <c r="BJ78" i="14"/>
  <c r="BJ75" i="14"/>
  <c r="BJ74" i="14"/>
  <c r="BJ73" i="14"/>
  <c r="BH28" i="14"/>
  <c r="BL28" i="14" s="1"/>
  <c r="BT28" i="14" s="1"/>
  <c r="BJ84" i="14"/>
  <c r="BH39" i="14"/>
  <c r="BL39" i="14" s="1"/>
  <c r="BT39" i="14" s="1"/>
  <c r="BJ95" i="14"/>
  <c r="BH50" i="14"/>
  <c r="BL50" i="14" s="1"/>
  <c r="BT50" i="14" s="1"/>
  <c r="BJ106" i="14"/>
  <c r="BH61" i="14"/>
  <c r="BL61" i="14" s="1"/>
  <c r="BT61" i="14" s="1"/>
  <c r="BH60" i="14"/>
  <c r="BL60" i="14" s="1"/>
  <c r="BT60" i="14" s="1"/>
  <c r="BH59" i="14"/>
  <c r="BL59" i="14" s="1"/>
  <c r="BT59" i="14" s="1"/>
  <c r="BQ100" i="14"/>
  <c r="BH32" i="14"/>
  <c r="BL32" i="14" s="1"/>
  <c r="BT32" i="14" s="1"/>
  <c r="BQ57" i="14"/>
  <c r="BQ90" i="14"/>
  <c r="BI107" i="14"/>
  <c r="BM107" i="14" s="1"/>
  <c r="BU107" i="14" s="1"/>
  <c r="BJ63" i="14"/>
  <c r="BI106" i="14"/>
  <c r="BM106" i="14" s="1"/>
  <c r="BU106" i="14" s="1"/>
  <c r="BJ62" i="14"/>
  <c r="BI105" i="14"/>
  <c r="BM105" i="14" s="1"/>
  <c r="BU105" i="14" s="1"/>
  <c r="BJ61" i="14"/>
  <c r="BJ72" i="14"/>
  <c r="BH27" i="14"/>
  <c r="BL27" i="14" s="1"/>
  <c r="BT27" i="14" s="1"/>
  <c r="BJ83" i="14"/>
  <c r="BH38" i="14"/>
  <c r="BL38" i="14" s="1"/>
  <c r="BT38" i="14" s="1"/>
  <c r="BJ94" i="14"/>
  <c r="BH49" i="14"/>
  <c r="BL49" i="14" s="1"/>
  <c r="BT49" i="14" s="1"/>
  <c r="BJ105" i="14"/>
  <c r="BH48" i="14"/>
  <c r="BL48" i="14" s="1"/>
  <c r="BT48" i="14" s="1"/>
  <c r="BJ104" i="14"/>
  <c r="BH47" i="14"/>
  <c r="BL47" i="14" s="1"/>
  <c r="BT47" i="14" s="1"/>
  <c r="BJ103" i="14"/>
  <c r="BQ53" i="14"/>
  <c r="BP50" i="14"/>
  <c r="BP45" i="14"/>
  <c r="BP97" i="14"/>
  <c r="BP48" i="14"/>
  <c r="BU108" i="14"/>
  <c r="BQ101" i="14"/>
  <c r="BI95" i="14"/>
  <c r="BM95" i="14" s="1"/>
  <c r="BU95" i="14" s="1"/>
  <c r="BJ51" i="14"/>
  <c r="BQ86" i="14"/>
  <c r="BU86" i="14"/>
  <c r="BQ38" i="14"/>
  <c r="BQ104" i="14"/>
  <c r="BM73" i="14"/>
  <c r="BU73" i="14" s="1"/>
  <c r="BQ88" i="14"/>
  <c r="BP64" i="14"/>
  <c r="BN88" i="14"/>
  <c r="BV88" i="14" s="1"/>
  <c r="BJ41" i="14"/>
  <c r="BQ59" i="14"/>
  <c r="BQ99" i="14"/>
  <c r="BP38" i="14"/>
  <c r="BP36" i="14"/>
  <c r="BI36" i="14"/>
  <c r="BM36" i="14" s="1"/>
  <c r="BU36" i="14" s="1"/>
  <c r="BL57" i="14"/>
  <c r="BT57" i="14" s="1"/>
  <c r="BP56" i="14"/>
  <c r="BQ66" i="14"/>
  <c r="BI83" i="14"/>
  <c r="BM83" i="14" s="1"/>
  <c r="BU83" i="14" s="1"/>
  <c r="BJ39" i="14"/>
  <c r="BI82" i="14"/>
  <c r="BM82" i="14" s="1"/>
  <c r="BU82" i="14" s="1"/>
  <c r="BJ38" i="14"/>
  <c r="BI81" i="14"/>
  <c r="BM81" i="14" s="1"/>
  <c r="BU81" i="14" s="1"/>
  <c r="BJ37" i="14"/>
  <c r="BN59" i="14"/>
  <c r="BV59" i="14" s="1"/>
  <c r="BT25" i="14"/>
  <c r="BH24" i="14"/>
  <c r="BL24" i="14" s="1"/>
  <c r="BT24" i="14" s="1"/>
  <c r="BJ80" i="14"/>
  <c r="BH23" i="14"/>
  <c r="BL23" i="14" s="1"/>
  <c r="BT23" i="14" s="1"/>
  <c r="BJ79" i="14"/>
  <c r="V10" i="26"/>
  <c r="V11" i="26"/>
  <c r="V12" i="26"/>
  <c r="V13" i="26"/>
  <c r="V14" i="26"/>
  <c r="V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U10" i="26"/>
  <c r="U11" i="26"/>
  <c r="U12" i="26"/>
  <c r="U13" i="26"/>
  <c r="U14" i="26"/>
  <c r="U15" i="26"/>
  <c r="U16" i="26"/>
  <c r="U17" i="26"/>
  <c r="U18" i="26"/>
  <c r="U19" i="26"/>
  <c r="U20" i="26"/>
  <c r="U21" i="26"/>
  <c r="U22" i="26"/>
  <c r="U23" i="26"/>
  <c r="U24" i="26"/>
  <c r="U25" i="26"/>
  <c r="U26" i="26"/>
  <c r="U27" i="26"/>
  <c r="U28" i="26"/>
  <c r="U29" i="26"/>
  <c r="U30" i="26"/>
  <c r="U31" i="26"/>
  <c r="U32" i="26"/>
  <c r="U33" i="26"/>
  <c r="U34" i="26"/>
  <c r="U35" i="26"/>
  <c r="U36" i="26"/>
  <c r="U37" i="26"/>
  <c r="U38" i="26"/>
  <c r="U39" i="26"/>
  <c r="U40" i="26"/>
  <c r="U41" i="26"/>
  <c r="U42" i="26"/>
  <c r="U43" i="26"/>
  <c r="U44" i="26"/>
  <c r="U45" i="26"/>
  <c r="U46" i="26"/>
  <c r="U47" i="26"/>
  <c r="U48" i="26"/>
  <c r="U49" i="26"/>
  <c r="U50" i="26"/>
  <c r="U51" i="26"/>
  <c r="U52" i="26"/>
  <c r="U53" i="26"/>
  <c r="U54" i="26"/>
  <c r="U55" i="26"/>
  <c r="U56" i="26"/>
  <c r="U57" i="26"/>
  <c r="U58" i="26"/>
  <c r="U59" i="26"/>
  <c r="U60" i="26"/>
  <c r="U61" i="26"/>
  <c r="U62" i="26"/>
  <c r="U63" i="26"/>
  <c r="U64" i="26"/>
  <c r="U65" i="26"/>
  <c r="U66" i="26"/>
  <c r="U67" i="26"/>
  <c r="U68" i="26"/>
  <c r="U69" i="26"/>
  <c r="U70" i="26"/>
  <c r="U71" i="26"/>
  <c r="U72" i="26"/>
  <c r="U73" i="26"/>
  <c r="U74" i="26"/>
  <c r="U75" i="26"/>
  <c r="U76" i="26"/>
  <c r="U77" i="26"/>
  <c r="U78" i="26"/>
  <c r="U79" i="26"/>
  <c r="U80" i="26"/>
  <c r="U81" i="26"/>
  <c r="U82" i="26"/>
  <c r="U83" i="26"/>
  <c r="U84" i="26"/>
  <c r="U85" i="26"/>
  <c r="U86" i="26"/>
  <c r="U87" i="26"/>
  <c r="U88" i="26"/>
  <c r="U89" i="26"/>
  <c r="U90" i="26"/>
  <c r="U91" i="26"/>
  <c r="U92" i="26"/>
  <c r="U93" i="26"/>
  <c r="U94" i="26"/>
  <c r="U95" i="26"/>
  <c r="U96" i="26"/>
  <c r="U97" i="26"/>
  <c r="U98" i="26"/>
  <c r="U99" i="26"/>
  <c r="U100" i="26"/>
  <c r="U101" i="26"/>
  <c r="U102" i="26"/>
  <c r="U103" i="26"/>
  <c r="U104" i="26"/>
  <c r="U105" i="26"/>
  <c r="U106" i="26"/>
  <c r="U107" i="26"/>
  <c r="U108" i="26"/>
  <c r="U109" i="26"/>
  <c r="T10" i="26"/>
  <c r="T11" i="26"/>
  <c r="T12" i="26"/>
  <c r="T13" i="26"/>
  <c r="T14" i="26"/>
  <c r="T15" i="26"/>
  <c r="T16" i="26"/>
  <c r="T17" i="26"/>
  <c r="T18" i="26"/>
  <c r="T19" i="26"/>
  <c r="T20" i="26"/>
  <c r="T21" i="26"/>
  <c r="T22" i="26"/>
  <c r="T23" i="26"/>
  <c r="T24" i="26"/>
  <c r="T25" i="26"/>
  <c r="T26" i="26"/>
  <c r="T27" i="26"/>
  <c r="T28" i="26"/>
  <c r="T29" i="26"/>
  <c r="T30" i="26"/>
  <c r="T31" i="26"/>
  <c r="T32" i="26"/>
  <c r="T33" i="26"/>
  <c r="T34" i="26"/>
  <c r="T35" i="26"/>
  <c r="T36" i="26"/>
  <c r="T37" i="26"/>
  <c r="T38" i="26"/>
  <c r="T39" i="26"/>
  <c r="T40" i="26"/>
  <c r="T41" i="26"/>
  <c r="T42" i="26"/>
  <c r="T43" i="26"/>
  <c r="T44" i="26"/>
  <c r="T45" i="26"/>
  <c r="T46" i="26"/>
  <c r="T47" i="26"/>
  <c r="T48" i="26"/>
  <c r="T49" i="26"/>
  <c r="T50" i="26"/>
  <c r="T51" i="26"/>
  <c r="T52" i="26"/>
  <c r="T53" i="26"/>
  <c r="T54" i="26"/>
  <c r="T55" i="26"/>
  <c r="T56" i="26"/>
  <c r="T57" i="26"/>
  <c r="T58" i="26"/>
  <c r="T59" i="26"/>
  <c r="T60" i="26"/>
  <c r="T61" i="26"/>
  <c r="T62" i="26"/>
  <c r="T63" i="26"/>
  <c r="T64" i="26"/>
  <c r="T65" i="26"/>
  <c r="T66" i="26"/>
  <c r="T67" i="26"/>
  <c r="T68" i="26"/>
  <c r="T69" i="26"/>
  <c r="T70" i="26"/>
  <c r="T71" i="26"/>
  <c r="T72" i="26"/>
  <c r="T73" i="26"/>
  <c r="T74" i="26"/>
  <c r="T75" i="26"/>
  <c r="T76" i="26"/>
  <c r="T77" i="26"/>
  <c r="T78" i="26"/>
  <c r="T79" i="26"/>
  <c r="T80" i="26"/>
  <c r="T81" i="26"/>
  <c r="T82" i="26"/>
  <c r="T83" i="26"/>
  <c r="T84" i="26"/>
  <c r="T85" i="26"/>
  <c r="T86" i="26"/>
  <c r="T87" i="26"/>
  <c r="T88" i="26"/>
  <c r="T89" i="26"/>
  <c r="T90" i="26"/>
  <c r="T91" i="26"/>
  <c r="T92" i="26"/>
  <c r="T93" i="26"/>
  <c r="T94" i="26"/>
  <c r="T95" i="26"/>
  <c r="T96" i="26"/>
  <c r="T97" i="26"/>
  <c r="T98" i="26"/>
  <c r="T99" i="26"/>
  <c r="T100" i="26"/>
  <c r="T101" i="26"/>
  <c r="T102" i="26"/>
  <c r="T103" i="26"/>
  <c r="T104" i="26"/>
  <c r="T105" i="26"/>
  <c r="T106" i="26"/>
  <c r="T107" i="26"/>
  <c r="T108" i="26"/>
  <c r="T109" i="26"/>
  <c r="S10" i="26"/>
  <c r="S11" i="26"/>
  <c r="S12" i="26"/>
  <c r="S13" i="26"/>
  <c r="S14" i="26"/>
  <c r="S15" i="26"/>
  <c r="S16" i="26"/>
  <c r="S17" i="26"/>
  <c r="S18" i="26"/>
  <c r="S19" i="26"/>
  <c r="S20" i="26"/>
  <c r="S21" i="26"/>
  <c r="S22" i="26"/>
  <c r="S23" i="26"/>
  <c r="S24" i="26"/>
  <c r="S25" i="26"/>
  <c r="S26" i="26"/>
  <c r="S27" i="26"/>
  <c r="S28" i="26"/>
  <c r="S29" i="26"/>
  <c r="S30" i="26"/>
  <c r="S31" i="26"/>
  <c r="S32" i="26"/>
  <c r="S33" i="26"/>
  <c r="S34" i="26"/>
  <c r="S35" i="26"/>
  <c r="S36" i="26"/>
  <c r="S37" i="26"/>
  <c r="S38" i="26"/>
  <c r="S39" i="26"/>
  <c r="S40" i="26"/>
  <c r="S41" i="26"/>
  <c r="S42" i="26"/>
  <c r="S43" i="26"/>
  <c r="S44" i="26"/>
  <c r="S45" i="26"/>
  <c r="S46" i="26"/>
  <c r="S47" i="26"/>
  <c r="S48" i="26"/>
  <c r="S49" i="26"/>
  <c r="S50" i="26"/>
  <c r="S51" i="26"/>
  <c r="S52" i="26"/>
  <c r="S53" i="26"/>
  <c r="S54" i="26"/>
  <c r="S55" i="26"/>
  <c r="S56" i="26"/>
  <c r="S57" i="26"/>
  <c r="S58" i="26"/>
  <c r="S59" i="26"/>
  <c r="S60" i="26"/>
  <c r="S61" i="26"/>
  <c r="S62" i="26"/>
  <c r="S63" i="26"/>
  <c r="S64" i="26"/>
  <c r="S65" i="26"/>
  <c r="S66" i="26"/>
  <c r="S67" i="26"/>
  <c r="S68" i="26"/>
  <c r="S69" i="26"/>
  <c r="S70" i="26"/>
  <c r="S71" i="26"/>
  <c r="S72" i="26"/>
  <c r="S73" i="26"/>
  <c r="S74" i="26"/>
  <c r="S75" i="26"/>
  <c r="S76" i="26"/>
  <c r="S77" i="26"/>
  <c r="S78" i="26"/>
  <c r="S79" i="26"/>
  <c r="S80" i="26"/>
  <c r="S81" i="26"/>
  <c r="S82" i="26"/>
  <c r="S83" i="26"/>
  <c r="S84" i="26"/>
  <c r="S85" i="26"/>
  <c r="S86" i="26"/>
  <c r="S87" i="26"/>
  <c r="S88" i="26"/>
  <c r="S89" i="26"/>
  <c r="S90" i="26"/>
  <c r="S91" i="26"/>
  <c r="S92" i="26"/>
  <c r="S93" i="26"/>
  <c r="S94" i="26"/>
  <c r="S95" i="26"/>
  <c r="S96" i="26"/>
  <c r="S97" i="26"/>
  <c r="S98" i="26"/>
  <c r="S99" i="26"/>
  <c r="S100" i="26"/>
  <c r="S101" i="26"/>
  <c r="S102" i="26"/>
  <c r="S103" i="26"/>
  <c r="S104" i="26"/>
  <c r="S105" i="26"/>
  <c r="S106" i="26"/>
  <c r="S107" i="26"/>
  <c r="S108" i="26"/>
  <c r="S109" i="26"/>
  <c r="M10" i="26"/>
  <c r="R10" i="26" s="1"/>
  <c r="M11" i="26"/>
  <c r="R11" i="26" s="1"/>
  <c r="M12" i="26"/>
  <c r="R12" i="26" s="1"/>
  <c r="M13" i="26"/>
  <c r="R13" i="26" s="1"/>
  <c r="M14" i="26"/>
  <c r="R14" i="26" s="1"/>
  <c r="M15" i="26"/>
  <c r="R15" i="26" s="1"/>
  <c r="M16" i="26"/>
  <c r="R16" i="26" s="1"/>
  <c r="M17" i="26"/>
  <c r="R17" i="26" s="1"/>
  <c r="M18" i="26"/>
  <c r="R18" i="26" s="1"/>
  <c r="M19" i="26"/>
  <c r="R19" i="26" s="1"/>
  <c r="M20" i="26"/>
  <c r="R20" i="26" s="1"/>
  <c r="M21" i="26"/>
  <c r="R21" i="26" s="1"/>
  <c r="M22" i="26"/>
  <c r="R22" i="26" s="1"/>
  <c r="M23" i="26"/>
  <c r="R23" i="26" s="1"/>
  <c r="M24" i="26"/>
  <c r="R24" i="26" s="1"/>
  <c r="M25" i="26"/>
  <c r="R25" i="26" s="1"/>
  <c r="M26" i="26"/>
  <c r="R26" i="26" s="1"/>
  <c r="M27" i="26"/>
  <c r="R27" i="26" s="1"/>
  <c r="M28" i="26"/>
  <c r="R28" i="26" s="1"/>
  <c r="M29" i="26"/>
  <c r="R29" i="26" s="1"/>
  <c r="M30" i="26"/>
  <c r="R30" i="26" s="1"/>
  <c r="M31" i="26"/>
  <c r="R31" i="26" s="1"/>
  <c r="M32" i="26"/>
  <c r="R32" i="26" s="1"/>
  <c r="M33" i="26"/>
  <c r="R33" i="26" s="1"/>
  <c r="M34" i="26"/>
  <c r="R34" i="26" s="1"/>
  <c r="M35" i="26"/>
  <c r="R35" i="26" s="1"/>
  <c r="M36" i="26"/>
  <c r="R36" i="26" s="1"/>
  <c r="M37" i="26"/>
  <c r="R37" i="26" s="1"/>
  <c r="M38" i="26"/>
  <c r="R38" i="26" s="1"/>
  <c r="M39" i="26"/>
  <c r="R39" i="26" s="1"/>
  <c r="M40" i="26"/>
  <c r="R40" i="26" s="1"/>
  <c r="M41" i="26"/>
  <c r="R41" i="26" s="1"/>
  <c r="M42" i="26"/>
  <c r="R42" i="26" s="1"/>
  <c r="M43" i="26"/>
  <c r="R43" i="26" s="1"/>
  <c r="M44" i="26"/>
  <c r="R44" i="26" s="1"/>
  <c r="M45" i="26"/>
  <c r="R45" i="26" s="1"/>
  <c r="M46" i="26"/>
  <c r="R46" i="26" s="1"/>
  <c r="M47" i="26"/>
  <c r="R47" i="26" s="1"/>
  <c r="M48" i="26"/>
  <c r="R48" i="26" s="1"/>
  <c r="M49" i="26"/>
  <c r="R49" i="26" s="1"/>
  <c r="M50" i="26"/>
  <c r="R50" i="26" s="1"/>
  <c r="M51" i="26"/>
  <c r="R51" i="26" s="1"/>
  <c r="M52" i="26"/>
  <c r="R52" i="26" s="1"/>
  <c r="M53" i="26"/>
  <c r="R53" i="26" s="1"/>
  <c r="M54" i="26"/>
  <c r="R54" i="26" s="1"/>
  <c r="M55" i="26"/>
  <c r="R55" i="26" s="1"/>
  <c r="M56" i="26"/>
  <c r="R56" i="26" s="1"/>
  <c r="M57" i="26"/>
  <c r="R57" i="26" s="1"/>
  <c r="M58" i="26"/>
  <c r="R58" i="26" s="1"/>
  <c r="M59" i="26"/>
  <c r="R59" i="26" s="1"/>
  <c r="M60" i="26"/>
  <c r="R60" i="26" s="1"/>
  <c r="M61" i="26"/>
  <c r="R61" i="26" s="1"/>
  <c r="M62" i="26"/>
  <c r="R62" i="26" s="1"/>
  <c r="M63" i="26"/>
  <c r="R63" i="26" s="1"/>
  <c r="M64" i="26"/>
  <c r="R64" i="26" s="1"/>
  <c r="M65" i="26"/>
  <c r="R65" i="26" s="1"/>
  <c r="M66" i="26"/>
  <c r="R66" i="26" s="1"/>
  <c r="M67" i="26"/>
  <c r="R67" i="26" s="1"/>
  <c r="M68" i="26"/>
  <c r="R68" i="26" s="1"/>
  <c r="M69" i="26"/>
  <c r="R69" i="26" s="1"/>
  <c r="M70" i="26"/>
  <c r="R70" i="26" s="1"/>
  <c r="M71" i="26"/>
  <c r="R71" i="26" s="1"/>
  <c r="M72" i="26"/>
  <c r="R72" i="26" s="1"/>
  <c r="M73" i="26"/>
  <c r="R73" i="26" s="1"/>
  <c r="M74" i="26"/>
  <c r="R74" i="26" s="1"/>
  <c r="M75" i="26"/>
  <c r="R75" i="26" s="1"/>
  <c r="M76" i="26"/>
  <c r="R76" i="26" s="1"/>
  <c r="M77" i="26"/>
  <c r="R77" i="26" s="1"/>
  <c r="M78" i="26"/>
  <c r="R78" i="26" s="1"/>
  <c r="M79" i="26"/>
  <c r="R79" i="26" s="1"/>
  <c r="M80" i="26"/>
  <c r="R80" i="26" s="1"/>
  <c r="M81" i="26"/>
  <c r="R81" i="26" s="1"/>
  <c r="M82" i="26"/>
  <c r="R82" i="26" s="1"/>
  <c r="M83" i="26"/>
  <c r="R83" i="26" s="1"/>
  <c r="M84" i="26"/>
  <c r="R84" i="26" s="1"/>
  <c r="M85" i="26"/>
  <c r="R85" i="26" s="1"/>
  <c r="M86" i="26"/>
  <c r="R86" i="26" s="1"/>
  <c r="M87" i="26"/>
  <c r="R87" i="26" s="1"/>
  <c r="M88" i="26"/>
  <c r="R88" i="26" s="1"/>
  <c r="M89" i="26"/>
  <c r="R89" i="26" s="1"/>
  <c r="M90" i="26"/>
  <c r="R90" i="26" s="1"/>
  <c r="M91" i="26"/>
  <c r="R91" i="26" s="1"/>
  <c r="M92" i="26"/>
  <c r="R92" i="26" s="1"/>
  <c r="M93" i="26"/>
  <c r="R93" i="26" s="1"/>
  <c r="M94" i="26"/>
  <c r="R94" i="26" s="1"/>
  <c r="M95" i="26"/>
  <c r="R95" i="26" s="1"/>
  <c r="M96" i="26"/>
  <c r="R96" i="26" s="1"/>
  <c r="M97" i="26"/>
  <c r="R97" i="26" s="1"/>
  <c r="M98" i="26"/>
  <c r="R98" i="26" s="1"/>
  <c r="M99" i="26"/>
  <c r="R99" i="26" s="1"/>
  <c r="M100" i="26"/>
  <c r="R100" i="26" s="1"/>
  <c r="M101" i="26"/>
  <c r="R101" i="26" s="1"/>
  <c r="M102" i="26"/>
  <c r="R102" i="26" s="1"/>
  <c r="M103" i="26"/>
  <c r="R103" i="26" s="1"/>
  <c r="M104" i="26"/>
  <c r="R104" i="26" s="1"/>
  <c r="M105" i="26"/>
  <c r="R105" i="26" s="1"/>
  <c r="M106" i="26"/>
  <c r="R106" i="26" s="1"/>
  <c r="M107" i="26"/>
  <c r="R107" i="26" s="1"/>
  <c r="M108" i="26"/>
  <c r="R108" i="26" s="1"/>
  <c r="M109" i="26"/>
  <c r="R109" i="26" s="1"/>
  <c r="H10" i="26"/>
  <c r="H11" i="26"/>
  <c r="H12" i="26"/>
  <c r="H13" i="26"/>
  <c r="H14" i="26"/>
  <c r="H15" i="26"/>
  <c r="H16" i="26"/>
  <c r="H17" i="26"/>
  <c r="H18" i="26"/>
  <c r="H19" i="26"/>
  <c r="H20" i="26"/>
  <c r="H21" i="26"/>
  <c r="H22" i="26"/>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2"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99" i="26"/>
  <c r="H100" i="26"/>
  <c r="H101" i="26"/>
  <c r="H102" i="26"/>
  <c r="H103" i="26"/>
  <c r="H104" i="26"/>
  <c r="H105" i="26"/>
  <c r="H106" i="26"/>
  <c r="H107" i="26"/>
  <c r="H108" i="26"/>
  <c r="H109" i="26"/>
  <c r="C10" i="26"/>
  <c r="C11" i="26"/>
  <c r="C12" i="26"/>
  <c r="C13" i="26"/>
  <c r="C14" i="26"/>
  <c r="C15" i="26"/>
  <c r="C16" i="26"/>
  <c r="C17" i="2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O17" i="16"/>
  <c r="O16" i="16"/>
  <c r="O15" i="16"/>
  <c r="O14" i="16"/>
  <c r="O13" i="16"/>
  <c r="O12" i="1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97" i="26"/>
  <c r="B98" i="26"/>
  <c r="B99" i="26"/>
  <c r="B100" i="26"/>
  <c r="B101" i="26"/>
  <c r="B102" i="26"/>
  <c r="B103" i="26"/>
  <c r="B104" i="26"/>
  <c r="B105" i="26"/>
  <c r="B106" i="26"/>
  <c r="B107" i="26"/>
  <c r="B108" i="26"/>
  <c r="B109" i="26"/>
  <c r="BN107" i="14" l="1"/>
  <c r="BV107" i="14" s="1"/>
  <c r="BN93" i="14"/>
  <c r="BV93" i="14" s="1"/>
  <c r="BN74" i="14"/>
  <c r="BV74" i="14" s="1"/>
  <c r="BW74" i="14"/>
  <c r="BN75" i="14"/>
  <c r="BV75" i="14" s="1"/>
  <c r="BW75" i="14"/>
  <c r="BN37" i="14"/>
  <c r="BV37" i="14" s="1"/>
  <c r="BW37" i="14"/>
  <c r="BN73" i="14"/>
  <c r="BV73" i="14" s="1"/>
  <c r="BW73" i="14"/>
  <c r="BN52" i="14"/>
  <c r="BV52" i="14" s="1"/>
  <c r="BW52" i="14"/>
  <c r="BN98" i="14"/>
  <c r="BV98" i="14" s="1"/>
  <c r="BW98" i="14"/>
  <c r="BN22" i="14"/>
  <c r="BV22" i="14" s="1"/>
  <c r="BW22" i="14"/>
  <c r="BN67" i="14"/>
  <c r="BV67" i="14" s="1"/>
  <c r="BW67" i="14"/>
  <c r="BN70" i="14"/>
  <c r="BV70" i="14" s="1"/>
  <c r="BW70" i="14"/>
  <c r="BN96" i="14"/>
  <c r="BV96" i="14" s="1"/>
  <c r="BW96" i="14"/>
  <c r="BN101" i="14"/>
  <c r="BV101" i="14" s="1"/>
  <c r="BW101" i="14"/>
  <c r="BN29" i="14"/>
  <c r="BV29" i="14" s="1"/>
  <c r="BW29" i="14"/>
  <c r="BN100" i="14"/>
  <c r="BV100" i="14" s="1"/>
  <c r="BW100" i="14"/>
  <c r="BN78" i="14"/>
  <c r="BV78" i="14" s="1"/>
  <c r="BW78" i="14"/>
  <c r="BN109" i="14"/>
  <c r="BV109" i="14" s="1"/>
  <c r="BW109" i="14"/>
  <c r="BN58" i="14"/>
  <c r="BV58" i="14" s="1"/>
  <c r="BW58" i="14"/>
  <c r="BN87" i="14"/>
  <c r="BV87" i="14" s="1"/>
  <c r="BW87" i="14"/>
  <c r="BN28" i="14"/>
  <c r="BV28" i="14" s="1"/>
  <c r="BW28" i="14"/>
  <c r="BN91" i="14"/>
  <c r="BV91" i="14" s="1"/>
  <c r="BW91" i="14"/>
  <c r="BN103" i="14"/>
  <c r="BV103" i="14" s="1"/>
  <c r="BW103" i="14"/>
  <c r="BN64" i="14"/>
  <c r="BV64" i="14" s="1"/>
  <c r="BW64" i="14"/>
  <c r="BN104" i="14"/>
  <c r="BV104" i="14" s="1"/>
  <c r="BW104" i="14"/>
  <c r="BN43" i="14"/>
  <c r="BV43" i="14" s="1"/>
  <c r="BW43" i="14"/>
  <c r="BN92" i="14"/>
  <c r="BV92" i="14" s="1"/>
  <c r="BW92" i="14"/>
  <c r="BN68" i="14"/>
  <c r="BV68" i="14" s="1"/>
  <c r="BW68" i="14"/>
  <c r="BN47" i="14"/>
  <c r="BV47" i="14" s="1"/>
  <c r="BW47" i="14"/>
  <c r="BN39" i="14"/>
  <c r="BV39" i="14" s="1"/>
  <c r="BW39" i="14"/>
  <c r="BN105" i="14"/>
  <c r="BV105" i="14" s="1"/>
  <c r="BW105" i="14"/>
  <c r="BN44" i="14"/>
  <c r="BV44" i="14" s="1"/>
  <c r="BW44" i="14"/>
  <c r="BN56" i="14"/>
  <c r="BV56" i="14" s="1"/>
  <c r="BW56" i="14"/>
  <c r="BN42" i="14"/>
  <c r="BV42" i="14" s="1"/>
  <c r="BW42" i="14"/>
  <c r="BN30" i="14"/>
  <c r="BV30" i="14" s="1"/>
  <c r="BW30" i="14"/>
  <c r="BN63" i="14"/>
  <c r="BV63" i="14" s="1"/>
  <c r="BW63" i="14"/>
  <c r="BN60" i="14"/>
  <c r="BV60" i="14" s="1"/>
  <c r="BW60" i="14"/>
  <c r="BN36" i="14"/>
  <c r="BV36" i="14" s="1"/>
  <c r="BW36" i="14"/>
  <c r="BN35" i="14"/>
  <c r="BV35" i="14" s="1"/>
  <c r="BW35" i="14"/>
  <c r="BN54" i="14"/>
  <c r="BV54" i="14" s="1"/>
  <c r="BW54" i="14"/>
  <c r="BN53" i="14"/>
  <c r="BV53" i="14" s="1"/>
  <c r="BW53" i="14"/>
  <c r="BN76" i="14"/>
  <c r="BV76" i="14" s="1"/>
  <c r="BW76" i="14"/>
  <c r="BN94" i="14"/>
  <c r="BV94" i="14" s="1"/>
  <c r="BW94" i="14"/>
  <c r="BN45" i="14"/>
  <c r="BV45" i="14" s="1"/>
  <c r="BW45" i="14"/>
  <c r="BN40" i="14"/>
  <c r="BV40" i="14" s="1"/>
  <c r="BW40" i="14"/>
  <c r="BN77" i="14"/>
  <c r="BV77" i="14" s="1"/>
  <c r="BW77" i="14"/>
  <c r="BN102" i="14"/>
  <c r="BV102" i="14" s="1"/>
  <c r="BW102" i="14"/>
  <c r="BN79" i="14"/>
  <c r="BV79" i="14" s="1"/>
  <c r="BW79" i="14"/>
  <c r="BN51" i="14"/>
  <c r="BV51" i="14" s="1"/>
  <c r="BW51" i="14"/>
  <c r="BN25" i="14"/>
  <c r="BV25" i="14" s="1"/>
  <c r="BW25" i="14"/>
  <c r="BN48" i="14"/>
  <c r="BV48" i="14" s="1"/>
  <c r="BW48" i="14"/>
  <c r="BN85" i="14"/>
  <c r="BV85" i="14" s="1"/>
  <c r="BW85" i="14"/>
  <c r="BN89" i="14"/>
  <c r="BV89" i="14" s="1"/>
  <c r="BW89" i="14"/>
  <c r="BN83" i="14"/>
  <c r="BV83" i="14" s="1"/>
  <c r="BW83" i="14"/>
  <c r="BN106" i="14"/>
  <c r="BV106" i="14" s="1"/>
  <c r="BW106" i="14"/>
  <c r="BN31" i="14"/>
  <c r="BV31" i="14" s="1"/>
  <c r="BW31" i="14"/>
  <c r="BN34" i="14"/>
  <c r="BV34" i="14" s="1"/>
  <c r="BW34" i="14"/>
  <c r="BN50" i="14"/>
  <c r="BV50" i="14" s="1"/>
  <c r="BW50" i="14"/>
  <c r="BN90" i="14"/>
  <c r="BV90" i="14" s="1"/>
  <c r="BW90" i="14"/>
  <c r="BN80" i="14"/>
  <c r="BV80" i="14" s="1"/>
  <c r="BW80" i="14"/>
  <c r="BN26" i="14"/>
  <c r="BV26" i="14" s="1"/>
  <c r="BW26" i="14"/>
  <c r="BN81" i="14"/>
  <c r="BV81" i="14" s="1"/>
  <c r="BW81" i="14"/>
  <c r="BN24" i="14"/>
  <c r="BV24" i="14" s="1"/>
  <c r="BW24" i="14"/>
  <c r="BN99" i="14"/>
  <c r="BV99" i="14" s="1"/>
  <c r="BW99" i="14"/>
  <c r="BN72" i="14"/>
  <c r="BV72" i="14" s="1"/>
  <c r="BW72" i="14"/>
  <c r="BN95" i="14"/>
  <c r="BV95" i="14" s="1"/>
  <c r="BW95" i="14"/>
  <c r="BN108" i="14"/>
  <c r="BV108" i="14" s="1"/>
  <c r="BW108" i="14"/>
  <c r="BN32" i="14"/>
  <c r="BV32" i="14" s="1"/>
  <c r="BW32" i="14"/>
  <c r="BN23" i="14"/>
  <c r="BV23" i="14" s="1"/>
  <c r="BW23" i="14"/>
  <c r="BN55" i="14"/>
  <c r="BV55" i="14" s="1"/>
  <c r="BW55" i="14"/>
  <c r="BN66" i="14"/>
  <c r="BV66" i="14" s="1"/>
  <c r="BW66" i="14"/>
  <c r="BN86" i="14"/>
  <c r="BV86" i="14" s="1"/>
  <c r="BW86" i="14"/>
  <c r="BN38" i="14"/>
  <c r="BV38" i="14" s="1"/>
  <c r="BW38" i="14"/>
  <c r="BN69" i="14"/>
  <c r="BV69" i="14" s="1"/>
  <c r="BW69" i="14"/>
  <c r="BN41" i="14"/>
  <c r="BV41" i="14" s="1"/>
  <c r="BW41" i="14"/>
  <c r="BN61" i="14"/>
  <c r="BV61" i="14" s="1"/>
  <c r="BW61" i="14"/>
  <c r="BN27" i="14"/>
  <c r="BV27" i="14" s="1"/>
  <c r="BW27" i="14"/>
  <c r="BN57" i="14"/>
  <c r="BV57" i="14" s="1"/>
  <c r="BW57" i="14"/>
  <c r="BN46" i="14"/>
  <c r="BV46" i="14" s="1"/>
  <c r="BW46" i="14"/>
  <c r="BN65" i="14"/>
  <c r="BV65" i="14" s="1"/>
  <c r="BW65" i="14"/>
  <c r="BN49" i="14"/>
  <c r="BV49" i="14" s="1"/>
  <c r="BW49" i="14"/>
  <c r="BN82" i="14"/>
  <c r="BV82" i="14" s="1"/>
  <c r="BW82" i="14"/>
  <c r="BN84" i="14"/>
  <c r="BV84" i="14" s="1"/>
  <c r="BW84" i="14"/>
  <c r="BN97" i="14"/>
  <c r="BV97" i="14" s="1"/>
  <c r="BW97" i="14"/>
  <c r="BN33" i="14"/>
  <c r="BV33" i="14" s="1"/>
  <c r="BW33" i="14"/>
  <c r="BN62" i="14"/>
  <c r="BV62" i="14" s="1"/>
  <c r="BW62" i="14"/>
  <c r="BN71" i="14"/>
  <c r="BV71" i="14" s="1"/>
  <c r="BW71" i="14"/>
  <c r="BN11" i="14"/>
  <c r="BV11" i="14" s="1"/>
  <c r="BW11" i="14"/>
  <c r="BN19" i="14"/>
  <c r="BV19" i="14" s="1"/>
  <c r="BW19" i="14"/>
  <c r="BN20" i="14"/>
  <c r="BV20" i="14" s="1"/>
  <c r="BW20" i="14"/>
  <c r="BN21" i="14"/>
  <c r="BV21" i="14" s="1"/>
  <c r="BW21" i="14"/>
  <c r="BW10" i="14"/>
  <c r="BN10" i="14"/>
  <c r="BV10" i="14" s="1"/>
  <c r="BN18" i="14"/>
  <c r="BV18" i="14" s="1"/>
  <c r="BW18" i="14"/>
  <c r="B110" i="26" a="1"/>
  <c r="B110" i="26" s="1"/>
  <c r="M12" i="16" l="1"/>
  <c r="AM11" i="14"/>
  <c r="AM12" i="14"/>
  <c r="AM14" i="14"/>
  <c r="AQ14" i="14" s="1"/>
  <c r="AY14" i="14" s="1"/>
  <c r="AM15" i="14"/>
  <c r="AQ15" i="14" s="1"/>
  <c r="AY15" i="14" s="1"/>
  <c r="AM17" i="14"/>
  <c r="AQ17" i="14" s="1"/>
  <c r="AY17" i="14" s="1"/>
  <c r="AM18" i="14"/>
  <c r="AM20" i="14"/>
  <c r="AM21" i="14"/>
  <c r="AM23" i="14"/>
  <c r="AM24" i="14"/>
  <c r="AM26" i="14"/>
  <c r="AM27" i="14"/>
  <c r="AM29" i="14"/>
  <c r="AM30" i="14"/>
  <c r="AM32" i="14"/>
  <c r="AM33" i="14"/>
  <c r="AM35" i="14"/>
  <c r="AM36" i="14"/>
  <c r="AM38" i="14"/>
  <c r="AM39" i="14"/>
  <c r="AM40" i="14"/>
  <c r="AM41" i="14"/>
  <c r="AM42" i="14"/>
  <c r="AM43" i="14"/>
  <c r="AM44" i="14"/>
  <c r="AM45" i="14"/>
  <c r="AM46" i="14"/>
  <c r="AM47" i="14"/>
  <c r="AM48" i="14"/>
  <c r="AM49" i="14"/>
  <c r="AM51" i="14"/>
  <c r="AM52" i="14"/>
  <c r="AM54" i="14"/>
  <c r="AM55" i="14"/>
  <c r="AM57" i="14"/>
  <c r="AM58" i="14"/>
  <c r="AM60" i="14"/>
  <c r="AM61" i="14"/>
  <c r="AM63" i="14"/>
  <c r="AM64" i="14"/>
  <c r="AM66" i="14"/>
  <c r="AM67" i="14"/>
  <c r="AM69" i="14"/>
  <c r="AM70" i="14"/>
  <c r="AM72" i="14"/>
  <c r="AM73" i="14"/>
  <c r="AM75" i="14"/>
  <c r="AM76" i="14"/>
  <c r="AM78" i="14"/>
  <c r="AM79" i="14"/>
  <c r="AM80" i="14"/>
  <c r="AM81" i="14"/>
  <c r="AM82" i="14"/>
  <c r="AM83" i="14"/>
  <c r="AM84" i="14"/>
  <c r="AM85" i="14"/>
  <c r="AM86" i="14"/>
  <c r="AM87" i="14"/>
  <c r="AM88" i="14"/>
  <c r="AM89" i="14"/>
  <c r="AM90" i="14"/>
  <c r="AM91" i="14"/>
  <c r="AM92" i="14"/>
  <c r="AM93" i="14"/>
  <c r="AM94" i="14"/>
  <c r="AM95" i="14"/>
  <c r="AM96" i="14"/>
  <c r="AM97" i="14"/>
  <c r="AM98" i="14"/>
  <c r="AM99" i="14"/>
  <c r="AM100" i="14"/>
  <c r="AM101" i="14"/>
  <c r="AM102" i="14"/>
  <c r="AM103" i="14"/>
  <c r="AM104" i="14"/>
  <c r="AM105" i="14"/>
  <c r="AM106" i="14"/>
  <c r="AM107" i="14"/>
  <c r="AM108" i="14"/>
  <c r="AM109" i="14"/>
  <c r="CX21" i="14" l="1"/>
  <c r="CX33" i="14"/>
  <c r="CX45" i="14"/>
  <c r="CX57" i="14"/>
  <c r="CX69" i="14"/>
  <c r="CX81" i="14"/>
  <c r="CX93" i="14"/>
  <c r="CX105" i="14"/>
  <c r="CX90" i="14"/>
  <c r="CX19" i="14"/>
  <c r="CX80" i="14"/>
  <c r="CX10" i="14"/>
  <c r="CX22" i="14"/>
  <c r="CX34" i="14"/>
  <c r="CX46" i="14"/>
  <c r="CX58" i="14"/>
  <c r="CX70" i="14"/>
  <c r="CX82" i="14"/>
  <c r="CX94" i="14"/>
  <c r="CX106" i="14"/>
  <c r="CX54" i="14"/>
  <c r="CX31" i="14"/>
  <c r="CX20" i="14"/>
  <c r="CX11" i="14"/>
  <c r="CX23" i="14"/>
  <c r="CX35" i="14"/>
  <c r="CX47" i="14"/>
  <c r="CX59" i="14"/>
  <c r="CX71" i="14"/>
  <c r="CX83" i="14"/>
  <c r="CX95" i="14"/>
  <c r="CX107" i="14"/>
  <c r="CX78" i="14"/>
  <c r="CX67" i="14"/>
  <c r="CX44" i="14"/>
  <c r="CX12" i="14"/>
  <c r="CX24" i="14"/>
  <c r="CX36" i="14"/>
  <c r="CX48" i="14"/>
  <c r="CX60" i="14"/>
  <c r="CX72" i="14"/>
  <c r="CX84" i="14"/>
  <c r="CX96" i="14"/>
  <c r="CX108" i="14"/>
  <c r="CX13" i="14"/>
  <c r="CX25" i="14"/>
  <c r="CX37" i="14"/>
  <c r="CX49" i="14"/>
  <c r="CX61" i="14"/>
  <c r="CX73" i="14"/>
  <c r="CX85" i="14"/>
  <c r="CX97" i="14"/>
  <c r="CX109" i="14"/>
  <c r="CX42" i="14"/>
  <c r="CX55" i="14"/>
  <c r="CX32" i="14"/>
  <c r="CX14" i="14"/>
  <c r="CX26" i="14"/>
  <c r="CX38" i="14"/>
  <c r="CX50" i="14"/>
  <c r="CX62" i="14"/>
  <c r="CX74" i="14"/>
  <c r="CX86" i="14"/>
  <c r="CX98" i="14"/>
  <c r="CX102" i="14"/>
  <c r="CX103" i="14"/>
  <c r="CX104" i="14"/>
  <c r="CX15" i="14"/>
  <c r="CX27" i="14"/>
  <c r="CX39" i="14"/>
  <c r="CX51" i="14"/>
  <c r="CX63" i="14"/>
  <c r="CX75" i="14"/>
  <c r="CX87" i="14"/>
  <c r="CX99" i="14"/>
  <c r="CX30" i="14"/>
  <c r="CX79" i="14"/>
  <c r="CX68" i="14"/>
  <c r="CX16" i="14"/>
  <c r="CX28" i="14"/>
  <c r="CX40" i="14"/>
  <c r="CX52" i="14"/>
  <c r="CX64" i="14"/>
  <c r="CX76" i="14"/>
  <c r="CX88" i="14"/>
  <c r="CX100" i="14"/>
  <c r="CX66" i="14"/>
  <c r="CX91" i="14"/>
  <c r="CX92" i="14"/>
  <c r="CX17" i="14"/>
  <c r="CX29" i="14"/>
  <c r="CX41" i="14"/>
  <c r="CX53" i="14"/>
  <c r="CX65" i="14"/>
  <c r="CX77" i="14"/>
  <c r="CX89" i="14"/>
  <c r="CX101" i="14"/>
  <c r="CX18" i="14"/>
  <c r="CX43" i="14"/>
  <c r="CX56" i="14"/>
  <c r="BC15" i="14"/>
  <c r="BC18" i="14"/>
  <c r="BC14" i="14"/>
  <c r="BC17" i="14"/>
  <c r="BC21" i="14"/>
  <c r="BC20" i="14"/>
  <c r="AQ12" i="14"/>
  <c r="AY12" i="14" s="1"/>
  <c r="BC11" i="14"/>
  <c r="P12" i="16" a="1"/>
  <c r="P12" i="16" s="1"/>
  <c r="CY40" i="14" l="1" a="1"/>
  <c r="CY40" i="14" s="1"/>
  <c r="CZ40" i="14" s="1"/>
  <c r="CY77" i="14" a="1"/>
  <c r="CY77" i="14" s="1"/>
  <c r="CZ77" i="14" s="1"/>
  <c r="CY86" i="14" a="1"/>
  <c r="CY86" i="14" s="1"/>
  <c r="CZ86" i="14" s="1"/>
  <c r="CY37" i="14" a="1"/>
  <c r="CY37" i="14" s="1"/>
  <c r="CZ37" i="14" s="1"/>
  <c r="CY95" i="14" a="1"/>
  <c r="CY95" i="14" s="1"/>
  <c r="CZ95" i="14" s="1"/>
  <c r="CY46" i="14" a="1"/>
  <c r="CY46" i="14" s="1"/>
  <c r="CZ46" i="14" s="1"/>
  <c r="CY65" i="14" a="1"/>
  <c r="CY65" i="14" s="1"/>
  <c r="CZ65" i="14" s="1"/>
  <c r="CY41" i="14" a="1"/>
  <c r="CY41" i="14" s="1"/>
  <c r="CZ41" i="14" s="1"/>
  <c r="CY30" i="14" a="1"/>
  <c r="CY30" i="14" s="1"/>
  <c r="CZ30" i="14" s="1"/>
  <c r="CY50" i="14" a="1"/>
  <c r="CY50" i="14" s="1"/>
  <c r="CZ50" i="14" s="1"/>
  <c r="CY108" i="14" a="1"/>
  <c r="CY108" i="14" s="1"/>
  <c r="CZ108" i="14" s="1"/>
  <c r="CY59" i="14" a="1"/>
  <c r="CY59" i="14" s="1"/>
  <c r="CZ59" i="14" s="1"/>
  <c r="CY25" i="14" a="1"/>
  <c r="CY25" i="14" s="1"/>
  <c r="CZ25" i="14" s="1"/>
  <c r="CY29" i="14" a="1"/>
  <c r="CY29" i="14" s="1"/>
  <c r="CZ29" i="14" s="1"/>
  <c r="CY99" i="14" a="1"/>
  <c r="CY99" i="14" s="1"/>
  <c r="CZ99" i="14" s="1"/>
  <c r="CY38" i="14" a="1"/>
  <c r="CY38" i="14" s="1"/>
  <c r="CZ38" i="14" s="1"/>
  <c r="CY96" i="14" a="1"/>
  <c r="CY96" i="14" s="1"/>
  <c r="CZ96" i="14" s="1"/>
  <c r="CY47" i="14" a="1"/>
  <c r="CY47" i="14" s="1"/>
  <c r="CZ47" i="14" s="1"/>
  <c r="CY80" i="14" a="1"/>
  <c r="CY80" i="14" s="1"/>
  <c r="CZ80" i="14" s="1"/>
  <c r="CY34" i="14" a="1"/>
  <c r="CY34" i="14" s="1"/>
  <c r="CZ34" i="14" s="1"/>
  <c r="CY87" i="14" a="1"/>
  <c r="CY87" i="14" s="1"/>
  <c r="CZ87" i="14" s="1"/>
  <c r="CY26" i="14" a="1"/>
  <c r="CY26" i="14" s="1"/>
  <c r="CZ26" i="14" s="1"/>
  <c r="CY84" i="14" a="1"/>
  <c r="CY84" i="14" s="1"/>
  <c r="CZ84" i="14" s="1"/>
  <c r="CY35" i="14" a="1"/>
  <c r="CY35" i="14" s="1"/>
  <c r="CZ35" i="14" s="1"/>
  <c r="CY53" i="14" a="1"/>
  <c r="CY53" i="14" s="1"/>
  <c r="CZ53" i="14" s="1"/>
  <c r="CY75" i="14" a="1"/>
  <c r="CY75" i="14" s="1"/>
  <c r="CZ75" i="14" s="1"/>
  <c r="CY72" i="14" a="1"/>
  <c r="CY72" i="14" s="1"/>
  <c r="CZ72" i="14" s="1"/>
  <c r="CY23" i="14" a="1"/>
  <c r="CY23" i="14" s="1"/>
  <c r="CZ23" i="14" s="1"/>
  <c r="CY90" i="14" a="1"/>
  <c r="CY90" i="14" s="1"/>
  <c r="CZ90" i="14" s="1"/>
  <c r="CY74" i="14" a="1"/>
  <c r="CY74" i="14" s="1"/>
  <c r="CZ74" i="14" s="1"/>
  <c r="CY22" i="14" a="1"/>
  <c r="CY22" i="14" s="1"/>
  <c r="CZ22" i="14" s="1"/>
  <c r="CY91" i="14" a="1"/>
  <c r="CY91" i="14" s="1"/>
  <c r="CZ91" i="14" s="1"/>
  <c r="CY63" i="14" a="1"/>
  <c r="CY63" i="14" s="1"/>
  <c r="CZ63" i="14" s="1"/>
  <c r="CY32" i="14" a="1"/>
  <c r="CY32" i="14" s="1"/>
  <c r="CZ32" i="14" s="1"/>
  <c r="CY60" i="14" a="1"/>
  <c r="CY60" i="14" s="1"/>
  <c r="CZ60" i="14" s="1"/>
  <c r="CY105" i="14" a="1"/>
  <c r="CY105" i="14" s="1"/>
  <c r="CZ105" i="14" s="1"/>
  <c r="CY71" i="14" a="1"/>
  <c r="CY71" i="14" s="1"/>
  <c r="CZ71" i="14" s="1"/>
  <c r="CY92" i="14" a="1"/>
  <c r="CY92" i="14" s="1"/>
  <c r="CZ92" i="14" s="1"/>
  <c r="CY66" i="14" a="1"/>
  <c r="CY66" i="14" s="1"/>
  <c r="CZ66" i="14" s="1"/>
  <c r="CY51" i="14" a="1"/>
  <c r="CY51" i="14" s="1"/>
  <c r="CZ51" i="14" s="1"/>
  <c r="CY55" i="14" a="1"/>
  <c r="CY55" i="14" s="1"/>
  <c r="CZ55" i="14" s="1"/>
  <c r="CY48" i="14" a="1"/>
  <c r="CY48" i="14" s="1"/>
  <c r="CZ48" i="14" s="1"/>
  <c r="CY93" i="14" a="1"/>
  <c r="CY93" i="14" s="1"/>
  <c r="CZ93" i="14" s="1"/>
  <c r="CY83" i="14" a="1"/>
  <c r="CY83" i="14" s="1"/>
  <c r="CZ83" i="14" s="1"/>
  <c r="CY81" i="14" a="1"/>
  <c r="CY81" i="14" s="1"/>
  <c r="CZ81" i="14" s="1"/>
  <c r="CY39" i="14" a="1"/>
  <c r="CY39" i="14" s="1"/>
  <c r="CZ39" i="14" s="1"/>
  <c r="CY31" i="14" a="1"/>
  <c r="CY31" i="14" s="1"/>
  <c r="CZ31" i="14" s="1"/>
  <c r="CY88" i="14" a="1"/>
  <c r="CY88" i="14" s="1"/>
  <c r="CZ88" i="14" s="1"/>
  <c r="CY27" i="14" a="1"/>
  <c r="CY27" i="14" s="1"/>
  <c r="CZ27" i="14" s="1"/>
  <c r="CY109" i="14" a="1"/>
  <c r="CY109" i="14" s="1"/>
  <c r="CZ109" i="14" s="1"/>
  <c r="CY24" i="14" a="1"/>
  <c r="CY24" i="14" s="1"/>
  <c r="CZ24" i="14" s="1"/>
  <c r="CY54" i="14" a="1"/>
  <c r="CY54" i="14" s="1"/>
  <c r="CZ54" i="14" s="1"/>
  <c r="CY69" i="14" a="1"/>
  <c r="CY69" i="14" s="1"/>
  <c r="CZ69" i="14" s="1"/>
  <c r="CY79" i="14" a="1"/>
  <c r="CY79" i="14" s="1"/>
  <c r="CZ79" i="14" s="1"/>
  <c r="CY42" i="14" a="1"/>
  <c r="CY42" i="14" s="1"/>
  <c r="CZ42" i="14" s="1"/>
  <c r="CY56" i="14" a="1"/>
  <c r="CY56" i="14" s="1"/>
  <c r="CZ56" i="14" s="1"/>
  <c r="CY76" i="14" a="1"/>
  <c r="CY76" i="14" s="1"/>
  <c r="CZ76" i="14" s="1"/>
  <c r="CY97" i="14" a="1"/>
  <c r="CY97" i="14" s="1"/>
  <c r="CZ97" i="14" s="1"/>
  <c r="CY106" i="14" a="1"/>
  <c r="CY106" i="14" s="1"/>
  <c r="CZ106" i="14" s="1"/>
  <c r="CY57" i="14" a="1"/>
  <c r="CY57" i="14" s="1"/>
  <c r="CZ57" i="14" s="1"/>
  <c r="CY62" i="14" a="1"/>
  <c r="CY62" i="14" s="1"/>
  <c r="CZ62" i="14" s="1"/>
  <c r="CY100" i="14" a="1"/>
  <c r="CY100" i="14" s="1"/>
  <c r="CZ100" i="14" s="1"/>
  <c r="CY43" i="14" a="1"/>
  <c r="CY43" i="14" s="1"/>
  <c r="CZ43" i="14" s="1"/>
  <c r="CY64" i="14" a="1"/>
  <c r="CY64" i="14" s="1"/>
  <c r="CZ64" i="14" s="1"/>
  <c r="CY104" i="14" a="1"/>
  <c r="CY104" i="14" s="1"/>
  <c r="CZ104" i="14" s="1"/>
  <c r="CY85" i="14" a="1"/>
  <c r="CY85" i="14" s="1"/>
  <c r="CZ85" i="14" s="1"/>
  <c r="CY44" i="14" a="1"/>
  <c r="CY44" i="14" s="1"/>
  <c r="CZ44" i="14" s="1"/>
  <c r="CY94" i="14" a="1"/>
  <c r="CY94" i="14" s="1"/>
  <c r="CZ94" i="14" s="1"/>
  <c r="CY45" i="14" a="1"/>
  <c r="CY45" i="14" s="1"/>
  <c r="CZ45" i="14" s="1"/>
  <c r="CY68" i="14" a="1"/>
  <c r="CY68" i="14" s="1"/>
  <c r="CZ68" i="14" s="1"/>
  <c r="CY36" i="14" a="1"/>
  <c r="CY36" i="14" s="1"/>
  <c r="CZ36" i="14" s="1"/>
  <c r="CY52" i="14" a="1"/>
  <c r="CY52" i="14" s="1"/>
  <c r="CZ52" i="14" s="1"/>
  <c r="CY103" i="14" a="1"/>
  <c r="CY103" i="14" s="1"/>
  <c r="CZ103" i="14" s="1"/>
  <c r="CY73" i="14" a="1"/>
  <c r="CY73" i="14" s="1"/>
  <c r="CZ73" i="14" s="1"/>
  <c r="CY67" i="14" a="1"/>
  <c r="CY67" i="14" s="1"/>
  <c r="CZ67" i="14" s="1"/>
  <c r="CY82" i="14" a="1"/>
  <c r="CY82" i="14" s="1"/>
  <c r="CZ82" i="14" s="1"/>
  <c r="CY33" i="14" a="1"/>
  <c r="CY33" i="14" s="1"/>
  <c r="CZ33" i="14" s="1"/>
  <c r="CY101" i="14" a="1"/>
  <c r="CY101" i="14" s="1"/>
  <c r="CZ101" i="14" s="1"/>
  <c r="CY61" i="14" a="1"/>
  <c r="CY61" i="14" s="1"/>
  <c r="CZ61" i="14" s="1"/>
  <c r="CY102" i="14" a="1"/>
  <c r="CY102" i="14" s="1"/>
  <c r="CZ102" i="14" s="1"/>
  <c r="CY78" i="14" a="1"/>
  <c r="CY78" i="14" s="1"/>
  <c r="CZ78" i="14" s="1"/>
  <c r="CY70" i="14" a="1"/>
  <c r="CY70" i="14" s="1"/>
  <c r="CZ70" i="14" s="1"/>
  <c r="CY89" i="14" a="1"/>
  <c r="CY89" i="14" s="1"/>
  <c r="CZ89" i="14" s="1"/>
  <c r="CY28" i="14" a="1"/>
  <c r="CY28" i="14" s="1"/>
  <c r="CZ28" i="14" s="1"/>
  <c r="CY98" i="14" a="1"/>
  <c r="CY98" i="14" s="1"/>
  <c r="CZ98" i="14" s="1"/>
  <c r="CY49" i="14" a="1"/>
  <c r="CY49" i="14" s="1"/>
  <c r="CZ49" i="14" s="1"/>
  <c r="CY107" i="14" a="1"/>
  <c r="CY107" i="14" s="1"/>
  <c r="CZ107" i="14" s="1"/>
  <c r="CY58" i="14" a="1"/>
  <c r="CY58" i="14" s="1"/>
  <c r="CZ58" i="14" s="1"/>
  <c r="CY16" i="14" a="1"/>
  <c r="CY16" i="14" s="1"/>
  <c r="CZ16" i="14" s="1"/>
  <c r="CY13" i="14" a="1"/>
  <c r="CY13" i="14" s="1"/>
  <c r="CZ13" i="14" s="1"/>
  <c r="CY10" i="14" a="1"/>
  <c r="CY10" i="14" s="1"/>
  <c r="CZ10" i="14" s="1"/>
  <c r="CY17" i="14" a="1"/>
  <c r="CY17" i="14" s="1"/>
  <c r="CZ17" i="14" s="1"/>
  <c r="CY19" i="14" a="1"/>
  <c r="CY19" i="14" s="1"/>
  <c r="CZ19" i="14" s="1"/>
  <c r="CY14" i="14" a="1"/>
  <c r="CY14" i="14" s="1"/>
  <c r="CZ14" i="14" s="1"/>
  <c r="CY11" i="14" a="1"/>
  <c r="CY11" i="14" s="1"/>
  <c r="CZ11" i="14" s="1"/>
  <c r="CY20" i="14" a="1"/>
  <c r="CY20" i="14" s="1"/>
  <c r="CZ20" i="14" s="1"/>
  <c r="CY15" i="14" a="1"/>
  <c r="CY15" i="14" s="1"/>
  <c r="CZ15" i="14" s="1"/>
  <c r="CY12" i="14" a="1"/>
  <c r="CY12" i="14" s="1"/>
  <c r="CZ12" i="14" s="1"/>
  <c r="CY18" i="14" a="1"/>
  <c r="CY18" i="14" s="1"/>
  <c r="CZ18" i="14" s="1"/>
  <c r="CY21" i="14" a="1"/>
  <c r="CY21" i="14" s="1"/>
  <c r="CZ21" i="14" s="1"/>
  <c r="BC12" i="14"/>
  <c r="G19" i="17"/>
  <c r="C8" i="17" s="1"/>
  <c r="F19" i="17"/>
  <c r="E19" i="17"/>
  <c r="D19" i="17"/>
  <c r="G16" i="17"/>
  <c r="F16" i="17"/>
  <c r="E16" i="17"/>
  <c r="D16" i="17"/>
  <c r="E3" i="14" l="1"/>
  <c r="E23" i="27" a="1"/>
  <c r="E23" i="27" l="1"/>
  <c r="CH17" i="14"/>
  <c r="CH16" i="14"/>
  <c r="CH15" i="14"/>
  <c r="CH14" i="14"/>
  <c r="CH13" i="14"/>
  <c r="CH12" i="14"/>
  <c r="C2" i="18" a="1"/>
  <c r="C2" i="18" s="1"/>
  <c r="B110" i="14" l="1"/>
  <c r="G26" i="16"/>
  <c r="H26" i="16"/>
  <c r="I26" i="16"/>
  <c r="G27" i="16"/>
  <c r="H27" i="16"/>
  <c r="I27" i="16"/>
  <c r="AK42" i="14" l="1"/>
  <c r="AJ42" i="14"/>
  <c r="AJ30" i="14"/>
  <c r="AK30" i="14"/>
  <c r="AK36" i="14"/>
  <c r="AJ36" i="14"/>
  <c r="AJ31" i="14"/>
  <c r="AJ22" i="14"/>
  <c r="AK35" i="14"/>
  <c r="AJ35" i="14"/>
  <c r="AJ21" i="14"/>
  <c r="AV21" i="14" s="1"/>
  <c r="AZ21" i="14" s="1"/>
  <c r="AK21" i="14"/>
  <c r="AJ32" i="14"/>
  <c r="AK32" i="14"/>
  <c r="AJ23" i="14"/>
  <c r="AK23" i="14"/>
  <c r="AJ24" i="14"/>
  <c r="AK24" i="14"/>
  <c r="AJ33" i="14"/>
  <c r="AK33" i="14"/>
  <c r="AJ20" i="14"/>
  <c r="AV20" i="14" s="1"/>
  <c r="AZ20" i="14" s="1"/>
  <c r="AK20" i="14"/>
  <c r="AK26" i="14"/>
  <c r="AJ26" i="14"/>
  <c r="AK38" i="14"/>
  <c r="AJ38" i="14"/>
  <c r="AJ25" i="14"/>
  <c r="AJ28" i="14"/>
  <c r="AK27" i="14"/>
  <c r="AJ27" i="14"/>
  <c r="AK39" i="14"/>
  <c r="AJ39" i="14"/>
  <c r="AJ34" i="14"/>
  <c r="AJ19" i="14"/>
  <c r="AV19" i="14" s="1"/>
  <c r="AZ19" i="14" s="1"/>
  <c r="AJ37" i="14"/>
  <c r="AK41" i="14"/>
  <c r="AJ41" i="14"/>
  <c r="AJ40" i="14"/>
  <c r="AK40" i="14"/>
  <c r="AO38" i="14" l="1"/>
  <c r="AO21" i="14"/>
  <c r="AW21" i="14" s="1"/>
  <c r="BA21" i="14" s="1"/>
  <c r="AO40" i="14"/>
  <c r="AO32" i="14"/>
  <c r="AO20" i="14"/>
  <c r="AW20" i="14" s="1"/>
  <c r="BA20" i="14" s="1"/>
  <c r="AO36" i="14"/>
  <c r="AO27" i="14"/>
  <c r="AO41" i="14"/>
  <c r="AO30" i="14"/>
  <c r="AO23" i="14"/>
  <c r="AO35" i="14"/>
  <c r="AO33" i="14"/>
  <c r="AO39" i="14"/>
  <c r="AO24" i="14"/>
  <c r="AO26" i="14"/>
  <c r="AO42" i="14"/>
  <c r="D47" i="12"/>
  <c r="E90" i="12"/>
  <c r="D53" i="12"/>
  <c r="D79" i="12" l="1"/>
  <c r="D78" i="12"/>
  <c r="AM19" i="14"/>
  <c r="AM34" i="14"/>
  <c r="AM28" i="14"/>
  <c r="AM22" i="14"/>
  <c r="BC22" i="14" s="1"/>
  <c r="AM31" i="14"/>
  <c r="AM25" i="14"/>
  <c r="AM37" i="14"/>
  <c r="I13" i="16"/>
  <c r="I14" i="16"/>
  <c r="I15" i="16"/>
  <c r="I16" i="16"/>
  <c r="I17" i="16"/>
  <c r="I18" i="16"/>
  <c r="I19" i="16"/>
  <c r="I20" i="16"/>
  <c r="I21" i="16"/>
  <c r="I22" i="16"/>
  <c r="I23" i="16"/>
  <c r="I24" i="16"/>
  <c r="I25" i="16"/>
  <c r="I28" i="16"/>
  <c r="I29" i="16"/>
  <c r="I30" i="16"/>
  <c r="I31" i="16"/>
  <c r="I32" i="16"/>
  <c r="I33" i="16"/>
  <c r="I34" i="16"/>
  <c r="I35" i="16"/>
  <c r="I36" i="16"/>
  <c r="I37" i="16"/>
  <c r="H13" i="16"/>
  <c r="H14" i="16"/>
  <c r="H15" i="16"/>
  <c r="H16" i="16"/>
  <c r="H17" i="16"/>
  <c r="H18" i="16"/>
  <c r="H19" i="16"/>
  <c r="H20" i="16"/>
  <c r="H21" i="16"/>
  <c r="H22" i="16"/>
  <c r="H23" i="16"/>
  <c r="H24" i="16"/>
  <c r="H25" i="16"/>
  <c r="H28" i="16"/>
  <c r="H29" i="16"/>
  <c r="H30" i="16"/>
  <c r="H31" i="16"/>
  <c r="H32" i="16"/>
  <c r="H33" i="16"/>
  <c r="H34" i="16"/>
  <c r="H35" i="16"/>
  <c r="H36" i="16"/>
  <c r="H37" i="16"/>
  <c r="G13" i="16"/>
  <c r="G14" i="16"/>
  <c r="G15" i="16"/>
  <c r="G16" i="16"/>
  <c r="G17" i="16"/>
  <c r="G18" i="16"/>
  <c r="G19" i="16"/>
  <c r="G20" i="16"/>
  <c r="G21" i="16"/>
  <c r="G22" i="16"/>
  <c r="G23" i="16"/>
  <c r="G24" i="16"/>
  <c r="G25" i="16"/>
  <c r="G28" i="16"/>
  <c r="G29" i="16"/>
  <c r="G30" i="16"/>
  <c r="G31" i="16"/>
  <c r="G32" i="16"/>
  <c r="G33" i="16"/>
  <c r="G34" i="16"/>
  <c r="G35" i="16"/>
  <c r="G36" i="16"/>
  <c r="G37" i="16"/>
  <c r="C7" i="17"/>
  <c r="C5" i="17"/>
  <c r="C6" i="17"/>
  <c r="F14" i="15"/>
  <c r="F6" i="15"/>
  <c r="AA15" i="14" l="1"/>
  <c r="AB14" i="14"/>
  <c r="AB15" i="14"/>
  <c r="AB16" i="14"/>
  <c r="AA16" i="14"/>
  <c r="AA17" i="14"/>
  <c r="AA18" i="14"/>
  <c r="AA21" i="14"/>
  <c r="AB17" i="14"/>
  <c r="AC15" i="14"/>
  <c r="AB11" i="14"/>
  <c r="AA19" i="14"/>
  <c r="AB18" i="14"/>
  <c r="AB19" i="14"/>
  <c r="AB10" i="14"/>
  <c r="AB13" i="14"/>
  <c r="AB20" i="14"/>
  <c r="AB21" i="14"/>
  <c r="AB12" i="14"/>
  <c r="AC16" i="14"/>
  <c r="AA20" i="14"/>
  <c r="AC12" i="14"/>
  <c r="AC13" i="14"/>
  <c r="AC14" i="14"/>
  <c r="AC17" i="14"/>
  <c r="AA13" i="14"/>
  <c r="AA10" i="14"/>
  <c r="AA11" i="14"/>
  <c r="AA12" i="14"/>
  <c r="AA14" i="14"/>
  <c r="X15" i="14"/>
  <c r="Z16" i="14"/>
  <c r="X16" i="14"/>
  <c r="X12" i="14"/>
  <c r="Y14" i="14"/>
  <c r="Y15" i="14"/>
  <c r="Y16" i="14"/>
  <c r="X17" i="14"/>
  <c r="X18" i="14"/>
  <c r="X19" i="14"/>
  <c r="Y17" i="14"/>
  <c r="Y18" i="14"/>
  <c r="X10" i="14"/>
  <c r="Y19" i="14"/>
  <c r="Y10" i="14"/>
  <c r="Y13" i="14"/>
  <c r="X21" i="14"/>
  <c r="Y20" i="14"/>
  <c r="Y21" i="14"/>
  <c r="Z15" i="14"/>
  <c r="Y12" i="14"/>
  <c r="Z12" i="14"/>
  <c r="Z13" i="14"/>
  <c r="Z14" i="14"/>
  <c r="Z17" i="14"/>
  <c r="X20" i="14"/>
  <c r="Y11" i="14"/>
  <c r="X11" i="14"/>
  <c r="X13" i="14"/>
  <c r="X14" i="14"/>
  <c r="U14" i="14"/>
  <c r="U15" i="14"/>
  <c r="U20" i="14"/>
  <c r="U16" i="14"/>
  <c r="U10" i="14"/>
  <c r="V13" i="14"/>
  <c r="W17" i="14"/>
  <c r="V15" i="14"/>
  <c r="V16" i="14"/>
  <c r="V17" i="14"/>
  <c r="U17" i="14"/>
  <c r="U18" i="14"/>
  <c r="U19" i="14"/>
  <c r="V18" i="14"/>
  <c r="V19" i="14"/>
  <c r="V12" i="14"/>
  <c r="V20" i="14"/>
  <c r="V10" i="14"/>
  <c r="V11" i="14"/>
  <c r="V14" i="14"/>
  <c r="V21" i="14"/>
  <c r="U21" i="14"/>
  <c r="W12" i="14"/>
  <c r="W14" i="14"/>
  <c r="W15" i="14"/>
  <c r="U11" i="14"/>
  <c r="U12" i="14"/>
  <c r="U13" i="14"/>
  <c r="W16" i="14"/>
  <c r="W13" i="14"/>
  <c r="BC19" i="14"/>
  <c r="AK37" i="14"/>
  <c r="AK19" i="14"/>
  <c r="AK25" i="14"/>
  <c r="AK34" i="14"/>
  <c r="AK31" i="14"/>
  <c r="AK22" i="14"/>
  <c r="AK28" i="14"/>
  <c r="C139" i="11"/>
  <c r="B155" i="11" a="1"/>
  <c r="B155" i="11" s="1"/>
  <c r="E6" i="14"/>
  <c r="Y39" i="15"/>
  <c r="Y38" i="15"/>
  <c r="F13" i="15" s="1"/>
  <c r="Y37" i="15"/>
  <c r="Y36" i="15"/>
  <c r="R25" i="15"/>
  <c r="R24" i="15"/>
  <c r="R23" i="15"/>
  <c r="R22" i="15"/>
  <c r="R21" i="15"/>
  <c r="R20" i="15"/>
  <c r="R26" i="15" s="1"/>
  <c r="F15" i="15" s="1"/>
  <c r="F17" i="15"/>
  <c r="F9" i="15"/>
  <c r="BK13" i="14" l="1"/>
  <c r="BO13" i="14" s="1"/>
  <c r="BK16" i="14"/>
  <c r="BO16" i="14" s="1"/>
  <c r="BK15" i="14"/>
  <c r="BO15" i="14" s="1"/>
  <c r="BK14" i="14"/>
  <c r="BO14" i="14" s="1"/>
  <c r="BK12" i="14"/>
  <c r="BO12" i="14" s="1"/>
  <c r="CA12" i="14" a="1"/>
  <c r="CA12" i="14" s="1"/>
  <c r="CI12" i="14" s="1"/>
  <c r="BK17" i="14"/>
  <c r="BO17" i="14" s="1"/>
  <c r="CA15" i="14" a="1"/>
  <c r="CA15" i="14" s="1"/>
  <c r="CI15" i="14" s="1"/>
  <c r="BP11" i="14"/>
  <c r="BH11" i="14"/>
  <c r="BL11" i="14" s="1"/>
  <c r="BT11" i="14" s="1"/>
  <c r="CB11" i="14" s="1"/>
  <c r="BJ14" i="14"/>
  <c r="BH18" i="14"/>
  <c r="BL18" i="14" s="1"/>
  <c r="BT18" i="14" s="1"/>
  <c r="CB18" i="14" s="1"/>
  <c r="BP18" i="14"/>
  <c r="BP17" i="14"/>
  <c r="BH17" i="14"/>
  <c r="BL17" i="14" s="1"/>
  <c r="BT17" i="14" s="1"/>
  <c r="CB17" i="14" s="1"/>
  <c r="BH21" i="14"/>
  <c r="BL21" i="14" s="1"/>
  <c r="BT21" i="14" s="1"/>
  <c r="CB21" i="14" s="1"/>
  <c r="CJ21" i="14" s="1"/>
  <c r="BP21" i="14"/>
  <c r="BX21" i="14" s="1" a="1"/>
  <c r="BX21" i="14" s="1"/>
  <c r="CF21" i="14" s="1"/>
  <c r="BI21" i="14"/>
  <c r="BM21" i="14" s="1"/>
  <c r="BU21" i="14" s="1"/>
  <c r="BQ21" i="14"/>
  <c r="BY21" i="14" s="1" a="1"/>
  <c r="BY21" i="14" s="1"/>
  <c r="CG21" i="14" s="1"/>
  <c r="BI16" i="14"/>
  <c r="BM16" i="14" s="1"/>
  <c r="BU16" i="14" s="1"/>
  <c r="BQ16" i="14"/>
  <c r="CA14" i="14" a="1"/>
  <c r="CA14" i="14" s="1"/>
  <c r="CI14" i="14" s="1"/>
  <c r="BQ15" i="14"/>
  <c r="BI15" i="14"/>
  <c r="BM15" i="14" s="1"/>
  <c r="BU15" i="14" s="1"/>
  <c r="BI11" i="14"/>
  <c r="BM11" i="14" s="1"/>
  <c r="BU11" i="14" s="1"/>
  <c r="BQ11" i="14"/>
  <c r="BJ17" i="14"/>
  <c r="BJ13" i="14"/>
  <c r="BI10" i="14"/>
  <c r="BM10" i="14" s="1"/>
  <c r="BU10" i="14" s="1"/>
  <c r="BQ10" i="14"/>
  <c r="BI13" i="14"/>
  <c r="BM13" i="14" s="1"/>
  <c r="BU13" i="14" s="1"/>
  <c r="BQ13" i="14"/>
  <c r="BI14" i="14"/>
  <c r="BM14" i="14" s="1"/>
  <c r="BU14" i="14" s="1"/>
  <c r="BQ14" i="14"/>
  <c r="BJ16" i="14"/>
  <c r="BI20" i="14"/>
  <c r="BM20" i="14" s="1"/>
  <c r="BU20" i="14" s="1"/>
  <c r="BQ20" i="14"/>
  <c r="BY20" i="14" s="1" a="1"/>
  <c r="BY20" i="14" s="1"/>
  <c r="CG20" i="14" s="1"/>
  <c r="BH10" i="14"/>
  <c r="BL10" i="14" s="1"/>
  <c r="BT10" i="14" s="1"/>
  <c r="CB10" i="14" s="1"/>
  <c r="BP10" i="14"/>
  <c r="BJ12" i="14"/>
  <c r="BI17" i="14"/>
  <c r="BM17" i="14" s="1"/>
  <c r="BU17" i="14" s="1"/>
  <c r="BQ17" i="14"/>
  <c r="BH13" i="14"/>
  <c r="BL13" i="14" s="1"/>
  <c r="BT13" i="14" s="1"/>
  <c r="BP13" i="14"/>
  <c r="BI12" i="14"/>
  <c r="BM12" i="14" s="1"/>
  <c r="BU12" i="14" s="1"/>
  <c r="BQ12" i="14"/>
  <c r="BH16" i="14"/>
  <c r="BL16" i="14" s="1"/>
  <c r="BT16" i="14" s="1"/>
  <c r="CB16" i="14" s="1"/>
  <c r="BP16" i="14"/>
  <c r="BH12" i="14"/>
  <c r="BL12" i="14" s="1"/>
  <c r="BT12" i="14" s="1"/>
  <c r="CB12" i="14" s="1"/>
  <c r="BP12" i="14"/>
  <c r="BQ19" i="14"/>
  <c r="BI19" i="14"/>
  <c r="BM19" i="14" s="1"/>
  <c r="BU19" i="14" s="1"/>
  <c r="BH20" i="14"/>
  <c r="BL20" i="14" s="1"/>
  <c r="BT20" i="14" s="1"/>
  <c r="BP20" i="14"/>
  <c r="BX20" i="14" s="1" a="1"/>
  <c r="BX20" i="14" s="1"/>
  <c r="CF20" i="14" s="1"/>
  <c r="BI18" i="14"/>
  <c r="BM18" i="14" s="1"/>
  <c r="BU18" i="14" s="1"/>
  <c r="BQ18" i="14"/>
  <c r="BP15" i="14"/>
  <c r="BH15" i="14"/>
  <c r="BL15" i="14" s="1"/>
  <c r="BT15" i="14" s="1"/>
  <c r="BJ15" i="14"/>
  <c r="BH19" i="14"/>
  <c r="BL19" i="14" s="1"/>
  <c r="BT19" i="14" s="1"/>
  <c r="CB19" i="14" s="1"/>
  <c r="CJ19" i="14" s="1"/>
  <c r="BP19" i="14"/>
  <c r="BX19" i="14" s="1" a="1"/>
  <c r="BX19" i="14" s="1"/>
  <c r="CF19" i="14" s="1"/>
  <c r="BH14" i="14"/>
  <c r="BL14" i="14" s="1"/>
  <c r="BT14" i="14" s="1"/>
  <c r="CB14" i="14" s="1"/>
  <c r="BP14" i="14"/>
  <c r="CA88" i="14" a="1"/>
  <c r="CA88" i="14" s="1"/>
  <c r="CA22" i="14" a="1"/>
  <c r="CA22" i="14" s="1"/>
  <c r="CA101" i="14" a="1"/>
  <c r="CA101" i="14" s="1"/>
  <c r="CA94" i="14" a="1"/>
  <c r="CA94" i="14" s="1"/>
  <c r="CA58" i="14" a="1"/>
  <c r="CA58" i="14" s="1"/>
  <c r="CA105" i="14" a="1"/>
  <c r="CA105" i="14" s="1"/>
  <c r="CA83" i="14" a="1"/>
  <c r="CA83" i="14" s="1"/>
  <c r="CA99" i="14" a="1"/>
  <c r="CA99" i="14" s="1"/>
  <c r="CA72" i="14" a="1"/>
  <c r="CA72" i="14" s="1"/>
  <c r="CA85" i="14" a="1"/>
  <c r="CA85" i="14" s="1"/>
  <c r="CA78" i="14" a="1"/>
  <c r="CA78" i="14" s="1"/>
  <c r="CA42" i="14" a="1"/>
  <c r="CA42" i="14" s="1"/>
  <c r="CA107" i="14" a="1"/>
  <c r="CA107" i="14" s="1"/>
  <c r="CA56" i="14" a="1"/>
  <c r="CA56" i="14" s="1"/>
  <c r="CA69" i="14" a="1"/>
  <c r="CA69" i="14" s="1"/>
  <c r="CA62" i="14" a="1"/>
  <c r="CA62" i="14" s="1"/>
  <c r="CA26" i="14" a="1"/>
  <c r="CA26" i="14" s="1"/>
  <c r="CA91" i="14" a="1"/>
  <c r="CA91" i="14" s="1"/>
  <c r="CA89" i="14" a="1"/>
  <c r="CA89" i="14" s="1"/>
  <c r="CA57" i="14" a="1"/>
  <c r="CA57" i="14" s="1"/>
  <c r="CA67" i="14" a="1"/>
  <c r="CA67" i="14" s="1"/>
  <c r="CA66" i="14" a="1"/>
  <c r="CA66" i="14" s="1"/>
  <c r="CA40" i="14" a="1"/>
  <c r="CA40" i="14" s="1"/>
  <c r="CA53" i="14" a="1"/>
  <c r="CA53" i="14" s="1"/>
  <c r="CA46" i="14" a="1"/>
  <c r="CA46" i="14" s="1"/>
  <c r="CA75" i="14" a="1"/>
  <c r="CA75" i="14" s="1"/>
  <c r="CA96" i="14" a="1"/>
  <c r="CA96" i="14" s="1"/>
  <c r="CA73" i="14" a="1"/>
  <c r="CA73" i="14" s="1"/>
  <c r="CA24" i="14" a="1"/>
  <c r="CA24" i="14" s="1"/>
  <c r="CA37" i="14" a="1"/>
  <c r="CA37" i="14" s="1"/>
  <c r="CA18" i="14" a="1"/>
  <c r="CA18" i="14" s="1"/>
  <c r="CA30" i="14" a="1"/>
  <c r="CA30" i="14" s="1"/>
  <c r="CA59" i="14" a="1"/>
  <c r="CA59" i="14" s="1"/>
  <c r="CA80" i="14" a="1"/>
  <c r="CA80" i="14" s="1"/>
  <c r="CA25" i="14" a="1"/>
  <c r="CA25" i="14" s="1"/>
  <c r="CA51" i="14" a="1"/>
  <c r="CA51" i="14" s="1"/>
  <c r="CA28" i="14" a="1"/>
  <c r="CA28" i="14" s="1"/>
  <c r="CA21" i="14" a="1"/>
  <c r="CA21" i="14" s="1"/>
  <c r="CA97" i="14" a="1"/>
  <c r="CA97" i="14" s="1"/>
  <c r="CA109" i="14" a="1"/>
  <c r="CA109" i="14" s="1"/>
  <c r="CA43" i="14" a="1"/>
  <c r="CA43" i="14" s="1"/>
  <c r="CA64" i="14" a="1"/>
  <c r="CA64" i="14" s="1"/>
  <c r="CA100" i="14" a="1"/>
  <c r="CA100" i="14" s="1"/>
  <c r="CA81" i="14" a="1"/>
  <c r="CA81" i="14" s="1"/>
  <c r="CA93" i="14" a="1"/>
  <c r="CA93" i="14" s="1"/>
  <c r="CA108" i="14" a="1"/>
  <c r="CA108" i="14" s="1"/>
  <c r="CA27" i="14" a="1"/>
  <c r="CA27" i="14" s="1"/>
  <c r="CA48" i="14" a="1"/>
  <c r="CA48" i="14" s="1"/>
  <c r="CA35" i="14" a="1"/>
  <c r="CA35" i="14" s="1"/>
  <c r="CA50" i="14" a="1"/>
  <c r="CA50" i="14" s="1"/>
  <c r="CA82" i="14" a="1"/>
  <c r="CA82" i="14" s="1"/>
  <c r="CA38" i="14" a="1"/>
  <c r="CA38" i="14" s="1"/>
  <c r="CA84" i="14" a="1"/>
  <c r="CA84" i="14" s="1"/>
  <c r="CA65" i="14" a="1"/>
  <c r="CA65" i="14" s="1"/>
  <c r="CA77" i="14" a="1"/>
  <c r="CA77" i="14" s="1"/>
  <c r="CA92" i="14" a="1"/>
  <c r="CA92" i="14" s="1"/>
  <c r="CA32" i="14" a="1"/>
  <c r="CA32" i="14" s="1"/>
  <c r="CA98" i="14" a="1"/>
  <c r="CA98" i="14" s="1"/>
  <c r="CA34" i="14" a="1"/>
  <c r="CA34" i="14" s="1"/>
  <c r="CA68" i="14" a="1"/>
  <c r="CA68" i="14" s="1"/>
  <c r="CA49" i="14" a="1"/>
  <c r="CA49" i="14" s="1"/>
  <c r="CA95" i="14" a="1"/>
  <c r="CA95" i="14" s="1"/>
  <c r="CA61" i="14" a="1"/>
  <c r="CA61" i="14" s="1"/>
  <c r="CA76" i="14" a="1"/>
  <c r="CA76" i="14" s="1"/>
  <c r="CA19" i="14" a="1"/>
  <c r="CA19" i="14" s="1"/>
  <c r="CA52" i="14" a="1"/>
  <c r="CA52" i="14" s="1"/>
  <c r="CA33" i="14" a="1"/>
  <c r="CA33" i="14" s="1"/>
  <c r="CA79" i="14" a="1"/>
  <c r="CA79" i="14" s="1"/>
  <c r="CA45" i="14" a="1"/>
  <c r="CA45" i="14" s="1"/>
  <c r="CA60" i="14" a="1"/>
  <c r="CA60" i="14" s="1"/>
  <c r="CA103" i="14" a="1"/>
  <c r="CA103" i="14" s="1"/>
  <c r="CA71" i="14" a="1"/>
  <c r="CA71" i="14" s="1"/>
  <c r="CA36" i="14" a="1"/>
  <c r="CA36" i="14" s="1"/>
  <c r="CA17" i="14" a="1"/>
  <c r="CA17" i="14" s="1"/>
  <c r="CI17" i="14" s="1"/>
  <c r="CA63" i="14" a="1"/>
  <c r="CA63" i="14" s="1"/>
  <c r="CA29" i="14" a="1"/>
  <c r="CA29" i="14" s="1"/>
  <c r="CA44" i="14" a="1"/>
  <c r="CA44" i="14" s="1"/>
  <c r="CA87" i="14" a="1"/>
  <c r="CA87" i="14" s="1"/>
  <c r="CA41" i="14" a="1"/>
  <c r="CA41" i="14" s="1"/>
  <c r="CA102" i="14" a="1"/>
  <c r="CA102" i="14" s="1"/>
  <c r="CA20" i="14" a="1"/>
  <c r="CA20" i="14" s="1"/>
  <c r="CA47" i="14" a="1"/>
  <c r="CA47" i="14" s="1"/>
  <c r="CA86" i="14" a="1"/>
  <c r="CA86" i="14" s="1"/>
  <c r="CA31" i="14" a="1"/>
  <c r="CA31" i="14" s="1"/>
  <c r="CA55" i="14" a="1"/>
  <c r="CA55" i="14" s="1"/>
  <c r="CA23" i="14" a="1"/>
  <c r="CA23" i="14" s="1"/>
  <c r="CA70" i="14" a="1"/>
  <c r="CA70" i="14" s="1"/>
  <c r="CA106" i="14" a="1"/>
  <c r="CA106" i="14" s="1"/>
  <c r="CA39" i="14" a="1"/>
  <c r="CA39" i="14" s="1"/>
  <c r="CA54" i="14" a="1"/>
  <c r="CA54" i="14" s="1"/>
  <c r="CA90" i="14" a="1"/>
  <c r="CA90" i="14" s="1"/>
  <c r="CA104" i="14" a="1"/>
  <c r="CA104" i="14" s="1"/>
  <c r="CA74" i="14" a="1"/>
  <c r="CA74" i="14" s="1"/>
  <c r="BX82" i="14" a="1"/>
  <c r="BX82" i="14" s="1"/>
  <c r="CF82" i="14" s="1"/>
  <c r="BX103" i="14" a="1"/>
  <c r="BX103" i="14" s="1"/>
  <c r="CF103" i="14" s="1"/>
  <c r="BX32" i="14" a="1"/>
  <c r="BX32" i="14" s="1"/>
  <c r="CF32" i="14" s="1"/>
  <c r="BX48" i="14" a="1"/>
  <c r="BX48" i="14" s="1"/>
  <c r="CF48" i="14" s="1"/>
  <c r="BX95" i="14" a="1"/>
  <c r="BX95" i="14" s="1"/>
  <c r="CF95" i="14" s="1"/>
  <c r="BX37" i="14" a="1"/>
  <c r="BX37" i="14" s="1"/>
  <c r="CF37" i="14" s="1"/>
  <c r="BX27" i="14" a="1"/>
  <c r="BX27" i="14" s="1"/>
  <c r="CF27" i="14" s="1"/>
  <c r="BX65" i="14" a="1"/>
  <c r="BX65" i="14" s="1"/>
  <c r="CF65" i="14" s="1"/>
  <c r="BX67" i="14" a="1"/>
  <c r="BX67" i="14" s="1"/>
  <c r="CF67" i="14" s="1"/>
  <c r="BX22" i="14" a="1"/>
  <c r="BX22" i="14" s="1"/>
  <c r="CF22" i="14" s="1"/>
  <c r="BX94" i="14" a="1"/>
  <c r="BX94" i="14" s="1"/>
  <c r="CF94" i="14" s="1"/>
  <c r="BX63" i="14" a="1"/>
  <c r="BX63" i="14" s="1"/>
  <c r="CF63" i="14" s="1"/>
  <c r="BX61" i="14" a="1"/>
  <c r="BX61" i="14" s="1"/>
  <c r="CF61" i="14" s="1"/>
  <c r="BX101" i="14" a="1"/>
  <c r="BX101" i="14" s="1"/>
  <c r="CF101" i="14" s="1"/>
  <c r="BX50" i="14" a="1"/>
  <c r="BX50" i="14" s="1"/>
  <c r="CF50" i="14" s="1"/>
  <c r="BX92" i="14" a="1"/>
  <c r="BX92" i="14" s="1"/>
  <c r="CF92" i="14" s="1"/>
  <c r="BX73" i="14" a="1"/>
  <c r="BX73" i="14" s="1"/>
  <c r="CF73" i="14" s="1"/>
  <c r="BX89" i="14" a="1"/>
  <c r="BX89" i="14" s="1"/>
  <c r="CF89" i="14" s="1"/>
  <c r="BX24" i="14" a="1"/>
  <c r="BX24" i="14" s="1"/>
  <c r="CF24" i="14" s="1"/>
  <c r="BX53" i="14" a="1"/>
  <c r="BX53" i="14" s="1"/>
  <c r="CF53" i="14" s="1"/>
  <c r="BX45" i="14" a="1"/>
  <c r="BX45" i="14" s="1"/>
  <c r="CF45" i="14" s="1"/>
  <c r="BX108" i="14" a="1"/>
  <c r="BX108" i="14" s="1"/>
  <c r="CF108" i="14" s="1"/>
  <c r="BX23" i="14" a="1"/>
  <c r="BX23" i="14" s="1"/>
  <c r="CF23" i="14" s="1"/>
  <c r="BX52" i="14" a="1"/>
  <c r="BX52" i="14" s="1"/>
  <c r="CF52" i="14" s="1"/>
  <c r="BX35" i="14" a="1"/>
  <c r="BX35" i="14" s="1"/>
  <c r="CF35" i="14" s="1"/>
  <c r="BX88" i="14" a="1"/>
  <c r="BX88" i="14" s="1"/>
  <c r="CF88" i="14" s="1"/>
  <c r="BX74" i="14" a="1"/>
  <c r="BX74" i="14" s="1"/>
  <c r="CF74" i="14" s="1"/>
  <c r="BX96" i="14" a="1"/>
  <c r="BX96" i="14" s="1"/>
  <c r="CF96" i="14" s="1"/>
  <c r="BX47" i="14" a="1"/>
  <c r="BX47" i="14" s="1"/>
  <c r="CF47" i="14" s="1"/>
  <c r="BX93" i="14" a="1"/>
  <c r="BX93" i="14" s="1"/>
  <c r="CF93" i="14" s="1"/>
  <c r="BX91" i="14" a="1"/>
  <c r="BX91" i="14" s="1"/>
  <c r="CF91" i="14" s="1"/>
  <c r="BX107" i="14" a="1"/>
  <c r="BX107" i="14" s="1"/>
  <c r="CF107" i="14" s="1"/>
  <c r="BX72" i="14" a="1"/>
  <c r="BX72" i="14" s="1"/>
  <c r="CF72" i="14" s="1"/>
  <c r="BX69" i="14" a="1"/>
  <c r="BX69" i="14" s="1"/>
  <c r="CF69" i="14" s="1"/>
  <c r="BX54" i="14" a="1"/>
  <c r="BX54" i="14" s="1"/>
  <c r="CF54" i="14" s="1"/>
  <c r="BX49" i="14" a="1"/>
  <c r="BX49" i="14" s="1"/>
  <c r="CF49" i="14" s="1"/>
  <c r="BX104" i="14" a="1"/>
  <c r="BX104" i="14" s="1"/>
  <c r="CF104" i="14" s="1"/>
  <c r="BX85" i="14" a="1"/>
  <c r="BX85" i="14" s="1"/>
  <c r="CF85" i="14" s="1"/>
  <c r="BX80" i="14" a="1"/>
  <c r="BX80" i="14" s="1"/>
  <c r="CF80" i="14" s="1"/>
  <c r="BX30" i="14" a="1"/>
  <c r="BX30" i="14" s="1"/>
  <c r="CF30" i="14" s="1"/>
  <c r="BX99" i="14" a="1"/>
  <c r="BX99" i="14" s="1"/>
  <c r="CF99" i="14" s="1"/>
  <c r="BX28" i="14" a="1"/>
  <c r="BX28" i="14" s="1"/>
  <c r="CF28" i="14" s="1"/>
  <c r="BX26" i="14" a="1"/>
  <c r="BX26" i="14" s="1"/>
  <c r="CF26" i="14" s="1"/>
  <c r="BX39" i="14" a="1"/>
  <c r="BX39" i="14" s="1"/>
  <c r="CF39" i="14" s="1"/>
  <c r="BX81" i="14" a="1"/>
  <c r="BX81" i="14" s="1"/>
  <c r="CF81" i="14" s="1"/>
  <c r="BX58" i="14" a="1"/>
  <c r="BX58" i="14" s="1"/>
  <c r="CF58" i="14" s="1"/>
  <c r="BX62" i="14" a="1"/>
  <c r="BX62" i="14" s="1"/>
  <c r="CF62" i="14" s="1"/>
  <c r="BX38" i="14" a="1"/>
  <c r="BX38" i="14" s="1"/>
  <c r="CF38" i="14" s="1"/>
  <c r="BX84" i="14" a="1"/>
  <c r="BX84" i="14" s="1"/>
  <c r="CF84" i="14" s="1"/>
  <c r="BX66" i="14" a="1"/>
  <c r="BX66" i="14" s="1"/>
  <c r="CF66" i="14" s="1"/>
  <c r="BX56" i="14" a="1"/>
  <c r="BX56" i="14" s="1"/>
  <c r="CF56" i="14" s="1"/>
  <c r="BX105" i="14" a="1"/>
  <c r="BX105" i="14" s="1"/>
  <c r="CF105" i="14" s="1"/>
  <c r="BX46" i="14" a="1"/>
  <c r="BX46" i="14" s="1"/>
  <c r="CF46" i="14" s="1"/>
  <c r="BX41" i="14" a="1"/>
  <c r="BX41" i="14" s="1"/>
  <c r="CF41" i="14" s="1"/>
  <c r="BX70" i="14" a="1"/>
  <c r="BX70" i="14" s="1"/>
  <c r="CF70" i="14" s="1"/>
  <c r="BX87" i="14" a="1"/>
  <c r="BX87" i="14" s="1"/>
  <c r="CF87" i="14" s="1"/>
  <c r="BX102" i="14" a="1"/>
  <c r="BX102" i="14" s="1"/>
  <c r="CF102" i="14" s="1"/>
  <c r="BX55" i="14" a="1"/>
  <c r="BX55" i="14" s="1"/>
  <c r="CF55" i="14" s="1"/>
  <c r="BX90" i="14" a="1"/>
  <c r="BX90" i="14" s="1"/>
  <c r="CF90" i="14" s="1"/>
  <c r="BX100" i="14" a="1"/>
  <c r="BX100" i="14" s="1"/>
  <c r="CF100" i="14" s="1"/>
  <c r="BX43" i="14" a="1"/>
  <c r="BX43" i="14" s="1"/>
  <c r="CF43" i="14" s="1"/>
  <c r="BX75" i="14" a="1"/>
  <c r="BX75" i="14" s="1"/>
  <c r="CF75" i="14" s="1"/>
  <c r="BX33" i="14" a="1"/>
  <c r="BX33" i="14" s="1"/>
  <c r="CF33" i="14" s="1"/>
  <c r="BX44" i="14" a="1"/>
  <c r="BX44" i="14" s="1"/>
  <c r="CF44" i="14" s="1"/>
  <c r="BX86" i="14" a="1"/>
  <c r="BX86" i="14" s="1"/>
  <c r="CF86" i="14" s="1"/>
  <c r="BX42" i="14" a="1"/>
  <c r="BX42" i="14" s="1"/>
  <c r="CF42" i="14" s="1"/>
  <c r="BX40" i="14" a="1"/>
  <c r="BX40" i="14" s="1"/>
  <c r="CF40" i="14" s="1"/>
  <c r="BX34" i="14" a="1"/>
  <c r="BX34" i="14" s="1"/>
  <c r="CF34" i="14" s="1"/>
  <c r="BX79" i="14" a="1"/>
  <c r="BX79" i="14" s="1"/>
  <c r="CF79" i="14" s="1"/>
  <c r="BX25" i="14" a="1"/>
  <c r="BX25" i="14" s="1"/>
  <c r="CF25" i="14" s="1"/>
  <c r="BX71" i="14" a="1"/>
  <c r="BX71" i="14" s="1"/>
  <c r="CF71" i="14" s="1"/>
  <c r="BX77" i="14" a="1"/>
  <c r="BX77" i="14" s="1"/>
  <c r="CF77" i="14" s="1"/>
  <c r="BX109" i="14" a="1"/>
  <c r="BX109" i="14" s="1"/>
  <c r="CF109" i="14" s="1"/>
  <c r="BX36" i="14" a="1"/>
  <c r="BX36" i="14" s="1"/>
  <c r="CF36" i="14" s="1"/>
  <c r="BX78" i="14" a="1"/>
  <c r="BX78" i="14" s="1"/>
  <c r="CF78" i="14" s="1"/>
  <c r="BX60" i="14" a="1"/>
  <c r="BX60" i="14" s="1"/>
  <c r="CF60" i="14" s="1"/>
  <c r="BX76" i="14" a="1"/>
  <c r="BX76" i="14" s="1"/>
  <c r="CF76" i="14" s="1"/>
  <c r="BX31" i="14" a="1"/>
  <c r="BX31" i="14" s="1"/>
  <c r="CF31" i="14" s="1"/>
  <c r="BX57" i="14" a="1"/>
  <c r="BX57" i="14" s="1"/>
  <c r="CF57" i="14" s="1"/>
  <c r="BX59" i="14" a="1"/>
  <c r="BX59" i="14" s="1"/>
  <c r="CF59" i="14" s="1"/>
  <c r="BX106" i="14" a="1"/>
  <c r="BX106" i="14" s="1"/>
  <c r="CF106" i="14" s="1"/>
  <c r="BX51" i="14" a="1"/>
  <c r="BX51" i="14" s="1"/>
  <c r="CF51" i="14" s="1"/>
  <c r="BX64" i="14" a="1"/>
  <c r="BX64" i="14" s="1"/>
  <c r="CF64" i="14" s="1"/>
  <c r="BX97" i="14" a="1"/>
  <c r="BX97" i="14" s="1"/>
  <c r="CF97" i="14" s="1"/>
  <c r="BX29" i="14" a="1"/>
  <c r="BX29" i="14" s="1"/>
  <c r="CF29" i="14" s="1"/>
  <c r="BX83" i="14" a="1"/>
  <c r="BX83" i="14" s="1"/>
  <c r="CF83" i="14" s="1"/>
  <c r="BX68" i="14" a="1"/>
  <c r="BX68" i="14" s="1"/>
  <c r="CF68" i="14" s="1"/>
  <c r="BX98" i="14" a="1"/>
  <c r="BX98" i="14" s="1"/>
  <c r="CF98" i="14" s="1"/>
  <c r="CA11" i="14" a="1"/>
  <c r="CA11" i="14" s="1"/>
  <c r="CD89" i="14"/>
  <c r="CD75" i="14"/>
  <c r="CE40" i="14"/>
  <c r="CD30" i="14"/>
  <c r="CB71" i="14"/>
  <c r="CJ71" i="14" s="1"/>
  <c r="CB52" i="14"/>
  <c r="CJ52" i="14" s="1"/>
  <c r="CE70" i="14"/>
  <c r="CD60" i="14"/>
  <c r="CD81" i="14"/>
  <c r="CE106" i="14"/>
  <c r="CD38" i="14"/>
  <c r="CB33" i="14"/>
  <c r="CJ33" i="14" s="1"/>
  <c r="CB101" i="14"/>
  <c r="CJ101" i="14" s="1"/>
  <c r="CB40" i="14"/>
  <c r="CJ40" i="14" s="1"/>
  <c r="CE104" i="14"/>
  <c r="CB50" i="14"/>
  <c r="CJ50" i="14" s="1"/>
  <c r="CE29" i="14"/>
  <c r="CE81" i="14"/>
  <c r="CE68" i="14"/>
  <c r="CD73" i="14"/>
  <c r="CB47" i="14"/>
  <c r="CJ47" i="14" s="1"/>
  <c r="CD34" i="14"/>
  <c r="CE56" i="14"/>
  <c r="CD57" i="14"/>
  <c r="CD24" i="14"/>
  <c r="CD19" i="14"/>
  <c r="CB35" i="14"/>
  <c r="CJ35" i="14" s="1"/>
  <c r="CE52" i="14"/>
  <c r="CE20" i="14"/>
  <c r="CD68" i="14"/>
  <c r="CE91" i="14"/>
  <c r="CD70" i="14"/>
  <c r="CD61" i="14"/>
  <c r="CE66" i="14"/>
  <c r="CB84" i="14"/>
  <c r="CJ84" i="14" s="1"/>
  <c r="CE44" i="14"/>
  <c r="CD29" i="14"/>
  <c r="CE79" i="14"/>
  <c r="CD20" i="14"/>
  <c r="CE64" i="14"/>
  <c r="CD59" i="14"/>
  <c r="CD27" i="14"/>
  <c r="CE67" i="14"/>
  <c r="CB31" i="14"/>
  <c r="CJ31" i="14" s="1"/>
  <c r="CD72" i="14"/>
  <c r="CD36" i="14"/>
  <c r="CE42" i="14"/>
  <c r="CB58" i="14"/>
  <c r="CJ58" i="14" s="1"/>
  <c r="CD42" i="14"/>
  <c r="CD106" i="14"/>
  <c r="CB83" i="14"/>
  <c r="CJ83" i="14" s="1"/>
  <c r="CB69" i="14"/>
  <c r="CJ69" i="14" s="1"/>
  <c r="CB74" i="14"/>
  <c r="CJ74" i="14" s="1"/>
  <c r="CD39" i="14"/>
  <c r="CD33" i="14"/>
  <c r="CE26" i="14"/>
  <c r="CB82" i="14"/>
  <c r="CJ82" i="14" s="1"/>
  <c r="CE78" i="14"/>
  <c r="CD40" i="14"/>
  <c r="CD47" i="14"/>
  <c r="CE95" i="14"/>
  <c r="CB67" i="14"/>
  <c r="CJ67" i="14" s="1"/>
  <c r="CD55" i="14"/>
  <c r="CD100" i="14"/>
  <c r="CE49" i="14"/>
  <c r="CE21" i="14"/>
  <c r="CE103" i="14"/>
  <c r="CE90" i="14"/>
  <c r="CD50" i="14"/>
  <c r="CE101" i="14"/>
  <c r="CE37" i="14"/>
  <c r="CD37" i="14"/>
  <c r="CE22" i="14"/>
  <c r="CE33" i="14"/>
  <c r="CE11" i="14"/>
  <c r="CB108" i="14"/>
  <c r="CJ108" i="14" s="1"/>
  <c r="CD31" i="14"/>
  <c r="CE28" i="14"/>
  <c r="CD92" i="14"/>
  <c r="CD94" i="14"/>
  <c r="CD69" i="14"/>
  <c r="CD41" i="14"/>
  <c r="CD105" i="14"/>
  <c r="CD99" i="14"/>
  <c r="CB53" i="14"/>
  <c r="CJ53" i="14" s="1"/>
  <c r="CB78" i="14"/>
  <c r="CJ78" i="14" s="1"/>
  <c r="CB100" i="14"/>
  <c r="CJ100" i="14" s="1"/>
  <c r="CB20" i="14"/>
  <c r="CJ20" i="14" s="1"/>
  <c r="CE58" i="14"/>
  <c r="CE77" i="14"/>
  <c r="CB32" i="14"/>
  <c r="CJ32" i="14" s="1"/>
  <c r="CD101" i="14"/>
  <c r="CB60" i="14"/>
  <c r="CJ60" i="14" s="1"/>
  <c r="CB48" i="14"/>
  <c r="CJ48" i="14" s="1"/>
  <c r="CB36" i="14"/>
  <c r="CJ36" i="14" s="1"/>
  <c r="CB34" i="14"/>
  <c r="CJ34" i="14" s="1"/>
  <c r="CD84" i="14"/>
  <c r="CE61" i="14"/>
  <c r="CD56" i="14"/>
  <c r="CE80" i="14"/>
  <c r="CD46" i="14"/>
  <c r="CE107" i="14"/>
  <c r="CD32" i="14"/>
  <c r="CE92" i="14"/>
  <c r="CB28" i="14"/>
  <c r="CJ28" i="14" s="1"/>
  <c r="CB81" i="14"/>
  <c r="CJ81" i="14" s="1"/>
  <c r="CD107" i="14"/>
  <c r="CE93" i="14"/>
  <c r="CB39" i="14"/>
  <c r="CJ39" i="14" s="1"/>
  <c r="CD10" i="14"/>
  <c r="CE85" i="14"/>
  <c r="CD90" i="14"/>
  <c r="CE72" i="14"/>
  <c r="CB30" i="14"/>
  <c r="CJ30" i="14" s="1"/>
  <c r="CB89" i="14"/>
  <c r="CJ89" i="14" s="1"/>
  <c r="CE36" i="14"/>
  <c r="CE32" i="14"/>
  <c r="CB86" i="14"/>
  <c r="CJ86" i="14" s="1"/>
  <c r="CD54" i="14"/>
  <c r="CE35" i="14"/>
  <c r="CD63" i="14"/>
  <c r="CD86" i="14"/>
  <c r="CD71" i="14"/>
  <c r="CD25" i="14"/>
  <c r="CE98" i="14"/>
  <c r="CB56" i="14"/>
  <c r="CJ56" i="14" s="1"/>
  <c r="CB27" i="14"/>
  <c r="CJ27" i="14" s="1"/>
  <c r="CE87" i="14"/>
  <c r="CB98" i="14"/>
  <c r="CJ98" i="14" s="1"/>
  <c r="CB96" i="14"/>
  <c r="CJ96" i="14" s="1"/>
  <c r="CE100" i="14"/>
  <c r="CD58" i="14"/>
  <c r="CB88" i="14"/>
  <c r="CJ88" i="14" s="1"/>
  <c r="CE50" i="14"/>
  <c r="CB94" i="14"/>
  <c r="CJ94" i="14" s="1"/>
  <c r="CE39" i="14"/>
  <c r="CB57" i="14"/>
  <c r="CJ57" i="14" s="1"/>
  <c r="CE86" i="14"/>
  <c r="CE62" i="14"/>
  <c r="CE89" i="14"/>
  <c r="CD62" i="14"/>
  <c r="CD64" i="14"/>
  <c r="CE54" i="14"/>
  <c r="CD51" i="14"/>
  <c r="CE73" i="14"/>
  <c r="CD45" i="14"/>
  <c r="CB51" i="14"/>
  <c r="CJ51" i="14" s="1"/>
  <c r="CB70" i="14"/>
  <c r="CJ70" i="14" s="1"/>
  <c r="CB26" i="14"/>
  <c r="CJ26" i="14" s="1"/>
  <c r="CB61" i="14"/>
  <c r="CJ61" i="14" s="1"/>
  <c r="CD104" i="14"/>
  <c r="CD77" i="14"/>
  <c r="CD23" i="14"/>
  <c r="CB42" i="14"/>
  <c r="CJ42" i="14" s="1"/>
  <c r="CB45" i="14"/>
  <c r="CJ45" i="14" s="1"/>
  <c r="CB97" i="14"/>
  <c r="CJ97" i="14" s="1"/>
  <c r="CB62" i="14"/>
  <c r="CJ62" i="14" s="1"/>
  <c r="CE82" i="14"/>
  <c r="CB68" i="14"/>
  <c r="CJ68" i="14" s="1"/>
  <c r="CD95" i="14"/>
  <c r="CB37" i="14"/>
  <c r="CJ37" i="14" s="1"/>
  <c r="CB63" i="14"/>
  <c r="CJ63" i="14" s="1"/>
  <c r="CD79" i="14"/>
  <c r="CE43" i="14"/>
  <c r="CE31" i="14"/>
  <c r="CE88" i="14"/>
  <c r="CE24" i="14"/>
  <c r="CD67" i="14"/>
  <c r="CD44" i="14"/>
  <c r="CB59" i="14"/>
  <c r="CJ59" i="14" s="1"/>
  <c r="CB65" i="14"/>
  <c r="CJ65" i="14" s="1"/>
  <c r="CE18" i="14"/>
  <c r="CD21" i="14"/>
  <c r="CB87" i="14"/>
  <c r="CJ87" i="14" s="1"/>
  <c r="CB46" i="14"/>
  <c r="CJ46" i="14" s="1"/>
  <c r="CD93" i="14"/>
  <c r="CB109" i="14"/>
  <c r="CJ109" i="14" s="1"/>
  <c r="CD91" i="14"/>
  <c r="CB23" i="14"/>
  <c r="CJ23" i="14" s="1"/>
  <c r="CD102" i="14"/>
  <c r="CD28" i="14"/>
  <c r="CB75" i="14"/>
  <c r="CJ75" i="14" s="1"/>
  <c r="CE51" i="14"/>
  <c r="CB64" i="14"/>
  <c r="CJ64" i="14" s="1"/>
  <c r="CD78" i="14"/>
  <c r="CE99" i="14"/>
  <c r="CE30" i="14"/>
  <c r="CD48" i="14"/>
  <c r="CE105" i="14"/>
  <c r="CE108" i="14"/>
  <c r="CD52" i="14"/>
  <c r="CB24" i="14"/>
  <c r="CJ24" i="14" s="1"/>
  <c r="CB85" i="14"/>
  <c r="CJ85" i="14" s="1"/>
  <c r="CD87" i="14"/>
  <c r="CB29" i="14"/>
  <c r="CJ29" i="14" s="1"/>
  <c r="CD65" i="14"/>
  <c r="CE53" i="14"/>
  <c r="CB13" i="14"/>
  <c r="CB22" i="14"/>
  <c r="CJ22" i="14" s="1"/>
  <c r="CE65" i="14"/>
  <c r="CE25" i="14"/>
  <c r="CE75" i="14"/>
  <c r="CD80" i="14"/>
  <c r="CE59" i="14"/>
  <c r="CD98" i="14"/>
  <c r="CE83" i="14"/>
  <c r="CE74" i="14"/>
  <c r="CB99" i="14"/>
  <c r="CJ99" i="14" s="1"/>
  <c r="CB25" i="14"/>
  <c r="CJ25" i="14" s="1"/>
  <c r="CB54" i="14"/>
  <c r="CJ54" i="14" s="1"/>
  <c r="CB76" i="14"/>
  <c r="CJ76" i="14" s="1"/>
  <c r="CB104" i="14"/>
  <c r="CJ104" i="14" s="1"/>
  <c r="CE23" i="14"/>
  <c r="CB102" i="14"/>
  <c r="CJ102" i="14" s="1"/>
  <c r="CE84" i="14"/>
  <c r="CB66" i="14"/>
  <c r="CJ66" i="14" s="1"/>
  <c r="CE38" i="14"/>
  <c r="CE63" i="14"/>
  <c r="CE97" i="14"/>
  <c r="CD83" i="14"/>
  <c r="CE47" i="14"/>
  <c r="CD11" i="14"/>
  <c r="CE57" i="14"/>
  <c r="CE94" i="14"/>
  <c r="CE102" i="14"/>
  <c r="CB44" i="14"/>
  <c r="CJ44" i="14" s="1"/>
  <c r="CB43" i="14"/>
  <c r="CJ43" i="14" s="1"/>
  <c r="CB55" i="14"/>
  <c r="CJ55" i="14" s="1"/>
  <c r="CB38" i="14"/>
  <c r="CJ38" i="14" s="1"/>
  <c r="CB80" i="14"/>
  <c r="CJ80" i="14" s="1"/>
  <c r="CD103" i="14"/>
  <c r="CB72" i="14"/>
  <c r="CJ72" i="14" s="1"/>
  <c r="CB73" i="14"/>
  <c r="CJ73" i="14" s="1"/>
  <c r="CD66" i="14"/>
  <c r="CD109" i="14"/>
  <c r="CE69" i="14"/>
  <c r="CB107" i="14"/>
  <c r="CJ107" i="14" s="1"/>
  <c r="CB90" i="14"/>
  <c r="CJ90" i="14" s="1"/>
  <c r="CD74" i="14"/>
  <c r="CD49" i="14"/>
  <c r="CE34" i="14"/>
  <c r="CE46" i="14"/>
  <c r="CE19" i="14"/>
  <c r="CE27" i="14"/>
  <c r="CD108" i="14"/>
  <c r="CE55" i="14"/>
  <c r="CD18" i="14"/>
  <c r="CE45" i="14"/>
  <c r="CD96" i="14"/>
  <c r="CB103" i="14"/>
  <c r="CJ103" i="14" s="1"/>
  <c r="CB106" i="14"/>
  <c r="CJ106" i="14" s="1"/>
  <c r="CB49" i="14"/>
  <c r="CJ49" i="14" s="1"/>
  <c r="CD85" i="14"/>
  <c r="CB41" i="14"/>
  <c r="CJ41" i="14" s="1"/>
  <c r="CD82" i="14"/>
  <c r="CE109" i="14"/>
  <c r="CD76" i="14"/>
  <c r="CB79" i="14"/>
  <c r="CJ79" i="14" s="1"/>
  <c r="CE96" i="14"/>
  <c r="CD35" i="14"/>
  <c r="CD43" i="14"/>
  <c r="CD88" i="14"/>
  <c r="CE71" i="14"/>
  <c r="CE41" i="14"/>
  <c r="CD53" i="14"/>
  <c r="CD97" i="14"/>
  <c r="CE60" i="14"/>
  <c r="CB91" i="14"/>
  <c r="CJ91" i="14" s="1"/>
  <c r="CB77" i="14"/>
  <c r="CJ77" i="14" s="1"/>
  <c r="CD22" i="14"/>
  <c r="CB92" i="14"/>
  <c r="CJ92" i="14" s="1"/>
  <c r="CD26" i="14"/>
  <c r="CE76" i="14"/>
  <c r="CB95" i="14"/>
  <c r="CJ95" i="14" s="1"/>
  <c r="CB105" i="14"/>
  <c r="CJ105" i="14" s="1"/>
  <c r="CE48" i="14"/>
  <c r="CB93" i="14"/>
  <c r="CJ93" i="14" s="1"/>
  <c r="CB15" i="14"/>
  <c r="BY38" i="14" a="1"/>
  <c r="BY38" i="14" s="1"/>
  <c r="CG38" i="14" s="1"/>
  <c r="BY30" i="14" a="1"/>
  <c r="BY30" i="14" s="1"/>
  <c r="CG30" i="14" s="1"/>
  <c r="BY42" i="14" a="1"/>
  <c r="BY42" i="14" s="1"/>
  <c r="CG42" i="14" s="1"/>
  <c r="BY26" i="14" a="1"/>
  <c r="BY26" i="14" s="1"/>
  <c r="CG26" i="14" s="1"/>
  <c r="BY23" i="14" a="1"/>
  <c r="BY23" i="14" s="1"/>
  <c r="CG23" i="14" s="1"/>
  <c r="BY40" i="14" a="1"/>
  <c r="BY40" i="14" s="1"/>
  <c r="CG40" i="14" s="1"/>
  <c r="BY35" i="14" a="1"/>
  <c r="BY35" i="14" s="1"/>
  <c r="CG35" i="14" s="1"/>
  <c r="BY39" i="14" a="1"/>
  <c r="BY39" i="14" s="1"/>
  <c r="CG39" i="14" s="1"/>
  <c r="BY41" i="14" a="1"/>
  <c r="BY41" i="14" s="1"/>
  <c r="CG41" i="14" s="1"/>
  <c r="BY32" i="14" a="1"/>
  <c r="BY32" i="14" s="1"/>
  <c r="CG32" i="14" s="1"/>
  <c r="BY33" i="14" a="1"/>
  <c r="BY33" i="14" s="1"/>
  <c r="CG33" i="14" s="1"/>
  <c r="BY24" i="14" a="1"/>
  <c r="BY24" i="14" s="1"/>
  <c r="CG24" i="14" s="1"/>
  <c r="BY36" i="14" a="1"/>
  <c r="BY36" i="14" s="1"/>
  <c r="CG36" i="14" s="1"/>
  <c r="BY27" i="14" a="1"/>
  <c r="BY27" i="14" s="1"/>
  <c r="CG27" i="14" s="1"/>
  <c r="CC27" i="14"/>
  <c r="CK27" i="14" s="1"/>
  <c r="CC42" i="14"/>
  <c r="CK42" i="14" s="1"/>
  <c r="CC36" i="14"/>
  <c r="CK36" i="14" s="1"/>
  <c r="CC30" i="14"/>
  <c r="CK30" i="14" s="1"/>
  <c r="CC41" i="14"/>
  <c r="CK41" i="14" s="1"/>
  <c r="CC20" i="14"/>
  <c r="CK20" i="14" s="1"/>
  <c r="CC38" i="14"/>
  <c r="CK38" i="14" s="1"/>
  <c r="CC32" i="14"/>
  <c r="CK32" i="14" s="1"/>
  <c r="CC26" i="14"/>
  <c r="CK26" i="14" s="1"/>
  <c r="CC39" i="14"/>
  <c r="CK39" i="14" s="1"/>
  <c r="CC40" i="14"/>
  <c r="CK40" i="14" s="1"/>
  <c r="CC33" i="14"/>
  <c r="CK33" i="14" s="1"/>
  <c r="CC23" i="14"/>
  <c r="CK23" i="14" s="1"/>
  <c r="CC21" i="14"/>
  <c r="CK21" i="14" s="1"/>
  <c r="CC35" i="14"/>
  <c r="CK35" i="14" s="1"/>
  <c r="CC24" i="14"/>
  <c r="CK24" i="14" s="1"/>
  <c r="AO28" i="14"/>
  <c r="CC28" i="14" s="1"/>
  <c r="CK28" i="14" s="1"/>
  <c r="BY28" i="14" a="1"/>
  <c r="BY28" i="14" s="1"/>
  <c r="CG28" i="14" s="1"/>
  <c r="AO22" i="14"/>
  <c r="AO31" i="14"/>
  <c r="CC31" i="14" s="1"/>
  <c r="CK31" i="14" s="1"/>
  <c r="BY31" i="14" a="1"/>
  <c r="BY31" i="14" s="1"/>
  <c r="CG31" i="14" s="1"/>
  <c r="AO34" i="14"/>
  <c r="CC34" i="14" s="1"/>
  <c r="CK34" i="14" s="1"/>
  <c r="BY34" i="14" a="1"/>
  <c r="BY34" i="14" s="1"/>
  <c r="CG34" i="14" s="1"/>
  <c r="AO25" i="14"/>
  <c r="CC25" i="14" s="1"/>
  <c r="CK25" i="14" s="1"/>
  <c r="BY25" i="14" a="1"/>
  <c r="BY25" i="14" s="1"/>
  <c r="CG25" i="14" s="1"/>
  <c r="AO19" i="14"/>
  <c r="AW19" i="14" s="1"/>
  <c r="BA19" i="14" s="1"/>
  <c r="AO37" i="14"/>
  <c r="CC37" i="14" s="1"/>
  <c r="CK37" i="14" s="1"/>
  <c r="BY37" i="14" a="1"/>
  <c r="BY37" i="14" s="1"/>
  <c r="CG37" i="14" s="1"/>
  <c r="AM59" i="14"/>
  <c r="AM71" i="14"/>
  <c r="AM50" i="14"/>
  <c r="AM62" i="14"/>
  <c r="AM74" i="14"/>
  <c r="AM53" i="14"/>
  <c r="AK53" i="14" s="1"/>
  <c r="BY53" i="14" s="1" a="1"/>
  <c r="BY53" i="14" s="1"/>
  <c r="CG53" i="14" s="1"/>
  <c r="AM65" i="14"/>
  <c r="AM77" i="14"/>
  <c r="AM56" i="14"/>
  <c r="AM68" i="14"/>
  <c r="AJ15" i="14"/>
  <c r="AV15" i="14" s="1"/>
  <c r="AZ15" i="14" s="1"/>
  <c r="AK15" i="14"/>
  <c r="AK29" i="14"/>
  <c r="AJ29" i="14"/>
  <c r="AJ46" i="14"/>
  <c r="AK46" i="14"/>
  <c r="AJ54" i="14"/>
  <c r="AK54" i="14"/>
  <c r="BY54" i="14" s="1" a="1"/>
  <c r="BY54" i="14" s="1"/>
  <c r="CG54" i="14" s="1"/>
  <c r="AJ66" i="14"/>
  <c r="AK66" i="14"/>
  <c r="BY66" i="14" s="1" a="1"/>
  <c r="BY66" i="14" s="1"/>
  <c r="CG66" i="14" s="1"/>
  <c r="AJ71" i="14"/>
  <c r="AK85" i="14"/>
  <c r="BY85" i="14" s="1" a="1"/>
  <c r="BY85" i="14" s="1"/>
  <c r="CG85" i="14" s="1"/>
  <c r="AJ85" i="14"/>
  <c r="AK91" i="14"/>
  <c r="BY91" i="14" s="1" a="1"/>
  <c r="BY91" i="14" s="1"/>
  <c r="CG91" i="14" s="1"/>
  <c r="AJ91" i="14"/>
  <c r="AK97" i="14"/>
  <c r="BY97" i="14" s="1" a="1"/>
  <c r="BY97" i="14" s="1"/>
  <c r="CG97" i="14" s="1"/>
  <c r="AJ97" i="14"/>
  <c r="AK103" i="14"/>
  <c r="BY103" i="14" s="1" a="1"/>
  <c r="BY103" i="14" s="1"/>
  <c r="CG103" i="14" s="1"/>
  <c r="AJ103" i="14"/>
  <c r="AJ90" i="14"/>
  <c r="AK90" i="14"/>
  <c r="BY90" i="14" s="1" a="1"/>
  <c r="BY90" i="14" s="1"/>
  <c r="CG90" i="14" s="1"/>
  <c r="AJ45" i="14"/>
  <c r="AK45" i="14"/>
  <c r="AJ50" i="14"/>
  <c r="AK63" i="14"/>
  <c r="AJ63" i="14"/>
  <c r="AK67" i="14"/>
  <c r="BY67" i="14" s="1" a="1"/>
  <c r="BY67" i="14" s="1"/>
  <c r="CG67" i="14" s="1"/>
  <c r="AJ67" i="14"/>
  <c r="AJ80" i="14"/>
  <c r="AK80" i="14"/>
  <c r="BY80" i="14" s="1" a="1"/>
  <c r="BY80" i="14" s="1"/>
  <c r="CG80" i="14" s="1"/>
  <c r="AJ70" i="14"/>
  <c r="AK70" i="14"/>
  <c r="BY70" i="14" s="1" a="1"/>
  <c r="BY70" i="14" s="1"/>
  <c r="CG70" i="14" s="1"/>
  <c r="AJ16" i="14"/>
  <c r="AV16" i="14" s="1"/>
  <c r="AZ16" i="14" s="1"/>
  <c r="AK51" i="14"/>
  <c r="AJ51" i="14"/>
  <c r="AJ59" i="14"/>
  <c r="AK59" i="14"/>
  <c r="BY59" i="14" s="1" a="1"/>
  <c r="BY59" i="14" s="1"/>
  <c r="CG59" i="14" s="1"/>
  <c r="AK72" i="14"/>
  <c r="BY72" i="14" s="1" a="1"/>
  <c r="BY72" i="14" s="1"/>
  <c r="CG72" i="14" s="1"/>
  <c r="AJ72" i="14"/>
  <c r="AJ81" i="14"/>
  <c r="AK81" i="14"/>
  <c r="BY81" i="14" s="1" a="1"/>
  <c r="BY81" i="14" s="1"/>
  <c r="CG81" i="14" s="1"/>
  <c r="AK86" i="14"/>
  <c r="BY86" i="14" s="1" a="1"/>
  <c r="BY86" i="14" s="1"/>
  <c r="CG86" i="14" s="1"/>
  <c r="AJ86" i="14"/>
  <c r="AJ92" i="14"/>
  <c r="AK92" i="14"/>
  <c r="BY92" i="14" s="1" a="1"/>
  <c r="BY92" i="14" s="1"/>
  <c r="CG92" i="14" s="1"/>
  <c r="AK98" i="14"/>
  <c r="BY98" i="14" s="1" a="1"/>
  <c r="BY98" i="14" s="1"/>
  <c r="CG98" i="14" s="1"/>
  <c r="AJ98" i="14"/>
  <c r="AJ104" i="14"/>
  <c r="AK104" i="14"/>
  <c r="BY104" i="14" s="1" a="1"/>
  <c r="BY104" i="14" s="1"/>
  <c r="CG104" i="14" s="1"/>
  <c r="AK108" i="14"/>
  <c r="BY108" i="14" s="1" a="1"/>
  <c r="BY108" i="14" s="1"/>
  <c r="CG108" i="14" s="1"/>
  <c r="AJ108" i="14"/>
  <c r="AK75" i="14"/>
  <c r="BY75" i="14" s="1" a="1"/>
  <c r="BY75" i="14" s="1"/>
  <c r="CG75" i="14" s="1"/>
  <c r="AJ75" i="14"/>
  <c r="AK55" i="14"/>
  <c r="AJ55" i="14"/>
  <c r="AJ68" i="14"/>
  <c r="AK68" i="14"/>
  <c r="BY68" i="14" s="1" a="1"/>
  <c r="BY68" i="14" s="1"/>
  <c r="CG68" i="14" s="1"/>
  <c r="AK73" i="14"/>
  <c r="BY73" i="14" s="1" a="1"/>
  <c r="BY73" i="14" s="1"/>
  <c r="CG73" i="14" s="1"/>
  <c r="AJ73" i="14"/>
  <c r="AJ76" i="14"/>
  <c r="AK76" i="14"/>
  <c r="BY76" i="14" s="1" a="1"/>
  <c r="BY76" i="14" s="1"/>
  <c r="CG76" i="14" s="1"/>
  <c r="AK99" i="14"/>
  <c r="BY99" i="14" s="1" a="1"/>
  <c r="BY99" i="14" s="1"/>
  <c r="CG99" i="14" s="1"/>
  <c r="AJ99" i="14"/>
  <c r="AJ105" i="14"/>
  <c r="AK105" i="14"/>
  <c r="BY105" i="14" s="1" a="1"/>
  <c r="BY105" i="14" s="1"/>
  <c r="CG105" i="14" s="1"/>
  <c r="AJ13" i="14"/>
  <c r="AV13" i="14" s="1"/>
  <c r="AZ13" i="14" s="1"/>
  <c r="AJ102" i="14"/>
  <c r="AK102" i="14"/>
  <c r="BY102" i="14" s="1" a="1"/>
  <c r="BY102" i="14" s="1"/>
  <c r="CG102" i="14" s="1"/>
  <c r="AK14" i="14"/>
  <c r="AJ14" i="14"/>
  <c r="AV14" i="14" s="1"/>
  <c r="AZ14" i="14" s="1"/>
  <c r="AK43" i="14"/>
  <c r="AJ43" i="14"/>
  <c r="AJ47" i="14"/>
  <c r="AK47" i="14"/>
  <c r="BY47" i="14" s="1" a="1"/>
  <c r="BY47" i="14" s="1"/>
  <c r="CG47" i="14" s="1"/>
  <c r="AJ52" i="14"/>
  <c r="AK52" i="14"/>
  <c r="BY52" i="14" s="1" a="1"/>
  <c r="BY52" i="14" s="1"/>
  <c r="CG52" i="14" s="1"/>
  <c r="AK87" i="14"/>
  <c r="BY87" i="14" s="1" a="1"/>
  <c r="BY87" i="14" s="1"/>
  <c r="CG87" i="14" s="1"/>
  <c r="AJ87" i="14"/>
  <c r="AJ100" i="14"/>
  <c r="AK100" i="14"/>
  <c r="BY100" i="14" s="1" a="1"/>
  <c r="BY100" i="14" s="1"/>
  <c r="CG100" i="14" s="1"/>
  <c r="AJ10" i="14"/>
  <c r="AJ11" i="14"/>
  <c r="AV11" i="14" s="1"/>
  <c r="AZ11" i="14" s="1"/>
  <c r="AK11" i="14"/>
  <c r="AK17" i="14"/>
  <c r="AJ17" i="14"/>
  <c r="AV17" i="14" s="1"/>
  <c r="AZ17" i="14" s="1"/>
  <c r="AJ56" i="14"/>
  <c r="AK56" i="14"/>
  <c r="BY56" i="14" s="1" a="1"/>
  <c r="BY56" i="14" s="1"/>
  <c r="CG56" i="14" s="1"/>
  <c r="AK64" i="14"/>
  <c r="BY64" i="14" s="1" a="1"/>
  <c r="BY64" i="14" s="1"/>
  <c r="CG64" i="14" s="1"/>
  <c r="AJ64" i="14"/>
  <c r="AJ82" i="14"/>
  <c r="AK82" i="14"/>
  <c r="BY82" i="14" s="1" a="1"/>
  <c r="BY82" i="14" s="1"/>
  <c r="CG82" i="14" s="1"/>
  <c r="AK88" i="14"/>
  <c r="BY88" i="14" s="1" a="1"/>
  <c r="BY88" i="14" s="1"/>
  <c r="CG88" i="14" s="1"/>
  <c r="AJ88" i="14"/>
  <c r="AJ93" i="14"/>
  <c r="AK93" i="14"/>
  <c r="BY93" i="14" s="1" a="1"/>
  <c r="BY93" i="14" s="1"/>
  <c r="CG93" i="14" s="1"/>
  <c r="AK109" i="14"/>
  <c r="BY109" i="14" s="1" a="1"/>
  <c r="BY109" i="14" s="1"/>
  <c r="CG109" i="14" s="1"/>
  <c r="AJ109" i="14"/>
  <c r="AK60" i="14"/>
  <c r="BY60" i="14" s="1" a="1"/>
  <c r="BY60" i="14" s="1"/>
  <c r="CG60" i="14" s="1"/>
  <c r="AJ60" i="14"/>
  <c r="AJ83" i="14"/>
  <c r="AK83" i="14"/>
  <c r="BY83" i="14" s="1" a="1"/>
  <c r="BY83" i="14" s="1"/>
  <c r="CG83" i="14" s="1"/>
  <c r="AJ89" i="14"/>
  <c r="AK89" i="14"/>
  <c r="BY89" i="14" s="1" a="1"/>
  <c r="BY89" i="14" s="1"/>
  <c r="CG89" i="14" s="1"/>
  <c r="AJ106" i="14"/>
  <c r="AK106" i="14"/>
  <c r="BY106" i="14" s="1" a="1"/>
  <c r="BY106" i="14" s="1"/>
  <c r="CG106" i="14" s="1"/>
  <c r="AK61" i="14"/>
  <c r="BY61" i="14" s="1" a="1"/>
  <c r="BY61" i="14" s="1"/>
  <c r="CG61" i="14" s="1"/>
  <c r="AJ61" i="14"/>
  <c r="AJ58" i="14"/>
  <c r="AK58" i="14"/>
  <c r="BY58" i="14" s="1" a="1"/>
  <c r="BY58" i="14" s="1"/>
  <c r="CG58" i="14" s="1"/>
  <c r="AK62" i="14"/>
  <c r="BY62" i="14" s="1" a="1"/>
  <c r="BY62" i="14" s="1"/>
  <c r="CG62" i="14" s="1"/>
  <c r="AJ62" i="14"/>
  <c r="AK79" i="14"/>
  <c r="BY79" i="14" s="1" a="1"/>
  <c r="BY79" i="14" s="1"/>
  <c r="CG79" i="14" s="1"/>
  <c r="AJ79" i="14"/>
  <c r="AJ69" i="14"/>
  <c r="AK69" i="14"/>
  <c r="BY69" i="14" s="1" a="1"/>
  <c r="BY69" i="14" s="1"/>
  <c r="CG69" i="14" s="1"/>
  <c r="AK74" i="14"/>
  <c r="BY74" i="14" s="1" a="1"/>
  <c r="BY74" i="14" s="1"/>
  <c r="CG74" i="14" s="1"/>
  <c r="AJ74" i="14"/>
  <c r="AJ78" i="14"/>
  <c r="AK78" i="14"/>
  <c r="AK49" i="14"/>
  <c r="BY49" i="14" s="1" a="1"/>
  <c r="BY49" i="14" s="1"/>
  <c r="CG49" i="14" s="1"/>
  <c r="AJ49" i="14"/>
  <c r="AK96" i="14"/>
  <c r="BY96" i="14" s="1" a="1"/>
  <c r="BY96" i="14" s="1"/>
  <c r="CG96" i="14" s="1"/>
  <c r="AJ96" i="14"/>
  <c r="AJ57" i="14"/>
  <c r="AK57" i="14"/>
  <c r="BY57" i="14" s="1" a="1"/>
  <c r="BY57" i="14" s="1"/>
  <c r="CG57" i="14" s="1"/>
  <c r="AJ77" i="14"/>
  <c r="AK77" i="14"/>
  <c r="BY77" i="14" s="1" a="1"/>
  <c r="BY77" i="14" s="1"/>
  <c r="CG77" i="14" s="1"/>
  <c r="AK94" i="14"/>
  <c r="BY94" i="14" s="1" a="1"/>
  <c r="BY94" i="14" s="1"/>
  <c r="CG94" i="14" s="1"/>
  <c r="AJ94" i="14"/>
  <c r="AK12" i="14"/>
  <c r="AJ12" i="14"/>
  <c r="AJ18" i="14"/>
  <c r="AV18" i="14" s="1"/>
  <c r="AZ18" i="14" s="1"/>
  <c r="AK18" i="14"/>
  <c r="AJ44" i="14"/>
  <c r="AK44" i="14"/>
  <c r="AK48" i="14"/>
  <c r="BY48" i="14" s="1" a="1"/>
  <c r="BY48" i="14" s="1"/>
  <c r="CG48" i="14" s="1"/>
  <c r="AJ48" i="14"/>
  <c r="AJ53" i="14"/>
  <c r="AK65" i="14"/>
  <c r="AJ65" i="14"/>
  <c r="AK84" i="14"/>
  <c r="BY84" i="14" s="1" a="1"/>
  <c r="BY84" i="14" s="1"/>
  <c r="CG84" i="14" s="1"/>
  <c r="AJ84" i="14"/>
  <c r="AJ95" i="14"/>
  <c r="AK95" i="14"/>
  <c r="BY95" i="14" s="1" a="1"/>
  <c r="BY95" i="14" s="1"/>
  <c r="CG95" i="14" s="1"/>
  <c r="AJ101" i="14"/>
  <c r="AK101" i="14"/>
  <c r="BY101" i="14" s="1" a="1"/>
  <c r="BY101" i="14" s="1"/>
  <c r="CG101" i="14" s="1"/>
  <c r="AJ107" i="14"/>
  <c r="AK107" i="14"/>
  <c r="BY107" i="14" s="1" a="1"/>
  <c r="BY107" i="14" s="1"/>
  <c r="CG107" i="14" s="1"/>
  <c r="D57" i="12"/>
  <c r="F12" i="15"/>
  <c r="F11" i="15"/>
  <c r="E131" i="12"/>
  <c r="C127" i="12"/>
  <c r="C126" i="12"/>
  <c r="C125" i="12"/>
  <c r="C124" i="12"/>
  <c r="C123" i="12"/>
  <c r="CO33" i="14" l="1"/>
  <c r="CN19" i="14"/>
  <c r="CO42" i="14"/>
  <c r="CO36" i="14"/>
  <c r="CO31" i="14"/>
  <c r="CN97" i="14"/>
  <c r="CN34" i="14"/>
  <c r="CN105" i="14"/>
  <c r="CN49" i="14"/>
  <c r="CN53" i="14"/>
  <c r="CN48" i="14"/>
  <c r="CO27" i="14"/>
  <c r="CO30" i="14"/>
  <c r="CO38" i="14"/>
  <c r="CO28" i="14"/>
  <c r="CO24" i="14"/>
  <c r="CO37" i="14"/>
  <c r="CO32" i="14"/>
  <c r="CO41" i="14"/>
  <c r="CO39" i="14"/>
  <c r="CO20" i="14"/>
  <c r="CO25" i="14"/>
  <c r="CO35" i="14"/>
  <c r="CO40" i="14"/>
  <c r="CO21" i="14"/>
  <c r="CO34" i="14"/>
  <c r="CO23" i="14"/>
  <c r="CO26" i="14"/>
  <c r="CN64" i="14"/>
  <c r="CN40" i="14"/>
  <c r="CN56" i="14"/>
  <c r="CN54" i="14"/>
  <c r="CN24" i="14"/>
  <c r="CN32" i="14"/>
  <c r="CN51" i="14"/>
  <c r="CN42" i="14"/>
  <c r="CN66" i="14"/>
  <c r="CN69" i="14"/>
  <c r="CN89" i="14"/>
  <c r="CN103" i="14"/>
  <c r="CN106" i="14"/>
  <c r="CN86" i="14"/>
  <c r="CN84" i="14"/>
  <c r="CN72" i="14"/>
  <c r="CN73" i="14"/>
  <c r="CN82" i="14"/>
  <c r="CN59" i="14"/>
  <c r="CN44" i="14"/>
  <c r="CN38" i="14"/>
  <c r="CN107" i="14"/>
  <c r="CN92" i="14"/>
  <c r="CN57" i="14"/>
  <c r="CN33" i="14"/>
  <c r="CN62" i="14"/>
  <c r="CN91" i="14"/>
  <c r="CN50" i="14"/>
  <c r="CN31" i="14"/>
  <c r="CN75" i="14"/>
  <c r="CN58" i="14"/>
  <c r="CN93" i="14"/>
  <c r="CN101" i="14"/>
  <c r="CN76" i="14"/>
  <c r="CN43" i="14"/>
  <c r="CN81" i="14"/>
  <c r="CN47" i="14"/>
  <c r="CN61" i="14"/>
  <c r="CN60" i="14"/>
  <c r="CN100" i="14"/>
  <c r="CN39" i="14"/>
  <c r="CN96" i="14"/>
  <c r="CN63" i="14"/>
  <c r="CN78" i="14"/>
  <c r="CN90" i="14"/>
  <c r="CN26" i="14"/>
  <c r="CN74" i="14"/>
  <c r="CN94" i="14"/>
  <c r="CN36" i="14"/>
  <c r="CN55" i="14"/>
  <c r="CN28" i="14"/>
  <c r="CN88" i="14"/>
  <c r="CN22" i="14"/>
  <c r="CN20" i="14"/>
  <c r="CN109" i="14"/>
  <c r="CN102" i="14"/>
  <c r="CN99" i="14"/>
  <c r="CN35" i="14"/>
  <c r="CN67" i="14"/>
  <c r="CN98" i="14"/>
  <c r="CN77" i="14"/>
  <c r="CN87" i="14"/>
  <c r="CN30" i="14"/>
  <c r="CN52" i="14"/>
  <c r="CN65" i="14"/>
  <c r="CN68" i="14"/>
  <c r="CN71" i="14"/>
  <c r="CN70" i="14"/>
  <c r="CN80" i="14"/>
  <c r="CN23" i="14"/>
  <c r="CN27" i="14"/>
  <c r="CN83" i="14"/>
  <c r="CN25" i="14"/>
  <c r="CN41" i="14"/>
  <c r="CN85" i="14"/>
  <c r="CN108" i="14"/>
  <c r="CN37" i="14"/>
  <c r="CN29" i="14"/>
  <c r="CN79" i="14"/>
  <c r="CN46" i="14"/>
  <c r="CN104" i="14"/>
  <c r="CN45" i="14"/>
  <c r="CN95" i="14"/>
  <c r="CN21" i="14"/>
  <c r="BN16" i="14"/>
  <c r="BV16" i="14" s="1"/>
  <c r="CD16" i="14" s="1"/>
  <c r="BW16" i="14"/>
  <c r="BN15" i="14"/>
  <c r="BV15" i="14" s="1"/>
  <c r="CE15" i="14" s="1"/>
  <c r="CM15" i="14" s="1"/>
  <c r="CU15" i="14" s="1"/>
  <c r="BW15" i="14"/>
  <c r="BN13" i="14"/>
  <c r="BV13" i="14" s="1"/>
  <c r="CD13" i="14" s="1"/>
  <c r="BW13" i="14"/>
  <c r="BN17" i="14"/>
  <c r="BV17" i="14" s="1"/>
  <c r="CE17" i="14" s="1"/>
  <c r="CM17" i="14" s="1"/>
  <c r="CU17" i="14" s="1"/>
  <c r="BW17" i="14"/>
  <c r="BN12" i="14"/>
  <c r="BW12" i="14"/>
  <c r="BN14" i="14"/>
  <c r="BV14" i="14" s="1"/>
  <c r="CD14" i="14" s="1"/>
  <c r="CL14" i="14" s="1"/>
  <c r="CT14" i="14" s="1"/>
  <c r="BW14" i="14"/>
  <c r="AV12" i="14"/>
  <c r="AZ12" i="14" s="1"/>
  <c r="AV10" i="14"/>
  <c r="AZ10" i="14" s="1"/>
  <c r="CJ10" i="14" s="1"/>
  <c r="CC22" i="14"/>
  <c r="CJ18" i="14"/>
  <c r="BX18" i="14" a="1"/>
  <c r="BX18" i="14" s="1"/>
  <c r="CF18" i="14" s="1"/>
  <c r="CC19" i="14"/>
  <c r="CJ17" i="14"/>
  <c r="BX17" i="14" a="1"/>
  <c r="BX17" i="14" s="1"/>
  <c r="CF17" i="14" s="1"/>
  <c r="BX16" i="14" a="1"/>
  <c r="BX16" i="14" s="1"/>
  <c r="CF16" i="14" s="1"/>
  <c r="CJ16" i="14"/>
  <c r="CJ15" i="14"/>
  <c r="BX15" i="14" a="1"/>
  <c r="BX15" i="14" s="1"/>
  <c r="CF15" i="14" s="1"/>
  <c r="BX14" i="14" a="1"/>
  <c r="BX14" i="14" s="1"/>
  <c r="CF14" i="14" s="1"/>
  <c r="CJ14" i="14"/>
  <c r="CR98" i="14"/>
  <c r="CR63" i="14"/>
  <c r="CS42" i="14"/>
  <c r="CR68" i="14"/>
  <c r="CR109" i="14"/>
  <c r="CR102" i="14"/>
  <c r="CR99" i="14"/>
  <c r="CR35" i="14"/>
  <c r="CR19" i="14"/>
  <c r="CR55" i="14"/>
  <c r="CS30" i="14"/>
  <c r="CR83" i="14"/>
  <c r="CR77" i="14"/>
  <c r="CR87" i="14"/>
  <c r="CR30" i="14"/>
  <c r="CR52" i="14"/>
  <c r="CR94" i="14"/>
  <c r="CR36" i="14"/>
  <c r="CS38" i="14"/>
  <c r="CR29" i="14"/>
  <c r="CR71" i="14"/>
  <c r="CR70" i="14"/>
  <c r="CR80" i="14"/>
  <c r="CR23" i="14"/>
  <c r="CR22" i="14"/>
  <c r="CR88" i="14"/>
  <c r="CS27" i="14"/>
  <c r="CR25" i="14"/>
  <c r="CR41" i="14"/>
  <c r="CR85" i="14"/>
  <c r="CR108" i="14"/>
  <c r="CR28" i="14"/>
  <c r="CS36" i="14"/>
  <c r="CR79" i="14"/>
  <c r="CR46" i="14"/>
  <c r="CR104" i="14"/>
  <c r="CR45" i="14"/>
  <c r="CR67" i="14"/>
  <c r="CR97" i="14"/>
  <c r="CR34" i="14"/>
  <c r="CR105" i="14"/>
  <c r="CR49" i="14"/>
  <c r="CR53" i="14"/>
  <c r="CR65" i="14"/>
  <c r="CS24" i="14"/>
  <c r="CR64" i="14"/>
  <c r="CR40" i="14"/>
  <c r="CR56" i="14"/>
  <c r="CR54" i="14"/>
  <c r="CR24" i="14"/>
  <c r="CR27" i="14"/>
  <c r="CS33" i="14"/>
  <c r="CR51" i="14"/>
  <c r="CR42" i="14"/>
  <c r="CR66" i="14"/>
  <c r="CR69" i="14"/>
  <c r="CR89" i="14"/>
  <c r="CR37" i="14"/>
  <c r="CS32" i="14"/>
  <c r="CR106" i="14"/>
  <c r="CR86" i="14"/>
  <c r="CR84" i="14"/>
  <c r="CR72" i="14"/>
  <c r="CR73" i="14"/>
  <c r="CS41" i="14"/>
  <c r="CR59" i="14"/>
  <c r="CR44" i="14"/>
  <c r="CR38" i="14"/>
  <c r="CR107" i="14"/>
  <c r="CR95" i="14"/>
  <c r="CS20" i="14"/>
  <c r="CS39" i="14"/>
  <c r="CR57" i="14"/>
  <c r="CR33" i="14"/>
  <c r="CR62" i="14"/>
  <c r="CR91" i="14"/>
  <c r="CR92" i="14"/>
  <c r="CR20" i="14"/>
  <c r="CS26" i="14"/>
  <c r="CS35" i="14"/>
  <c r="CR31" i="14"/>
  <c r="CR75" i="14"/>
  <c r="CR58" i="14"/>
  <c r="CR93" i="14"/>
  <c r="CR50" i="14"/>
  <c r="CR48" i="14"/>
  <c r="CS40" i="14"/>
  <c r="CR76" i="14"/>
  <c r="CR43" i="14"/>
  <c r="CR81" i="14"/>
  <c r="CR47" i="14"/>
  <c r="CR101" i="14"/>
  <c r="CR32" i="14"/>
  <c r="CS23" i="14"/>
  <c r="CR60" i="14"/>
  <c r="CR100" i="14"/>
  <c r="CR39" i="14"/>
  <c r="CR96" i="14"/>
  <c r="CR61" i="14"/>
  <c r="CR103" i="14"/>
  <c r="CS21" i="14"/>
  <c r="CR78" i="14"/>
  <c r="CR90" i="14"/>
  <c r="CR26" i="14"/>
  <c r="CR74" i="14"/>
  <c r="CR21" i="14"/>
  <c r="CR82" i="14"/>
  <c r="CJ12" i="14"/>
  <c r="CJ13" i="14"/>
  <c r="BX13" i="14" a="1"/>
  <c r="BX13" i="14" s="1"/>
  <c r="CF13" i="14" s="1"/>
  <c r="CS34" i="14"/>
  <c r="CS28" i="14"/>
  <c r="CS37" i="14"/>
  <c r="AO43" i="14"/>
  <c r="CC43" i="14" s="1"/>
  <c r="CK43" i="14" s="1"/>
  <c r="BY43" i="14" a="1"/>
  <c r="BY43" i="14" s="1"/>
  <c r="CG43" i="14" s="1"/>
  <c r="AO45" i="14"/>
  <c r="CC45" i="14" s="1"/>
  <c r="CK45" i="14" s="1"/>
  <c r="BY45" i="14" a="1"/>
  <c r="BY45" i="14" s="1"/>
  <c r="CG45" i="14" s="1"/>
  <c r="AO44" i="14"/>
  <c r="CC44" i="14" s="1"/>
  <c r="CK44" i="14" s="1"/>
  <c r="BY44" i="14" a="1"/>
  <c r="BY44" i="14" s="1"/>
  <c r="CG44" i="14" s="1"/>
  <c r="AO78" i="14"/>
  <c r="CC78" i="14" s="1"/>
  <c r="CK78" i="14" s="1"/>
  <c r="BY78" i="14" a="1"/>
  <c r="BY78" i="14" s="1"/>
  <c r="CG78" i="14" s="1"/>
  <c r="AO55" i="14"/>
  <c r="CC55" i="14" s="1"/>
  <c r="CK55" i="14" s="1"/>
  <c r="BY55" i="14" a="1"/>
  <c r="BY55" i="14" s="1"/>
  <c r="CG55" i="14" s="1"/>
  <c r="AO46" i="14"/>
  <c r="CC46" i="14" s="1"/>
  <c r="CK46" i="14" s="1"/>
  <c r="BY46" i="14" a="1"/>
  <c r="BY46" i="14" s="1"/>
  <c r="CG46" i="14" s="1"/>
  <c r="AO14" i="14"/>
  <c r="AW14" i="14" s="1"/>
  <c r="BA14" i="14" s="1"/>
  <c r="AO18" i="14"/>
  <c r="AW18" i="14" s="1"/>
  <c r="BA18" i="14" s="1"/>
  <c r="AO17" i="14"/>
  <c r="AW17" i="14" s="1"/>
  <c r="BA17" i="14" s="1"/>
  <c r="AO29" i="14"/>
  <c r="CC29" i="14" s="1"/>
  <c r="CK29" i="14" s="1"/>
  <c r="BY29" i="14" a="1"/>
  <c r="BY29" i="14" s="1"/>
  <c r="CG29" i="14" s="1"/>
  <c r="AO12" i="14"/>
  <c r="AW12" i="14" s="1"/>
  <c r="BA12" i="14" s="1"/>
  <c r="AO51" i="14"/>
  <c r="CC51" i="14" s="1"/>
  <c r="CK51" i="14" s="1"/>
  <c r="BY51" i="14" a="1"/>
  <c r="BY51" i="14" s="1"/>
  <c r="CG51" i="14" s="1"/>
  <c r="AO15" i="14"/>
  <c r="AW15" i="14" s="1"/>
  <c r="BA15" i="14" s="1"/>
  <c r="CS25" i="14"/>
  <c r="CS31" i="14"/>
  <c r="AO65" i="14"/>
  <c r="CC65" i="14" s="1"/>
  <c r="CK65" i="14" s="1"/>
  <c r="BY65" i="14" a="1"/>
  <c r="BY65" i="14" s="1"/>
  <c r="CG65" i="14" s="1"/>
  <c r="AO63" i="14"/>
  <c r="CC63" i="14" s="1"/>
  <c r="CK63" i="14" s="1"/>
  <c r="BY63" i="14" a="1"/>
  <c r="BY63" i="14" s="1"/>
  <c r="CG63" i="14" s="1"/>
  <c r="AO11" i="14"/>
  <c r="AW11" i="14" s="1"/>
  <c r="BA11" i="14" s="1"/>
  <c r="CJ11" i="14"/>
  <c r="BX11" i="14" a="1"/>
  <c r="BX11" i="14" s="1"/>
  <c r="CF11" i="14" s="1"/>
  <c r="AO88" i="14"/>
  <c r="CC88" i="14" s="1"/>
  <c r="AO87" i="14"/>
  <c r="CC87" i="14" s="1"/>
  <c r="AO70" i="14"/>
  <c r="CC70" i="14" s="1"/>
  <c r="AO48" i="14"/>
  <c r="CC48" i="14" s="1"/>
  <c r="AO49" i="14"/>
  <c r="CC49" i="14" s="1"/>
  <c r="AO61" i="14"/>
  <c r="CC61" i="14" s="1"/>
  <c r="AO82" i="14"/>
  <c r="CC82" i="14" s="1"/>
  <c r="AO52" i="14"/>
  <c r="CC52" i="14" s="1"/>
  <c r="AO103" i="14"/>
  <c r="CC103" i="14" s="1"/>
  <c r="AO106" i="14"/>
  <c r="CC106" i="14" s="1"/>
  <c r="AO99" i="14"/>
  <c r="CC99" i="14" s="1"/>
  <c r="AO98" i="14"/>
  <c r="CC98" i="14" s="1"/>
  <c r="AO107" i="14"/>
  <c r="CC107" i="14" s="1"/>
  <c r="AO47" i="14"/>
  <c r="CC47" i="14" s="1"/>
  <c r="AO76" i="14"/>
  <c r="CC76" i="14" s="1"/>
  <c r="AO92" i="14"/>
  <c r="CC92" i="14" s="1"/>
  <c r="AO80" i="14"/>
  <c r="CC80" i="14" s="1"/>
  <c r="AO97" i="14"/>
  <c r="CC97" i="14" s="1"/>
  <c r="AO64" i="14"/>
  <c r="CC64" i="14" s="1"/>
  <c r="AO53" i="14"/>
  <c r="CC53" i="14" s="1"/>
  <c r="AO89" i="14"/>
  <c r="CC89" i="14" s="1"/>
  <c r="AO56" i="14"/>
  <c r="CC56" i="14" s="1"/>
  <c r="AO91" i="14"/>
  <c r="CC91" i="14" s="1"/>
  <c r="AO101" i="14"/>
  <c r="CC101" i="14" s="1"/>
  <c r="AO74" i="14"/>
  <c r="CC74" i="14" s="1"/>
  <c r="AO73" i="14"/>
  <c r="CC73" i="14" s="1"/>
  <c r="AO86" i="14"/>
  <c r="CC86" i="14" s="1"/>
  <c r="AO67" i="14"/>
  <c r="CC67" i="14" s="1"/>
  <c r="AO69" i="14"/>
  <c r="CC69" i="14" s="1"/>
  <c r="AO83" i="14"/>
  <c r="CC83" i="14" s="1"/>
  <c r="AO68" i="14"/>
  <c r="CC68" i="14" s="1"/>
  <c r="AO81" i="14"/>
  <c r="CC81" i="14" s="1"/>
  <c r="AO85" i="14"/>
  <c r="CC85" i="14" s="1"/>
  <c r="AO95" i="14"/>
  <c r="CC95" i="14" s="1"/>
  <c r="AO94" i="14"/>
  <c r="CC94" i="14" s="1"/>
  <c r="AO66" i="14"/>
  <c r="CC66" i="14" s="1"/>
  <c r="AO77" i="14"/>
  <c r="CC77" i="14" s="1"/>
  <c r="AO79" i="14"/>
  <c r="CC79" i="14" s="1"/>
  <c r="AO60" i="14"/>
  <c r="CC60" i="14" s="1"/>
  <c r="AO72" i="14"/>
  <c r="CC72" i="14" s="1"/>
  <c r="AO84" i="14"/>
  <c r="CC84" i="14" s="1"/>
  <c r="AO59" i="14"/>
  <c r="CC59" i="14" s="1"/>
  <c r="AO54" i="14"/>
  <c r="CC54" i="14" s="1"/>
  <c r="AO57" i="14"/>
  <c r="CC57" i="14" s="1"/>
  <c r="AO62" i="14"/>
  <c r="CC62" i="14" s="1"/>
  <c r="AO109" i="14"/>
  <c r="CC109" i="14" s="1"/>
  <c r="AO102" i="14"/>
  <c r="CC102" i="14" s="1"/>
  <c r="AO75" i="14"/>
  <c r="CC75" i="14" s="1"/>
  <c r="AO58" i="14"/>
  <c r="CC58" i="14" s="1"/>
  <c r="AO93" i="14"/>
  <c r="CC93" i="14" s="1"/>
  <c r="AO100" i="14"/>
  <c r="CC100" i="14" s="1"/>
  <c r="AO90" i="14"/>
  <c r="CC90" i="14" s="1"/>
  <c r="AO108" i="14"/>
  <c r="CC108" i="14" s="1"/>
  <c r="AO96" i="14"/>
  <c r="CC96" i="14" s="1"/>
  <c r="AO105" i="14"/>
  <c r="CC105" i="14" s="1"/>
  <c r="AO104" i="14"/>
  <c r="CC104" i="14" s="1"/>
  <c r="AK50" i="14"/>
  <c r="BY50" i="14" s="1" a="1"/>
  <c r="BY50" i="14" s="1"/>
  <c r="CG50" i="14" s="1"/>
  <c r="AK71" i="14"/>
  <c r="BY71" i="14" s="1" a="1"/>
  <c r="BY71" i="14" s="1"/>
  <c r="CG71" i="14" s="1"/>
  <c r="J25" i="12"/>
  <c r="CO43" i="14" l="1"/>
  <c r="CN14" i="14"/>
  <c r="CO51" i="14"/>
  <c r="CP51" i="14" s="1"/>
  <c r="CO45" i="14"/>
  <c r="BV12" i="14"/>
  <c r="CD12" i="14" s="1"/>
  <c r="CL12" i="14" s="1"/>
  <c r="CT12" i="14" s="1"/>
  <c r="CO63" i="14"/>
  <c r="CO46" i="14"/>
  <c r="CO78" i="14"/>
  <c r="CO65" i="14"/>
  <c r="CP65" i="14" s="1"/>
  <c r="CO55" i="14"/>
  <c r="CP55" i="14" s="1"/>
  <c r="CN11" i="14"/>
  <c r="CO29" i="14"/>
  <c r="CO44" i="14"/>
  <c r="CP44" i="14" s="1"/>
  <c r="CN18" i="14"/>
  <c r="CD15" i="14"/>
  <c r="CE14" i="14"/>
  <c r="CM14" i="14" s="1"/>
  <c r="CU14" i="14" s="1"/>
  <c r="CD17" i="14"/>
  <c r="CL17" i="14" s="1"/>
  <c r="CT17" i="14" s="1"/>
  <c r="CL15" i="14"/>
  <c r="CT15" i="14" s="1"/>
  <c r="BX12" i="14" a="1"/>
  <c r="BX12" i="14" s="1"/>
  <c r="CF12" i="14" s="1"/>
  <c r="CN12" i="14" s="1"/>
  <c r="BX10" i="14" a="1"/>
  <c r="BX10" i="14" s="1"/>
  <c r="CF10" i="14" s="1"/>
  <c r="CR18" i="14"/>
  <c r="CR16" i="14"/>
  <c r="CR17" i="14"/>
  <c r="CK22" i="14"/>
  <c r="BY22" i="14" a="1"/>
  <c r="BY22" i="14" s="1"/>
  <c r="CG22" i="14" s="1"/>
  <c r="CK19" i="14"/>
  <c r="BY19" i="14" a="1"/>
  <c r="BY19" i="14" s="1"/>
  <c r="CG19" i="14" s="1"/>
  <c r="CC18" i="14"/>
  <c r="CC17" i="14"/>
  <c r="CR14" i="14"/>
  <c r="CR15" i="14"/>
  <c r="CP37" i="14"/>
  <c r="CP34" i="14"/>
  <c r="CC14" i="14"/>
  <c r="CC15" i="14"/>
  <c r="CP28" i="14"/>
  <c r="CP40" i="14"/>
  <c r="CP36" i="14"/>
  <c r="CP24" i="14"/>
  <c r="CP41" i="14"/>
  <c r="CP25" i="14"/>
  <c r="CP31" i="14"/>
  <c r="CP23" i="14"/>
  <c r="CP20" i="14"/>
  <c r="CP33" i="14"/>
  <c r="CP39" i="14"/>
  <c r="CP32" i="14"/>
  <c r="CP35" i="14"/>
  <c r="CP26" i="14"/>
  <c r="CP38" i="14"/>
  <c r="CP42" i="14"/>
  <c r="CP21" i="14"/>
  <c r="CP27" i="14"/>
  <c r="CP30" i="14"/>
  <c r="CR13" i="14"/>
  <c r="CK52" i="14"/>
  <c r="CK74" i="14"/>
  <c r="CK105" i="14"/>
  <c r="CK60" i="14"/>
  <c r="CK91" i="14"/>
  <c r="CK82" i="14"/>
  <c r="CK96" i="14"/>
  <c r="CK56" i="14"/>
  <c r="CK61" i="14"/>
  <c r="CK103" i="14"/>
  <c r="CK79" i="14"/>
  <c r="CK108" i="14"/>
  <c r="CK77" i="14"/>
  <c r="CK89" i="14"/>
  <c r="CK49" i="14"/>
  <c r="CK54" i="14"/>
  <c r="CK104" i="14"/>
  <c r="CK66" i="14"/>
  <c r="CK53" i="14"/>
  <c r="CK48" i="14"/>
  <c r="CK99" i="14"/>
  <c r="CK100" i="14"/>
  <c r="CK64" i="14"/>
  <c r="CK70" i="14"/>
  <c r="CK86" i="14"/>
  <c r="CK90" i="14"/>
  <c r="CK93" i="14"/>
  <c r="CK95" i="14"/>
  <c r="CK97" i="14"/>
  <c r="CK87" i="14"/>
  <c r="CK59" i="14"/>
  <c r="CK72" i="14"/>
  <c r="CK94" i="14"/>
  <c r="CK58" i="14"/>
  <c r="CK85" i="14"/>
  <c r="CK80" i="14"/>
  <c r="CK88" i="14"/>
  <c r="CK81" i="14"/>
  <c r="CK84" i="14"/>
  <c r="CK92" i="14"/>
  <c r="CK102" i="14"/>
  <c r="CK68" i="14"/>
  <c r="CK76" i="14"/>
  <c r="CK106" i="14"/>
  <c r="CK75" i="14"/>
  <c r="CK109" i="14"/>
  <c r="CK83" i="14"/>
  <c r="CK47" i="14"/>
  <c r="CK73" i="14"/>
  <c r="CK101" i="14"/>
  <c r="CK62" i="14"/>
  <c r="CK69" i="14"/>
  <c r="CK107" i="14"/>
  <c r="CK57" i="14"/>
  <c r="CK67" i="14"/>
  <c r="CK98" i="14"/>
  <c r="CC12" i="14"/>
  <c r="CS55" i="14"/>
  <c r="CS43" i="14"/>
  <c r="CS51" i="14"/>
  <c r="CP43" i="14"/>
  <c r="CS65" i="14"/>
  <c r="CS44" i="14"/>
  <c r="CP45" i="14"/>
  <c r="CS45" i="14"/>
  <c r="CP29" i="14"/>
  <c r="CS29" i="14"/>
  <c r="CP46" i="14"/>
  <c r="CS46" i="14"/>
  <c r="CP63" i="14"/>
  <c r="CS63" i="14"/>
  <c r="CP78" i="14"/>
  <c r="CS78" i="14"/>
  <c r="CR11" i="14"/>
  <c r="CC11" i="14"/>
  <c r="AO71" i="14"/>
  <c r="CC71" i="14" s="1"/>
  <c r="AO50" i="14"/>
  <c r="CC50" i="14" s="1"/>
  <c r="AM10" i="14"/>
  <c r="AM13" i="14"/>
  <c r="AM16" i="14"/>
  <c r="AQ16" i="14" s="1"/>
  <c r="AY16" i="14" s="1"/>
  <c r="F90" i="12"/>
  <c r="E108" i="12"/>
  <c r="F108" i="12"/>
  <c r="AQ10" i="14" l="1"/>
  <c r="AY10" i="14" s="1"/>
  <c r="CO19" i="14"/>
  <c r="CP19" i="14" s="1"/>
  <c r="CE12" i="14"/>
  <c r="CM12" i="14" s="1"/>
  <c r="CU12" i="14" s="1"/>
  <c r="CO47" i="14"/>
  <c r="CP47" i="14" s="1"/>
  <c r="CS72" i="14"/>
  <c r="CO72" i="14"/>
  <c r="CO54" i="14"/>
  <c r="CP54" i="14" s="1"/>
  <c r="CO94" i="14"/>
  <c r="CP94" i="14" s="1"/>
  <c r="CS83" i="14"/>
  <c r="CO83" i="14"/>
  <c r="CP83" i="14" s="1"/>
  <c r="CS59" i="14"/>
  <c r="CO59" i="14"/>
  <c r="CP59" i="14" s="1"/>
  <c r="CO49" i="14"/>
  <c r="CP49" i="14" s="1"/>
  <c r="CO109" i="14"/>
  <c r="CP109" i="14" s="1"/>
  <c r="CO87" i="14"/>
  <c r="CP87" i="14" s="1"/>
  <c r="CS89" i="14"/>
  <c r="CO89" i="14"/>
  <c r="CP89" i="14" s="1"/>
  <c r="CO77" i="14"/>
  <c r="CP77" i="14" s="1"/>
  <c r="CS108" i="14"/>
  <c r="CO108" i="14"/>
  <c r="CS52" i="14"/>
  <c r="CO52" i="14"/>
  <c r="CO93" i="14"/>
  <c r="CP93" i="14" s="1"/>
  <c r="CS79" i="14"/>
  <c r="CO79" i="14"/>
  <c r="CO106" i="14"/>
  <c r="CP106" i="14" s="1"/>
  <c r="CO68" i="14"/>
  <c r="CP68" i="14" s="1"/>
  <c r="CS90" i="14"/>
  <c r="CO90" i="14"/>
  <c r="CP90" i="14" s="1"/>
  <c r="CO103" i="14"/>
  <c r="CP103" i="14" s="1"/>
  <c r="CO75" i="14"/>
  <c r="CP75" i="14" s="1"/>
  <c r="CS102" i="14"/>
  <c r="CO102" i="14"/>
  <c r="CP102" i="14" s="1"/>
  <c r="CS86" i="14"/>
  <c r="CO86" i="14"/>
  <c r="CP86" i="14" s="1"/>
  <c r="CO61" i="14"/>
  <c r="CP61" i="14" s="1"/>
  <c r="CO76" i="14"/>
  <c r="CP76" i="14" s="1"/>
  <c r="CS92" i="14"/>
  <c r="CO92" i="14"/>
  <c r="CO70" i="14"/>
  <c r="CP70" i="14" s="1"/>
  <c r="CO56" i="14"/>
  <c r="CP56" i="14" s="1"/>
  <c r="CO104" i="14"/>
  <c r="CP104" i="14" s="1"/>
  <c r="CO98" i="14"/>
  <c r="CP98" i="14" s="1"/>
  <c r="CO67" i="14"/>
  <c r="CP67" i="14" s="1"/>
  <c r="CO84" i="14"/>
  <c r="CP84" i="14" s="1"/>
  <c r="CS64" i="14"/>
  <c r="CO64" i="14"/>
  <c r="CP64" i="14" s="1"/>
  <c r="CS96" i="14"/>
  <c r="CO96" i="14"/>
  <c r="CP96" i="14" s="1"/>
  <c r="CS57" i="14"/>
  <c r="CO57" i="14"/>
  <c r="CP57" i="14" s="1"/>
  <c r="CO81" i="14"/>
  <c r="CP81" i="14" s="1"/>
  <c r="CS100" i="14"/>
  <c r="CO100" i="14"/>
  <c r="CP100" i="14" s="1"/>
  <c r="CO82" i="14"/>
  <c r="CP82" i="14" s="1"/>
  <c r="CO73" i="14"/>
  <c r="CP73" i="14" s="1"/>
  <c r="CS107" i="14"/>
  <c r="CO107" i="14"/>
  <c r="CP107" i="14" s="1"/>
  <c r="CO88" i="14"/>
  <c r="CP88" i="14" s="1"/>
  <c r="CS99" i="14"/>
  <c r="CO99" i="14"/>
  <c r="CP99" i="14" s="1"/>
  <c r="CO91" i="14"/>
  <c r="CP91" i="14" s="1"/>
  <c r="CO97" i="14"/>
  <c r="CP97" i="14" s="1"/>
  <c r="CO69" i="14"/>
  <c r="CP69" i="14" s="1"/>
  <c r="CO48" i="14"/>
  <c r="CP48" i="14" s="1"/>
  <c r="CS60" i="14"/>
  <c r="CO60" i="14"/>
  <c r="CP60" i="14" s="1"/>
  <c r="CO95" i="14"/>
  <c r="CP95" i="14" s="1"/>
  <c r="CO80" i="14"/>
  <c r="CP80" i="14" s="1"/>
  <c r="CO62" i="14"/>
  <c r="CP62" i="14" s="1"/>
  <c r="CO85" i="14"/>
  <c r="CP85" i="14" s="1"/>
  <c r="CO53" i="14"/>
  <c r="CP53" i="14" s="1"/>
  <c r="CO105" i="14"/>
  <c r="CP105" i="14" s="1"/>
  <c r="CO101" i="14"/>
  <c r="CP101" i="14" s="1"/>
  <c r="CO58" i="14"/>
  <c r="CP58" i="14" s="1"/>
  <c r="CO66" i="14"/>
  <c r="CP66" i="14" s="1"/>
  <c r="CO74" i="14"/>
  <c r="CP74" i="14" s="1"/>
  <c r="CO22" i="14"/>
  <c r="CP22" i="14" s="1"/>
  <c r="CV22" i="14" s="1"/>
  <c r="CN17" i="14"/>
  <c r="CN15" i="14"/>
  <c r="CR10" i="14"/>
  <c r="CR12" i="14"/>
  <c r="CQ20" i="14"/>
  <c r="CV20" i="14" s="1"/>
  <c r="CQ21" i="14"/>
  <c r="CV21" i="14" s="1"/>
  <c r="CS22" i="14"/>
  <c r="CK18" i="14"/>
  <c r="BY18" i="14" a="1"/>
  <c r="BY18" i="14" s="1"/>
  <c r="CG18" i="14" s="1"/>
  <c r="CO18" i="14" s="1"/>
  <c r="CS19" i="14"/>
  <c r="BC16" i="14"/>
  <c r="CL16" i="14" s="1"/>
  <c r="CN16" i="14" s="1"/>
  <c r="CA16" i="14" a="1"/>
  <c r="CA16" i="14" s="1"/>
  <c r="CI16" i="14" s="1"/>
  <c r="CE16" i="14"/>
  <c r="CK17" i="14"/>
  <c r="BY17" i="14" a="1"/>
  <c r="BY17" i="14" s="1"/>
  <c r="CG17" i="14" s="1"/>
  <c r="CS48" i="14"/>
  <c r="CS69" i="14"/>
  <c r="CK15" i="14"/>
  <c r="BY15" i="14" a="1"/>
  <c r="BY15" i="14" s="1"/>
  <c r="CG15" i="14" s="1"/>
  <c r="CS82" i="14"/>
  <c r="CK14" i="14"/>
  <c r="BY14" i="14" a="1"/>
  <c r="BY14" i="14" s="1"/>
  <c r="CG14" i="14" s="1"/>
  <c r="CO14" i="14" s="1"/>
  <c r="CP79" i="14"/>
  <c r="CS58" i="14"/>
  <c r="CS80" i="14"/>
  <c r="CS81" i="14"/>
  <c r="CS93" i="14"/>
  <c r="CS74" i="14"/>
  <c r="CS66" i="14"/>
  <c r="CS67" i="14"/>
  <c r="CP108" i="14"/>
  <c r="CS95" i="14"/>
  <c r="CS68" i="14"/>
  <c r="CS61" i="14"/>
  <c r="CS103" i="14"/>
  <c r="CS106" i="14"/>
  <c r="CS76" i="14"/>
  <c r="CS94" i="14"/>
  <c r="CS77" i="14"/>
  <c r="CS104" i="14"/>
  <c r="CS97" i="14"/>
  <c r="CP52" i="14"/>
  <c r="CS73" i="14"/>
  <c r="CS105" i="14"/>
  <c r="CS53" i="14"/>
  <c r="CS101" i="14"/>
  <c r="CS88" i="14"/>
  <c r="CS85" i="14"/>
  <c r="CS91" i="14"/>
  <c r="CS109" i="14"/>
  <c r="CS87" i="14"/>
  <c r="CS62" i="14"/>
  <c r="CS49" i="14"/>
  <c r="CS84" i="14"/>
  <c r="CS47" i="14"/>
  <c r="CP92" i="14"/>
  <c r="CS56" i="14"/>
  <c r="CS98" i="14"/>
  <c r="CS70" i="14"/>
  <c r="CP72" i="14"/>
  <c r="CS54" i="14"/>
  <c r="CS75" i="14"/>
  <c r="CK71" i="14"/>
  <c r="CK50" i="14"/>
  <c r="AQ13" i="14"/>
  <c r="AY13" i="14" s="1"/>
  <c r="CK12" i="14"/>
  <c r="BY12" i="14" a="1"/>
  <c r="BY12" i="14" s="1"/>
  <c r="CG12" i="14" s="1"/>
  <c r="CK11" i="14"/>
  <c r="BY11" i="14" a="1"/>
  <c r="BY11" i="14" s="1"/>
  <c r="CG11" i="14" s="1"/>
  <c r="CO11" i="14" s="1"/>
  <c r="AK10" i="14"/>
  <c r="AK16" i="14"/>
  <c r="H50" i="12"/>
  <c r="CA10" i="14" l="1" a="1"/>
  <c r="CA10" i="14" s="1"/>
  <c r="CI10" i="14" s="1"/>
  <c r="BC10" i="14"/>
  <c r="CE10" i="14"/>
  <c r="CO12" i="14"/>
  <c r="CO15" i="14"/>
  <c r="CP15" i="14" s="1"/>
  <c r="CO17" i="14"/>
  <c r="CP17" i="14" s="1"/>
  <c r="CO50" i="14"/>
  <c r="CP50" i="14" s="1"/>
  <c r="CS71" i="14"/>
  <c r="CO71" i="14"/>
  <c r="CP71" i="14" s="1"/>
  <c r="CM16" i="14"/>
  <c r="CW20" i="14"/>
  <c r="CW21" i="14"/>
  <c r="CQ19" i="14"/>
  <c r="CV19" i="14" s="1"/>
  <c r="CW22" i="14"/>
  <c r="CS18" i="14"/>
  <c r="CP18" i="14"/>
  <c r="CS17" i="14"/>
  <c r="CU16" i="14"/>
  <c r="CP14" i="14"/>
  <c r="CS14" i="14"/>
  <c r="CS15" i="14"/>
  <c r="CS50" i="14"/>
  <c r="AK13" i="14"/>
  <c r="AO13" i="14" s="1"/>
  <c r="AW13" i="14" s="1"/>
  <c r="BA13" i="14" s="1"/>
  <c r="CA13" i="14" a="1"/>
  <c r="CA13" i="14" s="1"/>
  <c r="CI13" i="14" s="1"/>
  <c r="BC13" i="14"/>
  <c r="CL13" i="14" s="1"/>
  <c r="CN13" i="14" s="1"/>
  <c r="CE13" i="14"/>
  <c r="CS12" i="14"/>
  <c r="AO16" i="14"/>
  <c r="AW16" i="14" s="1"/>
  <c r="BA16" i="14" s="1"/>
  <c r="AO10" i="14"/>
  <c r="AW10" i="14" s="1"/>
  <c r="BA10" i="14" s="1"/>
  <c r="CS11" i="14"/>
  <c r="D2" i="18" a="1"/>
  <c r="D2" i="18" s="1"/>
  <c r="E39" i="12"/>
  <c r="CL10" i="14" l="1"/>
  <c r="CM10" i="14"/>
  <c r="CU10" i="14" s="1"/>
  <c r="CM13" i="14"/>
  <c r="CU13" i="14" s="1"/>
  <c r="CW19" i="14"/>
  <c r="CQ14" i="14"/>
  <c r="CV14" i="14" s="1"/>
  <c r="CQ17" i="14"/>
  <c r="CW17" i="14" s="1"/>
  <c r="CQ18" i="14"/>
  <c r="CV18" i="14" s="1"/>
  <c r="CQ15" i="14"/>
  <c r="CW15" i="14" s="1"/>
  <c r="CT16" i="14"/>
  <c r="CC16" i="14"/>
  <c r="CP11" i="14"/>
  <c r="CP12" i="14"/>
  <c r="CC13" i="14"/>
  <c r="CC10" i="14"/>
  <c r="E42" i="12"/>
  <c r="H31" i="12"/>
  <c r="H49" i="12"/>
  <c r="H74" i="12" s="1"/>
  <c r="H46" i="12"/>
  <c r="H45" i="12"/>
  <c r="H41" i="12"/>
  <c r="H38" i="12"/>
  <c r="H37" i="12"/>
  <c r="CT10" i="14" l="1"/>
  <c r="CN10" i="14"/>
  <c r="CW14" i="14"/>
  <c r="CW18" i="14"/>
  <c r="CV15" i="14"/>
  <c r="CQ12" i="14"/>
  <c r="CV12" i="14" s="1"/>
  <c r="CV17" i="14"/>
  <c r="CQ11" i="14"/>
  <c r="CW11" i="14" s="1"/>
  <c r="H77" i="12"/>
  <c r="H76" i="12"/>
  <c r="H75" i="12"/>
  <c r="CK16" i="14"/>
  <c r="BY16" i="14" a="1"/>
  <c r="BY16" i="14" s="1"/>
  <c r="CG16" i="14" s="1"/>
  <c r="CO16" i="14" s="1"/>
  <c r="CT13" i="14"/>
  <c r="E2" i="18" s="1" a="1"/>
  <c r="E2" i="18" s="1"/>
  <c r="CK13" i="14"/>
  <c r="BY13" i="14" a="1"/>
  <c r="BY13" i="14" s="1"/>
  <c r="CG13" i="14" s="1"/>
  <c r="CO13" i="14" s="1"/>
  <c r="CK10" i="14"/>
  <c r="BY10" i="14" a="1"/>
  <c r="BY10" i="14" s="1"/>
  <c r="CG10" i="14" s="1"/>
  <c r="CO10" i="14" s="1"/>
  <c r="G2" i="18" a="1"/>
  <c r="G2" i="18" s="1"/>
  <c r="E43" i="12"/>
  <c r="H39" i="12"/>
  <c r="G108" i="12"/>
  <c r="H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E108" i="12"/>
  <c r="AF108" i="12"/>
  <c r="AG108" i="12"/>
  <c r="AH108" i="12"/>
  <c r="AI108" i="12"/>
  <c r="G90" i="12"/>
  <c r="H90" i="12"/>
  <c r="I90" i="12"/>
  <c r="J90" i="12"/>
  <c r="K90" i="12"/>
  <c r="L90" i="12"/>
  <c r="M90" i="12"/>
  <c r="N90" i="12"/>
  <c r="O90" i="12"/>
  <c r="P90" i="12"/>
  <c r="Q90" i="12"/>
  <c r="R90" i="12"/>
  <c r="S90" i="12"/>
  <c r="T90" i="12"/>
  <c r="U90" i="12"/>
  <c r="V90" i="12"/>
  <c r="W90" i="12"/>
  <c r="X90" i="12"/>
  <c r="Y90" i="12"/>
  <c r="Z90" i="12"/>
  <c r="AA90" i="12"/>
  <c r="AB90" i="12"/>
  <c r="AC90" i="12"/>
  <c r="AD90" i="12"/>
  <c r="AE90" i="12"/>
  <c r="AF90" i="12"/>
  <c r="AG90" i="12"/>
  <c r="AH90" i="12"/>
  <c r="AI90" i="12"/>
  <c r="D39" i="12"/>
  <c r="G39" i="12"/>
  <c r="E47" i="12"/>
  <c r="G47" i="12"/>
  <c r="D58" i="12"/>
  <c r="H69" i="12"/>
  <c r="H41" i="10"/>
  <c r="I41" i="10" s="1"/>
  <c r="CW12" i="14" l="1"/>
  <c r="CV11" i="14"/>
  <c r="G79" i="12"/>
  <c r="G78" i="12"/>
  <c r="E79" i="12"/>
  <c r="E78" i="12"/>
  <c r="CP16" i="14"/>
  <c r="CS16" i="14"/>
  <c r="CS10" i="14"/>
  <c r="CS13" i="14"/>
  <c r="D42" i="12"/>
  <c r="D43" i="12" s="1"/>
  <c r="H42" i="12"/>
  <c r="H43" i="12" s="1"/>
  <c r="H47" i="12"/>
  <c r="E69" i="12"/>
  <c r="D69" i="12"/>
  <c r="CQ16" i="14" l="1"/>
  <c r="CV16" i="14" s="1"/>
  <c r="H79" i="12"/>
  <c r="H78" i="12"/>
  <c r="CP10" i="14"/>
  <c r="CQ10" i="14" s="1"/>
  <c r="CP13" i="14"/>
  <c r="F2" i="18" a="1"/>
  <c r="F2" i="18" s="1"/>
  <c r="D54" i="12"/>
  <c r="E71" i="12" s="1"/>
  <c r="G41" i="12"/>
  <c r="G42" i="12" s="1"/>
  <c r="G43" i="12" s="1"/>
  <c r="D73" i="12"/>
  <c r="D70" i="12"/>
  <c r="E70" i="12"/>
  <c r="E73" i="12"/>
  <c r="CQ13" i="14" l="1"/>
  <c r="CV13" i="14" s="1"/>
  <c r="CW16" i="14"/>
  <c r="CV10" i="14"/>
  <c r="CW10" i="14"/>
  <c r="E85" i="12"/>
  <c r="E91" i="12" s="1"/>
  <c r="E96" i="12" s="1"/>
  <c r="D71" i="12"/>
  <c r="D72" i="12" s="1"/>
  <c r="E86" i="12"/>
  <c r="E92" i="12" s="1"/>
  <c r="E97" i="12" s="1"/>
  <c r="E87" i="12"/>
  <c r="E93" i="12" s="1"/>
  <c r="E98" i="12" s="1"/>
  <c r="F87" i="12"/>
  <c r="F93" i="12" s="1"/>
  <c r="F98" i="12" s="1"/>
  <c r="AB87" i="12"/>
  <c r="AB93" i="12" s="1"/>
  <c r="AB98" i="12" s="1"/>
  <c r="H73" i="12"/>
  <c r="H70" i="12"/>
  <c r="H71" i="12"/>
  <c r="H72" i="12" s="1"/>
  <c r="E72" i="12"/>
  <c r="AA87" i="12"/>
  <c r="AA93" i="12" s="1"/>
  <c r="AA98" i="12" s="1"/>
  <c r="G87" i="12"/>
  <c r="G93" i="12" s="1"/>
  <c r="G98" i="12" s="1"/>
  <c r="AH85" i="12"/>
  <c r="AH91" i="12" s="1"/>
  <c r="AH96" i="12" s="1"/>
  <c r="AH87" i="12"/>
  <c r="AH93" i="12" s="1"/>
  <c r="AH98" i="12" s="1"/>
  <c r="AF87" i="12"/>
  <c r="AF93" i="12" s="1"/>
  <c r="AF98" i="12" s="1"/>
  <c r="L87" i="12"/>
  <c r="L93" i="12" s="1"/>
  <c r="L98" i="12" s="1"/>
  <c r="AE85" i="12"/>
  <c r="AE91" i="12" s="1"/>
  <c r="AE96" i="12" s="1"/>
  <c r="AE87" i="12"/>
  <c r="AE93" i="12" s="1"/>
  <c r="AE98" i="12" s="1"/>
  <c r="Q87" i="12"/>
  <c r="Q93" i="12" s="1"/>
  <c r="Q98" i="12" s="1"/>
  <c r="W87" i="12"/>
  <c r="W93" i="12" s="1"/>
  <c r="W98" i="12" s="1"/>
  <c r="AD85" i="12"/>
  <c r="AD91" i="12" s="1"/>
  <c r="AD96" i="12" s="1"/>
  <c r="R87" i="12"/>
  <c r="R93" i="12" s="1"/>
  <c r="R98" i="12" s="1"/>
  <c r="AI87" i="12"/>
  <c r="AI93" i="12" s="1"/>
  <c r="AI98" i="12" s="1"/>
  <c r="J87" i="12"/>
  <c r="J93" i="12" s="1"/>
  <c r="J98" i="12" s="1"/>
  <c r="AD87" i="12"/>
  <c r="AD93" i="12" s="1"/>
  <c r="AD98" i="12" s="1"/>
  <c r="S87" i="12"/>
  <c r="S93" i="12" s="1"/>
  <c r="S98" i="12" s="1"/>
  <c r="P87" i="12"/>
  <c r="P93" i="12" s="1"/>
  <c r="P98" i="12" s="1"/>
  <c r="AG87" i="12"/>
  <c r="AG93" i="12" s="1"/>
  <c r="AG98" i="12" s="1"/>
  <c r="H87" i="12"/>
  <c r="H93" i="12" s="1"/>
  <c r="H98" i="12" s="1"/>
  <c r="AG85" i="12"/>
  <c r="AG91" i="12" s="1"/>
  <c r="AG96" i="12" s="1"/>
  <c r="Y87" i="12"/>
  <c r="Y93" i="12" s="1"/>
  <c r="Y98" i="12" s="1"/>
  <c r="M87" i="12"/>
  <c r="M93" i="12" s="1"/>
  <c r="M98" i="12" s="1"/>
  <c r="AI85" i="12"/>
  <c r="AI91" i="12" s="1"/>
  <c r="AI96" i="12" s="1"/>
  <c r="AF85" i="12"/>
  <c r="AF91" i="12" s="1"/>
  <c r="AF96" i="12" s="1"/>
  <c r="I87" i="12"/>
  <c r="I93" i="12" s="1"/>
  <c r="I98" i="12" s="1"/>
  <c r="O87" i="12"/>
  <c r="O93" i="12" s="1"/>
  <c r="O98" i="12" s="1"/>
  <c r="U87" i="12"/>
  <c r="U93" i="12" s="1"/>
  <c r="U98" i="12" s="1"/>
  <c r="P86" i="12"/>
  <c r="P92" i="12" s="1"/>
  <c r="P97" i="12" s="1"/>
  <c r="X86" i="12"/>
  <c r="X92" i="12" s="1"/>
  <c r="X97" i="12" s="1"/>
  <c r="AF86" i="12"/>
  <c r="AF92" i="12" s="1"/>
  <c r="AF97" i="12" s="1"/>
  <c r="Y86" i="12"/>
  <c r="Y92" i="12" s="1"/>
  <c r="Y97" i="12" s="1"/>
  <c r="Q86" i="12"/>
  <c r="Q92" i="12" s="1"/>
  <c r="Q97" i="12" s="1"/>
  <c r="AG86" i="12"/>
  <c r="AG92" i="12" s="1"/>
  <c r="AG97" i="12" s="1"/>
  <c r="R86" i="12"/>
  <c r="R92" i="12" s="1"/>
  <c r="R97" i="12" s="1"/>
  <c r="Z86" i="12"/>
  <c r="Z92" i="12" s="1"/>
  <c r="Z97" i="12" s="1"/>
  <c r="S86" i="12"/>
  <c r="S92" i="12" s="1"/>
  <c r="S97" i="12" s="1"/>
  <c r="AA86" i="12"/>
  <c r="AA92" i="12" s="1"/>
  <c r="AA97" i="12" s="1"/>
  <c r="AI86" i="12"/>
  <c r="AI92" i="12" s="1"/>
  <c r="AI97" i="12" s="1"/>
  <c r="T86" i="12"/>
  <c r="T92" i="12" s="1"/>
  <c r="T97" i="12" s="1"/>
  <c r="AB86" i="12"/>
  <c r="AB92" i="12" s="1"/>
  <c r="AB97" i="12" s="1"/>
  <c r="W86" i="12"/>
  <c r="W92" i="12" s="1"/>
  <c r="W97" i="12" s="1"/>
  <c r="U86" i="12"/>
  <c r="U92" i="12" s="1"/>
  <c r="U97" i="12" s="1"/>
  <c r="AC86" i="12"/>
  <c r="AC92" i="12" s="1"/>
  <c r="AC97" i="12" s="1"/>
  <c r="O86" i="12"/>
  <c r="O92" i="12" s="1"/>
  <c r="O97" i="12" s="1"/>
  <c r="AH86" i="12"/>
  <c r="AH92" i="12" s="1"/>
  <c r="AH97" i="12" s="1"/>
  <c r="V86" i="12"/>
  <c r="V92" i="12" s="1"/>
  <c r="V97" i="12" s="1"/>
  <c r="AD86" i="12"/>
  <c r="AD92" i="12" s="1"/>
  <c r="AD97" i="12" s="1"/>
  <c r="AE86" i="12"/>
  <c r="AE92" i="12" s="1"/>
  <c r="AE97" i="12" s="1"/>
  <c r="N87" i="12"/>
  <c r="N93" i="12" s="1"/>
  <c r="N98" i="12" s="1"/>
  <c r="Z87" i="12"/>
  <c r="Z93" i="12" s="1"/>
  <c r="Z98" i="12" s="1"/>
  <c r="J88" i="12"/>
  <c r="J94" i="12" s="1"/>
  <c r="J99" i="12" s="1"/>
  <c r="R88" i="12"/>
  <c r="R94" i="12" s="1"/>
  <c r="R99" i="12" s="1"/>
  <c r="Z88" i="12"/>
  <c r="Z94" i="12" s="1"/>
  <c r="Z99" i="12" s="1"/>
  <c r="AH88" i="12"/>
  <c r="AH94" i="12" s="1"/>
  <c r="AH99" i="12" s="1"/>
  <c r="K88" i="12"/>
  <c r="K94" i="12" s="1"/>
  <c r="K99" i="12" s="1"/>
  <c r="S88" i="12"/>
  <c r="S94" i="12" s="1"/>
  <c r="S99" i="12" s="1"/>
  <c r="AA88" i="12"/>
  <c r="AA94" i="12" s="1"/>
  <c r="AA99" i="12" s="1"/>
  <c r="AI88" i="12"/>
  <c r="AI94" i="12" s="1"/>
  <c r="AI99" i="12" s="1"/>
  <c r="AG88" i="12"/>
  <c r="AG94" i="12" s="1"/>
  <c r="AG99" i="12" s="1"/>
  <c r="L88" i="12"/>
  <c r="L94" i="12" s="1"/>
  <c r="L99" i="12" s="1"/>
  <c r="T88" i="12"/>
  <c r="T94" i="12" s="1"/>
  <c r="T99" i="12" s="1"/>
  <c r="AB88" i="12"/>
  <c r="AB94" i="12" s="1"/>
  <c r="AB99" i="12" s="1"/>
  <c r="M88" i="12"/>
  <c r="M94" i="12" s="1"/>
  <c r="M99" i="12" s="1"/>
  <c r="U88" i="12"/>
  <c r="U94" i="12" s="1"/>
  <c r="U99" i="12" s="1"/>
  <c r="AC88" i="12"/>
  <c r="AC94" i="12" s="1"/>
  <c r="AC99" i="12" s="1"/>
  <c r="Q88" i="12"/>
  <c r="Q94" i="12" s="1"/>
  <c r="Q99" i="12" s="1"/>
  <c r="V88" i="12"/>
  <c r="V94" i="12" s="1"/>
  <c r="V99" i="12" s="1"/>
  <c r="AD88" i="12"/>
  <c r="AD94" i="12" s="1"/>
  <c r="AD99" i="12" s="1"/>
  <c r="Y88" i="12"/>
  <c r="Y94" i="12" s="1"/>
  <c r="Y99" i="12" s="1"/>
  <c r="O88" i="12"/>
  <c r="O94" i="12" s="1"/>
  <c r="O99" i="12" s="1"/>
  <c r="W88" i="12"/>
  <c r="W94" i="12" s="1"/>
  <c r="W99" i="12" s="1"/>
  <c r="AE88" i="12"/>
  <c r="AE94" i="12" s="1"/>
  <c r="AE99" i="12" s="1"/>
  <c r="P88" i="12"/>
  <c r="P94" i="12" s="1"/>
  <c r="P99" i="12" s="1"/>
  <c r="X88" i="12"/>
  <c r="X94" i="12" s="1"/>
  <c r="X99" i="12" s="1"/>
  <c r="AF88" i="12"/>
  <c r="AF94" i="12" s="1"/>
  <c r="AF99" i="12" s="1"/>
  <c r="CW13" i="14" l="1"/>
  <c r="E104" i="12"/>
  <c r="E110" i="12" s="1"/>
  <c r="E115" i="12" s="1"/>
  <c r="E106" i="12"/>
  <c r="E112" i="12" s="1"/>
  <c r="E117" i="12" s="1"/>
  <c r="W104" i="12"/>
  <c r="W110" i="12" s="1"/>
  <c r="W115" i="12" s="1"/>
  <c r="AB106" i="12"/>
  <c r="AB112" i="12" s="1"/>
  <c r="AB117" i="12" s="1"/>
  <c r="Z104" i="12"/>
  <c r="Z110" i="12" s="1"/>
  <c r="Z115" i="12" s="1"/>
  <c r="Y104" i="12"/>
  <c r="Y110" i="12" s="1"/>
  <c r="Y115" i="12" s="1"/>
  <c r="AI106" i="12"/>
  <c r="AI112" i="12" s="1"/>
  <c r="AI117" i="12" s="1"/>
  <c r="AG106" i="12"/>
  <c r="AG112" i="12" s="1"/>
  <c r="AG117" i="12" s="1"/>
  <c r="V106" i="12"/>
  <c r="V112" i="12" s="1"/>
  <c r="V117" i="12" s="1"/>
  <c r="AH104" i="12"/>
  <c r="AH110" i="12" s="1"/>
  <c r="AH115" i="12" s="1"/>
  <c r="R106" i="12"/>
  <c r="R112" i="12" s="1"/>
  <c r="R117" i="12" s="1"/>
  <c r="AD106" i="12"/>
  <c r="AD112" i="12" s="1"/>
  <c r="AD117" i="12" s="1"/>
  <c r="X106" i="12"/>
  <c r="X112" i="12" s="1"/>
  <c r="X117" i="12" s="1"/>
  <c r="L106" i="12"/>
  <c r="L112" i="12" s="1"/>
  <c r="L117" i="12" s="1"/>
  <c r="AB104" i="12"/>
  <c r="AB110" i="12" s="1"/>
  <c r="AB115" i="12" s="1"/>
  <c r="K106" i="12"/>
  <c r="K112" i="12" s="1"/>
  <c r="K117" i="12" s="1"/>
  <c r="AA106" i="12"/>
  <c r="AA112" i="12" s="1"/>
  <c r="AA117" i="12" s="1"/>
  <c r="AC106" i="12"/>
  <c r="AC112" i="12" s="1"/>
  <c r="AC117" i="12" s="1"/>
  <c r="Y106" i="12"/>
  <c r="Y112" i="12" s="1"/>
  <c r="Y117" i="12" s="1"/>
  <c r="AE104" i="12"/>
  <c r="AE110" i="12" s="1"/>
  <c r="AE115" i="12" s="1"/>
  <c r="Z106" i="12"/>
  <c r="Z112" i="12" s="1"/>
  <c r="Z117" i="12" s="1"/>
  <c r="T106" i="12"/>
  <c r="T112" i="12" s="1"/>
  <c r="T117" i="12" s="1"/>
  <c r="AC104" i="12"/>
  <c r="AC110" i="12" s="1"/>
  <c r="AC115" i="12" s="1"/>
  <c r="AG104" i="12"/>
  <c r="AG110" i="12" s="1"/>
  <c r="AG115" i="12" s="1"/>
  <c r="AI104" i="12"/>
  <c r="AI110" i="12" s="1"/>
  <c r="AI115" i="12" s="1"/>
  <c r="U106" i="12"/>
  <c r="U112" i="12" s="1"/>
  <c r="U117" i="12" s="1"/>
  <c r="AD104" i="12"/>
  <c r="AD110" i="12" s="1"/>
  <c r="AD115" i="12" s="1"/>
  <c r="AE106" i="12"/>
  <c r="AE112" i="12" s="1"/>
  <c r="AE117" i="12" s="1"/>
  <c r="AH106" i="12"/>
  <c r="AH112" i="12" s="1"/>
  <c r="AH117" i="12" s="1"/>
  <c r="AA104" i="12"/>
  <c r="AA110" i="12" s="1"/>
  <c r="AA115" i="12" s="1"/>
  <c r="U104" i="12"/>
  <c r="U110" i="12" s="1"/>
  <c r="U115" i="12" s="1"/>
  <c r="G106" i="12"/>
  <c r="G112" i="12" s="1"/>
  <c r="G117" i="12" s="1"/>
  <c r="T104" i="12"/>
  <c r="T110" i="12" s="1"/>
  <c r="T115" i="12" s="1"/>
  <c r="W106" i="12"/>
  <c r="W112" i="12" s="1"/>
  <c r="W117" i="12" s="1"/>
  <c r="O106" i="12"/>
  <c r="O112" i="12" s="1"/>
  <c r="O117" i="12" s="1"/>
  <c r="AF104" i="12"/>
  <c r="AF110" i="12" s="1"/>
  <c r="AF115" i="12" s="1"/>
  <c r="X104" i="12"/>
  <c r="X110" i="12" s="1"/>
  <c r="X115" i="12" s="1"/>
  <c r="M106" i="12"/>
  <c r="M112" i="12" s="1"/>
  <c r="M117" i="12" s="1"/>
  <c r="AF106" i="12"/>
  <c r="AF112" i="12" s="1"/>
  <c r="AF117" i="12" s="1"/>
  <c r="V104" i="12"/>
  <c r="V110" i="12" s="1"/>
  <c r="V115" i="12" s="1"/>
  <c r="G69" i="12"/>
  <c r="G73" i="12" l="1"/>
  <c r="G70" i="12"/>
  <c r="G71" i="12"/>
  <c r="G72" i="12" s="1"/>
  <c r="E103" i="12" l="1"/>
  <c r="E109" i="12" s="1"/>
  <c r="E114" i="12" s="1"/>
  <c r="E105" i="12"/>
  <c r="E111" i="12" s="1"/>
  <c r="E116" i="12" s="1"/>
  <c r="F105" i="12"/>
  <c r="F111" i="12" s="1"/>
  <c r="F116" i="12" s="1"/>
  <c r="AI103" i="12"/>
  <c r="AI109" i="12" s="1"/>
  <c r="AI114" i="12" s="1"/>
  <c r="AG103" i="12"/>
  <c r="AG109" i="12" s="1"/>
  <c r="AG114" i="12" s="1"/>
  <c r="AD103" i="12"/>
  <c r="AD109" i="12" s="1"/>
  <c r="AD114" i="12" s="1"/>
  <c r="Q105" i="12"/>
  <c r="Q111" i="12" s="1"/>
  <c r="Q116" i="12" s="1"/>
  <c r="U105" i="12"/>
  <c r="U111" i="12" s="1"/>
  <c r="U116" i="12" s="1"/>
  <c r="AE105" i="12"/>
  <c r="AE111" i="12" s="1"/>
  <c r="AE116" i="12" s="1"/>
  <c r="M105" i="12"/>
  <c r="J105" i="12"/>
  <c r="J111" i="12" s="1"/>
  <c r="J116" i="12" s="1"/>
  <c r="AG105" i="12"/>
  <c r="AG111" i="12" s="1"/>
  <c r="AG116" i="12" s="1"/>
  <c r="W105" i="12"/>
  <c r="W111" i="12" s="1"/>
  <c r="W116" i="12" s="1"/>
  <c r="AD105" i="12"/>
  <c r="AD111" i="12" s="1"/>
  <c r="AD116" i="12" s="1"/>
  <c r="O105" i="12"/>
  <c r="O111" i="12" s="1"/>
  <c r="O116" i="12" s="1"/>
  <c r="G105" i="12"/>
  <c r="G111" i="12" s="1"/>
  <c r="G116" i="12" s="1"/>
  <c r="AI105" i="12"/>
  <c r="AI111" i="12" s="1"/>
  <c r="AI116" i="12" s="1"/>
  <c r="L105" i="12"/>
  <c r="L111" i="12" s="1"/>
  <c r="L116" i="12" s="1"/>
  <c r="AH103" i="12"/>
  <c r="AH109" i="12" s="1"/>
  <c r="AH114" i="12" s="1"/>
  <c r="AE103" i="12"/>
  <c r="AE109" i="12" s="1"/>
  <c r="AE114" i="12" s="1"/>
  <c r="AF103" i="12"/>
  <c r="AF109" i="12" s="1"/>
  <c r="AF114" i="12" s="1"/>
  <c r="H40" i="10"/>
  <c r="I40" i="10" s="1"/>
  <c r="H39" i="10"/>
  <c r="I39" i="10" s="1"/>
  <c r="H38" i="10"/>
  <c r="I38" i="10" s="1"/>
  <c r="H37" i="10"/>
  <c r="I37" i="10" s="1"/>
  <c r="H36" i="10"/>
  <c r="I36" i="10" s="1"/>
  <c r="H35" i="10"/>
  <c r="I35" i="10" s="1"/>
  <c r="I34" i="10"/>
  <c r="H34" i="10"/>
  <c r="H33" i="10"/>
  <c r="I33" i="10" s="1"/>
  <c r="H32" i="10"/>
  <c r="I32" i="10" s="1"/>
  <c r="H31" i="10"/>
  <c r="I31" i="10" s="1"/>
  <c r="H30" i="10"/>
  <c r="I30" i="10" s="1"/>
  <c r="H29" i="10"/>
  <c r="I29" i="10" s="1"/>
  <c r="H28" i="10"/>
  <c r="I28" i="10" s="1"/>
  <c r="H27" i="10"/>
  <c r="I27" i="10" s="1"/>
  <c r="H26" i="10"/>
  <c r="I26" i="10" s="1"/>
  <c r="H25" i="10"/>
  <c r="I25" i="10" s="1"/>
  <c r="H24" i="10"/>
  <c r="I24" i="10" s="1"/>
  <c r="H23" i="10"/>
  <c r="I23" i="10" s="1"/>
  <c r="H22" i="10"/>
  <c r="I22" i="10" s="1"/>
  <c r="H21" i="10"/>
  <c r="I21" i="10" s="1"/>
  <c r="H20" i="10"/>
  <c r="I20" i="10" s="1"/>
  <c r="H19" i="10"/>
  <c r="I19" i="10" s="1"/>
  <c r="H18" i="10"/>
  <c r="I18" i="10" s="1"/>
  <c r="H17" i="10"/>
  <c r="I17" i="10" s="1"/>
  <c r="H16" i="10"/>
  <c r="I16" i="10" s="1"/>
  <c r="H15" i="10"/>
  <c r="I15" i="10" s="1"/>
  <c r="H14" i="10"/>
  <c r="I14" i="10" s="1"/>
  <c r="H13" i="10"/>
  <c r="I13" i="10" s="1"/>
  <c r="H12" i="10"/>
  <c r="I12" i="10" s="1"/>
  <c r="H11" i="10"/>
  <c r="I11" i="10" s="1"/>
  <c r="H10" i="10"/>
  <c r="I10" i="10" s="1"/>
  <c r="H9" i="10"/>
  <c r="I9" i="10" s="1"/>
  <c r="H8" i="10"/>
  <c r="I8" i="10" s="1"/>
  <c r="H7" i="10"/>
  <c r="I7" i="10" s="1"/>
  <c r="H6" i="10"/>
  <c r="I6" i="10" s="1"/>
  <c r="H5" i="10"/>
  <c r="I5" i="10" s="1"/>
  <c r="H4" i="10"/>
  <c r="I4" i="10" s="1"/>
  <c r="H3" i="10"/>
  <c r="I3" i="10" s="1"/>
  <c r="H2" i="10"/>
  <c r="I2" i="10" s="1"/>
  <c r="M111" i="12" l="1"/>
  <c r="M116" i="12" s="1"/>
  <c r="T87" i="12"/>
  <c r="T93" i="12" s="1"/>
  <c r="T98" i="12" s="1"/>
  <c r="H86" i="12" l="1"/>
  <c r="H92" i="12" s="1"/>
  <c r="H97" i="12" s="1"/>
  <c r="F86" i="12"/>
  <c r="F92" i="12" s="1"/>
  <c r="F97" i="12" s="1"/>
  <c r="G86" i="12"/>
  <c r="G92" i="12" s="1"/>
  <c r="G97" i="12" s="1"/>
  <c r="G85" i="12"/>
  <c r="G91" i="12" s="1"/>
  <c r="G96" i="12" s="1"/>
  <c r="F85" i="12"/>
  <c r="F91" i="12" s="1"/>
  <c r="F96" i="12" s="1"/>
  <c r="AC87" i="12"/>
  <c r="AC93" i="12" s="1"/>
  <c r="AC98" i="12" s="1"/>
  <c r="V87" i="12"/>
  <c r="V93" i="12" s="1"/>
  <c r="V98" i="12" s="1"/>
  <c r="I85" i="12"/>
  <c r="I91" i="12" s="1"/>
  <c r="I96" i="12" s="1"/>
  <c r="H85" i="12"/>
  <c r="H91" i="12" s="1"/>
  <c r="H96" i="12" s="1"/>
  <c r="Z85" i="12"/>
  <c r="Z91" i="12" s="1"/>
  <c r="Z96" i="12" s="1"/>
  <c r="AB85" i="12"/>
  <c r="AB91" i="12" s="1"/>
  <c r="AB96" i="12" s="1"/>
  <c r="AC85" i="12"/>
  <c r="AC91" i="12" s="1"/>
  <c r="AC96" i="12" s="1"/>
  <c r="AA85" i="12"/>
  <c r="AA91" i="12" s="1"/>
  <c r="AA96" i="12" s="1"/>
  <c r="Y85" i="12"/>
  <c r="Y91" i="12" s="1"/>
  <c r="Y96" i="12" s="1"/>
  <c r="X87" i="12"/>
  <c r="X93" i="12" s="1"/>
  <c r="X98" i="12" s="1"/>
  <c r="K87" i="12"/>
  <c r="K93" i="12" s="1"/>
  <c r="K98" i="12" s="1"/>
  <c r="V85" i="12"/>
  <c r="V91" i="12" s="1"/>
  <c r="V96" i="12" s="1"/>
  <c r="L85" i="12"/>
  <c r="L91" i="12" s="1"/>
  <c r="L96" i="12" s="1"/>
  <c r="X85" i="12"/>
  <c r="X91" i="12" s="1"/>
  <c r="X96" i="12" s="1"/>
  <c r="J85" i="12"/>
  <c r="J91" i="12" s="1"/>
  <c r="J96" i="12" s="1"/>
  <c r="R85" i="12"/>
  <c r="R91" i="12" s="1"/>
  <c r="R96" i="12" s="1"/>
  <c r="T85" i="12"/>
  <c r="T91" i="12" s="1"/>
  <c r="T96" i="12" s="1"/>
  <c r="P85" i="12"/>
  <c r="P91" i="12" s="1"/>
  <c r="P96" i="12" s="1"/>
  <c r="Q85" i="12"/>
  <c r="Q91" i="12" s="1"/>
  <c r="Q96" i="12" s="1"/>
  <c r="U85" i="12"/>
  <c r="U91" i="12" s="1"/>
  <c r="U96" i="12" s="1"/>
  <c r="M85" i="12"/>
  <c r="M91" i="12" s="1"/>
  <c r="M96" i="12" s="1"/>
  <c r="W85" i="12"/>
  <c r="W91" i="12" s="1"/>
  <c r="W96" i="12" s="1"/>
  <c r="N85" i="12"/>
  <c r="N91" i="12" s="1"/>
  <c r="N96" i="12" s="1"/>
  <c r="O85" i="12"/>
  <c r="O91" i="12" s="1"/>
  <c r="O96" i="12" s="1"/>
  <c r="S85" i="12"/>
  <c r="S91" i="12" s="1"/>
  <c r="S96" i="12" s="1"/>
  <c r="K85" i="12"/>
  <c r="K91" i="12" s="1"/>
  <c r="K96" i="12" s="1"/>
  <c r="Y105" i="12"/>
  <c r="Y111" i="12" s="1"/>
  <c r="Y116" i="12" s="1"/>
  <c r="E123" i="12" l="1"/>
  <c r="H106" i="12"/>
  <c r="H112" i="12" s="1"/>
  <c r="H117" i="12" s="1"/>
  <c r="J106" i="12"/>
  <c r="J112" i="12" s="1"/>
  <c r="J117" i="12" s="1"/>
  <c r="H103" i="12"/>
  <c r="H109" i="12" s="1"/>
  <c r="H114" i="12" s="1"/>
  <c r="F103" i="12"/>
  <c r="F109" i="12" s="1"/>
  <c r="F114" i="12" s="1"/>
  <c r="G103" i="12"/>
  <c r="G109" i="12" s="1"/>
  <c r="G114" i="12" s="1"/>
  <c r="Q106" i="12"/>
  <c r="Q112" i="12" s="1"/>
  <c r="Q117" i="12" s="1"/>
  <c r="I106" i="12"/>
  <c r="I112" i="12" s="1"/>
  <c r="I117" i="12" s="1"/>
  <c r="V105" i="12"/>
  <c r="V111" i="12" s="1"/>
  <c r="V116" i="12" s="1"/>
  <c r="AF105" i="12"/>
  <c r="AF111" i="12" s="1"/>
  <c r="AF116" i="12" s="1"/>
  <c r="H104" i="12"/>
  <c r="H110" i="12" s="1"/>
  <c r="H115" i="12" s="1"/>
  <c r="F104" i="12"/>
  <c r="F110" i="12" s="1"/>
  <c r="F115" i="12" s="1"/>
  <c r="G104" i="12"/>
  <c r="G110" i="12" s="1"/>
  <c r="G115" i="12" s="1"/>
  <c r="G88" i="12"/>
  <c r="G94" i="12" s="1"/>
  <c r="G99" i="12" s="1"/>
  <c r="E88" i="12"/>
  <c r="E94" i="12" s="1"/>
  <c r="E99" i="12" s="1"/>
  <c r="E125" i="12"/>
  <c r="I88" i="12"/>
  <c r="I94" i="12" s="1"/>
  <c r="I99" i="12" s="1"/>
  <c r="F88" i="12"/>
  <c r="F94" i="12" s="1"/>
  <c r="F99" i="12" s="1"/>
  <c r="S106" i="12"/>
  <c r="S112" i="12" s="1"/>
  <c r="S117" i="12" s="1"/>
  <c r="F106" i="12"/>
  <c r="F112" i="12" s="1"/>
  <c r="F117" i="12" s="1"/>
  <c r="Q104" i="12"/>
  <c r="Q110" i="12" s="1"/>
  <c r="Q115" i="12" s="1"/>
  <c r="R104" i="12"/>
  <c r="R110" i="12" s="1"/>
  <c r="R115" i="12" s="1"/>
  <c r="S104" i="12"/>
  <c r="S110" i="12" s="1"/>
  <c r="S115" i="12" s="1"/>
  <c r="K105" i="12"/>
  <c r="K111" i="12" s="1"/>
  <c r="K116" i="12" s="1"/>
  <c r="AH105" i="12"/>
  <c r="AH111" i="12" s="1"/>
  <c r="AH116" i="12" s="1"/>
  <c r="N105" i="12"/>
  <c r="N111" i="12" s="1"/>
  <c r="N116" i="12" s="1"/>
  <c r="I105" i="12"/>
  <c r="I111" i="12" s="1"/>
  <c r="I116" i="12" s="1"/>
  <c r="AA105" i="12"/>
  <c r="AA111" i="12" s="1"/>
  <c r="AA116" i="12" s="1"/>
  <c r="X105" i="12"/>
  <c r="X111" i="12" s="1"/>
  <c r="X116" i="12" s="1"/>
  <c r="Z105" i="12"/>
  <c r="Z111" i="12" s="1"/>
  <c r="Z116" i="12" s="1"/>
  <c r="AC105" i="12"/>
  <c r="AC111" i="12" s="1"/>
  <c r="AC116" i="12" s="1"/>
  <c r="W103" i="12"/>
  <c r="W109" i="12" s="1"/>
  <c r="W114" i="12" s="1"/>
  <c r="V103" i="12"/>
  <c r="V109" i="12" s="1"/>
  <c r="V114" i="12" s="1"/>
  <c r="U103" i="12"/>
  <c r="U109" i="12" s="1"/>
  <c r="U114" i="12" s="1"/>
  <c r="Y103" i="12"/>
  <c r="Y109" i="12" s="1"/>
  <c r="Y114" i="12" s="1"/>
  <c r="AB103" i="12"/>
  <c r="AB109" i="12" s="1"/>
  <c r="AB114" i="12" s="1"/>
  <c r="AA103" i="12"/>
  <c r="AA109" i="12" s="1"/>
  <c r="AA114" i="12" s="1"/>
  <c r="X103" i="12"/>
  <c r="X109" i="12" s="1"/>
  <c r="X114" i="12" s="1"/>
  <c r="Z103" i="12"/>
  <c r="Z109" i="12" s="1"/>
  <c r="Z114" i="12" s="1"/>
  <c r="AC103" i="12"/>
  <c r="AC109" i="12" s="1"/>
  <c r="AC114" i="12" s="1"/>
  <c r="R105" i="12"/>
  <c r="R111" i="12" s="1"/>
  <c r="R116" i="12" s="1"/>
  <c r="S105" i="12"/>
  <c r="S111" i="12" s="1"/>
  <c r="S116" i="12" s="1"/>
  <c r="H105" i="12"/>
  <c r="H111" i="12" s="1"/>
  <c r="H116" i="12" s="1"/>
  <c r="P105" i="12"/>
  <c r="P111" i="12" s="1"/>
  <c r="P116" i="12" s="1"/>
  <c r="N106" i="12"/>
  <c r="N112" i="12" s="1"/>
  <c r="N117" i="12" s="1"/>
  <c r="P106" i="12"/>
  <c r="P112" i="12" s="1"/>
  <c r="P117" i="12" s="1"/>
  <c r="T105" i="12"/>
  <c r="T111" i="12" s="1"/>
  <c r="T116" i="12" s="1"/>
  <c r="AB105" i="12"/>
  <c r="AB111" i="12" s="1"/>
  <c r="AB116" i="12" s="1"/>
  <c r="O104" i="12"/>
  <c r="O110" i="12" s="1"/>
  <c r="O115" i="12" s="1"/>
  <c r="P104" i="12"/>
  <c r="P110" i="12" s="1"/>
  <c r="P115" i="12" s="1"/>
  <c r="N88" i="12"/>
  <c r="N94" i="12" s="1"/>
  <c r="N99" i="12" s="1"/>
  <c r="H88" i="12"/>
  <c r="H94" i="12" s="1"/>
  <c r="H99" i="12" s="1"/>
  <c r="L103" i="12"/>
  <c r="L109" i="12" s="1"/>
  <c r="L114" i="12" s="1"/>
  <c r="T103" i="12"/>
  <c r="T109" i="12" s="1"/>
  <c r="T114" i="12" s="1"/>
  <c r="R103" i="12"/>
  <c r="R109" i="12" s="1"/>
  <c r="R114" i="12" s="1"/>
  <c r="P103" i="12"/>
  <c r="P109" i="12" s="1"/>
  <c r="P114" i="12" s="1"/>
  <c r="K103" i="12"/>
  <c r="K109" i="12" s="1"/>
  <c r="K114" i="12" s="1"/>
  <c r="I103" i="12"/>
  <c r="I109" i="12" s="1"/>
  <c r="I114" i="12" s="1"/>
  <c r="Q103" i="12"/>
  <c r="Q109" i="12" s="1"/>
  <c r="Q114" i="12" s="1"/>
  <c r="S103" i="12"/>
  <c r="S109" i="12" s="1"/>
  <c r="S114" i="12" s="1"/>
  <c r="J103" i="12"/>
  <c r="J109" i="12" s="1"/>
  <c r="J114" i="12" s="1"/>
  <c r="N103" i="12"/>
  <c r="N109" i="12" s="1"/>
  <c r="N114" i="12" s="1"/>
  <c r="M103" i="12"/>
  <c r="M109" i="12" s="1"/>
  <c r="M114" i="12" s="1"/>
  <c r="O103" i="12"/>
  <c r="O109" i="12" s="1"/>
  <c r="O114" i="12" s="1"/>
  <c r="I104" i="12"/>
  <c r="I110" i="12" s="1"/>
  <c r="I115" i="12" s="1"/>
  <c r="J104" i="12"/>
  <c r="J110" i="12" s="1"/>
  <c r="J115" i="12" s="1"/>
  <c r="K104" i="12"/>
  <c r="K110" i="12" s="1"/>
  <c r="K115" i="12" s="1"/>
  <c r="M104" i="12"/>
  <c r="M110" i="12" s="1"/>
  <c r="M115" i="12" s="1"/>
  <c r="N104" i="12"/>
  <c r="N110" i="12" s="1"/>
  <c r="N115" i="12" s="1"/>
  <c r="L104" i="12"/>
  <c r="L110" i="12" s="1"/>
  <c r="L115" i="12" s="1"/>
  <c r="N86" i="12"/>
  <c r="N92" i="12" s="1"/>
  <c r="N97" i="12" s="1"/>
  <c r="M86" i="12"/>
  <c r="M92" i="12" s="1"/>
  <c r="M97" i="12" s="1"/>
  <c r="K86" i="12"/>
  <c r="K92" i="12" s="1"/>
  <c r="K97" i="12" s="1"/>
  <c r="J86" i="12"/>
  <c r="J92" i="12" s="1"/>
  <c r="J97" i="12" s="1"/>
  <c r="I86" i="12"/>
  <c r="I92" i="12" s="1"/>
  <c r="I97" i="12" s="1"/>
  <c r="L86" i="12"/>
  <c r="L92" i="12" s="1"/>
  <c r="L97" i="12" s="1"/>
  <c r="F126" i="12" l="1"/>
  <c r="F125" i="12"/>
  <c r="F123" i="12"/>
  <c r="F124" i="12"/>
  <c r="E126" i="12"/>
  <c r="E124" i="12"/>
  <c r="F127" i="12" l="1"/>
  <c r="E127" i="12"/>
  <c r="E132" i="12" l="1"/>
  <c r="J26" i="12" s="1"/>
  <c r="H2" i="18" l="1" a="1"/>
  <c r="H2" i="18" s="1"/>
  <c r="I2" i="18" a="1"/>
  <c r="I2"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 Cardona</author>
    <author>Gabe Mantegna</author>
    <author>tc={89DCBC70-E95D-4ED1-85F3-F37A259EBC25}</author>
  </authors>
  <commentList>
    <comment ref="C37" authorId="0" shapeId="0" xr:uid="{1C36B02A-97DE-49EF-A873-A317142D3125}">
      <text>
        <r>
          <rPr>
            <b/>
            <sz val="9"/>
            <color indexed="81"/>
            <rFont val="Tahoma"/>
            <family val="2"/>
          </rPr>
          <t>Jen Cardona:</t>
        </r>
        <r>
          <rPr>
            <sz val="9"/>
            <color indexed="81"/>
            <rFont val="Tahoma"/>
            <family val="2"/>
          </rPr>
          <t xml:space="preserve">
User-specified device lifetime should be used if at all possible, since the ARB average represents a wide range of devices.</t>
        </r>
      </text>
    </comment>
    <comment ref="D60" authorId="1" shapeId="0" xr:uid="{ADCE14CB-D332-406E-83F2-4E635EDC956A}">
      <text>
        <r>
          <rPr>
            <b/>
            <sz val="10"/>
            <color rgb="FF000000"/>
            <rFont val="Tahoma"/>
            <family val="2"/>
          </rPr>
          <t>Gabe Mantegna:</t>
        </r>
        <r>
          <rPr>
            <sz val="10"/>
            <color rgb="FF000000"/>
            <rFont val="Tahoma"/>
            <family val="2"/>
          </rPr>
          <t xml:space="preserve">
</t>
        </r>
        <r>
          <rPr>
            <sz val="10"/>
            <color rgb="FF000000"/>
            <rFont val="Tahoma"/>
            <family val="2"/>
          </rPr>
          <t>100-yr GWP is default value adopted by Commission. 20-yr GWP is an option for sensitivity analysis.</t>
        </r>
      </text>
    </comment>
    <comment ref="E123" authorId="2" shapeId="0" xr:uid="{89DCBC70-E95D-4ED1-85F3-F37A259EBC25}">
      <text>
        <t>[Threaded comment]
Your version of Excel allows you to read this threaded comment; however, any edits to it will get removed if the file is opened in a newer version of Excel. Learn more: https://go.microsoft.com/fwlink/?linkid=870924
Comment:
    Corrected cell reference for inflation rate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Gabe Mantegna</author>
    <author>Microsoft Office User</author>
  </authors>
  <commentList>
    <comment ref="A1" authorId="0" shapeId="0" xr:uid="{EB218D94-5A59-B649-9A67-D1C7096572FF}">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 ref="H1" authorId="1" shapeId="0" xr:uid="{8B31660C-7B1F-874B-BBCC-BB545B003436}">
      <text>
        <r>
          <rPr>
            <b/>
            <sz val="10"/>
            <color rgb="FF000000"/>
            <rFont val="Tahoma"/>
            <family val="2"/>
          </rPr>
          <t>Microsoft Office User:</t>
        </r>
        <r>
          <rPr>
            <sz val="10"/>
            <color rgb="FF000000"/>
            <rFont val="Tahoma"/>
            <family val="2"/>
          </rPr>
          <t xml:space="preserve">
</t>
        </r>
        <r>
          <rPr>
            <sz val="10"/>
            <color rgb="FF000000"/>
            <rFont val="Tahoma"/>
            <family val="2"/>
          </rPr>
          <t>Primary values for use from this tab. Equal to (q_ann,i * t_i + q_EOL,i * (1 - q_ann,i * t_EOL,i)) in documentation</t>
        </r>
      </text>
    </comment>
    <comment ref="I1" authorId="1" shapeId="0" xr:uid="{469270AC-667E-954B-B50A-7FE03ECA15BC}">
      <text>
        <r>
          <rPr>
            <b/>
            <sz val="10"/>
            <color rgb="FF000000"/>
            <rFont val="Tahoma"/>
            <family val="2"/>
          </rPr>
          <t>Microsoft Office User:</t>
        </r>
        <r>
          <rPr>
            <sz val="10"/>
            <color rgb="FF000000"/>
            <rFont val="Tahoma"/>
            <family val="2"/>
          </rPr>
          <t xml:space="preserve">
</t>
        </r>
        <r>
          <rPr>
            <sz val="10"/>
            <color rgb="FF000000"/>
            <rFont val="Tahoma"/>
            <family val="2"/>
          </rPr>
          <t>Illustrative only. Must use actual refrigerant charge for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Gabe Mantegna</author>
    <author>Nicholas Fette</author>
  </authors>
  <commentList>
    <comment ref="A1" authorId="0" shapeId="0" xr:uid="{5B71B1E8-E57F-47D1-8314-826FEF87AE18}">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 ref="A155" authorId="1" shapeId="0" xr:uid="{6626EBC7-5EF0-4F34-85C8-9E101959818D}">
      <text>
        <r>
          <rPr>
            <b/>
            <sz val="9"/>
            <color indexed="81"/>
            <rFont val="Tahoma"/>
            <family val="2"/>
          </rPr>
          <t>Nicholas Fette:</t>
        </r>
        <r>
          <rPr>
            <sz val="9"/>
            <color indexed="81"/>
            <rFont val="Tahoma"/>
            <family val="2"/>
          </rPr>
          <t xml:space="preserve">
Alias for CO2 added 2021-07-20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<sst xmlns="http://schemas.openxmlformats.org/spreadsheetml/2006/main" count="1310" uniqueCount="986">
  <si>
    <t>For Southern California Edison</t>
  </si>
  <si>
    <t>Change log</t>
  </si>
  <si>
    <t>Version</t>
  </si>
  <si>
    <t>Date</t>
  </si>
  <si>
    <t>Author</t>
  </si>
  <si>
    <t>Changes</t>
  </si>
  <si>
    <t>0</t>
  </si>
  <si>
    <t>Solaris-Technical, LLC</t>
  </si>
  <si>
    <t>Initial version, derived from SCE RACC Tool for Program Data</t>
  </si>
  <si>
    <t>Clarified source version of Refrigerant Calculator.
Set GHG Adder to 2021 by default.
Improved instructions &amp; source references.
Examples revised.</t>
  </si>
  <si>
    <t>Removed the mid-year discounting and discounting to the claim year so that the avoided costs for a normal replacement (NR) measure application type match the E3 Dashboard results</t>
  </si>
  <si>
    <t>1.3 Rev4</t>
  </si>
  <si>
    <t>1) Using the avoided cost calculation approach of Normal Replacement (NR) for Accelerated Replacement (AR) measure application type as an interim approach, until CPUC's refrigerant avoided cost calculator (RACC) is revised to include measure application types
2) As directed by E-5152, Attachment A, IOUs funding proportions based average weighted average cost of capital (WACC) will be used for calculating avoided costs for statewide measures.
3) Format changes Rev4</t>
  </si>
  <si>
    <t>2.0</t>
  </si>
  <si>
    <t>1) Aligned calculations with 2022 ACC Refrigerant Calculator updates by E3. This includes for example:
  (a) Improved handling of AR measures and nomenclature for measure/counterfactual timelines. Required additional inputs (existing equipment type, RUL, and EUL).
  (b) Output NPV costs in 2022 dollars, discounting for inflation.
  (c) Discounting annual leakage from midpoint of year.
  (d) Update GHG adder cost version to 2022 ACC.
2) Revised reporting fields for cost breakdown to align with measure/counterfactual timeline and existing/new device.
3) Disabled feature: refrigerant type defaulting. Added feature: user-specified device refrigerant charge and leakage. 
4) Updated WACC values and weights for statewide average.
5) Added dropdown for technology group and normalizing units to avoid inapplicable comparisons.</t>
  </si>
  <si>
    <t>Workbook sheets color coding</t>
  </si>
  <si>
    <t>SCE calculator to support deemed measures</t>
  </si>
  <si>
    <t>CPUC 2022 ACC Refrigerant Calculator v1b updated.xlsx</t>
  </si>
  <si>
    <r>
      <rPr>
        <b/>
        <u/>
        <sz val="11"/>
        <color theme="1"/>
        <rFont val="Calibri"/>
        <family val="2"/>
        <scheme val="minor"/>
      </rPr>
      <t xml:space="preserve">INTRODUCTION
</t>
    </r>
    <r>
      <rPr>
        <sz val="11"/>
        <color theme="1"/>
        <rFont val="Calibri"/>
        <family val="2"/>
        <scheme val="minor"/>
      </rPr>
      <t xml:space="preserve">
This effort provides an update to the Deemed Measure RACC Workbook (DRACC, previously Version 1.3-Rev4, adopted in 2021) that brings the tool into alignment with the 2022 ACC Refrigerant Calculator (v1b updated) as developed by E3 for CPUC and adopted through the IDERS proceedings.
The main feature of the DRACC is the Deemed Dashboard worksheet. The Deemed Dashboard is based on the E3 RACC and adapted for use with measure packages in the following ways:
•	Includes device lookup table yielding refrigerant charge normalized by the unit specified in the related deemed measure package (e.g. per ton cooling). The table summarizes additional research that augments refrigerant charge lookups available from the E3 RACC.
•	Uses a statewide weighted average cost of capital (WACC) calculated using the IOU funding split of statewide energy programs.
•	For convenience when evaluating multiple measure offerings, includes tabular input and output.
•	Provides reporting fields for cost breakdown meant to interface with measure packages.</t>
    </r>
  </si>
  <si>
    <r>
      <rPr>
        <b/>
        <u/>
        <sz val="11"/>
        <color theme="1"/>
        <rFont val="Calibri"/>
        <family val="2"/>
        <scheme val="minor"/>
      </rPr>
      <t>BACKGROUND</t>
    </r>
    <r>
      <rPr>
        <sz val="11"/>
        <color theme="1"/>
        <rFont val="Calibri"/>
        <family val="2"/>
        <scheme val="minor"/>
      </rPr>
      <t xml:space="preserve">
The Refrigerant Avoided Cost Calculation (RACC) Tool for measure packages (deemed) is based on the Refrigerant Calculator from E3's Avoided Cost Calculator bundle. The deemed calculator extends the tool to allow for multiple measures in one worksheet (with no macros), among other improvements and changes discussed in the section "Adjustments to E3 Dashboard". The tool is intended to be used to satisfy the requirement per Resolution E-5152 (DEER 2023) that a measure package shall provide a RACC results workbook when required.
</t>
    </r>
    <r>
      <rPr>
        <b/>
        <u/>
        <sz val="11"/>
        <color theme="1"/>
        <rFont val="Calibri"/>
        <family val="2"/>
        <scheme val="minor"/>
      </rPr>
      <t>Source versions</t>
    </r>
    <r>
      <rPr>
        <sz val="11"/>
        <color theme="1"/>
        <rFont val="Calibri"/>
        <family val="2"/>
        <scheme val="minor"/>
      </rPr>
      <t xml:space="preserve">
</t>
    </r>
    <r>
      <rPr>
        <b/>
        <sz val="11"/>
        <color theme="1"/>
        <rFont val="Calibri"/>
        <family val="2"/>
        <scheme val="minor"/>
      </rPr>
      <t>GHG Adder, WACC, dollar year, inflation rate</t>
    </r>
    <r>
      <rPr>
        <sz val="11"/>
        <color theme="1"/>
        <rFont val="Calibri"/>
        <family val="2"/>
        <scheme val="minor"/>
      </rPr>
      <t xml:space="preserve"> - CPUC 2022 ACC Refrigerant Calculator v1b updated.xlsx
</t>
    </r>
    <r>
      <rPr>
        <b/>
        <sz val="11"/>
        <color theme="1"/>
        <rFont val="Calibri"/>
        <family val="2"/>
        <scheme val="minor"/>
      </rPr>
      <t>Output field names</t>
    </r>
    <r>
      <rPr>
        <sz val="11"/>
        <color theme="1"/>
        <rFont val="Calibri"/>
        <family val="2"/>
        <scheme val="minor"/>
      </rPr>
      <t xml:space="preserve"> - Modified in 2023 / based on CPUC Resolution E-5152
</t>
    </r>
    <r>
      <rPr>
        <b/>
        <sz val="11"/>
        <color theme="1"/>
        <rFont val="Calibri"/>
        <family val="2"/>
        <scheme val="minor"/>
      </rPr>
      <t>CET field names</t>
    </r>
    <r>
      <rPr>
        <sz val="11"/>
        <color theme="1"/>
        <rFont val="Calibri"/>
        <family val="2"/>
        <scheme val="minor"/>
      </rPr>
      <t xml:space="preserve"> - As of August 2021, unchanged in 2023
</t>
    </r>
    <r>
      <rPr>
        <b/>
        <u/>
        <sz val="11"/>
        <color theme="1"/>
        <rFont val="Calibri"/>
        <family val="2"/>
        <scheme val="minor"/>
      </rPr>
      <t xml:space="preserve">Terminology
</t>
    </r>
    <r>
      <rPr>
        <sz val="11"/>
        <color theme="1"/>
        <rFont val="Calibri"/>
        <family val="2"/>
        <scheme val="minor"/>
      </rPr>
      <t xml:space="preserve">
</t>
    </r>
    <r>
      <rPr>
        <b/>
        <sz val="11"/>
        <color theme="1"/>
        <rFont val="Calibri"/>
        <family val="2"/>
        <scheme val="minor"/>
      </rPr>
      <t>Measure case, counterfactual case -</t>
    </r>
    <r>
      <rPr>
        <sz val="11"/>
        <color theme="1"/>
        <rFont val="Calibri"/>
        <family val="2"/>
        <scheme val="minor"/>
      </rPr>
      <t xml:space="preserve"> It may be helpful to view these as timelines rather than as pieces of equipment or modes of operation. The counterfactual timeline represents what would happen in the absence of the measure (a base case). The measure case and counterfactual case share a history up until the time the measure is implemented. The existing equipment description may be shared, but the interval in which it operates may differ between the measure case and counterfactual case. That is, in accelerated replacement (AR) applications, the counterfactual case includes the existing system being kept in place over its remaining useful life (RUL, also called the first baseline period), then the standard baseline system being implemented and kept in place. 
</t>
    </r>
    <r>
      <rPr>
        <b/>
        <sz val="11"/>
        <color theme="1"/>
        <rFont val="Calibri"/>
        <family val="2"/>
        <scheme val="minor"/>
      </rPr>
      <t>Msr,Std,Pre,Ext -</t>
    </r>
    <r>
      <rPr>
        <sz val="11"/>
        <color theme="1"/>
        <rFont val="Calibri"/>
        <family val="2"/>
        <scheme val="minor"/>
      </rPr>
      <t xml:space="preserve"> The DRACC uses these labels as shorthand for the equipment/operations and time interval as follows.
  Msr = measure case, new equipment/operations (traditional measure case)
  Std = counterfactual case, new equipment/operations (standard base case)
For AR applications:
  Pre = measure case, pre-existing equipment being replaced (existing base case)
  Ext = counterfactual case, existing equipment (inferred to be same as Pre but different time interval)
</t>
    </r>
    <r>
      <rPr>
        <b/>
        <sz val="11"/>
        <color theme="1"/>
        <rFont val="Calibri"/>
        <family val="2"/>
        <scheme val="minor"/>
      </rPr>
      <t>Analysis period</t>
    </r>
    <r>
      <rPr>
        <sz val="11"/>
        <color theme="1"/>
        <rFont val="Calibri"/>
        <family val="2"/>
        <scheme val="minor"/>
      </rPr>
      <t xml:space="preserve"> - The time window during which the measure is analyzed. The RACC analyzes measures over the measure effective useful life (EUL).
</t>
    </r>
    <r>
      <rPr>
        <b/>
        <sz val="11"/>
        <color theme="1"/>
        <rFont val="Calibri"/>
        <family val="2"/>
        <scheme val="minor"/>
      </rPr>
      <t>Annual leakage, EOL leakage</t>
    </r>
    <r>
      <rPr>
        <sz val="11"/>
        <color theme="1"/>
        <rFont val="Calibri"/>
        <family val="2"/>
        <scheme val="minor"/>
      </rPr>
      <t xml:space="preserve"> - Annual leakage describes leakage that occurs during normal operation of the device or system. Leakage rates represent statistical average leakage over time, modeled as if occuring continuously. End-of-life (EOL) leakage occurs as a result of retiring a device and is also meant as a statistical average across installations. For purpose of analysis, EOL leakage NPV cost is effecitvely annualized and allocated annually over the EUL of the device.
</t>
    </r>
    <r>
      <rPr>
        <b/>
        <sz val="11"/>
        <color theme="1"/>
        <rFont val="Calibri"/>
        <family val="2"/>
        <scheme val="minor"/>
      </rPr>
      <t>NPV cost, dollar year</t>
    </r>
    <r>
      <rPr>
        <sz val="11"/>
        <color theme="1"/>
        <rFont val="Calibri"/>
        <family val="2"/>
        <scheme val="minor"/>
      </rPr>
      <t xml:space="preserve"> - Cost streams are evaluated as a time series with cost incurred in each year. Costs over the analysis period are summed as net present value with discounting, yielding a cost in the "dollar year" dollars.</t>
    </r>
  </si>
  <si>
    <r>
      <rPr>
        <b/>
        <u/>
        <sz val="11"/>
        <color theme="1"/>
        <rFont val="Calibri"/>
        <family val="2"/>
        <scheme val="minor"/>
      </rPr>
      <t xml:space="preserve">USER GUIDE
</t>
    </r>
    <r>
      <rPr>
        <sz val="11"/>
        <color theme="1"/>
        <rFont val="Calibri"/>
        <family val="2"/>
        <scheme val="minor"/>
      </rPr>
      <t xml:space="preserve">
Go to the Deemed Dashboard worksheet and fill in the input fields (yellow fill-in-the-blank and orange dropdown) using data from the measure package. When there are multiple measure offerings with similar devices, it is sufficient to enter the unique combinations of device and lifecycle inputs. Save the workbook. Finally, find the results in the eTRM export worksheet.</t>
    </r>
    <r>
      <rPr>
        <b/>
        <u/>
        <sz val="11"/>
        <color theme="1"/>
        <rFont val="Calibri"/>
        <family val="2"/>
        <scheme val="minor"/>
      </rPr>
      <t xml:space="preserve">
Deemed Dashboard</t>
    </r>
    <r>
      <rPr>
        <sz val="11"/>
        <color theme="1"/>
        <rFont val="Calibri"/>
        <family val="2"/>
        <scheme val="minor"/>
      </rPr>
      <t xml:space="preserve">
The main user entry point is the Deemed Dashboard sheet. Here, the user will enter general inputs, followed by measure-specific inputs for each offering and measure application type(MAT). The outputs are the net NPV cost or benefit of each measure relative to its counterfactual and a cost breakdown described in greater detail below.
* </t>
    </r>
    <r>
      <rPr>
        <i/>
        <sz val="11"/>
        <color theme="1"/>
        <rFont val="Calibri"/>
        <family val="2"/>
        <scheme val="minor"/>
      </rPr>
      <t>Based on a review of several measures involving fuel substitution, it appears that the refrigerant inventory per normalizing unit and emissions due to leakage depend on measure offering and MAT but will not typically depend on any additional independent variables (BldgLoc, BldgType, BldgVint, DeliveryType) used to index permutations. The measure application type, however, must be explicitly specified.</t>
    </r>
    <r>
      <rPr>
        <sz val="11"/>
        <color theme="1"/>
        <rFont val="Calibri"/>
        <family val="2"/>
        <scheme val="minor"/>
      </rPr>
      <t xml:space="preserve">
</t>
    </r>
    <r>
      <rPr>
        <u/>
        <sz val="11"/>
        <color theme="1"/>
        <rFont val="Calibri"/>
        <family val="2"/>
        <scheme val="minor"/>
      </rPr>
      <t>General inputs:</t>
    </r>
    <r>
      <rPr>
        <sz val="11"/>
        <color theme="1"/>
        <rFont val="Calibri"/>
        <family val="2"/>
        <scheme val="minor"/>
      </rPr>
      <t xml:space="preserve">
</t>
    </r>
    <r>
      <rPr>
        <b/>
        <sz val="11"/>
        <color theme="1"/>
        <rFont val="Calibri"/>
        <family val="2"/>
        <scheme val="minor"/>
      </rPr>
      <t>Measure installation year</t>
    </r>
    <r>
      <rPr>
        <sz val="11"/>
        <color theme="1"/>
        <rFont val="Calibri"/>
        <family val="2"/>
        <scheme val="minor"/>
      </rPr>
      <t xml:space="preserve"> - Year when the measure is installed. Used to align GHG adder costs.
</t>
    </r>
    <r>
      <rPr>
        <b/>
        <sz val="11"/>
        <color theme="1"/>
        <rFont val="Calibri"/>
        <family val="2"/>
        <scheme val="minor"/>
      </rPr>
      <t>Dollar Year</t>
    </r>
    <r>
      <rPr>
        <sz val="11"/>
        <color theme="1"/>
        <rFont val="Calibri"/>
        <family val="2"/>
        <scheme val="minor"/>
      </rPr>
      <t xml:space="preserve"> - While this is typically the claim year, based on CPUC's guidance the avoided costs will be discounted to 2022 as in the E3 Dashboard. Used for inflation adjustment.
</t>
    </r>
    <r>
      <rPr>
        <b/>
        <sz val="11"/>
        <color theme="1"/>
        <rFont val="Calibri"/>
        <family val="2"/>
        <scheme val="minor"/>
      </rPr>
      <t>GWP Time Horizon</t>
    </r>
    <r>
      <rPr>
        <sz val="11"/>
        <color theme="1"/>
        <rFont val="Calibri"/>
        <family val="2"/>
        <scheme val="minor"/>
      </rPr>
      <t xml:space="preserve"> - Choose whether to use 20-year or 100-year GWP values. The default is 100-year GWP value. 
</t>
    </r>
    <r>
      <rPr>
        <b/>
        <sz val="11"/>
        <color theme="1"/>
        <rFont val="Calibri"/>
        <family val="2"/>
        <scheme val="minor"/>
      </rPr>
      <t>WACC selection</t>
    </r>
    <r>
      <rPr>
        <sz val="11"/>
        <color theme="1"/>
        <rFont val="Calibri"/>
        <family val="2"/>
        <scheme val="minor"/>
      </rPr>
      <t xml:space="preserve"> - Used to look up weighted average cost of capital (WACC) for discounting/NPV. For statewide measure packages, this is locked to select a weighted average WACC where the weights are based on electric funding split for IOUs.
</t>
    </r>
    <r>
      <rPr>
        <b/>
        <sz val="11"/>
        <color theme="1"/>
        <rFont val="Calibri"/>
        <family val="2"/>
        <scheme val="minor"/>
      </rPr>
      <t>Active WACC%</t>
    </r>
    <r>
      <rPr>
        <sz val="11"/>
        <color theme="1"/>
        <rFont val="Calibri"/>
        <family val="2"/>
        <scheme val="minor"/>
      </rPr>
      <t xml:space="preserve"> - Based on the lookup value
</t>
    </r>
    <r>
      <rPr>
        <u/>
        <sz val="11"/>
        <color theme="1"/>
        <rFont val="Calibri"/>
        <family val="2"/>
        <scheme val="minor"/>
      </rPr>
      <t>Measure specific inputs:</t>
    </r>
    <r>
      <rPr>
        <sz val="11"/>
        <color theme="1"/>
        <rFont val="Calibri"/>
        <family val="2"/>
        <scheme val="minor"/>
      </rPr>
      <t xml:space="preserve">
</t>
    </r>
    <r>
      <rPr>
        <i/>
        <sz val="11"/>
        <color theme="1"/>
        <rFont val="Calibri"/>
        <family val="2"/>
        <scheme val="minor"/>
      </rPr>
      <t>Identifiers</t>
    </r>
    <r>
      <rPr>
        <sz val="11"/>
        <color theme="1"/>
        <rFont val="Calibri"/>
        <family val="2"/>
        <scheme val="minor"/>
      </rPr>
      <t xml:space="preserve">
</t>
    </r>
    <r>
      <rPr>
        <b/>
        <sz val="11"/>
        <color theme="1"/>
        <rFont val="Calibri"/>
        <family val="2"/>
        <scheme val="minor"/>
      </rPr>
      <t xml:space="preserve">Index - </t>
    </r>
    <r>
      <rPr>
        <sz val="11"/>
        <color theme="1"/>
        <rFont val="Calibri"/>
        <family val="2"/>
        <scheme val="minor"/>
      </rPr>
      <t>Pre-filled row number.</t>
    </r>
    <r>
      <rPr>
        <b/>
        <sz val="11"/>
        <color theme="1"/>
        <rFont val="Calibri"/>
        <family val="2"/>
        <scheme val="minor"/>
      </rPr>
      <t xml:space="preserve">
Measure Description</t>
    </r>
    <r>
      <rPr>
        <sz val="11"/>
        <color theme="1"/>
        <rFont val="Calibri"/>
        <family val="2"/>
        <scheme val="minor"/>
      </rPr>
      <t xml:space="preserve"> - Enter any description to help distinguish between rows. For instance, "Res HP replacing AC+Furnace, AR (SWHC045I)".
</t>
    </r>
    <r>
      <rPr>
        <b/>
        <sz val="11"/>
        <color theme="1"/>
        <rFont val="Calibri"/>
        <family val="2"/>
        <scheme val="minor"/>
      </rPr>
      <t>NormUnit</t>
    </r>
    <r>
      <rPr>
        <sz val="11"/>
        <color theme="1"/>
        <rFont val="Calibri"/>
        <family val="2"/>
        <scheme val="minor"/>
      </rPr>
      <t xml:space="preserve"> - Identifier field, e.g. "Cap-Tons" or "Each".
Enter the normalizing unit from the workpaper. Refrigerant quantities and NPV costs should all be normalized by the same unit. This field is an identifier only and is not referenced by any calculations.
</t>
    </r>
    <r>
      <rPr>
        <i/>
        <sz val="11"/>
        <color theme="1"/>
        <rFont val="Calibri"/>
        <family val="2"/>
        <scheme val="minor"/>
      </rPr>
      <t>Calculation inputs</t>
    </r>
    <r>
      <rPr>
        <sz val="11"/>
        <color theme="1"/>
        <rFont val="Calibri"/>
        <family val="2"/>
        <scheme val="minor"/>
      </rPr>
      <t xml:space="preserve">
</t>
    </r>
    <r>
      <rPr>
        <b/>
        <sz val="11"/>
        <color theme="1"/>
        <rFont val="Calibri"/>
        <family val="2"/>
        <scheme val="minor"/>
      </rPr>
      <t>MeasAppType</t>
    </r>
    <r>
      <rPr>
        <sz val="11"/>
        <color theme="1"/>
        <rFont val="Calibri"/>
        <family val="2"/>
        <scheme val="minor"/>
      </rPr>
      <t xml:space="preserve"> - e.g. AR, NR, NC, etc. Only AR is handled uniquely; other MAT options are treated equivalently.
</t>
    </r>
    <r>
      <rPr>
        <b/>
        <sz val="11"/>
        <color theme="1"/>
        <rFont val="Calibri"/>
        <family val="2"/>
        <scheme val="minor"/>
      </rPr>
      <t>Measure New Device EUL - i.e., the measure EUL (years) as described in the measure package.</t>
    </r>
    <r>
      <rPr>
        <sz val="11"/>
        <color theme="1"/>
        <rFont val="Calibri"/>
        <family val="2"/>
        <scheme val="minor"/>
      </rPr>
      <t xml:space="preserve">
</t>
    </r>
    <r>
      <rPr>
        <b/>
        <sz val="11"/>
        <color theme="1"/>
        <rFont val="Calibri"/>
        <family val="2"/>
        <scheme val="minor"/>
      </rPr>
      <t>Counterfactual New Device EUL - i.e., the EUL of standard base case equipment. This may be different from the measure EUL.</t>
    </r>
    <r>
      <rPr>
        <sz val="11"/>
        <color theme="1"/>
        <rFont val="Calibri"/>
        <family val="2"/>
        <scheme val="minor"/>
      </rPr>
      <t xml:space="preserve">
</t>
    </r>
    <r>
      <rPr>
        <b/>
        <sz val="11"/>
        <color theme="1"/>
        <rFont val="Calibri"/>
        <family val="2"/>
        <scheme val="minor"/>
      </rPr>
      <t>Existing Device EUL</t>
    </r>
    <r>
      <rPr>
        <sz val="11"/>
        <color theme="1"/>
        <rFont val="Calibri"/>
        <family val="2"/>
        <scheme val="minor"/>
      </rPr>
      <t xml:space="preserve"> - the full EUL of existing device technology (not remaining life). This is required only for AR applications to determine for how many years the existing equipment was in place prior to the measure.
</t>
    </r>
    <r>
      <rPr>
        <b/>
        <sz val="11"/>
        <color theme="1"/>
        <rFont val="Calibri"/>
        <family val="2"/>
        <scheme val="minor"/>
      </rPr>
      <t>Existing Device RUL or AR First Baseline Life</t>
    </r>
    <r>
      <rPr>
        <sz val="11"/>
        <color theme="1"/>
        <rFont val="Calibri"/>
        <family val="2"/>
        <scheme val="minor"/>
      </rPr>
      <t xml:space="preserve"> - the remaining useful life (RUL) of the existing device. Round to the nearest whole number. This is required only for AR applications.
</t>
    </r>
    <r>
      <rPr>
        <b/>
        <sz val="11"/>
        <color theme="1"/>
        <rFont val="Calibri"/>
        <family val="2"/>
        <scheme val="minor"/>
      </rPr>
      <t>TechGroup and NormUnit</t>
    </r>
    <r>
      <rPr>
        <sz val="11"/>
        <color theme="1"/>
        <rFont val="Calibri"/>
        <family val="2"/>
        <scheme val="minor"/>
      </rPr>
      <t xml:space="preserve"> - Select from predefined options. For example, "HVAC, Cap-ton" means HVAC devices with refrigerant charge normalized per unit cooling capacity (tons). If there are no predefined options for the devices being analyzed or the desired normalizing unit, select "Other/Not specified" and include the normalizing unit in the measure description field.
</t>
    </r>
    <r>
      <rPr>
        <b/>
        <sz val="11"/>
        <color theme="1"/>
        <rFont val="Calibri"/>
        <family val="2"/>
        <scheme val="minor"/>
      </rPr>
      <t>Msr device type, Std device type</t>
    </r>
    <r>
      <rPr>
        <sz val="11"/>
        <color theme="1"/>
        <rFont val="Calibri"/>
        <family val="2"/>
        <scheme val="minor"/>
      </rPr>
      <t xml:space="preserve"> - Select a device type from the dropdown list to populate refrigerant charge and leakage rate fields from lookup tables. The options shown in the dropdown list vary depending on the "TechGroup and NormUnit" selection. If the device you want to analyze is not listed, select "User-specified". If the device does not include refrigerant, it must still be specified; the option "Non-refrigerant device" will always be present.
</t>
    </r>
    <r>
      <rPr>
        <b/>
        <sz val="11"/>
        <color theme="1"/>
        <rFont val="Calibri"/>
        <family val="2"/>
        <scheme val="minor"/>
      </rPr>
      <t>Pre device type, Ext device type</t>
    </r>
    <r>
      <rPr>
        <sz val="11"/>
        <color theme="1"/>
        <rFont val="Calibri"/>
        <family val="2"/>
        <scheme val="minor"/>
      </rPr>
      <t xml:space="preserve"> - Dropdown lists for technology lookup. Select a technology from the prepared list to automatically populate the advanced input fields that follow. The values are filled from the table on the Refrig Type Defaults sheet.
</t>
    </r>
    <r>
      <rPr>
        <b/>
        <sz val="11"/>
        <color theme="1"/>
        <rFont val="Calibri"/>
        <family val="2"/>
        <scheme val="minor"/>
      </rPr>
      <t>Msr/std/pre/ext refrigerant type</t>
    </r>
    <r>
      <rPr>
        <sz val="11"/>
        <color theme="1"/>
        <rFont val="Calibri"/>
        <family val="2"/>
        <scheme val="minor"/>
      </rPr>
      <t xml:space="preserve"> - Select a refrigerant from the dropdown list. This is not linked to device type; however, the user may refer to the predefined device lookup table for a typical refrigerant most closely associated with the refrigerant charge provided by the lookup table.
</t>
    </r>
    <r>
      <rPr>
        <i/>
        <sz val="11"/>
        <color theme="1"/>
        <rFont val="Calibri"/>
        <family val="2"/>
        <scheme val="minor"/>
      </rPr>
      <t xml:space="preserve">Precautions and limitations
</t>
    </r>
    <r>
      <rPr>
        <sz val="11"/>
        <color theme="1"/>
        <rFont val="Calibri"/>
        <family val="2"/>
        <scheme val="minor"/>
      </rPr>
      <t xml:space="preserve">
The user should not extend the analysis past the last year for which GHG emissions have been monetized by the ACC's GHG adder. Confer that last valid year in 'ACC Inputs' worksheet. In other words, check that (measure start year) plus (measure EUL) &lt;= 2052.
In each row of the calculation table, each case (Pre/Std/Msr) must represent a single type of equipment in terms of the refrigerant type and charge. In practice, the population of existing products may include a blend of different equipment types, and similarly the standard baseline or measure case may include a range of products that meet code or measure eligibility requirements. In order to model an equipment blend scenario, run the tool with one row for each possible combination, then create a new sheet and take an average of the output fields.
User-specified GWP is not supported; only the pre-defined refrigerant types are supported.
Certains versions of Microsoft Excel are not supported. If you encounter this issue, please notify the developers which version of Excel you are using.</t>
    </r>
  </si>
  <si>
    <r>
      <rPr>
        <b/>
        <u/>
        <sz val="11"/>
        <color theme="1"/>
        <rFont val="Calibri"/>
        <family val="2"/>
        <scheme val="minor"/>
      </rPr>
      <t xml:space="preserve">USER-SPECIFIED DEVICE MODE
</t>
    </r>
    <r>
      <rPr>
        <sz val="11"/>
        <color theme="1"/>
        <rFont val="Calibri"/>
        <family val="2"/>
        <scheme val="minor"/>
      </rPr>
      <t>When a pre-defined lookup is not available for a device, the user can select "</t>
    </r>
    <r>
      <rPr>
        <b/>
        <sz val="11"/>
        <color theme="1"/>
        <rFont val="Calibri"/>
        <family val="2"/>
        <scheme val="minor"/>
      </rPr>
      <t>User-specified</t>
    </r>
    <r>
      <rPr>
        <sz val="11"/>
        <color theme="1"/>
        <rFont val="Calibri"/>
        <family val="2"/>
        <scheme val="minor"/>
      </rPr>
      <t>" in the device type dropdown. To provide the specification for the device, enter the worksheet "</t>
    </r>
    <r>
      <rPr>
        <b/>
        <sz val="11"/>
        <color theme="1"/>
        <rFont val="Calibri"/>
        <family val="2"/>
        <scheme val="minor"/>
      </rPr>
      <t>User Specified Device Type</t>
    </r>
    <r>
      <rPr>
        <sz val="11"/>
        <color theme="1"/>
        <rFont val="Calibri"/>
        <family val="2"/>
        <scheme val="minor"/>
      </rPr>
      <t xml:space="preserve">". Find the row by its Index or Measure Description. Find the set of columns for the Msr/std/pre device and fill these columns:
   Refrigerant charge when fully charged (lbs),
   Annual refrigerant leakage rate (percentage of charge),
   End-of-life leakage rate (percentage of remaining charge, q_eol),
   Years without top-off before end-of-life (t_eol)
Note that when device is not User-specified, the Deemed Dashboard will pull these from the predefined device lookup table.
When specifying devices in this manner, the normalizing unit as well as any assumptions and data sources should be documented for review. For example, use a RACC Addendum to summarize additional research and analysis that used to identify. In addition, it may be useful to submit the representative refrigerant type, charge, and leakage profile to be included in a future update on the list of pre-defined devices.
</t>
    </r>
    <r>
      <rPr>
        <b/>
        <u/>
        <sz val="11"/>
        <color theme="1"/>
        <rFont val="Calibri"/>
        <family val="2"/>
        <scheme val="minor"/>
      </rPr>
      <t xml:space="preserve">UPDATES TO PREDEFINED DEVICE TYPE LISTS
</t>
    </r>
    <r>
      <rPr>
        <sz val="11"/>
        <color theme="1"/>
        <rFont val="Calibri"/>
        <family val="2"/>
        <scheme val="minor"/>
      </rPr>
      <t xml:space="preserve">
When approved by CPUC, new data or revisions may be entered into the predefined device type table. The table will automatically resize to fit the data, and TechGroup and NormUnit lists will automatically update up to 30 categories. The admin user should unprotect the worksheet prior to making such changes and protect the sheet again prior to releasing the update.</t>
    </r>
  </si>
  <si>
    <r>
      <rPr>
        <b/>
        <u/>
        <sz val="11"/>
        <color theme="1"/>
        <rFont val="Calibri"/>
        <family val="2"/>
        <scheme val="minor"/>
      </rPr>
      <t xml:space="preserve">REVIEWING CALCULATIONS
</t>
    </r>
    <r>
      <rPr>
        <sz val="11"/>
        <color theme="1"/>
        <rFont val="Calibri"/>
        <family val="2"/>
        <scheme val="minor"/>
      </rPr>
      <t xml:space="preserve">
Release versions of the DRACC have intermediate calculations steps hidden in the Deemed Dashboard. To review intermediate calculation steps in the Deemed Dashboard, click the plus symbol icons to expand groups of columns.
</t>
    </r>
  </si>
  <si>
    <t>Index</t>
  </si>
  <si>
    <t>Measure description</t>
  </si>
  <si>
    <t>REFRIGERANT NPV COSTS MEASURE CASE NEW DEVICE (USD)</t>
  </si>
  <si>
    <t>REFRIGERANT NPV COSTS MEASURE CASE EXISTING DEVICE (USD)</t>
  </si>
  <si>
    <t>REFRIGERANT NPV COSTS BASE CASE STANDARD DEVICE(USD)</t>
  </si>
  <si>
    <t>REFRIGERANT NPV COSTS BASE CASE EXISTING DEVICE (USD)</t>
  </si>
  <si>
    <t>UNIT REFRIGERANT COSTS (USD)</t>
  </si>
  <si>
    <t>UNIT REFRIGERANT BENEFITS (USD)</t>
  </si>
  <si>
    <t>Cell Color Coding</t>
  </si>
  <si>
    <t>General inputs</t>
  </si>
  <si>
    <t>Notes</t>
  </si>
  <si>
    <t>&lt;&lt; Expand to show device leakage lookups</t>
  </si>
  <si>
    <t>Expand to show calc. steps &gt;&gt;</t>
  </si>
  <si>
    <t>Input, enter a value</t>
  </si>
  <si>
    <t>Device refrigerant data lookup keys</t>
  </si>
  <si>
    <t>Refrigerant Type</t>
  </si>
  <si>
    <t>Refrigerant Charge</t>
  </si>
  <si>
    <t>Refrigerant GWP</t>
  </si>
  <si>
    <t>Annual refrigerant leakage %</t>
  </si>
  <si>
    <t>q_EOL (EOL refrigerant leakage %)</t>
  </si>
  <si>
    <t>t_EOL (non-top-off years)</t>
  </si>
  <si>
    <t>Device Install Years</t>
  </si>
  <si>
    <t>Device Retirement Years</t>
  </si>
  <si>
    <t>Device Early Retirement Years</t>
  </si>
  <si>
    <t>Number of Device Lifetime Years Overlapping with Measure Years</t>
  </si>
  <si>
    <t>% of device lifetime occuring during measure years</t>
  </si>
  <si>
    <t>% of device lifetime retired early</t>
  </si>
  <si>
    <t>EOL charge remaining (%)</t>
  </si>
  <si>
    <t>Adjusted EOL refrigerant leakage (%)</t>
  </si>
  <si>
    <t>Annual leakage - metric tonnes CO2e</t>
  </si>
  <si>
    <t>EOL leakage - metric tonnes CO2e</t>
  </si>
  <si>
    <t>Adjusted NPV cost of annual leakage (2022$)</t>
  </si>
  <si>
    <t>Adjusted NPV cost of EOL leakage (2022$)</t>
  </si>
  <si>
    <t>Net NPV</t>
  </si>
  <si>
    <t>RefrigerantNPVCosts</t>
  </si>
  <si>
    <t>Refrigerant NPV Net</t>
  </si>
  <si>
    <t>Input, select from dropdown List</t>
  </si>
  <si>
    <t>Dollar Year</t>
  </si>
  <si>
    <t>→ Fixed per E3 RACC</t>
  </si>
  <si>
    <t>RefrigerantNPVCostsNet = (Measure total NPV cost)-(Counterfactual total NPV cost)
If net cost &lt; 0, then show |net cost| as a benefit in column UnitRefrigBens.</t>
  </si>
  <si>
    <t>Calculation step</t>
  </si>
  <si>
    <t>GWP Time Horizon</t>
  </si>
  <si>
    <t>100-yr</t>
  </si>
  <si>
    <t>→ Locked to 100-yr</t>
  </si>
  <si>
    <t>Measure case, new device (Msr)</t>
  </si>
  <si>
    <t>Counterfactual New (Std)</t>
  </si>
  <si>
    <t xml:space="preserve"> Measure Existing (Pre)</t>
  </si>
  <si>
    <t>Counterfactual Existing (Ext)</t>
  </si>
  <si>
    <t>Msr</t>
  </si>
  <si>
    <t>Std</t>
  </si>
  <si>
    <t>Pre</t>
  </si>
  <si>
    <t>Ext</t>
  </si>
  <si>
    <t>Mea</t>
  </si>
  <si>
    <t>Costs</t>
  </si>
  <si>
    <t>Benefits</t>
  </si>
  <si>
    <t>Lookup Formula</t>
  </si>
  <si>
    <t>WACC selection</t>
  </si>
  <si>
    <t>Statewide</t>
  </si>
  <si>
    <t>→ Locked to Statewide</t>
  </si>
  <si>
    <t>Select a device type from the pre-defined lookup table for refrigerant characteristics, or select user-specified and enter the data in the next worksheet.</t>
  </si>
  <si>
    <t>"Adjusted" means adjusted for inflation from measure start year back to dollar year.</t>
  </si>
  <si>
    <t>Final Outputs</t>
  </si>
  <si>
    <t>Active WACC%</t>
  </si>
  <si>
    <t>(Hidden) Setup for dropdown list.</t>
  </si>
  <si>
    <t>Required only if MAT = AR</t>
  </si>
  <si>
    <t>Select to filter device dropdown</t>
  </si>
  <si>
    <t>Measure New Device EUL</t>
  </si>
  <si>
    <t>Counterfactual New Device EUL</t>
  </si>
  <si>
    <t>Existing Device EUL</t>
  </si>
  <si>
    <t>Existing Device RUL or AR First Baseline Life</t>
  </si>
  <si>
    <t>TechGroup and NormUnit</t>
  </si>
  <si>
    <t>TGIndex</t>
  </si>
  <si>
    <t>TGRows</t>
  </si>
  <si>
    <t>Msr device type</t>
  </si>
  <si>
    <t>Std device type</t>
  </si>
  <si>
    <t>Msr Refrigerant charge (lbs) per NormUnit</t>
  </si>
  <si>
    <t>Std Refrigerant charge (lbs) per NormUnit</t>
  </si>
  <si>
    <t>Pre Refrigerant charge (lbs) per NormUnit</t>
  </si>
  <si>
    <t>Ext Refrigerant charge (lbs) per NormUnit</t>
  </si>
  <si>
    <t>Msr GWP</t>
  </si>
  <si>
    <t>Std GWP</t>
  </si>
  <si>
    <t>Msr annual refrigerant leakage %</t>
  </si>
  <si>
    <t>Std annual refrigerant leakage %</t>
  </si>
  <si>
    <t>Pre annual refrigerant leakage %</t>
  </si>
  <si>
    <t>Ext annual refrigerant leakage %</t>
  </si>
  <si>
    <t>Msr gross EOL refrigerant leakage %</t>
  </si>
  <si>
    <t>Std gross EOL refrigerant leakage %</t>
  </si>
  <si>
    <t>Pre gross EOL refrigerant leakage %</t>
  </si>
  <si>
    <t>Ext gross EOL refrigerant leakage %</t>
  </si>
  <si>
    <t>Msr t_EOL</t>
  </si>
  <si>
    <t>Std t_EOL</t>
  </si>
  <si>
    <t>Pre t_EOL</t>
  </si>
  <si>
    <t>Ext t_EOL</t>
  </si>
  <si>
    <t>Measure Start Year</t>
  </si>
  <si>
    <t>Msr Device Install Year</t>
  </si>
  <si>
    <t>Std Device Install Year</t>
  </si>
  <si>
    <t>Pre Device Install Year</t>
  </si>
  <si>
    <t>Ext Device Install Year</t>
  </si>
  <si>
    <t>Msr Number of Years device retired early</t>
  </si>
  <si>
    <t>Std Number of Years device retired early</t>
  </si>
  <si>
    <t>Pre Number of Years device retired early</t>
  </si>
  <si>
    <t>Ext Number of Years device retired early</t>
  </si>
  <si>
    <t>Msr % of device lifetime during measure years</t>
  </si>
  <si>
    <t>Std % of device lifetime during measure years</t>
  </si>
  <si>
    <t>Pre % of device lifetime during measure years</t>
  </si>
  <si>
    <t>Ext % of device lifetime during measure years</t>
  </si>
  <si>
    <t>Msr % of device lifetime retired early</t>
  </si>
  <si>
    <t>Std % of device lifetime retired early</t>
  </si>
  <si>
    <t>Pre % of device lifetime retired early</t>
  </si>
  <si>
    <t>Ext % of device lifetime retired early</t>
  </si>
  <si>
    <t>Msr charging remaining (%)</t>
  </si>
  <si>
    <t>Std charging remaining (%)</t>
  </si>
  <si>
    <t>Ext charging remaining (%)</t>
  </si>
  <si>
    <t>Msr net EOL refrigerant leakage (%)</t>
  </si>
  <si>
    <t>Std net EOL refrigerant leakage (%)</t>
  </si>
  <si>
    <t>Pre net EOL refrigerant leakage (%)</t>
  </si>
  <si>
    <t>Ext net EOL refrigerant leakage (%)</t>
  </si>
  <si>
    <t>Msr Annual leakage tons CO2e</t>
  </si>
  <si>
    <t>Std Annual leakage tons CO2e</t>
  </si>
  <si>
    <t>Pre Annual leakage tons CO2e</t>
  </si>
  <si>
    <t>Ext Annual leakage tons CO2e</t>
  </si>
  <si>
    <t>Msr EOL leakage tons CO2e</t>
  </si>
  <si>
    <t>Std EOL leakage tons CO2e</t>
  </si>
  <si>
    <t>Pre EOL leakage tons CO2e</t>
  </si>
  <si>
    <t>Ext EOL leakage tons CO2e</t>
  </si>
  <si>
    <t>Msr NPV Cost of Annual Leakage</t>
  </si>
  <si>
    <t>Std NPV Cost of Annual Leakage</t>
  </si>
  <si>
    <t>Pre NPV Cost of Annual Leakage</t>
  </si>
  <si>
    <t>Ext NPV Cost of Annual Leakage</t>
  </si>
  <si>
    <t>Msr NPV Cost of EOL Leakage</t>
  </si>
  <si>
    <t>Std NPV Cost of EOL Leakage</t>
  </si>
  <si>
    <t>Pre NPV Cost of EOL Leakage</t>
  </si>
  <si>
    <t>Ext NPV Cost of EOL Leakage</t>
  </si>
  <si>
    <t>Msr Adj NPV Cost of Annual Leakage</t>
  </si>
  <si>
    <t>Std Adj NPV Cost of Annual Leakage</t>
  </si>
  <si>
    <t>Pre Adj NPV Cost of Annual Leakage</t>
  </si>
  <si>
    <t>Ext Adj NPV Cost of Annual Leakage</t>
  </si>
  <si>
    <t>Msr Adj NPV Cost of EOL Leakage</t>
  </si>
  <si>
    <t>Std Adj NPV Cost of EOL Leakage</t>
  </si>
  <si>
    <t>Pre Adj NPV Cost of EOL Leakage</t>
  </si>
  <si>
    <t>Ext Adj NPV Cost of EOL Leakage</t>
  </si>
  <si>
    <t>Workbook integrity check</t>
  </si>
  <si>
    <t>Total</t>
  </si>
  <si>
    <t>Counterfactual case, new device (Std)</t>
  </si>
  <si>
    <t xml:space="preserve"> Measure case, existing device (Pre)</t>
  </si>
  <si>
    <t>Counterfactual case, existing device (Ext)</t>
  </si>
  <si>
    <t>Fill out this block to specify device refrigerant characteristics (not required if you selected a pre-defined device from the dropdown in the dashboard.) Document the reasoning outside this worksheet.</t>
  </si>
  <si>
    <t>Fill out this block to specify the device characteristics in the base case.
If MAT = AR, this represents the device in the second baseline.</t>
  </si>
  <si>
    <t>Only required if MAT = AR. Fill out this block to specify characteristics of the existing device being replaced.</t>
  </si>
  <si>
    <t>Do not fill out this block. The existing device is the same in both measure case and counterfactual (base case).</t>
  </si>
  <si>
    <t>User-specified mode for Msr device?</t>
  </si>
  <si>
    <t>User-specified mode for Std device?</t>
  </si>
  <si>
    <t>User-specified mode for Pre device?</t>
  </si>
  <si>
    <t>User-specified mode for Ext device?</t>
  </si>
  <si>
    <t>Lookup table based on research into refrigerant type and charge</t>
  </si>
  <si>
    <r>
      <t xml:space="preserve">This lookup table provides refrigerant charge values as a function of device type and normalizing units, as required for analysis of select measure packages. The table also provides refrigerant type, which can be used in lookup formulas or ignored.
</t>
    </r>
    <r>
      <rPr>
        <b/>
        <sz val="11"/>
        <color theme="1"/>
        <rFont val="Calibri"/>
        <family val="2"/>
        <scheme val="minor"/>
      </rPr>
      <t xml:space="preserve">Guidelines for updates to the refrigerant charge table:
</t>
    </r>
    <r>
      <rPr>
        <sz val="11"/>
        <color theme="1"/>
        <rFont val="Calibri"/>
        <family val="2"/>
        <scheme val="minor"/>
      </rPr>
      <t>1. To update the table, simply add data to the last row.
2. Give each row a unique device name (required for lookup functionality).
3. If the charge is based on research into devices with a specific refrigerant type, include the refrigerant type in the name.
4. Group comparable devices into categories (TechGroup and NormUnit). Do not group together entries with different end-use or different units.
5. Use the leakage lookup key to associate a leakage profile with the device (from E3 ACC lookup table).</t>
    </r>
  </si>
  <si>
    <r>
      <rPr>
        <b/>
        <sz val="11"/>
        <color theme="1"/>
        <rFont val="Calibri"/>
        <family val="2"/>
        <scheme val="minor"/>
      </rPr>
      <t xml:space="preserve">Sources:
</t>
    </r>
    <r>
      <rPr>
        <sz val="11"/>
        <color theme="1"/>
        <rFont val="Calibri"/>
        <family val="2"/>
        <scheme val="minor"/>
      </rPr>
      <t>Undated rows: Refer to worksheet 'Refrig Type Research 2021'</t>
    </r>
  </si>
  <si>
    <t>This block prepares dropdown lists for up to 30 "TechGroup and NormUnit" categories, and then device type lists for each category (no limit). The lists automatically update when the leakage lookup table is updated.</t>
  </si>
  <si>
    <t>Note that some defined names are variable length using OFFSET formula:
TechGroup_and_NormUnit
TGRows</t>
  </si>
  <si>
    <t>DropdownRefrigTech</t>
  </si>
  <si>
    <t>CommonRefrigerantType</t>
  </si>
  <si>
    <t>RefrigChargePoundsPerNormUnit</t>
  </si>
  <si>
    <t>LeakageLookupKey</t>
  </si>
  <si>
    <t>AnnualLeakageRate</t>
  </si>
  <si>
    <t>q_EOL</t>
  </si>
  <si>
    <t>t_EOL</t>
  </si>
  <si>
    <t>tg_numcategories</t>
  </si>
  <si>
    <t>TechGroup_and_NormUnit</t>
  </si>
  <si>
    <t>TG_dropdown_values</t>
  </si>
  <si>
    <t>None</t>
  </si>
  <si>
    <t>Please select TechGroup and NormUnit first</t>
  </si>
  <si>
    <t>Clothes dryer, each</t>
  </si>
  <si>
    <t>Clothes Dryer, Residential - Heat Pump</t>
  </si>
  <si>
    <t>HFC-134a</t>
  </si>
  <si>
    <t>Heat Pump Clothes Dryers</t>
  </si>
  <si>
    <t>Clothes Dryer, Residential - Conventional Electric</t>
  </si>
  <si>
    <t>Clothes Dryer, Residential - Conventional Gas</t>
  </si>
  <si>
    <t>HVAC, Cap-ton</t>
  </si>
  <si>
    <t>Ductless HVAC, Residential - AC and Resistance Heating</t>
  </si>
  <si>
    <t>R-410A</t>
  </si>
  <si>
    <t>Window/Room/Wall AC and Packaged Terminal AC (PTAC) Units, residential</t>
  </si>
  <si>
    <t>Ductless HVAC, Residential - Heat Pump</t>
  </si>
  <si>
    <t>Residential Heat Pumps</t>
  </si>
  <si>
    <t>Ductless HVAC, Residential - Window AC and Wall Furnace</t>
  </si>
  <si>
    <t>Ductless HVAC, Residential - Wall Furnace</t>
  </si>
  <si>
    <t>Central HVAC, Residential - Gas Furnace only</t>
  </si>
  <si>
    <t>Unitary Air-Cooled HVAC, Commercial - Gas Furnace only</t>
  </si>
  <si>
    <t>Central HVAC, Residential - Heat Pump</t>
  </si>
  <si>
    <t>Central HVAC, Residential - AC and Gas Furnace</t>
  </si>
  <si>
    <t>Residential Unitary AC</t>
  </si>
  <si>
    <t>Unitary Air-Cooled HVAC, Commercial - Heat Pump (&lt; 135 kBtuh)</t>
  </si>
  <si>
    <t>Commercial Unitary AC, &lt; 50-lbs., &lt; 135,000 BTUh size (includes smaller "residential-type" central AC and heat pumps)</t>
  </si>
  <si>
    <t>Unitary Air-Cooled HVAC, Commercial - AC and Gas Furnace (&lt; 135 kBtuh)</t>
  </si>
  <si>
    <t>Unitary Air-Cooled HVAC, Commercial - Heat Pump (&gt;= 135 kBTUh)</t>
  </si>
  <si>
    <t>Commercial Unitary AC 50-200 lbs., &gt; 135,000 BTUh size</t>
  </si>
  <si>
    <t>Unitary Air-Cooled HVAC, Commercial - AC and Gas Furnace (&gt;= 135 kBTUh)</t>
  </si>
  <si>
    <t>Pool heater, each</t>
  </si>
  <si>
    <t>Pool Heater, Residential - Heat Pump</t>
  </si>
  <si>
    <t>Heat Pump Water Heaters</t>
  </si>
  <si>
    <t>Pool Heater, Residential - Natural Gas</t>
  </si>
  <si>
    <t>Water heater, each</t>
  </si>
  <si>
    <t>Water Heater, Residential - Heat Pump</t>
  </si>
  <si>
    <t>Water Heater, Residential - Natural Gas</t>
  </si>
  <si>
    <t>Water Heater, Residential - Conventional Electric</t>
  </si>
  <si>
    <t>Water heater, CapOut-kBtuh</t>
  </si>
  <si>
    <t>Large Water Heater, Multifamily/Commercial - Heat Pump</t>
  </si>
  <si>
    <t>Large Water Heater, Multifamily/Commercial - Natural Gas</t>
  </si>
  <si>
    <t>Water Heater, Commercial - Heat Pump</t>
  </si>
  <si>
    <t>Water Heater, Commercial - Natural Gas</t>
  </si>
  <si>
    <t>Water Heater, Commercial - Conventional Electric</t>
  </si>
  <si>
    <t>IOU and Statewide WACC summary</t>
  </si>
  <si>
    <t>IOU</t>
  </si>
  <si>
    <t>WACC (Nominal, after-tax)</t>
  </si>
  <si>
    <t>PG&amp;E</t>
  </si>
  <si>
    <t>SCE</t>
  </si>
  <si>
    <t>SDG&amp;E</t>
  </si>
  <si>
    <t>Comparison of different weights for IOU funding</t>
  </si>
  <si>
    <t>PA</t>
  </si>
  <si>
    <t>IOU WACC (Nominal, after-tax)</t>
  </si>
  <si>
    <t>D.19-12-021 IOU Funding shares for Market Transformation, Electric Split *</t>
  </si>
  <si>
    <t>Budget filing, Appendix workbooks, 2023 EE Portfolio Budget Totals</t>
  </si>
  <si>
    <t>CEDARS budget filing report, 2023</t>
  </si>
  <si>
    <t>CEDARS budget filing report, 2023-2025 average</t>
  </si>
  <si>
    <t>Weighting option</t>
  </si>
  <si>
    <t>A</t>
  </si>
  <si>
    <t>B</t>
  </si>
  <si>
    <t>C</t>
  </si>
  <si>
    <t>D</t>
  </si>
  <si>
    <t>Statewide WACC</t>
  </si>
  <si>
    <t>* From D.19-12-021, pages 63-64, Table 1</t>
  </si>
  <si>
    <t>Refrigerant type research</t>
  </si>
  <si>
    <t>Technology</t>
  </si>
  <si>
    <t>Other refrigerants in use</t>
  </si>
  <si>
    <t>Source for Refrigerant Type</t>
  </si>
  <si>
    <t>Refrigerant Charge (Lbs)</t>
  </si>
  <si>
    <t>Unit</t>
  </si>
  <si>
    <t>Source</t>
  </si>
  <si>
    <t>R-134A</t>
  </si>
  <si>
    <t>R-407C and R-410A</t>
  </si>
  <si>
    <t>1) https://www.choice.com.au/home-and-living/laundry-and-cleaning/dryers/articles/what-is-a-heat-pump-dryer
2) https://www.researchgate.net/publication/280446701_The_Design_of_Heat_Pump_Clothes_Dryer</t>
  </si>
  <si>
    <t>per unit</t>
  </si>
  <si>
    <t>From RACC calculator</t>
  </si>
  <si>
    <t>Table 5-5 CPUC. Proposed Defined Study – A Roadmap for Accelerating the Adoption of Low-Global Warming Potential HVAC Refrigerants, EM&amp;V Group A. March 4, 2021</t>
  </si>
  <si>
    <t>Lbs per ton</t>
  </si>
  <si>
    <t>Appendix B - California Facilities and Greenhouse Gas Emissions Inventory – High-Global Warming Potential Stationary - Source Refrigerant Management Program Research Division, Release Date October 23, 2009</t>
  </si>
  <si>
    <t>Based on the ratio of residential unitary charge of 7.5 and residential heat pump charge of 8.2 from RACC</t>
  </si>
  <si>
    <t>Unitary Air-Cooled HVAC, Commercial - Heat Pump</t>
  </si>
  <si>
    <t>Unitary Air-Cooled HVAC, Commercial - AC and Gas Furnace</t>
  </si>
  <si>
    <t>https://hayward-pool-assets.com/assets/documents/pools/pdf/troubleshooting-guides/HeatPump-troubleshooting-guide.pdf</t>
  </si>
  <si>
    <t>R134A</t>
  </si>
  <si>
    <t>R410A/R134a</t>
  </si>
  <si>
    <t>1. https://www.osti.gov/servlets/purl/1468227
2.	“Refrigerants for Heat Pump Water Heaters, Report Annex 46 HPT-AN46-04”, December 2019, Compiled and Edited by Onno Kleefkens M.Sc. for IEA TCP-HPT, Published by Heat Pump Centre. 3. https://heatpumpingtechnologies.org/annex46/wp-content/uploads/sites/53/2020/10/hpt-an46-04-task-1-refrigerants-for-heat-pump-water-heaters-1.pdf</t>
  </si>
  <si>
    <t>R134a</t>
  </si>
  <si>
    <t xml:space="preserve">input capacity in kBtu/h (Cap-kBtuh). </t>
  </si>
  <si>
    <t>https://www.lochinvar.com/products/commercial-heat-pump-water-heaters/air-source-heat-pump-water-heaters/
See table on the side for calculations</t>
  </si>
  <si>
    <t>R-134a</t>
  </si>
  <si>
    <t>https://www.lochinvar.com/lit/436248CHE-Spec-01.pdf</t>
  </si>
  <si>
    <t>All HVAC, High efficiency Heat Pumps</t>
  </si>
  <si>
    <t>R-410a</t>
  </si>
  <si>
    <t xml:space="preserve">There is no published literature support chnages to refigerant charge with increase in effiency </t>
  </si>
  <si>
    <t>https://www.lochinvar.com/products/commercial-heat-pump-water-heaters/air-source-heat-pump-water-heaters/</t>
  </si>
  <si>
    <t>Model</t>
  </si>
  <si>
    <t>Heating Capacity (BTUH)</t>
  </si>
  <si>
    <t>Factor charge (lbs)</t>
  </si>
  <si>
    <t>Lbs/Kbtuh</t>
  </si>
  <si>
    <t>AHP025</t>
  </si>
  <si>
    <t>AHP060</t>
  </si>
  <si>
    <t>AHP090</t>
  </si>
  <si>
    <t>AHP125</t>
  </si>
  <si>
    <t>AHP185</t>
  </si>
  <si>
    <t>AHP250</t>
  </si>
  <si>
    <t>Average</t>
  </si>
  <si>
    <t xml:space="preserve">From workpaper </t>
  </si>
  <si>
    <t>BTUH</t>
  </si>
  <si>
    <t>Refrigerant charge</t>
  </si>
  <si>
    <t>HP50TA</t>
  </si>
  <si>
    <t>HP20654T</t>
  </si>
  <si>
    <t>HP20854T</t>
  </si>
  <si>
    <t>HP21104T</t>
  </si>
  <si>
    <t>HP21404T</t>
  </si>
  <si>
    <t>DNVGL latest study</t>
  </si>
  <si>
    <t>This block holds defined ranges used in calculations and dropdown lists.</t>
  </si>
  <si>
    <t>This sheet should remain hidden. It is only referenced in formulas.</t>
  </si>
  <si>
    <t>pounds_per_metric_ton</t>
  </si>
  <si>
    <t>Dropdown_Claim_Year</t>
  </si>
  <si>
    <t>Dropdown_MAT</t>
  </si>
  <si>
    <t>Dropdown_Discount_Year</t>
  </si>
  <si>
    <t>Dropdown_Existing_Device_Installation_Yr</t>
  </si>
  <si>
    <t>Dropdown_GWP_Time_Horizon</t>
  </si>
  <si>
    <t>const_userspec</t>
  </si>
  <si>
    <t>AR</t>
  </si>
  <si>
    <t>User specified</t>
  </si>
  <si>
    <t>NC</t>
  </si>
  <si>
    <t>20-yr</t>
  </si>
  <si>
    <t>NR</t>
  </si>
  <si>
    <t>const_device_e3none</t>
  </si>
  <si>
    <t>AOE</t>
  </si>
  <si>
    <t>const_tg_none</t>
  </si>
  <si>
    <t xml:space="preserve"> Other / Not specified</t>
  </si>
  <si>
    <t>const_device_nonrefrig</t>
  </si>
  <si>
    <t>Non-refrigerant equipment</t>
  </si>
  <si>
    <t>The following sheets are imported from the Refrigerant Avoided Cost Calculator (2022 v1b updated) and are shown for reference. Users of the Deemed Dashboard should not enter any inputs into the E3 dashboard.</t>
  </si>
  <si>
    <t xml:space="preserve">Official repository for the ACC:
</t>
  </si>
  <si>
    <t>https://www.cpuc.ca.gov/industries-and-topics/electrical-energy/demand-side-management/energy-efficiency/idsm</t>
  </si>
  <si>
    <t>Refrigerant Avoided Cost Calculator</t>
  </si>
  <si>
    <t xml:space="preserve">For the California Public Utilities Commission </t>
  </si>
  <si>
    <t>Use this calculator to calculate the avoided costs of refrigerant leakage for devices containing a refrigerant, when refrigerant type or amount is changed or a device is replaced early.</t>
  </si>
  <si>
    <t>This calculator can be used to calculate the avoided cost compared to a counterfactual for three measure types including:</t>
  </si>
  <si>
    <t xml:space="preserve">1) Normal Replacement Measure, where a device is replaced by a new device at the end of its useful life </t>
  </si>
  <si>
    <t>2) Add-on Equipment Measure, where a new piece of equipment is installed alongside existing equipment</t>
  </si>
  <si>
    <t>3) Accelerated Replacement Measure, where an existing device is retired early and replaced with a new device</t>
  </si>
  <si>
    <t>For Normal Replacement and Add-on Equipment Measures, it is assumed that the existing equipment is the same between the measure and counterfactual case, and thus does not need to be specified by the user measure</t>
  </si>
  <si>
    <t>since it does not contribute to the relative avoided costs. However, if Accelerated Replacement is chosen as the measure type, both new and existing device inputs must be specified to calculate avoided costs. For Accelerated Replacement</t>
  </si>
  <si>
    <t>measures, it is assumed that the existing device and refrigerant are the same between the measure and the counterfactual case. However, in the counterfactual case, the existing device is retired at the end of its useful life.</t>
  </si>
  <si>
    <t>Note that the output field is labeled "NPV avoided costs" regardless of whether that value represents a benefit or a cost, so users must be careful to input this data correctly into their cost-effectiveness tools.</t>
  </si>
  <si>
    <t>Please note that, for fuel substitution measures, it is critical to take into account the avoided cost of refrigerant leakage from air conditioners, if the building(s) in question would have had an air conditioner in the absence of the measure.</t>
  </si>
  <si>
    <t>For example, if a heat pump replaces both a natural gas heater and an air conditioner, the reduction in refrigerant leakage from this replaced air conditioner must be considered in any cost-effectiveness calculations.</t>
  </si>
  <si>
    <t>If the replacement of an existing or planned air conditioner is not reflected, the net cost of refrigerant leakage from fuel substitution measures could be seriously over-estimated.</t>
  </si>
  <si>
    <t>User Dashboard</t>
  </si>
  <si>
    <t>Inputs</t>
  </si>
  <si>
    <t>Result</t>
  </si>
  <si>
    <t>Input Value</t>
  </si>
  <si>
    <t>Dropdown List</t>
  </si>
  <si>
    <t>Calculated Input</t>
  </si>
  <si>
    <t>Measure type</t>
  </si>
  <si>
    <t>Accelerated Replacement</t>
  </si>
  <si>
    <t>Measure Lifetime Highlighted in Calculations</t>
  </si>
  <si>
    <t>Measure</t>
  </si>
  <si>
    <t>Counterfactual</t>
  </si>
  <si>
    <t>New Device</t>
  </si>
  <si>
    <t>Existing Device</t>
  </si>
  <si>
    <t>Device Type (see Refrigerant Leakage tab for list of devices)</t>
  </si>
  <si>
    <t>ARB average</t>
  </si>
  <si>
    <t>User Specified</t>
  </si>
  <si>
    <t>CARB database</t>
  </si>
  <si>
    <t>Use ARB average device lifetime or user-specified?</t>
  </si>
  <si>
    <t>User-specified device lifetime (yr) (applicable for user-specified lifetime)</t>
  </si>
  <si>
    <t>Device lifetime (yr)</t>
  </si>
  <si>
    <t>Device installation year</t>
  </si>
  <si>
    <t>Device retirement year</t>
  </si>
  <si>
    <t>Number of years device was retired early</t>
  </si>
  <si>
    <t>Use ARB average refrigerant charge or user-specified?</t>
  </si>
  <si>
    <t>User-specified device refrigerant charge (lb) (applicable for user-specified charge)</t>
  </si>
  <si>
    <t>Active device refrigerant charge (lb)</t>
  </si>
  <si>
    <t>Device refrigerant used (see Refrigerang GWPs tab for list of refrigerants)</t>
  </si>
  <si>
    <t>User-specified refrigerant GWP (applicable for user-specified refrigerant)</t>
  </si>
  <si>
    <t>User-specified</t>
  </si>
  <si>
    <t>Measure start year</t>
  </si>
  <si>
    <t>Measure end year</t>
  </si>
  <si>
    <t>User-specified WACC (%)</t>
  </si>
  <si>
    <t>Active WACC (%)</t>
  </si>
  <si>
    <t>GWP time horizon (100-yr is default)</t>
  </si>
  <si>
    <t>Calculations:</t>
  </si>
  <si>
    <t>Conversions</t>
  </si>
  <si>
    <t>Intermediate Calculations</t>
  </si>
  <si>
    <t>lb</t>
  </si>
  <si>
    <t>Start year</t>
  </si>
  <si>
    <t>=</t>
  </si>
  <si>
    <t>metric ton</t>
  </si>
  <si>
    <t>End year</t>
  </si>
  <si>
    <t>Number of device lifetime years overlapping with measure years</t>
  </si>
  <si>
    <t>EOL refrigerant leakage %</t>
  </si>
  <si>
    <t>Annual leakage (tonnes CO2e)</t>
  </si>
  <si>
    <t>End-of-life leakage (tonnes CO2e)</t>
  </si>
  <si>
    <t>New device annual refrigerant leakage during measure life (tonnes CO2e)</t>
  </si>
  <si>
    <t>Existing device annual refrigerant leakage during measure life (tonnes CO2e)</t>
  </si>
  <si>
    <t>New device end-of-life refrigerant leakage (tonnes CO2e)</t>
  </si>
  <si>
    <t>Existing device end-of-life refrigerant leakage (tonnes CO2e)</t>
  </si>
  <si>
    <t>CO2 cost (nominal $/tonne CO2)</t>
  </si>
  <si>
    <t>Cost from new device annual refrigerant leakage during measure life (nominal $)</t>
  </si>
  <si>
    <t>Cost from existing device annual refrigerant leakage during measure life (nominal $)</t>
  </si>
  <si>
    <t>Cost from new device end-of-life leakage (nominal $)</t>
  </si>
  <si>
    <t>Cost from existing device end-of-life leakage (nominal $)</t>
  </si>
  <si>
    <t>PV cost stream from new device annual refrigerant leakage relative to measure start year</t>
  </si>
  <si>
    <t>PV cost stream from existing device annual refrigerant leakage relative to measure start year</t>
  </si>
  <si>
    <t>PV cost stream from new device end-of-life leakage relative to measure start year</t>
  </si>
  <si>
    <t>PV cost stream from existing device end-of-life leakage relative to measure start year</t>
  </si>
  <si>
    <t>NPV Costs</t>
  </si>
  <si>
    <t>*NPV cost from end-of-life leakage is scaled based on how much of the device lifetime occurred during the measure lifetime and how early the device was retired relative to its effective useful life</t>
  </si>
  <si>
    <t>GHG Value from Natural Gas ACC</t>
  </si>
  <si>
    <t>$/tonne (nominal)</t>
  </si>
  <si>
    <t>Measure Types</t>
  </si>
  <si>
    <t>Inflation Rate</t>
  </si>
  <si>
    <t>Normal Replacement or Add-on Equipment</t>
  </si>
  <si>
    <t>Sector</t>
  </si>
  <si>
    <t>Device type</t>
  </si>
  <si>
    <t>Average lifetime (years)</t>
  </si>
  <si>
    <t>Average charge size (amount of refrigerant) in lbs. per unit</t>
  </si>
  <si>
    <t>Average annual leak rate (q_ann)</t>
  </si>
  <si>
    <t>Average end-of-life loss rate of remaining refrigerant (q_EOL)</t>
  </si>
  <si>
    <t>Number of years prior to EOL with no "top-off" refrigerant added to replace full charge (t_EOL)</t>
  </si>
  <si>
    <t>Percentage of refrigerant charge lost during lifetime</t>
  </si>
  <si>
    <t>Mass of refrigerant lost during lifetime for average unit (lbs)</t>
  </si>
  <si>
    <t>Stationary Refrigeration</t>
  </si>
  <si>
    <t xml:space="preserve">Large retail food refrigeration 2,000 lbs. + </t>
  </si>
  <si>
    <t xml:space="preserve">Medium retail food refrigeration 200-2,000 lbs. </t>
  </si>
  <si>
    <t xml:space="preserve">Small retail food refrigeration 50-200 lbs. </t>
  </si>
  <si>
    <t>Sub-small retail food refrigeration &lt; 50 lbs.</t>
  </si>
  <si>
    <t xml:space="preserve">Large commercial refrigeration 2,000 lbs. + </t>
  </si>
  <si>
    <t xml:space="preserve">Medium commercial refrigeration 200-2,000 lbs. </t>
  </si>
  <si>
    <t xml:space="preserve">Small commercial refrigeration 50-200 lbs. </t>
  </si>
  <si>
    <t>Sub-small commercial refrigeration &lt; 50 lbs.</t>
  </si>
  <si>
    <t>Large cold storage 2,000 lbs. +</t>
  </si>
  <si>
    <t>Medium cold storage 200-2,000 lbs.</t>
  </si>
  <si>
    <t>Small cold storage 50-200 lbs.</t>
  </si>
  <si>
    <t>Large industrial process cooling 2,000 lbs. +</t>
  </si>
  <si>
    <t>Medium industrial process cooling 200-2,000 lbs.</t>
  </si>
  <si>
    <t>Small industrial process cooling 50-200 lbs.</t>
  </si>
  <si>
    <t>Stand alone (self-contained) refrig units</t>
  </si>
  <si>
    <t>Refrigerated Food Processing and Dispensing Equipment</t>
  </si>
  <si>
    <t>Commercial Ice Machines</t>
  </si>
  <si>
    <t>Water Coolers - Drinking Fountains</t>
  </si>
  <si>
    <t>Refrigerated vending machines</t>
  </si>
  <si>
    <t>Household refrigerator freezer</t>
  </si>
  <si>
    <t>Stationary Air-conditioning</t>
  </si>
  <si>
    <t>Large Chiller 2,000 lbs. +</t>
  </si>
  <si>
    <t>Medium Chiller 200-2,000 lbs.</t>
  </si>
  <si>
    <t>Window/Room AC and PTAC Units, commercial</t>
  </si>
  <si>
    <t>Portable AC</t>
  </si>
  <si>
    <t>Dehumidifiers</t>
  </si>
  <si>
    <t>MVAC and Transport Refrigeration</t>
  </si>
  <si>
    <t>Mobile Vehicle AC (MVAC) Light Duty (LD)</t>
  </si>
  <si>
    <t>MVAC Heavy Duty (HD) (non-bus)</t>
  </si>
  <si>
    <t>MVAC Bus</t>
  </si>
  <si>
    <t>MVAC Off-Road</t>
  </si>
  <si>
    <t>Transport Refrigerated Units (TRUs)</t>
  </si>
  <si>
    <t>Refrigerated Shipping Containers</t>
  </si>
  <si>
    <t>Ships</t>
  </si>
  <si>
    <t>No device</t>
  </si>
  <si>
    <t>Common name of refrigerant/GHG</t>
  </si>
  <si>
    <t xml:space="preserve">Full Name </t>
  </si>
  <si>
    <t>Atmospheric Life Time in Years</t>
  </si>
  <si>
    <t>100-year GWP Values from IPCC Fourth Assessment Report (AR4) (2007)</t>
  </si>
  <si>
    <t>20-year GWP Values from IPCC Fourth Assessment Report (AR4) (2007)</t>
  </si>
  <si>
    <t>Active GWP</t>
  </si>
  <si>
    <t>CFC-11</t>
  </si>
  <si>
    <r>
      <t>Trichlorofluoromethane (CCl</t>
    </r>
    <r>
      <rPr>
        <vertAlign val="subscript"/>
        <sz val="10"/>
        <rFont val="Arial"/>
        <family val="2"/>
      </rPr>
      <t>3</t>
    </r>
    <r>
      <rPr>
        <sz val="11"/>
        <color theme="1"/>
        <rFont val="Calibri"/>
        <family val="2"/>
        <scheme val="minor"/>
      </rPr>
      <t>F)</t>
    </r>
  </si>
  <si>
    <t>Controlled by Montreal Protocol; not included in ARB inventory by international convention</t>
  </si>
  <si>
    <t>CFC-12</t>
  </si>
  <si>
    <r>
      <t>Dichlorodifluoromethane (CCl</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</si>
  <si>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CFC-13</t>
  </si>
  <si>
    <r>
      <t>Chlorotrifluoromethane (CClF</t>
    </r>
    <r>
      <rPr>
        <vertAlign val="subscript"/>
        <sz val="10"/>
        <rFont val="Arial"/>
        <family val="2"/>
      </rPr>
      <t>3</t>
    </r>
    <r>
      <rPr>
        <sz val="11"/>
        <color theme="1"/>
        <rFont val="Calibri"/>
        <family val="2"/>
        <scheme val="minor"/>
      </rPr>
      <t>)</t>
    </r>
  </si>
  <si>
    <t>CFC-113</t>
  </si>
  <si>
    <r>
      <t>1,1,2-Trichlorotrifluoroethane (C</t>
    </r>
    <r>
      <rPr>
        <vertAlign val="subscript"/>
        <sz val="10"/>
        <rFont val="Arial"/>
        <family val="2"/>
      </rPr>
      <t>2</t>
    </r>
    <r>
      <rPr>
        <sz val="11"/>
        <color theme="1"/>
        <rFont val="Calibri"/>
        <family val="2"/>
        <scheme val="minor"/>
      </rPr>
      <t>F</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 xml:space="preserve">)    </t>
    </r>
  </si>
  <si>
    <t>CFC-114</t>
  </si>
  <si>
    <r>
      <t>Dichlorotetrafluoroethane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Cl</t>
    </r>
    <r>
      <rPr>
        <vertAlign val="subscript"/>
        <sz val="10"/>
        <rFont val="Arial"/>
        <family val="2"/>
      </rPr>
      <t>2</t>
    </r>
    <r>
      <rPr>
        <sz val="11"/>
        <color theme="1"/>
        <rFont val="Calibri"/>
        <family val="2"/>
        <scheme val="minor"/>
      </rPr>
      <t>)</t>
    </r>
  </si>
  <si>
    <t>CFC-115</t>
  </si>
  <si>
    <r>
      <t>Monochloropentafluoroethane (C</t>
    </r>
    <r>
      <rPr>
        <vertAlign val="subscript"/>
        <sz val="10"/>
        <rFont val="Arial"/>
        <family val="2"/>
      </rPr>
      <t>2</t>
    </r>
    <r>
      <rPr>
        <sz val="11"/>
        <color theme="1"/>
        <rFont val="Calibri"/>
        <family val="2"/>
        <scheme val="minor"/>
      </rPr>
      <t>F</t>
    </r>
    <r>
      <rPr>
        <vertAlign val="subscript"/>
        <sz val="10"/>
        <rFont val="Arial"/>
        <family val="2"/>
      </rPr>
      <t>5</t>
    </r>
    <r>
      <rPr>
        <sz val="11"/>
        <color theme="1"/>
        <rFont val="Calibri"/>
        <family val="2"/>
        <scheme val="minor"/>
      </rPr>
      <t>Cl)</t>
    </r>
  </si>
  <si>
    <t>Halon 1211</t>
  </si>
  <si>
    <r>
      <t>Bromochlorodifluoromethane (CF</t>
    </r>
    <r>
      <rPr>
        <vertAlign val="subscript"/>
        <sz val="10"/>
        <rFont val="Arial"/>
        <family val="2"/>
      </rPr>
      <t>2</t>
    </r>
    <r>
      <rPr>
        <sz val="11"/>
        <color theme="1"/>
        <rFont val="Calibri"/>
        <family val="2"/>
        <scheme val="minor"/>
      </rPr>
      <t>ClBr)</t>
    </r>
  </si>
  <si>
    <t>Halon 1301</t>
  </si>
  <si>
    <r>
      <t>Bromotrifluoromethane (CF</t>
    </r>
    <r>
      <rPr>
        <vertAlign val="subscript"/>
        <sz val="10"/>
        <rFont val="Arial"/>
        <family val="2"/>
      </rPr>
      <t>3</t>
    </r>
    <r>
      <rPr>
        <sz val="11"/>
        <color theme="1"/>
        <rFont val="Calibri"/>
        <family val="2"/>
        <scheme val="minor"/>
      </rPr>
      <t>Br)</t>
    </r>
  </si>
  <si>
    <t>Halon 2402</t>
  </si>
  <si>
    <r>
      <t>Dibromotetrafluoroethane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Br</t>
    </r>
    <r>
      <rPr>
        <vertAlign val="subscript"/>
        <sz val="10"/>
        <rFont val="Arial"/>
        <family val="2"/>
      </rPr>
      <t>2</t>
    </r>
    <r>
      <rPr>
        <sz val="11"/>
        <color theme="1"/>
        <rFont val="Calibri"/>
        <family val="2"/>
        <scheme val="minor"/>
      </rPr>
      <t>)</t>
    </r>
  </si>
  <si>
    <t>Carbon tetrachloride</t>
  </si>
  <si>
    <r>
      <t>Carbon tetrachloride (CCl</t>
    </r>
    <r>
      <rPr>
        <vertAlign val="subscript"/>
        <sz val="10"/>
        <rFont val="Arial"/>
        <family val="2"/>
      </rPr>
      <t>4</t>
    </r>
    <r>
      <rPr>
        <sz val="11"/>
        <color theme="1"/>
        <rFont val="Calibri"/>
        <family val="2"/>
        <scheme val="minor"/>
      </rPr>
      <t>)</t>
    </r>
  </si>
  <si>
    <t>Methyl bromide</t>
  </si>
  <si>
    <r>
      <t>Methyl bromide (CH</t>
    </r>
    <r>
      <rPr>
        <vertAlign val="subscript"/>
        <sz val="10"/>
        <rFont val="Arial"/>
        <family val="2"/>
      </rPr>
      <t>3</t>
    </r>
    <r>
      <rPr>
        <sz val="11"/>
        <color theme="1"/>
        <rFont val="Calibri"/>
        <family val="2"/>
        <scheme val="minor"/>
      </rPr>
      <t>Br)</t>
    </r>
  </si>
  <si>
    <t>Methyl chloroform (R-140a)</t>
  </si>
  <si>
    <r>
      <t>1,1,1-trichloroethane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t>
    </r>
  </si>
  <si>
    <t>Methylene chloride</t>
  </si>
  <si>
    <r>
      <t>Dichloromethane (CH</t>
    </r>
    <r>
      <rPr>
        <vertAlign val="subscript"/>
        <sz val="10"/>
        <rFont val="Arial"/>
        <family val="2"/>
      </rPr>
      <t>2</t>
    </r>
    <r>
      <rPr>
        <sz val="11"/>
        <color theme="1"/>
        <rFont val="Calibri"/>
        <family val="2"/>
        <scheme val="minor"/>
      </rPr>
      <t>Cl</t>
    </r>
    <r>
      <rPr>
        <vertAlign val="subscript"/>
        <sz val="10"/>
        <rFont val="Arial"/>
        <family val="2"/>
      </rPr>
      <t>2</t>
    </r>
    <r>
      <rPr>
        <sz val="11"/>
        <color theme="1"/>
        <rFont val="Calibri"/>
        <family val="2"/>
        <scheme val="minor"/>
      </rPr>
      <t>)</t>
    </r>
  </si>
  <si>
    <t>HCFC-21</t>
  </si>
  <si>
    <r>
      <t>Dichlorofluoromethane (CHFCl</t>
    </r>
    <r>
      <rPr>
        <vertAlign val="subscript"/>
        <sz val="10"/>
        <rFont val="Arial"/>
        <family val="2"/>
      </rPr>
      <t>2</t>
    </r>
    <r>
      <rPr>
        <sz val="10"/>
        <rFont val="Arial"/>
        <family val="2"/>
      </rPr>
      <t>)</t>
    </r>
  </si>
  <si>
    <t>HCFC-22</t>
  </si>
  <si>
    <r>
      <t>Monochlorodifluoromethane (CHClF</t>
    </r>
    <r>
      <rPr>
        <vertAlign val="subscript"/>
        <sz val="10"/>
        <rFont val="Arial"/>
        <family val="2"/>
      </rPr>
      <t>2</t>
    </r>
    <r>
      <rPr>
        <sz val="11"/>
        <color theme="1"/>
        <rFont val="Calibri"/>
        <family val="2"/>
        <scheme val="minor"/>
      </rPr>
      <t>)</t>
    </r>
  </si>
  <si>
    <t>HCFC-123</t>
  </si>
  <si>
    <r>
      <t>Dichlorotrifluoroethane (C</t>
    </r>
    <r>
      <rPr>
        <vertAlign val="subscript"/>
        <sz val="10"/>
        <rFont val="Arial"/>
        <family val="2"/>
      </rPr>
      <t>2</t>
    </r>
    <r>
      <rPr>
        <sz val="11"/>
        <color theme="1"/>
        <rFont val="Calibri"/>
        <family val="2"/>
        <scheme val="minor"/>
      </rPr>
      <t>HF</t>
    </r>
    <r>
      <rPr>
        <vertAlign val="subscript"/>
        <sz val="10"/>
        <rFont val="Arial"/>
        <family val="2"/>
      </rPr>
      <t>3</t>
    </r>
    <r>
      <rPr>
        <sz val="11"/>
        <color theme="1"/>
        <rFont val="Calibri"/>
        <family val="2"/>
        <scheme val="minor"/>
      </rPr>
      <t>Cl</t>
    </r>
    <r>
      <rPr>
        <vertAlign val="subscript"/>
        <sz val="10"/>
        <rFont val="Arial"/>
        <family val="2"/>
      </rPr>
      <t>2</t>
    </r>
    <r>
      <rPr>
        <sz val="11"/>
        <color theme="1"/>
        <rFont val="Calibri"/>
        <family val="2"/>
        <scheme val="minor"/>
      </rPr>
      <t>)</t>
    </r>
  </si>
  <si>
    <t>HCFC-124</t>
  </si>
  <si>
    <r>
      <t>Monochlorotetrafluoroethane (C</t>
    </r>
    <r>
      <rPr>
        <vertAlign val="subscript"/>
        <sz val="10"/>
        <rFont val="Arial"/>
        <family val="2"/>
      </rPr>
      <t>2</t>
    </r>
    <r>
      <rPr>
        <sz val="11"/>
        <color theme="1"/>
        <rFont val="Calibri"/>
        <family val="2"/>
        <scheme val="minor"/>
      </rPr>
      <t>HF</t>
    </r>
    <r>
      <rPr>
        <vertAlign val="subscript"/>
        <sz val="10"/>
        <rFont val="Arial"/>
        <family val="2"/>
      </rPr>
      <t>4</t>
    </r>
    <r>
      <rPr>
        <sz val="11"/>
        <color theme="1"/>
        <rFont val="Calibri"/>
        <family val="2"/>
        <scheme val="minor"/>
      </rPr>
      <t>Cl)</t>
    </r>
  </si>
  <si>
    <t>HCFC-141b</t>
  </si>
  <si>
    <r>
      <t>Dichlorofluoroethane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FCl</t>
    </r>
    <r>
      <rPr>
        <vertAlign val="subscript"/>
        <sz val="10"/>
        <rFont val="Arial"/>
        <family val="2"/>
      </rPr>
      <t>2</t>
    </r>
    <r>
      <rPr>
        <sz val="11"/>
        <color theme="1"/>
        <rFont val="Calibri"/>
        <family val="2"/>
        <scheme val="minor"/>
      </rPr>
      <t>)</t>
    </r>
  </si>
  <si>
    <t>HCFC-142b</t>
  </si>
  <si>
    <r>
      <t>Monochlorodifluoroethane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2</t>
    </r>
    <r>
      <rPr>
        <sz val="11"/>
        <color theme="1"/>
        <rFont val="Calibri"/>
        <family val="2"/>
        <scheme val="minor"/>
      </rPr>
      <t>Cl)</t>
    </r>
  </si>
  <si>
    <t>HCFC-225ca</t>
  </si>
  <si>
    <r>
      <t>Dichloropentafluoropropane (C</t>
    </r>
    <r>
      <rPr>
        <vertAlign val="subscript"/>
        <sz val="10"/>
        <rFont val="Arial"/>
        <family val="2"/>
      </rPr>
      <t>3</t>
    </r>
    <r>
      <rPr>
        <sz val="11"/>
        <color theme="1"/>
        <rFont val="Calibri"/>
        <family val="2"/>
        <scheme val="minor"/>
      </rPr>
      <t>HF</t>
    </r>
    <r>
      <rPr>
        <vertAlign val="subscript"/>
        <sz val="10"/>
        <rFont val="Arial"/>
        <family val="2"/>
      </rPr>
      <t>5</t>
    </r>
    <r>
      <rPr>
        <sz val="11"/>
        <color theme="1"/>
        <rFont val="Calibri"/>
        <family val="2"/>
        <scheme val="minor"/>
      </rPr>
      <t>Cl</t>
    </r>
    <r>
      <rPr>
        <vertAlign val="subscript"/>
        <sz val="10"/>
        <rFont val="Arial"/>
        <family val="2"/>
      </rPr>
      <t>2</t>
    </r>
    <r>
      <rPr>
        <sz val="11"/>
        <color theme="1"/>
        <rFont val="Calibri"/>
        <family val="2"/>
        <scheme val="minor"/>
      </rPr>
      <t>)</t>
    </r>
  </si>
  <si>
    <t>HCFC-225cb</t>
  </si>
  <si>
    <r>
      <t>Dichloropentafluoropropane (CHClFCF</t>
    </r>
    <r>
      <rPr>
        <vertAlign val="subscript"/>
        <sz val="10"/>
        <rFont val="Arial"/>
        <family val="2"/>
      </rPr>
      <t>2</t>
    </r>
    <r>
      <rPr>
        <sz val="11"/>
        <color theme="1"/>
        <rFont val="Calibri"/>
        <family val="2"/>
        <scheme val="minor"/>
      </rPr>
      <t>CClF</t>
    </r>
    <r>
      <rPr>
        <vertAlign val="subscript"/>
        <sz val="10"/>
        <rFont val="Arial"/>
        <family val="2"/>
      </rPr>
      <t>2</t>
    </r>
    <r>
      <rPr>
        <sz val="11"/>
        <color theme="1"/>
        <rFont val="Calibri"/>
        <family val="2"/>
        <scheme val="minor"/>
      </rPr>
      <t>)</t>
    </r>
  </si>
  <si>
    <t>Carbon Dioxide</t>
  </si>
  <si>
    <r>
      <t>Carbon Dioxide (CO</t>
    </r>
    <r>
      <rPr>
        <vertAlign val="subscript"/>
        <sz val="10"/>
        <rFont val="Arial"/>
        <family val="2"/>
      </rPr>
      <t>2</t>
    </r>
    <r>
      <rPr>
        <sz val="11"/>
        <color theme="1"/>
        <rFont val="Calibri"/>
        <family val="2"/>
        <scheme val="minor"/>
      </rPr>
      <t>)</t>
    </r>
  </si>
  <si>
    <t>50-200</t>
  </si>
  <si>
    <t>Methane</t>
  </si>
  <si>
    <r>
      <t>Methane (CH</t>
    </r>
    <r>
      <rPr>
        <vertAlign val="subscript"/>
        <sz val="10"/>
        <rFont val="Arial"/>
        <family val="2"/>
      </rPr>
      <t>4</t>
    </r>
    <r>
      <rPr>
        <sz val="11"/>
        <color theme="1"/>
        <rFont val="Calibri"/>
        <family val="2"/>
        <scheme val="minor"/>
      </rPr>
      <t>)</t>
    </r>
  </si>
  <si>
    <t>Nitrous Oxide</t>
  </si>
  <si>
    <r>
      <t>Nitrous Oxide (N</t>
    </r>
    <r>
      <rPr>
        <vertAlign val="subscript"/>
        <sz val="10"/>
        <rFont val="Arial"/>
        <family val="2"/>
      </rPr>
      <t>2</t>
    </r>
    <r>
      <rPr>
        <sz val="11"/>
        <color theme="1"/>
        <rFont val="Calibri"/>
        <family val="2"/>
        <scheme val="minor"/>
      </rPr>
      <t>O)</t>
    </r>
  </si>
  <si>
    <t>HFC-23</t>
  </si>
  <si>
    <r>
      <t>Trifluoromethane (CHF</t>
    </r>
    <r>
      <rPr>
        <vertAlign val="subscript"/>
        <sz val="10"/>
        <rFont val="Arial"/>
        <family val="2"/>
      </rPr>
      <t>3</t>
    </r>
    <r>
      <rPr>
        <sz val="11"/>
        <color theme="1"/>
        <rFont val="Calibri"/>
        <family val="2"/>
        <scheme val="minor"/>
      </rPr>
      <t xml:space="preserve">) </t>
    </r>
  </si>
  <si>
    <t>HFC-32</t>
  </si>
  <si>
    <r>
      <t>Difluoromethane (CH</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</si>
  <si>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HFC-125</t>
  </si>
  <si>
    <r>
      <t>Pentafluoroethane (C</t>
    </r>
    <r>
      <rPr>
        <vertAlign val="subscript"/>
        <sz val="10"/>
        <rFont val="Arial"/>
        <family val="2"/>
      </rPr>
      <t>2</t>
    </r>
    <r>
      <rPr>
        <sz val="11"/>
        <color theme="1"/>
        <rFont val="Calibri"/>
        <family val="2"/>
        <scheme val="minor"/>
      </rPr>
      <t>HF</t>
    </r>
    <r>
      <rPr>
        <vertAlign val="subscript"/>
        <sz val="10"/>
        <rFont val="Arial"/>
        <family val="2"/>
      </rPr>
      <t>5</t>
    </r>
    <r>
      <rPr>
        <sz val="11"/>
        <color theme="1"/>
        <rFont val="Calibri"/>
        <family val="2"/>
        <scheme val="minor"/>
      </rPr>
      <t>)</t>
    </r>
  </si>
  <si>
    <r>
      <t>1,1,1,2-Tetrafluoroethane (CH</t>
    </r>
    <r>
      <rPr>
        <vertAlign val="subscript"/>
        <sz val="10"/>
        <rFont val="Arial"/>
        <family val="2"/>
      </rPr>
      <t>2</t>
    </r>
    <r>
      <rPr>
        <sz val="11"/>
        <color theme="1"/>
        <rFont val="Calibri"/>
        <family val="2"/>
        <scheme val="minor"/>
      </rPr>
      <t>FCF</t>
    </r>
    <r>
      <rPr>
        <vertAlign val="subscript"/>
        <sz val="10"/>
        <rFont val="Arial"/>
        <family val="2"/>
      </rPr>
      <t>3</t>
    </r>
    <r>
      <rPr>
        <sz val="11"/>
        <color theme="1"/>
        <rFont val="Calibri"/>
        <family val="2"/>
        <scheme val="minor"/>
      </rPr>
      <t>)</t>
    </r>
  </si>
  <si>
    <t>HFC-143a</t>
  </si>
  <si>
    <r>
      <t>1,1,1-Trifluoroethane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3</t>
    </r>
    <r>
      <rPr>
        <sz val="11"/>
        <color theme="1"/>
        <rFont val="Calibri"/>
        <family val="2"/>
        <scheme val="minor"/>
      </rPr>
      <t>)</t>
    </r>
  </si>
  <si>
    <t>HFC-152a</t>
  </si>
  <si>
    <r>
      <t>1,1-Difluoroethane (C</t>
    </r>
    <r>
      <rPr>
        <vertAlign val="subscript"/>
        <sz val="10"/>
        <rFont val="Arial"/>
        <family val="2"/>
      </rPr>
      <t>2</t>
    </r>
    <r>
      <rPr>
        <sz val="11"/>
        <color theme="1"/>
        <rFont val="Calibri"/>
        <family val="2"/>
        <scheme val="minor"/>
      </rPr>
      <t>H</t>
    </r>
    <r>
      <rPr>
        <vertAlign val="subscript"/>
        <sz val="10"/>
        <rFont val="Arial"/>
        <family val="2"/>
      </rPr>
      <t>4</t>
    </r>
    <r>
      <rPr>
        <sz val="11"/>
        <color theme="1"/>
        <rFont val="Calibri"/>
        <family val="2"/>
        <scheme val="minor"/>
      </rPr>
      <t>F</t>
    </r>
    <r>
      <rPr>
        <vertAlign val="subscript"/>
        <sz val="10"/>
        <rFont val="Arial"/>
        <family val="2"/>
      </rPr>
      <t>2</t>
    </r>
    <r>
      <rPr>
        <sz val="11"/>
        <color theme="1"/>
        <rFont val="Calibri"/>
        <family val="2"/>
        <scheme val="minor"/>
      </rPr>
      <t>)</t>
    </r>
  </si>
  <si>
    <t>HFC-161</t>
  </si>
  <si>
    <r>
      <t>Fluoroethane [ethyl fluoride] (CH</t>
    </r>
    <r>
      <rPr>
        <vertAlign val="subscript"/>
        <sz val="10"/>
        <rFont val="Arial"/>
        <family val="2"/>
      </rPr>
      <t>3</t>
    </r>
    <r>
      <rPr>
        <sz val="11"/>
        <color theme="1"/>
        <rFont val="Calibri"/>
        <family val="2"/>
        <scheme val="minor"/>
      </rPr>
      <t>CH</t>
    </r>
    <r>
      <rPr>
        <vertAlign val="subscript"/>
        <sz val="10"/>
        <rFont val="Arial"/>
        <family val="2"/>
      </rPr>
      <t>2</t>
    </r>
    <r>
      <rPr>
        <sz val="11"/>
        <color theme="1"/>
        <rFont val="Calibri"/>
        <family val="2"/>
        <scheme val="minor"/>
      </rPr>
      <t>F)</t>
    </r>
  </si>
  <si>
    <t>HFC-227ea</t>
  </si>
  <si>
    <r>
      <t xml:space="preserve"> 1,1,1,2,3,3,3-Heptafluoropropane (C</t>
    </r>
    <r>
      <rPr>
        <vertAlign val="subscript"/>
        <sz val="10"/>
        <rFont val="Arial"/>
        <family val="2"/>
      </rPr>
      <t>3</t>
    </r>
    <r>
      <rPr>
        <sz val="11"/>
        <color theme="1"/>
        <rFont val="Calibri"/>
        <family val="2"/>
        <scheme val="minor"/>
      </rPr>
      <t>HF</t>
    </r>
    <r>
      <rPr>
        <vertAlign val="subscript"/>
        <sz val="10"/>
        <rFont val="Arial"/>
        <family val="2"/>
      </rPr>
      <t>7</t>
    </r>
    <r>
      <rPr>
        <sz val="11"/>
        <color theme="1"/>
        <rFont val="Calibri"/>
        <family val="2"/>
        <scheme val="minor"/>
      </rPr>
      <t>)</t>
    </r>
  </si>
  <si>
    <t>HFC-236fa</t>
  </si>
  <si>
    <r>
      <t>1,1,1,3,3,3-hexafluoropropane (C</t>
    </r>
    <r>
      <rPr>
        <vertAlign val="subscript"/>
        <sz val="10"/>
        <rFont val="Arial"/>
        <family val="2"/>
      </rPr>
      <t>3</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</si>
  <si>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HFC-245fa</t>
  </si>
  <si>
    <r>
      <t>1,1,1,3,3-pentafluoropropane (C</t>
    </r>
    <r>
      <rPr>
        <vertAlign val="subscript"/>
        <sz val="10"/>
        <rFont val="Arial"/>
        <family val="2"/>
      </rPr>
      <t>3</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5</t>
    </r>
    <r>
      <rPr>
        <sz val="11"/>
        <color theme="1"/>
        <rFont val="Calibri"/>
        <family val="2"/>
        <scheme val="minor"/>
      </rPr>
      <t>)</t>
    </r>
  </si>
  <si>
    <t>HFC-365mfc</t>
  </si>
  <si>
    <r>
      <t>1,1,1,3,3-pentafluorobutane (C</t>
    </r>
    <r>
      <rPr>
        <vertAlign val="subscript"/>
        <sz val="10"/>
        <rFont val="Arial"/>
        <family val="2"/>
      </rPr>
      <t>4</t>
    </r>
    <r>
      <rPr>
        <sz val="11"/>
        <color theme="1"/>
        <rFont val="Calibri"/>
        <family val="2"/>
        <scheme val="minor"/>
      </rPr>
      <t>H</t>
    </r>
    <r>
      <rPr>
        <vertAlign val="subscript"/>
        <sz val="10"/>
        <rFont val="Arial"/>
        <family val="2"/>
      </rPr>
      <t>5</t>
    </r>
    <r>
      <rPr>
        <sz val="11"/>
        <color theme="1"/>
        <rFont val="Calibri"/>
        <family val="2"/>
        <scheme val="minor"/>
      </rPr>
      <t>F</t>
    </r>
    <r>
      <rPr>
        <vertAlign val="subscript"/>
        <sz val="10"/>
        <rFont val="Arial"/>
        <family val="2"/>
      </rPr>
      <t>5</t>
    </r>
    <r>
      <rPr>
        <sz val="11"/>
        <color theme="1"/>
        <rFont val="Calibri"/>
        <family val="2"/>
        <scheme val="minor"/>
      </rPr>
      <t>)</t>
    </r>
  </si>
  <si>
    <t>HFC-43-10mee</t>
  </si>
  <si>
    <r>
      <t>1,1,1,2,2,3,4,5,5,5-decafluoropentane (C</t>
    </r>
    <r>
      <rPr>
        <vertAlign val="subscript"/>
        <sz val="10"/>
        <rFont val="Arial"/>
        <family val="2"/>
      </rPr>
      <t>5</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10</t>
    </r>
    <r>
      <rPr>
        <sz val="11"/>
        <color theme="1"/>
        <rFont val="Calibri"/>
        <family val="2"/>
        <scheme val="minor"/>
      </rPr>
      <t>)</t>
    </r>
  </si>
  <si>
    <t>HFE-7100</t>
  </si>
  <si>
    <r>
      <t>HFE-449s1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OCH</t>
    </r>
    <r>
      <rPr>
        <vertAlign val="subscript"/>
        <sz val="10"/>
        <rFont val="Arial"/>
        <family val="2"/>
      </rPr>
      <t>3</t>
    </r>
    <r>
      <rPr>
        <sz val="11"/>
        <color theme="1"/>
        <rFont val="Calibri"/>
        <family val="2"/>
        <scheme val="minor"/>
      </rPr>
      <t>)</t>
    </r>
  </si>
  <si>
    <t>HFE-7200</t>
  </si>
  <si>
    <r>
      <t>HFE-569sf2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t>
    </r>
    <r>
      <rPr>
        <vertAlign val="subscript"/>
        <sz val="10"/>
        <rFont val="Arial"/>
        <family val="2"/>
      </rPr>
      <t>2</t>
    </r>
    <r>
      <rPr>
        <sz val="11"/>
        <color theme="1"/>
        <rFont val="Calibri"/>
        <family val="2"/>
        <scheme val="minor"/>
      </rPr>
      <t>H</t>
    </r>
    <r>
      <rPr>
        <vertAlign val="subscript"/>
        <sz val="10"/>
        <rFont val="Arial"/>
        <family val="2"/>
      </rPr>
      <t>5</t>
    </r>
    <r>
      <rPr>
        <sz val="11"/>
        <color theme="1"/>
        <rFont val="Calibri"/>
        <family val="2"/>
        <scheme val="minor"/>
      </rPr>
      <t>)</t>
    </r>
  </si>
  <si>
    <t>HFE-8200</t>
  </si>
  <si>
    <t>blend ethyl nonafluoroisobutyl ether and ethyl nonafluorobutyl ether</t>
  </si>
  <si>
    <t>PFC-14</t>
  </si>
  <si>
    <r>
      <t>Tetrafluoromethane (CF</t>
    </r>
    <r>
      <rPr>
        <vertAlign val="subscript"/>
        <sz val="10"/>
        <rFont val="Arial"/>
        <family val="2"/>
      </rPr>
      <t>4</t>
    </r>
    <r>
      <rPr>
        <sz val="11"/>
        <color theme="1"/>
        <rFont val="Calibri"/>
        <family val="2"/>
        <scheme val="minor"/>
      </rPr>
      <t>)</t>
    </r>
  </si>
  <si>
    <t>PFC-116</t>
  </si>
  <si>
    <r>
      <t>Hexafluoroethane (C</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</si>
  <si>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PFC-218</t>
  </si>
  <si>
    <r>
      <t>Octafluoropropane (C</t>
    </r>
    <r>
      <rPr>
        <vertAlign val="subscript"/>
        <sz val="10"/>
        <rFont val="Arial"/>
        <family val="2"/>
      </rPr>
      <t>3</t>
    </r>
    <r>
      <rPr>
        <sz val="11"/>
        <color theme="1"/>
        <rFont val="Calibri"/>
        <family val="2"/>
        <scheme val="minor"/>
      </rPr>
      <t>F</t>
    </r>
    <r>
      <rPr>
        <vertAlign val="subscript"/>
        <sz val="10"/>
        <rFont val="Arial"/>
        <family val="2"/>
      </rPr>
      <t>8</t>
    </r>
    <r>
      <rPr>
        <sz val="11"/>
        <color theme="1"/>
        <rFont val="Calibri"/>
        <family val="2"/>
        <scheme val="minor"/>
      </rPr>
      <t>)</t>
    </r>
  </si>
  <si>
    <t>PFC-318</t>
  </si>
  <si>
    <r>
      <t>Perfluorocyclobutane (C</t>
    </r>
    <r>
      <rPr>
        <vertAlign val="subscript"/>
        <sz val="10"/>
        <rFont val="Arial"/>
        <family val="2"/>
      </rPr>
      <t>4</t>
    </r>
    <r>
      <rPr>
        <sz val="11"/>
        <color theme="1"/>
        <rFont val="Calibri"/>
        <family val="2"/>
        <scheme val="minor"/>
      </rPr>
      <t>F</t>
    </r>
    <r>
      <rPr>
        <vertAlign val="subscript"/>
        <sz val="10"/>
        <rFont val="Arial"/>
        <family val="2"/>
      </rPr>
      <t>8</t>
    </r>
    <r>
      <rPr>
        <sz val="11"/>
        <color theme="1"/>
        <rFont val="Calibri"/>
        <family val="2"/>
        <scheme val="minor"/>
      </rPr>
      <t>)</t>
    </r>
  </si>
  <si>
    <t>PFC-31-10</t>
  </si>
  <si>
    <r>
      <t>Perfluorobutane (C</t>
    </r>
    <r>
      <rPr>
        <vertAlign val="subscript"/>
        <sz val="10"/>
        <rFont val="Arial"/>
        <family val="2"/>
      </rPr>
      <t>4</t>
    </r>
    <r>
      <rPr>
        <sz val="11"/>
        <color theme="1"/>
        <rFont val="Calibri"/>
        <family val="2"/>
        <scheme val="minor"/>
      </rPr>
      <t>F</t>
    </r>
    <r>
      <rPr>
        <vertAlign val="subscript"/>
        <sz val="10"/>
        <rFont val="Arial"/>
        <family val="2"/>
      </rPr>
      <t>10</t>
    </r>
    <r>
      <rPr>
        <sz val="11"/>
        <color theme="1"/>
        <rFont val="Calibri"/>
        <family val="2"/>
        <scheme val="minor"/>
      </rPr>
      <t>)</t>
    </r>
  </si>
  <si>
    <t>PFC-41-12</t>
  </si>
  <si>
    <r>
      <t>Perfluoropentane (C</t>
    </r>
    <r>
      <rPr>
        <vertAlign val="subscript"/>
        <sz val="10"/>
        <rFont val="Arial"/>
        <family val="2"/>
      </rPr>
      <t>5</t>
    </r>
    <r>
      <rPr>
        <sz val="11"/>
        <color theme="1"/>
        <rFont val="Calibri"/>
        <family val="2"/>
        <scheme val="minor"/>
      </rPr>
      <t>F</t>
    </r>
    <r>
      <rPr>
        <vertAlign val="subscript"/>
        <sz val="10"/>
        <rFont val="Arial"/>
        <family val="2"/>
      </rPr>
      <t>12</t>
    </r>
    <r>
      <rPr>
        <sz val="11"/>
        <color theme="1"/>
        <rFont val="Calibri"/>
        <family val="2"/>
        <scheme val="minor"/>
      </rPr>
      <t>)</t>
    </r>
  </si>
  <si>
    <t>PFC-51-14</t>
  </si>
  <si>
    <r>
      <t>Perfluorohexane (C</t>
    </r>
    <r>
      <rPr>
        <vertAlign val="subscript"/>
        <sz val="10"/>
        <rFont val="Arial"/>
        <family val="2"/>
      </rPr>
      <t>6</t>
    </r>
    <r>
      <rPr>
        <sz val="11"/>
        <color theme="1"/>
        <rFont val="Calibri"/>
        <family val="2"/>
        <scheme val="minor"/>
      </rPr>
      <t>F</t>
    </r>
    <r>
      <rPr>
        <vertAlign val="subscript"/>
        <sz val="10"/>
        <rFont val="Arial"/>
        <family val="2"/>
      </rPr>
      <t>14</t>
    </r>
    <r>
      <rPr>
        <sz val="11"/>
        <color theme="1"/>
        <rFont val="Calibri"/>
        <family val="2"/>
        <scheme val="minor"/>
      </rPr>
      <t>)</t>
    </r>
  </si>
  <si>
    <t>PFC-91-18</t>
  </si>
  <si>
    <r>
      <t>Perfluorodecalin (C</t>
    </r>
    <r>
      <rPr>
        <vertAlign val="subscript"/>
        <sz val="10"/>
        <rFont val="Arial"/>
        <family val="2"/>
      </rPr>
      <t>10</t>
    </r>
    <r>
      <rPr>
        <sz val="11"/>
        <color theme="1"/>
        <rFont val="Calibri"/>
        <family val="2"/>
        <scheme val="minor"/>
      </rPr>
      <t>F</t>
    </r>
    <r>
      <rPr>
        <vertAlign val="subscript"/>
        <sz val="10"/>
        <rFont val="Arial"/>
        <family val="2"/>
      </rPr>
      <t>18</t>
    </r>
    <r>
      <rPr>
        <sz val="11"/>
        <color theme="1"/>
        <rFont val="Calibri"/>
        <family val="2"/>
        <scheme val="minor"/>
      </rPr>
      <t>)</t>
    </r>
  </si>
  <si>
    <t>&gt;1000</t>
  </si>
  <si>
    <t>&gt;7500</t>
  </si>
  <si>
    <t>&gt;5500</t>
  </si>
  <si>
    <r>
      <t>SF</t>
    </r>
    <r>
      <rPr>
        <b/>
        <vertAlign val="subscript"/>
        <sz val="10"/>
        <rFont val="Arial"/>
        <family val="2"/>
      </rPr>
      <t xml:space="preserve">6 </t>
    </r>
    <r>
      <rPr>
        <b/>
        <sz val="10"/>
        <rFont val="Arial"/>
        <family val="2"/>
      </rPr>
      <t>Sulphur Hexafluoride</t>
    </r>
  </si>
  <si>
    <r>
      <t>Sulphur Hexafluoride (SF</t>
    </r>
    <r>
      <rPr>
        <vertAlign val="subscript"/>
        <sz val="10"/>
        <rFont val="Arial"/>
        <family val="2"/>
      </rPr>
      <t>6</t>
    </r>
    <r>
      <rPr>
        <sz val="11"/>
        <color theme="1"/>
        <rFont val="Calibri"/>
        <family val="2"/>
        <scheme val="minor"/>
      </rPr>
      <t>)</t>
    </r>
  </si>
  <si>
    <r>
      <t>NF</t>
    </r>
    <r>
      <rPr>
        <b/>
        <vertAlign val="subscript"/>
        <sz val="10"/>
        <rFont val="Arial"/>
        <family val="2"/>
      </rPr>
      <t>3</t>
    </r>
    <r>
      <rPr>
        <b/>
        <sz val="11"/>
        <color theme="1"/>
        <rFont val="Calibri"/>
        <family val="2"/>
        <scheme val="minor"/>
      </rPr>
      <t xml:space="preserve"> Nitrogen Trifluoride</t>
    </r>
  </si>
  <si>
    <r>
      <t>Nitrogen Trifluoride (NF</t>
    </r>
    <r>
      <rPr>
        <vertAlign val="subscript"/>
        <sz val="10"/>
        <rFont val="Arial"/>
        <family val="2"/>
      </rPr>
      <t>3</t>
    </r>
    <r>
      <rPr>
        <sz val="11"/>
        <color theme="1"/>
        <rFont val="Calibri"/>
        <family val="2"/>
        <scheme val="minor"/>
      </rPr>
      <t>)</t>
    </r>
  </si>
  <si>
    <r>
      <t>SO</t>
    </r>
    <r>
      <rPr>
        <b/>
        <vertAlign val="subscript"/>
        <sz val="10"/>
        <rFont val="Arial"/>
        <family val="2"/>
      </rPr>
      <t>2</t>
    </r>
    <r>
      <rPr>
        <b/>
        <sz val="11"/>
        <color theme="1"/>
        <rFont val="Calibri"/>
        <family val="2"/>
        <scheme val="minor"/>
      </rPr>
      <t>F</t>
    </r>
    <r>
      <rPr>
        <b/>
        <vertAlign val="subscript"/>
        <sz val="10"/>
        <rFont val="Arial"/>
        <family val="2"/>
      </rPr>
      <t>2</t>
    </r>
    <r>
      <rPr>
        <b/>
        <sz val="11"/>
        <color theme="1"/>
        <rFont val="Calibri"/>
        <family val="2"/>
        <scheme val="minor"/>
      </rPr>
      <t xml:space="preserve"> Sulfuryl fluoride</t>
    </r>
  </si>
  <si>
    <r>
      <t>Sulfuryl fluoride (SO</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t>
    </r>
  </si>
  <si>
    <t xml:space="preserve">Trifluoromethyl sulfur pentafluoride </t>
  </si>
  <si>
    <r>
      <t>Trifluoromethyl sulfur pentafluoride 
(SF</t>
    </r>
    <r>
      <rPr>
        <vertAlign val="subscript"/>
        <sz val="10"/>
        <rFont val="Arial"/>
        <family val="2"/>
      </rPr>
      <t>5</t>
    </r>
    <r>
      <rPr>
        <sz val="11"/>
        <color theme="1"/>
        <rFont val="Calibri"/>
        <family val="2"/>
        <scheme val="minor"/>
      </rPr>
      <t>CF</t>
    </r>
    <r>
      <rPr>
        <vertAlign val="subscript"/>
        <sz val="10"/>
        <rFont val="Arial"/>
        <family val="2"/>
      </rPr>
      <t>3</t>
    </r>
    <r>
      <rPr>
        <sz val="11"/>
        <color theme="1"/>
        <rFont val="Calibri"/>
        <family val="2"/>
        <scheme val="minor"/>
      </rPr>
      <t>)</t>
    </r>
  </si>
  <si>
    <r>
      <t>Trifluoromethyl iodide (CF3</t>
    </r>
    <r>
      <rPr>
        <b/>
        <sz val="11"/>
        <rFont val="Times New Roman"/>
        <family val="1"/>
      </rPr>
      <t>I</t>
    </r>
    <r>
      <rPr>
        <b/>
        <sz val="11"/>
        <color theme="1"/>
        <rFont val="Calibri"/>
        <family val="2"/>
        <scheme val="minor"/>
      </rPr>
      <t>)</t>
    </r>
  </si>
  <si>
    <r>
      <t>Trifluoromethyl iodide (CF3</t>
    </r>
    <r>
      <rPr>
        <sz val="11"/>
        <rFont val="Times New Roman"/>
        <family val="1"/>
      </rPr>
      <t>I</t>
    </r>
    <r>
      <rPr>
        <sz val="11"/>
        <color theme="1"/>
        <rFont val="Calibri"/>
        <family val="2"/>
        <scheme val="minor"/>
      </rPr>
      <t>), trifluoroiodomethane</t>
    </r>
  </si>
  <si>
    <t>Dimethyl ether (DME)</t>
  </si>
  <si>
    <r>
      <t>Dimethyl ether (DME) (CH</t>
    </r>
    <r>
      <rPr>
        <vertAlign val="subscript"/>
        <sz val="10"/>
        <rFont val="Arial"/>
        <family val="2"/>
      </rPr>
      <t>3</t>
    </r>
    <r>
      <rPr>
        <sz val="10"/>
        <rFont val="Arial"/>
        <family val="2"/>
      </rPr>
      <t>OCH</t>
    </r>
    <r>
      <rPr>
        <vertAlign val="subscript"/>
        <sz val="10"/>
        <rFont val="Arial"/>
        <family val="2"/>
      </rPr>
      <t>3</t>
    </r>
    <r>
      <rPr>
        <sz val="10"/>
        <rFont val="Arial"/>
        <family val="2"/>
      </rPr>
      <t xml:space="preserve"> (C</t>
    </r>
    <r>
      <rPr>
        <vertAlign val="subscript"/>
        <sz val="10"/>
        <rFont val="Arial"/>
        <family val="2"/>
      </rPr>
      <t>2</t>
    </r>
    <r>
      <rPr>
        <sz val="10"/>
        <rFont val="Arial"/>
        <family val="2"/>
      </rPr>
      <t>H</t>
    </r>
    <r>
      <rPr>
        <vertAlign val="subscript"/>
        <sz val="10"/>
        <rFont val="Arial"/>
        <family val="2"/>
      </rPr>
      <t>6</t>
    </r>
    <r>
      <rPr>
        <sz val="10"/>
        <rFont val="Arial"/>
        <family val="2"/>
      </rPr>
      <t>O))</t>
    </r>
  </si>
  <si>
    <t>FOR12A</t>
  </si>
  <si>
    <r>
      <t>HFC-134a 1,1,1,2-Tetrafluoroethane 80%; 
HFC-152a 1,1-Difluoroethane 4%; 
CF</t>
    </r>
    <r>
      <rPr>
        <vertAlign val="subscript"/>
        <sz val="10"/>
        <rFont val="Arial"/>
        <family val="2"/>
      </rPr>
      <t>3</t>
    </r>
    <r>
      <rPr>
        <sz val="10"/>
        <rFont val="Arial"/>
        <family val="2"/>
      </rPr>
      <t>I (Trifluoroiodomethane) 11%</t>
    </r>
  </si>
  <si>
    <t>FOR12B</t>
  </si>
  <si>
    <r>
      <t>HFC-134a 1,1,1,2-Tetrafluoroethane 77%; 
Dimethyl ether (DME) (C</t>
    </r>
    <r>
      <rPr>
        <vertAlign val="subscript"/>
        <sz val="10"/>
        <color indexed="8"/>
        <rFont val="Arial"/>
        <family val="2"/>
      </rPr>
      <t>2</t>
    </r>
    <r>
      <rPr>
        <sz val="10"/>
        <color indexed="8"/>
        <rFont val="Arial"/>
        <family val="2"/>
      </rPr>
      <t>H</t>
    </r>
    <r>
      <rPr>
        <vertAlign val="subscript"/>
        <sz val="10"/>
        <color indexed="8"/>
        <rFont val="Arial"/>
        <family val="2"/>
      </rPr>
      <t>6</t>
    </r>
    <r>
      <rPr>
        <sz val="10"/>
        <color indexed="8"/>
        <rFont val="Arial"/>
        <family val="2"/>
      </rPr>
      <t>O) 2%; 
CF</t>
    </r>
    <r>
      <rPr>
        <vertAlign val="subscript"/>
        <sz val="10"/>
        <color indexed="8"/>
        <rFont val="Arial"/>
        <family val="2"/>
      </rPr>
      <t>3</t>
    </r>
    <r>
      <rPr>
        <sz val="10"/>
        <color indexed="8"/>
        <rFont val="Arial"/>
        <family val="2"/>
      </rPr>
      <t>I (Trifluoroiodomethane) 21%</t>
    </r>
  </si>
  <si>
    <t>Freeze 12</t>
  </si>
  <si>
    <t>HCFC-142b Monochlorodifluoroethane 20%; 
HFC-134a 1,1,1,2-Tetrafluoroethane 80%</t>
  </si>
  <si>
    <t>Free Zone</t>
  </si>
  <si>
    <t>HCFC-142b Monochlorodifluoroethane 19%; 
HFC-134a 1,1,1,2-Tetrafluoroethane 79%</t>
  </si>
  <si>
    <t>FRIGC FR-12</t>
  </si>
  <si>
    <t>HCFC-124 2-Chloro-1,1,1,2-Tetrafluoroethane  39%; 
HFC-134a 1,1,1,2-Tetrafluoroethane 59%; 
n-Butane 2%</t>
  </si>
  <si>
    <t>G2018C</t>
  </si>
  <si>
    <t>HCFC-22 Chlorodifluoromethane 95.5%;  
HFC-152a 1,1-Difluoroethane 1.5%; 
Propylene R-1270 3%</t>
  </si>
  <si>
    <t>GHG-HP</t>
  </si>
  <si>
    <t>HCFC-22 Chlorodifluoromethane 65%; 
HCFC-142B Monochlorodifluoroethane 31%
Isobutane R-600a 4%</t>
  </si>
  <si>
    <t>GHG-X5</t>
  </si>
  <si>
    <t>HCFC-22 Chlorodifluoromethane 41%; 
HCFC-142B Monochlorodifluoroethane 15%;
HFC-227ea 1,1,1,2,3,3,3-Heptafluoropropane 40%
Isobutane R-600a 4%</t>
  </si>
  <si>
    <t>Hot Shot 2</t>
  </si>
  <si>
    <t>HFC-134a 1,1,1,2-Tetrafluoroethane 78.8%;
HFC-125 Pentafluoroethane 19.5%; 
R-600a (Isobutane) 1.7%</t>
  </si>
  <si>
    <t>Ikon A</t>
  </si>
  <si>
    <t>HFC-152a (unknown %);
CF3I (trifluoroiodomethane) (unknown %)</t>
  </si>
  <si>
    <t>Ikon B</t>
  </si>
  <si>
    <t>HFC-134a (unknown %); 
HFC-152a (unknown %);
CF3I (trifluoroiodomethane) (unknown %)</t>
  </si>
  <si>
    <t>Isceon MO89</t>
  </si>
  <si>
    <t>HFC-125 Pentafluoroethane 86%;
PFC-218 Octafluoropropane 9%;
Propane (R-290) 5%</t>
  </si>
  <si>
    <t>NARM-502</t>
  </si>
  <si>
    <t>HCFC-22 Chlorodifluoromethane 90%; 
HFC-23 Trifluoromethane 5%; 
HFC-152a 1,1-Difluoroethane 5%</t>
  </si>
  <si>
    <t>R-401A</t>
  </si>
  <si>
    <t>HCFC-22 Chlorodifluoromethane 53%;  
HCFC-124  2-Chloro-1,1,1,2-Tetrafluoroethane 34%;
HFC-152a 1,1-Difluoroethane 13%</t>
  </si>
  <si>
    <t>R-401B</t>
  </si>
  <si>
    <t>HCFC-22 Chlorodifluoromethane 61%;  
HCFC-124  2-Chloro-1,1,1,2-Tetrafluoroethane 28%;
HFC-152a 1,1-Difluoroethane 11%</t>
  </si>
  <si>
    <t>R-401C</t>
  </si>
  <si>
    <t>HCFC-22 Chlorodifluoromethane 33%;  
HCFC-124  2-Chloro-1,1,1,2-Tetrafluoroethane 52%;
HFC-152a 1,1-Difluoroethane 15%</t>
  </si>
  <si>
    <t>R-402A</t>
  </si>
  <si>
    <t>HCFC-22 Chlorodifluoromethane 38%; 
HFC-125 Pentafluoroethane 60%; 
Propane (R-290) 2%</t>
  </si>
  <si>
    <t>R-402B</t>
  </si>
  <si>
    <t>HCFC-22 Chlorodifluoromethane 60%; 
HFC-125 Pentafluoroethane 38%; 
Propane (R-290) 2%</t>
  </si>
  <si>
    <t>R-403B</t>
  </si>
  <si>
    <t>HCFC-22 Chlorodifluoromethane 56%; 
PFC-218 Octafluoropropane 39%;
Propane (R-290) 5%</t>
  </si>
  <si>
    <t>R-404A</t>
  </si>
  <si>
    <t>HFC-125 Pentafluoroethane 44%; 
HFC-134a 1,1,1,2-Tetrafluoroethane 4% 
HFC-143a 1,1,1-Trifluoroethane 52%</t>
  </si>
  <si>
    <t>52 years (143a); 
29 years (125); 
14.6 years (134a)</t>
  </si>
  <si>
    <t>R-406A</t>
  </si>
  <si>
    <t>HCFC-22 Chlorodifluoromethane 55%; 
HCFC-142B Monochlorodifluoroethane 41%
Isobutane R-600a 4%</t>
  </si>
  <si>
    <t>R-407A</t>
  </si>
  <si>
    <t>HFC-32 Difluoromethane 20%; 
HFC-125 Pentafluoroethane 40%; 
HFC-134a 1,1,1,2-Tetrafluoroethane 40%</t>
  </si>
  <si>
    <t>29 years (R-125); 
4.9 years (R-32)</t>
  </si>
  <si>
    <t>R-407B</t>
  </si>
  <si>
    <t>HFC-32 Difluoromethane 10%; 
HFC-125 Pentafluoroethane 70%; 
HFC-134a 1,1,1,2-Tetrafluoroethane 20%</t>
  </si>
  <si>
    <t>R-407C</t>
  </si>
  <si>
    <t>HFC-32 Difluoromethane 23%: 
HFC-125 Pentafluoroethane 25%; 
HFC-134a 1,1,1,2-Tetrafluoroethane 52%</t>
  </si>
  <si>
    <t>R-407D</t>
  </si>
  <si>
    <t>HFC-32 Difluoromethane 15%: 
HFC-125 Pentafluoroethane 15%; 
HFC-134a 1,1,1,2-Tetrafluoroethane 70%</t>
  </si>
  <si>
    <t>R-407F</t>
  </si>
  <si>
    <t>HFC-32 Difluoromethane 30%: 
HFC-125 Pentafluoroethane 30%; 
HFC-134a 1,1,1,2-Tetrafluoroethane 40%</t>
  </si>
  <si>
    <t>R-407H</t>
  </si>
  <si>
    <t>HFC-32 Difluoromethane 32.5%: 
HFC-125 Pentafluoroethane 15.0%; 
HFC-134a 1,1,1,2-Tetrafluoroethane 52.5%</t>
  </si>
  <si>
    <t>R-408A</t>
  </si>
  <si>
    <t>HCFC-22 Chlorodifluoromethane 47%; 
HFC-125 Pentafluoroethane 7%; 
HFC-143A 1-1-1 Trifluoroethane 46%</t>
  </si>
  <si>
    <t>R-409A</t>
  </si>
  <si>
    <r>
      <t xml:space="preserve">HCFC-22 Chlorodifluoromethane 60%;  
HCFC-124  2-Chloro-1,1,1,2-Tetrafluoroethane 25%; 
HCFC-142b </t>
    </r>
    <r>
      <rPr>
        <sz val="9"/>
        <color indexed="8"/>
        <rFont val="Arial"/>
        <family val="2"/>
      </rPr>
      <t>1-Chloro-1,1-Difluoroethane 15%</t>
    </r>
  </si>
  <si>
    <t>HFC-32 Difluoromethane 50%;
HFC-125 Pentafluoroethane 50%</t>
  </si>
  <si>
    <t>R-410B</t>
  </si>
  <si>
    <t>HFC-32 Difluoromethane 45%;
HFC-125 Pentafluoroethane 55%</t>
  </si>
  <si>
    <t>R-411A</t>
  </si>
  <si>
    <t>HCFC-22 Chlorodifluoromethane 87.5%;  
HFC-152a 1,1-Difluoroethane 11%; 
Propylene R-1270 1.5%</t>
  </si>
  <si>
    <t>R-411B</t>
  </si>
  <si>
    <t>HCFC-22 Chlorodifluoromethane 94%;  
HFC-152a 1,1-Difluoroethane 3%; 
Propylene R-1270 3%</t>
  </si>
  <si>
    <t>R-413A</t>
  </si>
  <si>
    <t>HFC-134a 1,1,1,2-Tetrafluoroethane 88%;
PFC-218 Octafluoropropane 9%;
Isobutane 3%</t>
  </si>
  <si>
    <t>R-414A</t>
  </si>
  <si>
    <t>HCFC-22 Chlorodifluoromethane 51%; 
HCFC-124 Monochlorotetrafluoroethane 39%; 
HCFC-142b Monochlorodifluoroethane 6%; 
R-600a Isobutane (hydrocarbon) 4%</t>
  </si>
  <si>
    <t>R-414B</t>
  </si>
  <si>
    <t>HCFC-22 Chlorodifluoromethane 50%; 
HCFC-124 Monochlorotetrafluoroethane 39%; 
HCFC-142b Monochlorodifluoroethane 9.5%; 
R-600a Isobutane (hydrocarbon) 1.5%</t>
  </si>
  <si>
    <t>R-416A</t>
  </si>
  <si>
    <t>HFC-134a 1,1,1,2-Tetrafluoroethane 59%; 
HCFC-124 1-Chloro-1,2,2,2-tetrafluoroethane 39.5%;
R-600a Isobutane (hydrocarbon) 1.5%</t>
  </si>
  <si>
    <t>R-417A</t>
  </si>
  <si>
    <t>HFC-134a 1,1,1,2-Tetrafluoroethane 50%;
HFC-125 Pentafluoroethane 46.6%; 
Butane 3.4%</t>
  </si>
  <si>
    <t>R-417B</t>
  </si>
  <si>
    <t>HFC-125 Pentafluoroethane 79%; 
HFC-134a 1,1,1,2-Tetrafluoroethane 18.25%;
R-600 Butane 2.75%</t>
  </si>
  <si>
    <t>R-417C</t>
  </si>
  <si>
    <t>R-420A</t>
  </si>
  <si>
    <t>HCFC-142b Monochlorodifluoroethane 12%; 
HFC-134a 1,1,1,2-Tetrafluoroethane 88%</t>
  </si>
  <si>
    <t>R-421A</t>
  </si>
  <si>
    <t>HFC-125 Pentafluoroethane 58%
HFC-134a 1,1,1,2-Tetrafluoroethane 42%</t>
  </si>
  <si>
    <t>R-421B</t>
  </si>
  <si>
    <t>HFC-125 Pentafluoroethane 85%
HFC-134a 1,1,1,2-Tetrafluoroethane 15%</t>
  </si>
  <si>
    <t>R-422A</t>
  </si>
  <si>
    <t>HFC-134a 1,1,1,2-Tetrafluoroethane 11.5%;
HFC-125 Pentafluoroethane 85.1%; 
Isobutane 3.4%</t>
  </si>
  <si>
    <t>R-422B</t>
  </si>
  <si>
    <t>HFC-134a 1,1,1,2-Tetrafluoroethane 42%;
HFC-125 Pentafluoroethane 55%; 
Isobutane 3%</t>
  </si>
  <si>
    <t>R-422C</t>
  </si>
  <si>
    <t>HFC-125 Pentafluoroethane 82%; 
HFC-134a 1,1,1,2-Tetrafluoroethane 15%;
Isobutane R-600a 3%</t>
  </si>
  <si>
    <t>R-422D</t>
  </si>
  <si>
    <t>HFC-125 Pentafluoroethane 65.1%; 
HFC-134a 1,1,1,2-Tetrafluoroethane 31.5%;
Isobutane 3.4%</t>
  </si>
  <si>
    <t>R-423A</t>
  </si>
  <si>
    <t>HFC-134a 1,1,1,2-Tetrafluoroethane 52.5%;
HFC-227ea 1,1,1,2,3,3,3-Heptafluoropropane 47.5%</t>
  </si>
  <si>
    <t>R-424A</t>
  </si>
  <si>
    <t>HFC-125 Pentafluoroethane 50.5%; 
HFC-134a 1,1,1,2-Tetrafluoroethane 47.0%;
Butane (R-600) 1.0%
Isobutane (R-600a) 0.9%
Isopentane (R-601a) 0.6%</t>
  </si>
  <si>
    <t>R-426A</t>
  </si>
  <si>
    <t>HFC-125 Pentafluoroethane 5.1%; 
HFC-134a 1,1,1,2-Tetrafluoroethane 93.0%;
Butane (R-600) 1.3%
Isobutane (R-600a) 0.6%</t>
  </si>
  <si>
    <t>R-427A</t>
  </si>
  <si>
    <t>HFC-32 Difluoromethane 15%; 
HFC-125 Pentafluoroethane 25%;
HFC-134a 1,1,1,2-Tetrafluoroethane 50%;
HFC-143a 1,1,1-Trifluoroethane 10%</t>
  </si>
  <si>
    <t>R-428A</t>
  </si>
  <si>
    <t>HFC-125 Pentafluoroethane 77.5%;
HFC-143a 1,1,1-Trifluoroethane 20.0%; 
Propane (R-290) 0.6%; 
Isobutane (R-600a) 1.9%</t>
  </si>
  <si>
    <t>R-434A</t>
  </si>
  <si>
    <t>HFC-125 Pentafluoroethane 63.2%;
HFC-143a 1,1,1-Trifluoroethane 18%; 
HFC-134a 1,1,1,2-Tetrafluoroethane 16%;
Isobutane (R-600a) 2.8%</t>
  </si>
  <si>
    <t>R-436A</t>
  </si>
  <si>
    <t>Hydrocarbon blend of 54% propane (R-290), 
46% isobutane (R-600a)</t>
  </si>
  <si>
    <t>R-437A</t>
  </si>
  <si>
    <t>HFC-125 Pentafluoroethane 19.5%;
HFC-134a 1,1,1,2-Tetrafluoroethane 78.5%;
Butane (R-600) 1.4%;
Pentane (R-601) 0.6%</t>
  </si>
  <si>
    <t>R-438A</t>
  </si>
  <si>
    <t>HFC-125 Pentafluoroethane 45%;
HFC-134a 1,1,1,2-Tetrafluoroethane 44.2%;
HFC-32 Difluoromethane 8.5%; 
IsoButane (R-600a) 1.7%;
Isopentane (R-601) 0.6%</t>
  </si>
  <si>
    <t>R-441A</t>
  </si>
  <si>
    <t>Hydrocarbon blend of 3.1% ethane (R-170); 
54.8% propane (R-290), 
36.1% n-Butane (R-600), and 
6.0% isobutane (R-660a)</t>
  </si>
  <si>
    <t>R-442A</t>
  </si>
  <si>
    <t>HFC-32 Difluoromethane 31%; 
HFC-125 Pentafluoroethane 31%;
HFC-134a 1,1,1,2-Tetrafluoroethane 30%;
HFC-152a 1,1-Difluoroethane 3%;
HFC-227ea 1,1,1,2,3,3,3-Heptafluoropropane 5%</t>
  </si>
  <si>
    <t>R-443A</t>
  </si>
  <si>
    <t>Propane, isobutane, butane &gt; 75%, hydrocarbon blend (Unacceptable for AC, SNAP list)</t>
  </si>
  <si>
    <t>R-444A</t>
  </si>
  <si>
    <t>HFC-32 Difluoromethane 12%; 
HFC-152a 1,1-Difluoroethane 5%;
R-1234ze HFO-1234ze(E) 83%</t>
  </si>
  <si>
    <t>no MSDS yet</t>
  </si>
  <si>
    <t>R-444B</t>
  </si>
  <si>
    <t xml:space="preserve">HFC-32 Difluoromethane 41.5%; 
R-152a 1,1-Difluoroethane 10%;
R-1234ze HFO-1234ze 48.5% </t>
  </si>
  <si>
    <t>R-445A</t>
  </si>
  <si>
    <r>
      <t>HFC-134a 1,1,1,2-Tetrafluoroethane 9%;
R-744 CO</t>
    </r>
    <r>
      <rPr>
        <vertAlign val="subscript"/>
        <sz val="10"/>
        <color indexed="8"/>
        <rFont val="Arial"/>
        <family val="2"/>
      </rPr>
      <t>2</t>
    </r>
    <r>
      <rPr>
        <sz val="10"/>
        <color indexed="8"/>
        <rFont val="Arial"/>
        <family val="2"/>
      </rPr>
      <t xml:space="preserve"> 6%;
R-1234ze HFO-1234ze 85%</t>
    </r>
  </si>
  <si>
    <t>R-446A</t>
  </si>
  <si>
    <t>HFC-32 Difluoromethane 68%; 
R-1234ze HFO-1234ze 29%; 
R-600a isobutane 3%</t>
  </si>
  <si>
    <t>R-447A</t>
  </si>
  <si>
    <t>HFC-32 Difluoromethane 68%; 
HFC-125 Pentafluoroethane 3.5%;
R-1234ze HFO-1234ze(E) 28.5%</t>
  </si>
  <si>
    <t>R-447B</t>
  </si>
  <si>
    <t>HFC-32 Difluoromethane 68%; 
R-1234ze HFO-1234ze(E) 24%; 
HFC-125 Pentafluoroethane 8%</t>
  </si>
  <si>
    <t>R-448A</t>
  </si>
  <si>
    <t>HFC-32 Difluoromethane 26%; 
HFC-125 Pentafluoroethane 26%;
HFC-134a 1,1,1,2-Tetrafluoroethane 21%;
R-1234yf HFO-1234yf 2,3,3,3-Tetrafluoropropene 20%; 
R-1234ze HFO-1234ze 7%</t>
  </si>
  <si>
    <t>R-449A</t>
  </si>
  <si>
    <t>HFC-32 Difluoromethane 24.3%; 
HFC-125 Pentafluoroethane 24.7%;
HFC-134a 1,1,1,2-Tetrafluoroethane 25.7%;
R-1234yf HFO-1234yf 2,3,3,3-Tetrafluoropropene 25.3%</t>
  </si>
  <si>
    <t>R-449B</t>
  </si>
  <si>
    <t>HFC-32 Difluoromethane 25.2%; 
HFC-125 Pentafluoroethane 24.3%;
HFC-134a 1,1,1,2-Tetrafluoroethane 27.3%;
R-1234yf HFO-1234yf 2,3,3,3-Tetrafluoropropene 23.2%</t>
  </si>
  <si>
    <t>R-450A</t>
  </si>
  <si>
    <t>HFC-134a 1,1,1,2-Tetrafluoroethane 42%;
R-1234ze HFO-1234ze 58%</t>
  </si>
  <si>
    <t>R-451A</t>
  </si>
  <si>
    <t>HFC-134a 1,1,1,2-Tetrafluoroethane 10.2%;
R-1234ze HFO-1234ze 89.8%</t>
  </si>
  <si>
    <t>R-451B</t>
  </si>
  <si>
    <t>HFC-134a 1,1,1,2-Tetrafluoroethane 11.2%;
R-1234ze HFO-1234ze 88.8%</t>
  </si>
  <si>
    <t>R-452A</t>
  </si>
  <si>
    <t>HFC-32 Difluoromethane 11%
HFC-125 Pentafluoroethane 59%;
HFO-1234yf 2,3,3,3-Tetrafluoropropene 30%</t>
  </si>
  <si>
    <t>R-452B</t>
  </si>
  <si>
    <t>HFC-32 Difluoromethane 67%
HFC-125 Pentafluoroethane 7%;
HFO-1234yf 2,3,3,3-Tetrafluoropropene 26%</t>
  </si>
  <si>
    <t>R-452C</t>
  </si>
  <si>
    <t>HFC-32 Difluoromethane 12.5%
HFC-125 Pentafluoroethane 61.0%;
HFO-1234yf 2,3,3,3-Tetrafluoropropene 26.5%</t>
  </si>
  <si>
    <t>R-453A</t>
  </si>
  <si>
    <t>HFC-32 Difluoromethane 20%; 
HFC-125 Pentafluoroethane 20%; 
HFC-134a 1,1,1,2-Tetrafluoroethane (norflurane on MSDS) 53.8%; 
HFC-227ea 1,1,1,2,3,3,3-Heptafluoropropane 5%; 
R-600 Butane 0.6%;
R-600a Isobutane 0.6%</t>
  </si>
  <si>
    <t>R-454A</t>
  </si>
  <si>
    <t>HFC-32 Difluoromethane 35%; 
HFO-1234yf 2,3,3,3-Tetrafluoropropene 65%</t>
  </si>
  <si>
    <t>R-454B</t>
  </si>
  <si>
    <t>HFC-32 Difluoromethane 68.9%; 
HFO-1234yf 2,3,3,3-Tetrafluoropropene 31.1%</t>
  </si>
  <si>
    <t>R-454C</t>
  </si>
  <si>
    <t xml:space="preserve">HFO-1234yf 2,3,3,3-Tetrafluoropropene 78.5%; 
HFC-32 Difluoromethane 21.5%
</t>
  </si>
  <si>
    <t>R-455A</t>
  </si>
  <si>
    <r>
      <t>HFC-32 Difluoromethane 21.5%; 
HFO-1234yf 2,3,3,3-Tetrafluoropropene 75.5%;
R-744 CO</t>
    </r>
    <r>
      <rPr>
        <vertAlign val="subscript"/>
        <sz val="10"/>
        <color indexed="8"/>
        <rFont val="Arial"/>
        <family val="2"/>
      </rPr>
      <t xml:space="preserve">2 </t>
    </r>
    <r>
      <rPr>
        <sz val="10"/>
        <color indexed="8"/>
        <rFont val="Arial"/>
        <family val="2"/>
      </rPr>
      <t xml:space="preserve"> 3.0%</t>
    </r>
  </si>
  <si>
    <t>R-456A</t>
  </si>
  <si>
    <t xml:space="preserve">HFO-1234ze(E) 49%; 
HFC-134a 1,1,1,2-Tetrafluoroethane 45%; 
HFC-32 Difluoromethane 6% </t>
  </si>
  <si>
    <t>R-457A</t>
  </si>
  <si>
    <t>HFO-1234yf 2,3,3,3-Tetrafluoropropene 70.0%; 
HFC-32 Difluoromethane 18.0%; 
HFC-152a 1,1-Difluoroethane 12.0%</t>
  </si>
  <si>
    <t>R-458A</t>
  </si>
  <si>
    <t>See also Tdx 20 by Bluon. 
HFC-134a - 61.4%;
HFC-32 - 20.5%;
HFC-227ea - 13.5%; 
HFC-125 - 4.0%; 
HFC-236fa - 0.6%</t>
  </si>
  <si>
    <t>R-461A</t>
  </si>
  <si>
    <t>HFC-125 Pentafluoroethane 55%; 
HFC-134a 1,1,1,2-Tetrafluoroethane 32%; 
HFC-143a 1,1,1-Trifluoroethane 5%;
HFC-227ea 1,1,1,2,3,3,3-Heptafluoropropane 5%;
R-600a isobutane 3%</t>
  </si>
  <si>
    <t>R-462A</t>
  </si>
  <si>
    <t>HFC-134a 1,1,1,2-Tetrafluoroethane 44%; 
HFC-125 Pentafluoroethane 42%; 
HFC-32 Difluoromethane 9%; 
R-600a isobutane 3%; 
HFC-143a 1,1,1-Trifluoroethane 2%</t>
  </si>
  <si>
    <t>R-466A</t>
  </si>
  <si>
    <t>HFC-32 Difluoromethane 49%; 
HFC-125 Pentafluoroethane 11.5%; 
CF3I (trifluoroiodide) 39.5%</t>
  </si>
  <si>
    <t>R-500</t>
  </si>
  <si>
    <t>CFC-12 Dichlorodifluoromethane (73.8%); 
HFC-152a 1,1, Difluoroethane (26.2%)</t>
  </si>
  <si>
    <t>R-502</t>
  </si>
  <si>
    <t>HCFC-22  Monochlorodifluoromethane 48.8%; 
CFC-115 Monochloropentafluoroethane 51.2%</t>
  </si>
  <si>
    <t>12 years (R-22); 
7100 years (R-115)</t>
  </si>
  <si>
    <t>R-503</t>
  </si>
  <si>
    <t>CFC-13 Chlorotrifluoromethane 60% 
HFC-23 Trifluoromethane 40%</t>
  </si>
  <si>
    <t>R-507</t>
  </si>
  <si>
    <t>HFC-125 Pentafluoroethane 50%; 
HFC-143a 1,1,1-Trifluoroethane 50%</t>
  </si>
  <si>
    <t>29 years (R-125); 
52 years (R-143a)</t>
  </si>
  <si>
    <t>R-508A</t>
  </si>
  <si>
    <t>HFC-23 Trifluoromethane 39%
PFC-116 Hexafluoroethane 61%</t>
  </si>
  <si>
    <t>R-508B</t>
  </si>
  <si>
    <t>HFC-23 Trifluoromethane 46%
PFC-116 Hexafluoroethane 54%</t>
  </si>
  <si>
    <t>R-513A</t>
  </si>
  <si>
    <t>HFO-1234yf 2,3,3,3-Tetrafluoropropene 56%; 
HFC-134a 1,1,1,2-Tetrafluoroethane 44%</t>
  </si>
  <si>
    <t>R-514A</t>
  </si>
  <si>
    <t>HFO 1336mzz(Z) - 74.7%; 
Trans-1,2-dichloroethylene (t-DCE) - 25.3%</t>
  </si>
  <si>
    <t>R-515A</t>
  </si>
  <si>
    <t>R-1234ze(E) HFO 88%; 
HFC-227ea heptafluoropropane - 12%</t>
  </si>
  <si>
    <t>R-516A</t>
  </si>
  <si>
    <t>HFO-1234yf 2,3,3,3-Tetrafluoropropene 77.5%;
HFC-152a, 1,1-Difluoroethane 14%; 
HFC-134a 1,1,1,2-Tetrafluoroethane 8.5%</t>
  </si>
  <si>
    <t>SP34E</t>
  </si>
  <si>
    <r>
      <t>HFC-134a 1,1,1,2-Tetrafluoroethane &gt; 96%;
Butane (R-600) C</t>
    </r>
    <r>
      <rPr>
        <vertAlign val="subscript"/>
        <sz val="10"/>
        <color indexed="8"/>
        <rFont val="Arial"/>
        <family val="2"/>
      </rPr>
      <t>5</t>
    </r>
    <r>
      <rPr>
        <sz val="10"/>
        <color indexed="8"/>
        <rFont val="Arial"/>
        <family val="2"/>
      </rPr>
      <t>H</t>
    </r>
    <r>
      <rPr>
        <vertAlign val="subscript"/>
        <sz val="10"/>
        <color indexed="8"/>
        <rFont val="Arial"/>
        <family val="2"/>
      </rPr>
      <t>10</t>
    </r>
    <r>
      <rPr>
        <sz val="10"/>
        <color indexed="8"/>
        <rFont val="Arial"/>
        <family val="2"/>
      </rPr>
      <t xml:space="preserve"> &lt; 3.9%
Additive &lt; 0.1%</t>
    </r>
  </si>
  <si>
    <t>TDX20 see also R-458A</t>
  </si>
  <si>
    <t>TDX20 from Bluon Energy; see also R-458A</t>
  </si>
  <si>
    <t>THR-03</t>
  </si>
  <si>
    <t>THR-03, also THR03</t>
  </si>
  <si>
    <t>DR-3</t>
  </si>
  <si>
    <t>DR-3 is "developmental refrigerant" 3, and is pre-commercial as of May 2016</t>
  </si>
  <si>
    <t>2-BTP</t>
  </si>
  <si>
    <r>
      <t>2-bromotrifluoropropene (C</t>
    </r>
    <r>
      <rPr>
        <vertAlign val="subscript"/>
        <sz val="10"/>
        <rFont val="Arial"/>
        <family val="2"/>
      </rPr>
      <t>3</t>
    </r>
    <r>
      <rPr>
        <sz val="10"/>
        <rFont val="Arial"/>
        <family val="2"/>
      </rPr>
      <t>H</t>
    </r>
    <r>
      <rPr>
        <vertAlign val="subscript"/>
        <sz val="10"/>
        <rFont val="Arial"/>
        <family val="2"/>
      </rPr>
      <t>2</t>
    </r>
    <r>
      <rPr>
        <sz val="10"/>
        <rFont val="Arial"/>
        <family val="2"/>
      </rPr>
      <t>BrF</t>
    </r>
    <r>
      <rPr>
        <vertAlign val="subscript"/>
        <sz val="10"/>
        <rFont val="Arial"/>
        <family val="2"/>
      </rPr>
      <t>3</t>
    </r>
    <r>
      <rPr>
        <sz val="10"/>
        <rFont val="Arial"/>
        <family val="2"/>
      </rPr>
      <t>) (BTP) fire suppressant</t>
    </r>
  </si>
  <si>
    <t>R-744</t>
  </si>
  <si>
    <t>Device does not use refrigerant</t>
  </si>
  <si>
    <t>Placeholder for equipment without refrigerant</t>
  </si>
  <si>
    <t>Sources:</t>
  </si>
  <si>
    <t xml:space="preserve">1)  http://www.ipcc.ch/pdf/assessment-report/ar4/wg1/ar4-wg1-chapter2.pdf  </t>
  </si>
  <si>
    <t>2)  http://www.epa.gov/climatechange/emissions/downloads/ghg_gwp.pdf   (not a primary source for GWPs)</t>
  </si>
  <si>
    <t>3)  http://www.grida.no/climate/ipcc_tar/wg1/130.htm#tab41a</t>
  </si>
  <si>
    <t>Page not found - maybe here? https://www.grida.no/climate/ipcc/emission/123.htm#tbl57</t>
  </si>
  <si>
    <t>Workbook sources</t>
  </si>
  <si>
    <t>$A$1:$G$154, $A$159:$A$162</t>
  </si>
  <si>
    <t>From 2022 Refrigerant Calculator. The values were consistent with both 2020 and 2021 Refrigerant Calculators.</t>
  </si>
  <si>
    <t>$A$155:$G$156</t>
  </si>
  <si>
    <t>Added for deemed calculator extended functionality</t>
  </si>
  <si>
    <t>Model Version</t>
  </si>
  <si>
    <t>Tab</t>
  </si>
  <si>
    <t>First Cell</t>
  </si>
  <si>
    <t>2022 v1a</t>
  </si>
  <si>
    <t>Dashboard</t>
  </si>
  <si>
    <t>D19</t>
  </si>
  <si>
    <t>Updated user dashboard to have an input for measure type</t>
  </si>
  <si>
    <t>Added input dashboard columns for both new and existing devices in the measure and counterfactual</t>
  </si>
  <si>
    <t>D34</t>
  </si>
  <si>
    <t>Added cells showing device retirement year and number of years of early retirement</t>
  </si>
  <si>
    <t>D41</t>
  </si>
  <si>
    <t>Updated dropdown to include user-specified refrigerant</t>
  </si>
  <si>
    <t>Added cells for user to input GWP for a user-specified refrigerant</t>
  </si>
  <si>
    <t>C45</t>
  </si>
  <si>
    <t>Added cells showing measure start and end years</t>
  </si>
  <si>
    <t>E61</t>
  </si>
  <si>
    <t>Added intermediate calculations for new and existing devices</t>
  </si>
  <si>
    <t>C64</t>
  </si>
  <si>
    <t>Added intermediate calculations showing the percentage of device lifetime occuring during measure years and the percentage of device lifetime retired early</t>
  </si>
  <si>
    <t>B76</t>
  </si>
  <si>
    <t>Updated calculations to calculate PV cost streams from annual refrigerant leakage and end-of-life leakage from all relevant devices</t>
  </si>
  <si>
    <t>Discounting is applied at the mid year (starting 0.5 years after the beginning of the measure start year)</t>
  </si>
  <si>
    <t>E113</t>
  </si>
  <si>
    <t>Added a table showing the total NPV cost for the measure and counterfactual case, and the breakdown by leakage type</t>
  </si>
  <si>
    <t>ACC Inputs</t>
  </si>
  <si>
    <t>B6</t>
  </si>
  <si>
    <t>Added a list of measure types for dashboard dropdown</t>
  </si>
  <si>
    <t>Refrigerant Leakage</t>
  </si>
  <si>
    <t>A41</t>
  </si>
  <si>
    <t>Added row for "no device" with 0 refrigerant leakage</t>
  </si>
  <si>
    <t>A155</t>
  </si>
  <si>
    <t>Added row for user-specified refrigerant with a note that the user should specify the GWP on the dashboard</t>
  </si>
  <si>
    <t>Updated text description of the calculator to reflect changes</t>
  </si>
  <si>
    <t>E7</t>
  </si>
  <si>
    <t>Updated Nominal After-tax WACC to most recent values</t>
  </si>
  <si>
    <t>D4</t>
  </si>
  <si>
    <t>Upated GHG Adder costs to align with updated 2022 ACC Electric Model</t>
  </si>
  <si>
    <t>Refrigerant GWPs</t>
  </si>
  <si>
    <t>A157</t>
  </si>
  <si>
    <t>Added a clarifying note on where to find the listed GWP values in the primary source</t>
  </si>
  <si>
    <t>Filled in empty cells with text denoting "Not Available" where refrigerant GWPs were not available from the sources listed</t>
  </si>
  <si>
    <t>2022 v1b</t>
  </si>
  <si>
    <t>E95</t>
  </si>
  <si>
    <t xml:space="preserve">Corrected the dollar year mistake that was in v1a by replacing the year 2022 with 2020 in the cost calculations that are supposed to reflect values in 2020$ </t>
  </si>
  <si>
    <t>ACC inputs</t>
  </si>
  <si>
    <t>Updated the GHG value to align with the GHG Value from Natural Gas ACC</t>
  </si>
  <si>
    <t>2022 v1b updated</t>
  </si>
  <si>
    <t>G7</t>
  </si>
  <si>
    <t>Updated dollar year so that outputs are in 2022$</t>
  </si>
  <si>
    <t>E96, E123</t>
  </si>
  <si>
    <t>Corrected a mistake where inflation was being improperly accounted for in the PV cost streams. Now all PV fost streams are present values relative to the measure start year, and dollar year conversions happen later starting in cell E124. This error was present in 2022 v1a and v1b.</t>
  </si>
  <si>
    <t>Msr refrigerant Type</t>
  </si>
  <si>
    <t>Std refrigerant Type</t>
  </si>
  <si>
    <t>Msr Device Retire-ment Year</t>
  </si>
  <si>
    <t>Std Device Retire-ment Year</t>
  </si>
  <si>
    <t>Pre Device Retire-ment Year</t>
  </si>
  <si>
    <t>Ext Device Retire-ment Year</t>
  </si>
  <si>
    <t>Msr Device Years Over-lapping with Measure Years</t>
  </si>
  <si>
    <t>Std Device Years Over-lapping with Measure Years</t>
  </si>
  <si>
    <t>Pre Device Years Over-lapping with Measure Years</t>
  </si>
  <si>
    <t>Ext Device Years Over-lapping with Measure Years</t>
  </si>
  <si>
    <t>UnitRefrig
Costs</t>
  </si>
  <si>
    <t>UnitRefrig
Bens</t>
  </si>
  <si>
    <t>Counter-factual total 
NPV cost</t>
  </si>
  <si>
    <t>Measure total 
NPV cost</t>
  </si>
  <si>
    <t>Msr refrigerant charge (lb) per NormUnit</t>
  </si>
  <si>
    <t>Std refrigerant charge (lb) per NormUnit</t>
  </si>
  <si>
    <t>Measure End 
Year</t>
  </si>
  <si>
    <t>E123</t>
  </si>
  <si>
    <t>F125</t>
  </si>
  <si>
    <t>F126</t>
  </si>
  <si>
    <t>MeasAppType</t>
  </si>
  <si>
    <t>Refrigerant
NPV costs
avoided</t>
  </si>
  <si>
    <t>2022 v1b updated corrected</t>
  </si>
  <si>
    <t>Corrected a mistake where the formula referenced a blank cell ('ACC Inputs'!I74) rather than the cell that actually contains the inflation rate ('ACC Inputs'!$I$7). (Correction made by DNV on behalf of the CPUC.)</t>
  </si>
  <si>
    <t>Corrected mistake where the NPV of the "Counterfactual" end-of-life refrigerant leakage costs referenced the "Measure" case overlap fields ($D$72:$D$73) rather than those for the "Counterfactual" case ($G$72:$G$73). (Correction made by DNV on behalf of the CPUC.)</t>
  </si>
  <si>
    <t>Corrected mistake where the NPV of the "Existing (for the Counterfactual case)" end-of-life refrigerant leakage costs pointed to the "Existing (for the Measure case)" case overlap fields ($E$72:$E$73) rather than those for the "Existing (for the Counterfactual case)" case ($G$72:$G$73). (This correction, however, does not change the result since both Existing cases are identical for the "Accelerated Replacement" Measure Application Type.) (Correction made by DNV on behalf of the CPUC.)</t>
  </si>
  <si>
    <t>Description</t>
  </si>
  <si>
    <t xml:space="preserve">Three errors were corrected by DNV on behalf of the CPUC as described on the "Change Log" worksheet.  (2023-07-17) </t>
  </si>
  <si>
    <t>Fixed Errors</t>
  </si>
  <si>
    <t>Fixed Error 1</t>
  </si>
  <si>
    <t>Fixed Error 2</t>
  </si>
  <si>
    <t>Fixed Error 3</t>
  </si>
  <si>
    <t>Year of implementation</t>
  </si>
  <si>
    <t>Refrigerant
NPVCosts
Mea per NormUnit</t>
  </si>
  <si>
    <t>Refrigerant
NPVCosts
StdBaseline per NormUnit</t>
  </si>
  <si>
    <t>Refrigerant
NPVCosts
Pre per NormUnit</t>
  </si>
  <si>
    <t>Unit Refrigerant
NPVCosts
ExtBaseline per NormUnit</t>
  </si>
  <si>
    <t>2.0.1</t>
  </si>
  <si>
    <t>2.0.2a</t>
  </si>
  <si>
    <t>2.0.2b</t>
  </si>
  <si>
    <t>DNV</t>
  </si>
  <si>
    <t>2.1.0</t>
  </si>
  <si>
    <t>1) Fixed bug: EOL NPV formula for standard case fails to multiply by ([@[Std % of device lifetime during measure years]]+[@[Std % of device lifetime retired early]]).
2) Replaced "Refrigerant NPVCosts Net" with "Refrigerant NPV Avoided Costs".
3) Flagged unused named variable, Dropdown_RefrigTechMsr.
4) Flagged an issue with refrigerant charge lookup value for window/room/wall AC units (per ton).
5) Flagged a missing feature for entering fractional EUL/RUL values.
6) Applied conditional formatting to highlight cells that override lookup formulas with a hard-coded value (a.k.a. user specified).
7) Output blanks instead of N/A to minimize confusion to users.
8) Flagged an issue with limited refrigerant charge (lb/kBtuh) research across more manufacturers and refrigerants--including low GWP refrigerants.
9) Formulae only exist in rows 40 through 49; the rest of the table rows  in columns I and J are blank and do not populate with TGIndex and TGRows values. These were fixed within this workbook.</t>
  </si>
  <si>
    <t>Is Avoided Net Cost &gt;0?</t>
  </si>
  <si>
    <t>From user specified device type</t>
  </si>
  <si>
    <t>Refrigerant properties color coding</t>
  </si>
  <si>
    <t>Msr EUL rounded</t>
  </si>
  <si>
    <t>Std EUL rounded</t>
  </si>
  <si>
    <t>Pre EUL rounded</t>
  </si>
  <si>
    <t>1) Reverted accidental deletion of formulae for dropdown lists (columns I and J). Formulae only existed in rows 40 through 49; the rest of the table rows do not populate with TGIndex and TGRows values. Locked cells to prevent accidental deletion.</t>
  </si>
  <si>
    <t>1) Annotated corresponding cell references for results columns in cover sheet.</t>
  </si>
  <si>
    <r>
      <t xml:space="preserve">Correspondence between E3 RACC and DRACC
</t>
    </r>
    <r>
      <rPr>
        <sz val="11"/>
        <color theme="1"/>
        <rFont val="Calibri"/>
        <family val="2"/>
        <scheme val="minor"/>
      </rPr>
      <t xml:space="preserve">
For purposes of reviewing the calculation methodology and comparing results against the E3 RACC, the figures below show the corresponding output cells in the E3 RACC.
</t>
    </r>
  </si>
  <si>
    <t>EUL and RUL to be rounded to nearest whole number in calcs</t>
  </si>
  <si>
    <t>TG Rows (with blank)</t>
  </si>
  <si>
    <t>TG_dropdown_with_blank</t>
  </si>
  <si>
    <t>1) Revised formulas refering to "Refrigerant NPV Avoided Costs"
2) Removed unused named variable, Dropdown_RefrigTechMsr.
3) Applied rounding for user input fractional EUL/RUL.
4) Revised refrigerant charge lookup for window/wall/room AC (lb/kBtuh)
5) Extend conditional formatting to user specified values entered through the sheet "User Specified Device Type."
6) Minor adjustments (output blanks, dropdown lists)</t>
  </si>
  <si>
    <t>Assume lookup table refrigerant charge (1.54 lbs) corresponds to a 1.0 ton cooling capacity unit.</t>
  </si>
  <si>
    <r>
      <rPr>
        <b/>
        <u/>
        <sz val="11"/>
        <color theme="1"/>
        <rFont val="Calibri"/>
        <family val="2"/>
        <scheme val="minor"/>
      </rPr>
      <t>DESCRIPTIONS OF WORKSHEETS
eTRM export</t>
    </r>
    <r>
      <rPr>
        <sz val="11"/>
        <color theme="1"/>
        <rFont val="Calibri"/>
        <family val="2"/>
        <scheme val="minor"/>
      </rPr>
      <t xml:space="preserve"> sheet was developed after discussion with the eTRM team. This tab is auto-populated by the tool.</t>
    </r>
    <r>
      <rPr>
        <b/>
        <u/>
        <sz val="11"/>
        <color theme="1"/>
        <rFont val="Calibri"/>
        <family val="2"/>
        <scheme val="minor"/>
      </rPr>
      <t xml:space="preserve">
Predefined Device Types and Refrig Type Research 2021</t>
    </r>
    <r>
      <rPr>
        <sz val="11"/>
        <color theme="1"/>
        <rFont val="Calibri"/>
        <family val="2"/>
        <scheme val="minor"/>
      </rPr>
      <t xml:space="preserve">
To provide initial estimates for the advanced inputs, these sheets summarize some desktop research by the authors. For a handful of fuel substitution measures and each case (Pre, Std, and Msr), the table provides "default" values for refrigerant type, charge, and a lookup key for the </t>
    </r>
    <r>
      <rPr>
        <b/>
        <sz val="11"/>
        <color theme="1"/>
        <rFont val="Calibri"/>
        <family val="2"/>
        <scheme val="minor"/>
      </rPr>
      <t>Refrigerant Leakage</t>
    </r>
    <r>
      <rPr>
        <sz val="11"/>
        <color theme="1"/>
        <rFont val="Calibri"/>
        <family val="2"/>
        <scheme val="minor"/>
      </rPr>
      <t xml:space="preserve"> parameters from the E3 RACC reference table. Essentially, this table adds an additional layer on top of the information contained in the E3 RACC, for specific deemed measures. Users of this tool are expected to obtain measure-specific research and confirm the defaults.
"Future research to support improvements on the tool should be supported by program evaluators as opposed to Utilities."
Advanced inputs requiring research include:
</t>
    </r>
    <r>
      <rPr>
        <b/>
        <sz val="11"/>
        <color theme="1"/>
        <rFont val="Calibri"/>
        <family val="2"/>
        <scheme val="minor"/>
      </rPr>
      <t>Most common refrigerant</t>
    </r>
    <r>
      <rPr>
        <sz val="11"/>
        <color theme="1"/>
        <rFont val="Calibri"/>
        <family val="2"/>
        <scheme val="minor"/>
      </rPr>
      <t xml:space="preserve"> - for a given technology, provides a default refrigerant. The set of products on the market for a given measure (or a baseline) may in practice include multiple refrigerants; however, this tool can only accommodate one selection each for Pre, Std, and Msr equipment on each row of the dashboard.
</t>
    </r>
    <r>
      <rPr>
        <b/>
        <sz val="11"/>
        <color theme="1"/>
        <rFont val="Calibri"/>
        <family val="2"/>
        <scheme val="minor"/>
      </rPr>
      <t>Refrigerant charge (lbs) per normalizing unit</t>
    </r>
    <r>
      <rPr>
        <sz val="11"/>
        <color theme="1"/>
        <rFont val="Calibri"/>
        <family val="2"/>
        <scheme val="minor"/>
      </rPr>
      <t xml:space="preserve"> - This information was not available from the lookups in the prior version of the tool.
</t>
    </r>
    <r>
      <rPr>
        <b/>
        <u/>
        <sz val="11"/>
        <color theme="1"/>
        <rFont val="Calibri"/>
        <family val="2"/>
        <scheme val="minor"/>
      </rPr>
      <t>Constants</t>
    </r>
    <r>
      <rPr>
        <sz val="11"/>
        <color theme="1"/>
        <rFont val="Calibri"/>
        <family val="2"/>
        <scheme val="minor"/>
      </rPr>
      <t xml:space="preserve"> - This sheet has no user inputs or outputs but is referenced in formulas. It should be hidden when releasing the tool for general use.
The sheets that follow are borrowed from E3 Refrigerant Calculator:
</t>
    </r>
    <r>
      <rPr>
        <b/>
        <u/>
        <sz val="11"/>
        <color theme="1"/>
        <rFont val="Calibri"/>
        <family val="2"/>
        <scheme val="minor"/>
      </rPr>
      <t xml:space="preserve">E3 Dashboard </t>
    </r>
    <r>
      <rPr>
        <sz val="11"/>
        <color theme="1"/>
        <rFont val="Calibri"/>
        <family val="2"/>
        <scheme val="minor"/>
      </rPr>
      <t xml:space="preserve">- shows how E3 calculates NPV from annual leakage and end-of-life leakage, as well as compares baseline and measure. This sheet is included only for review and comparison. It is not referenced by the Deemed Measure Dashboard and may be removed.
</t>
    </r>
    <r>
      <rPr>
        <b/>
        <u/>
        <sz val="11"/>
        <color theme="1"/>
        <rFont val="Calibri"/>
        <family val="2"/>
        <scheme val="minor"/>
      </rPr>
      <t>ACC Inputs</t>
    </r>
    <r>
      <rPr>
        <sz val="11"/>
        <color theme="1"/>
        <rFont val="Calibri"/>
        <family val="2"/>
        <scheme val="minor"/>
      </rPr>
      <t xml:space="preserve"> - contains the GHG Adder Coefficients that monetize emissions in each given year (in nominal dollars). This sheet is referenced by the calculations.
</t>
    </r>
    <r>
      <rPr>
        <b/>
        <u/>
        <sz val="11"/>
        <color theme="1"/>
        <rFont val="Calibri"/>
        <family val="2"/>
        <scheme val="minor"/>
      </rPr>
      <t>Refrigerant leakage</t>
    </r>
    <r>
      <rPr>
        <sz val="11"/>
        <color theme="1"/>
        <rFont val="Calibri"/>
        <family val="2"/>
        <scheme val="minor"/>
      </rPr>
      <t xml:space="preserve"> - Some typical refrigerant leakage rates (annual and end-of-life) by equipment type. Used for default value lookups. Modified to include the "Non-refrigerant equipment" item for baseline lookups. This sheet is referenced by the calculations.
</t>
    </r>
    <r>
      <rPr>
        <b/>
        <u/>
        <sz val="11"/>
        <color theme="1"/>
        <rFont val="Calibri"/>
        <family val="2"/>
        <scheme val="minor"/>
      </rPr>
      <t>Refrigerant GWPs</t>
    </r>
    <r>
      <rPr>
        <sz val="11"/>
        <color theme="1"/>
        <rFont val="Calibri"/>
        <family val="2"/>
        <scheme val="minor"/>
      </rPr>
      <t xml:space="preserve"> - Modified to include the "None" refrigerant for baseline lookups. This sheet is referenced by the calculations.
</t>
    </r>
  </si>
  <si>
    <r>
      <rPr>
        <b/>
        <u/>
        <sz val="11"/>
        <color theme="1"/>
        <rFont val="Calibri"/>
        <family val="2"/>
        <scheme val="minor"/>
      </rPr>
      <t>Output fields - NPV Costs or Benefits, and cost breakdown</t>
    </r>
    <r>
      <rPr>
        <sz val="11"/>
        <color theme="1"/>
        <rFont val="Calibri"/>
        <family val="2"/>
        <scheme val="minor"/>
      </rPr>
      <t xml:space="preserve">
</t>
    </r>
    <r>
      <rPr>
        <u/>
        <sz val="11"/>
        <color theme="1"/>
        <rFont val="Calibri"/>
        <family val="2"/>
        <scheme val="minor"/>
      </rPr>
      <t>NPV cost breakdown</t>
    </r>
    <r>
      <rPr>
        <sz val="11"/>
        <color theme="1"/>
        <rFont val="Calibri"/>
        <family val="2"/>
        <scheme val="minor"/>
      </rPr>
      <t xml:space="preserve">
</t>
    </r>
    <r>
      <rPr>
        <b/>
        <sz val="11"/>
        <color theme="1"/>
        <rFont val="Calibri"/>
        <family val="2"/>
        <scheme val="minor"/>
      </rPr>
      <t xml:space="preserve">   RefrigerantNPVCostsMea
   RefrigerantNPVCostsStdBaseline
   RefrigerantNPVCostsPre
   RefrigerantNPVCostsExtBaseline
</t>
    </r>
    <r>
      <rPr>
        <sz val="11"/>
        <color theme="1"/>
        <rFont val="Calibri"/>
        <family val="2"/>
        <scheme val="minor"/>
      </rPr>
      <t xml:space="preserve">
</t>
    </r>
    <r>
      <rPr>
        <u/>
        <sz val="11"/>
        <color theme="1"/>
        <rFont val="Calibri"/>
        <family val="2"/>
        <scheme val="minor"/>
      </rPr>
      <t xml:space="preserve">What to expect from outputs
</t>
    </r>
    <r>
      <rPr>
        <sz val="11"/>
        <color theme="1"/>
        <rFont val="Calibri"/>
        <family val="2"/>
        <scheme val="minor"/>
      </rPr>
      <t xml:space="preserve">
(1)   Each RefrigerantNPV field represents cost associated with emissions (priced according to ACC) from one piece of equipment during the analysis interval. These four figures represent costs, not benefits (avoided cost) nor relative comparison of measure and baseline. The "Std" and "Ext" labels represent devices in the counterfactual timeline, whereas the "Mea" label represents the measure case equipment in service (and the "Pre" is the pre-existing equipment).
(2)   For clarity, the general equation for net "Refrigerant NPV costs avoided" (which may be net negative or positive) is:
    "Refrigerant NPV costs avoided" = (RefrigerantNPVCostsStdBaseline + RefrigerantNPVCostsExtBaseline)
                                - (RefrigerantNPVCostsMea + RefrigerantNPVCostsPre)
</t>
    </r>
    <r>
      <rPr>
        <i/>
        <sz val="11"/>
        <color theme="1"/>
        <rFont val="Calibri"/>
        <family val="2"/>
        <scheme val="minor"/>
      </rPr>
      <t xml:space="preserve">
Note that existing equipment ("Pre" and "Ext") is only included for accelerated replacement (AR) since the existing equipment is excluded from consideration for normal replacement and not applicable to new construction.</t>
    </r>
    <r>
      <rPr>
        <sz val="11"/>
        <color theme="1"/>
        <rFont val="Calibri"/>
        <family val="2"/>
        <scheme val="minor"/>
      </rPr>
      <t xml:space="preserve">
</t>
    </r>
    <r>
      <rPr>
        <u/>
        <sz val="11"/>
        <color theme="1"/>
        <rFont val="Calibri"/>
        <family val="2"/>
        <scheme val="minor"/>
      </rPr>
      <t>Net cost or benefit (NPV) fields for CET</t>
    </r>
    <r>
      <rPr>
        <sz val="11"/>
        <color theme="1"/>
        <rFont val="Calibri"/>
        <family val="2"/>
        <scheme val="minor"/>
      </rPr>
      <t xml:space="preserve">
   </t>
    </r>
    <r>
      <rPr>
        <b/>
        <sz val="11"/>
        <color theme="1"/>
        <rFont val="Calibri"/>
        <family val="2"/>
        <scheme val="minor"/>
      </rPr>
      <t>UnitRefrigCosts
   UnitRefrigBens</t>
    </r>
    <r>
      <rPr>
        <sz val="11"/>
        <color theme="1"/>
        <rFont val="Calibri"/>
        <family val="2"/>
        <scheme val="minor"/>
      </rPr>
      <t xml:space="preserve">
Only these two output fields are required by CET. The names are taken from the CET_GOOD.2021-07-14 example input file. The tool populates these output fields following these assumptions:
(1) This equation relates the net costs to the output fields:
   "Refrigerant NPV costs avoided" = UnitRefrigBens - UnitRefrigCosts
(2) Only one of the two fields will be populated with a non-zero, positive value, depending on whether the net refrigerant costs avoided are positive or negative for the measure.</t>
    </r>
  </si>
  <si>
    <t>Msr Install Year</t>
  </si>
  <si>
    <t>Name</t>
  </si>
  <si>
    <t>Range</t>
  </si>
  <si>
    <t>Value</t>
  </si>
  <si>
    <t>ACC_Dollar_Year</t>
  </si>
  <si>
    <t>='ACC Inputs'!$G$7</t>
  </si>
  <si>
    <t>ACC_Inflation_Rate</t>
  </si>
  <si>
    <t>='ACC Inputs'!$I$7</t>
  </si>
  <si>
    <t>const_100_yr</t>
  </si>
  <si>
    <t>const_20_yr</t>
  </si>
  <si>
    <t>const_AR</t>
  </si>
  <si>
    <t>const_NC</t>
  </si>
  <si>
    <t>const_NR</t>
  </si>
  <si>
    <t>Dropdown_Leakage_Device_Type</t>
  </si>
  <si>
    <t>='Refrigerant Leakage'!$B$2:$B$41</t>
  </si>
  <si>
    <t>=TechGroup_NormUnit_Table[DropdownRefrigTech]</t>
  </si>
  <si>
    <t>DY</t>
  </si>
  <si>
    <t>='Deemed Dashboard'!$E$3</t>
  </si>
  <si>
    <t>GHG_Adder_dollar_per_tonne</t>
  </si>
  <si>
    <t>='ACC Inputs'!$D$4:$AI$4</t>
  </si>
  <si>
    <t>GHG_Adder_Yr1</t>
  </si>
  <si>
    <t>='ACC Inputs'!$D$3</t>
  </si>
  <si>
    <t>GWP_Values_100_year_AR4</t>
  </si>
  <si>
    <t>='Refrigerant GWPs'!$D$2:$D$156</t>
  </si>
  <si>
    <t>GWP_Values_20_year_AR4</t>
  </si>
  <si>
    <t>='Refrigerant GWPs'!$E$2:$E$156</t>
  </si>
  <si>
    <t>IQ_CH</t>
  </si>
  <si>
    <t>=110000</t>
  </si>
  <si>
    <t>IQ_DAILY</t>
  </si>
  <si>
    <t>=500000</t>
  </si>
  <si>
    <t>IQ_FH</t>
  </si>
  <si>
    <t>=100000</t>
  </si>
  <si>
    <t>IQ_MONTH</t>
  </si>
  <si>
    <t>=15000</t>
  </si>
  <si>
    <t>IQ_WEEK</t>
  </si>
  <si>
    <t>=50000</t>
  </si>
  <si>
    <t>=Constants!$C$4</t>
  </si>
  <si>
    <t>q_ann</t>
  </si>
  <si>
    <t>='Refrigerant Leakage'!$E$2:$E$41</t>
  </si>
  <si>
    <t>='Refrigerant Leakage'!$F$2:$F$41</t>
  </si>
  <si>
    <t>RefrigDropdownList</t>
  </si>
  <si>
    <t>='Refrigerant GWPs'!$A$2:$A$156</t>
  </si>
  <si>
    <t>='Refrigerant Leakage'!$G$2:$G$41</t>
  </si>
  <si>
    <t>=OFFSET(tg_category1,0,0,tg_numcategories,1)</t>
  </si>
  <si>
    <t>tg_category1</t>
  </si>
  <si>
    <t>='Predefined Device Types'!$N$12</t>
  </si>
  <si>
    <t>='Predefined Device Types'!$R$12</t>
  </si>
  <si>
    <t>='Predefined Device Types'!$Q$12</t>
  </si>
  <si>
    <t>='Predefined Device Types'!$M$12</t>
  </si>
  <si>
    <t>=OFFSET(tgrows_1,0,0,tg_numcategories,1)</t>
  </si>
  <si>
    <t>tgrows_1</t>
  </si>
  <si>
    <t>='Predefined Device Types'!$P$12</t>
  </si>
  <si>
    <t>WACC</t>
  </si>
  <si>
    <t>='Deemed Dashboard'!$E$6</t>
  </si>
  <si>
    <t>Columns</t>
  </si>
  <si>
    <t>Rows</t>
  </si>
  <si>
    <t>MAT = AR, only</t>
  </si>
  <si>
    <t>AR, only</t>
  </si>
  <si>
    <t>Pre/Ext device type</t>
  </si>
  <si>
    <t>Pre/Ext refrigerant Type</t>
  </si>
  <si>
    <t>Pre/Ext refrigerant charge (lb) per NormUnit</t>
  </si>
  <si>
    <t>Pre/Ext GWP</t>
  </si>
  <si>
    <t>Pre/Ext annual refrigerant leakage %</t>
  </si>
  <si>
    <t>Pre/Ext gross EOL refrigerant leakage %</t>
  </si>
  <si>
    <t>Pre/Ext t_EOL</t>
  </si>
  <si>
    <t>Value replaced formula</t>
  </si>
  <si>
    <t>AHRI database has 407 heat pump pool heaters listed and all have 
R-410a as the refrigerant type</t>
  </si>
  <si>
    <t>=Constants!$M$5</t>
  </si>
  <si>
    <t>=Constants!$M$6</t>
  </si>
  <si>
    <t>=Constants!$G$5</t>
  </si>
  <si>
    <t>=Constants!$O$8</t>
  </si>
  <si>
    <t>=Constants!$O$14</t>
  </si>
  <si>
    <t>=Constants!$G$6</t>
  </si>
  <si>
    <t>=Constants!$G$7</t>
  </si>
  <si>
    <t>=Constants!$O$11</t>
  </si>
  <si>
    <t>=Constants!$O$5</t>
  </si>
  <si>
    <t>=Constants!$E$5:$E$14</t>
  </si>
  <si>
    <t>=Constants!$K$5:$K$19</t>
  </si>
  <si>
    <t>=Constants!$M$5:$M$6</t>
  </si>
  <si>
    <t>=Constants!$G$5:$G$8</t>
  </si>
  <si>
    <t>Pre charging remaining (%)</t>
  </si>
  <si>
    <t>NPV cost of EOL leakage 
(Install Year $)</t>
  </si>
  <si>
    <t>Ext RUL rounded</t>
  </si>
  <si>
    <t>Device EULs &amp; RULs</t>
  </si>
  <si>
    <t>NPV cost of Annual Leakage 
(Install Year $)</t>
  </si>
  <si>
    <t>Password protected</t>
  </si>
  <si>
    <t>See password</t>
  </si>
  <si>
    <r>
      <rPr>
        <b/>
        <u/>
        <sz val="11"/>
        <color theme="1"/>
        <rFont val="Calibri"/>
        <family val="2"/>
        <scheme val="minor"/>
      </rPr>
      <t>UPDATING THE WORKBOOK</t>
    </r>
    <r>
      <rPr>
        <sz val="11"/>
        <color theme="1"/>
        <rFont val="Calibri"/>
        <family val="2"/>
        <scheme val="minor"/>
      </rPr>
      <t xml:space="preserve">
When updating the workbook, use password "</t>
    </r>
    <r>
      <rPr>
        <b/>
        <sz val="11"/>
        <color theme="9" tint="0.39997558519241921"/>
        <rFont val="Calibri"/>
        <family val="2"/>
        <scheme val="minor"/>
      </rPr>
      <t>DRACC2023</t>
    </r>
    <r>
      <rPr>
        <sz val="11"/>
        <color theme="1"/>
        <rFont val="Calibri"/>
        <family val="2"/>
        <scheme val="minor"/>
      </rPr>
      <t>" to protect sheets and prevent accidentally overwriting formulas.
To update to a new ACC version, assume calculation methodology is unchanged, simply import the new worksheets to be referenced, and update the defined names that reference worksheets from the ACC. Defined names are updated through the Name Manager in the Formulas menu. These names include:
GHG_Adder_Yr1
GHG_Adder_dollar_per_tonne
ACC_Dollar_Year
ACC_Inflation_Rate
RefrigDropdownList
GWP_Values_100_year_AR4
GWP_Values_20_year_AR4
Dropdown_Leakage_Device_Type
q_ann
q_EOL
t_EOL</t>
    </r>
  </si>
  <si>
    <t>Deemed RACC Tool for Deemed Measure Packages</t>
  </si>
  <si>
    <t>Back to top of worksheet</t>
  </si>
  <si>
    <t>2.1.2</t>
  </si>
  <si>
    <r>
      <t xml:space="preserve">1) On the "Deemed Dashboard" worksheet, combined Measure Existing </t>
    </r>
    <r>
      <rPr>
        <b/>
        <sz val="11"/>
        <color rgb="FFFFD193"/>
        <rFont val="Calibri"/>
        <family val="2"/>
        <scheme val="minor"/>
      </rPr>
      <t>(Pre)</t>
    </r>
    <r>
      <rPr>
        <sz val="11"/>
        <color theme="1"/>
        <rFont val="Calibri"/>
        <family val="2"/>
        <scheme val="minor"/>
      </rPr>
      <t xml:space="preserve"> and Counterfactual Existing</t>
    </r>
    <r>
      <rPr>
        <b/>
        <sz val="11"/>
        <color rgb="FFE2EFDA"/>
        <rFont val="Calibri"/>
        <family val="2"/>
        <scheme val="minor"/>
      </rPr>
      <t xml:space="preserve"> </t>
    </r>
    <r>
      <rPr>
        <b/>
        <sz val="11"/>
        <color theme="3" tint="0.59999389629810485"/>
        <rFont val="Calibri"/>
        <family val="2"/>
        <scheme val="minor"/>
      </rPr>
      <t>(Ext)</t>
    </r>
    <r>
      <rPr>
        <b/>
        <sz val="11"/>
        <color rgb="FFE2EFDA"/>
        <rFont val="Calibri"/>
        <family val="2"/>
        <scheme val="minor"/>
      </rPr>
      <t xml:space="preserve"> </t>
    </r>
    <r>
      <rPr>
        <sz val="11"/>
        <color theme="1"/>
        <rFont val="Calibri"/>
        <family val="2"/>
        <scheme val="minor"/>
      </rPr>
      <t>input fields.
2) On the "Deemed Dashboard" worksheet, relocated the "TGIndex", "TGRows", "TG Rows (with blanks)", and "Workbook integrity check" columns to the far right of the table.
3) On the "Comment" worksheet, removed the no-longer-used array formula simulation region of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</si>
</sst>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8" formatCode="&quot;$&quot;#,##0.00_);[Red]\(&quot;$&quot;#,##0.00\)"/>
    <numFmt numFmtId="44" formatCode="_(&quot;$&quot;* #,##0.00_);_(&quot;$&quot;* \(#,##0.00\);_(&quot;$&quot;* &quot;-&quot;??_);_(@_)"/>
    <numFmt numFmtId="43" formatCode="_(* #,##0.00_);_(* \(#,##0.00\);_(* &quot;-&quot;??_);_(@_)"/>
    <numFmt numFmtId="164" formatCode="0.000000"/>
    <numFmt numFmtId="165" formatCode="0.0%"/>
    <numFmt numFmtId="166" formatCode="&quot;$&quot;#,##0.00"/>
    <numFmt numFmtId="167" formatCode="_(* #,##0.0_);_(* \(#,##0.0\);_(* &quot;-&quot;??_);_(@_)"/>
    <numFmt numFmtId="168" formatCode="#,##0.000_);\(#,##0.000\)"/>
    <numFmt numFmtId="169" formatCode="#,##0.0_);\(#,##0.0\)"/>
    <numFmt numFmtId="170" formatCode="0.000"/>
    <numFmt numFmtId="171" formatCode="0_);\(0\)"/>
    <numFmt numFmtId="172" formatCode="_(&quot;$&quot;* #,##0_);_(&quot;$&quot;* \(#,##0\);_(&quot;$&quot;* &quot;-&quot;??_);_(@_)"/>
    <numFmt numFmtId="173" formatCode="0.0000"/>
    <numFmt numFmtId="174" formatCode="#,##0.0"/>
    <numFmt numFmtId="175" formatCode="_(* #,##0_);_(* \(#,##0\);_(* &quot;-&quot;??_);_(@_)"/>
    <numFmt numFmtId="176" formatCode="yyyy\-mm\-dd;@"/>
  </numFmts>
  <fonts count="79"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0"/>
      <name val="Calibri"/>
      <family val="2"/>
      <scheme val="minor"/>
    </font>
    <font>
      <b/>
      <sz val="11"/>
      <name val="Calibri"/>
      <family val="2"/>
      <scheme val="minor"/>
    </font>
    <font>
      <i/>
      <sz val="10"/>
      <color theme="1"/>
      <name val="Calibri"/>
      <family val="2"/>
      <scheme val="minor"/>
    </font>
    <font>
      <sz val="10"/>
      <color theme="1"/>
      <name val="Calibri"/>
      <family val="2"/>
      <scheme val="minor"/>
    </font>
    <font>
      <b/>
      <sz val="16"/>
      <color theme="1"/>
      <name val="Calibri"/>
      <family val="2"/>
      <scheme val="minor"/>
    </font>
    <font>
      <b/>
      <sz val="10"/>
      <color indexed="9"/>
      <name val="Calibri"/>
      <family val="2"/>
      <scheme val="minor"/>
    </font>
    <font>
      <sz val="11"/>
      <name val="Calibri"/>
      <family val="2"/>
    </font>
    <font>
      <b/>
      <sz val="11"/>
      <color theme="1"/>
      <name val="Calibri"/>
      <family val="2"/>
      <scheme val="minor"/>
    </font>
    <font>
      <b/>
      <sz val="14"/>
      <color theme="1"/>
      <name val="Calibri"/>
      <family val="2"/>
      <scheme val="minor"/>
    </font>
    <font>
      <b/>
      <sz val="10"/>
      <color rgb="FF000000"/>
      <name val="Tahoma"/>
      <family val="2"/>
    </font>
    <font>
      <sz val="10"/>
      <color rgb="FF000000"/>
      <name val="Tahoma"/>
      <family val="2"/>
    </font>
    <font>
      <b/>
      <sz val="10"/>
      <name val="Arial"/>
      <family val="2"/>
    </font>
    <font>
      <vertAlign val="subscript"/>
      <sz val="10"/>
      <name val="Arial"/>
      <family val="2"/>
    </font>
    <font>
      <sz val="10"/>
      <color theme="1"/>
      <name val="Arial"/>
      <family val="2"/>
    </font>
    <font>
      <b/>
      <vertAlign val="subscript"/>
      <sz val="10"/>
      <name val="Arial"/>
      <family val="2"/>
    </font>
    <font>
      <b/>
      <sz val="11"/>
      <name val="Times New Roman"/>
      <family val="1"/>
    </font>
    <font>
      <sz val="11"/>
      <name val="Times New Roman"/>
      <family val="1"/>
    </font>
    <font>
      <vertAlign val="subscript"/>
      <sz val="10"/>
      <color indexed="8"/>
      <name val="Arial"/>
      <family val="2"/>
    </font>
    <font>
      <sz val="10"/>
      <color indexed="8"/>
      <name val="Arial"/>
      <family val="2"/>
    </font>
    <font>
      <b/>
      <sz val="10"/>
      <color theme="1"/>
      <name val="Arial"/>
      <family val="2"/>
    </font>
    <font>
      <sz val="9"/>
      <color indexed="8"/>
      <name val="Arial"/>
      <family val="2"/>
    </font>
    <font>
      <sz val="10"/>
      <color rgb="FF000000"/>
      <name val="Arial"/>
      <family val="2"/>
    </font>
    <font>
      <b/>
      <sz val="9"/>
      <color rgb="FF000000"/>
      <name val="Tahoma"/>
      <family val="2"/>
    </font>
    <font>
      <sz val="9"/>
      <color rgb="FF000000"/>
      <name val="Tahoma"/>
      <family val="2"/>
    </font>
    <font>
      <sz val="11"/>
      <color rgb="FFFFFFFF"/>
      <name val="Calibri"/>
      <family val="2"/>
    </font>
    <font>
      <b/>
      <sz val="16"/>
      <color theme="0"/>
      <name val="Calibri"/>
      <family val="2"/>
      <scheme val="minor"/>
    </font>
    <font>
      <b/>
      <sz val="12"/>
      <color theme="1"/>
      <name val="Calibri"/>
      <family val="2"/>
      <scheme val="minor"/>
    </font>
    <font>
      <b/>
      <sz val="20"/>
      <color theme="1"/>
      <name val="Calibri"/>
      <family val="2"/>
      <scheme val="minor"/>
    </font>
    <font>
      <b/>
      <sz val="24"/>
      <color theme="1"/>
      <name val="Calibri"/>
      <family val="2"/>
      <scheme val="minor"/>
    </font>
    <font>
      <sz val="11"/>
      <name val="Calibri"/>
      <family val="2"/>
      <scheme val="minor"/>
    </font>
    <font>
      <i/>
      <sz val="18"/>
      <color theme="1"/>
      <name val="Calibri"/>
      <family val="2"/>
      <scheme val="minor"/>
    </font>
    <font>
      <sz val="11"/>
      <color theme="0"/>
      <name val="Calibri"/>
      <family val="2"/>
      <scheme val="minor"/>
    </font>
    <font>
      <sz val="12"/>
      <color theme="1"/>
      <name val="Calibri"/>
      <family val="2"/>
      <scheme val="minor"/>
    </font>
    <font>
      <i/>
      <sz val="11"/>
      <color rgb="FF7F7F7F"/>
      <name val="Calibri"/>
      <family val="2"/>
      <scheme val="minor"/>
    </font>
    <font>
      <sz val="9"/>
      <color indexed="81"/>
      <name val="Tahoma"/>
      <family val="2"/>
    </font>
    <font>
      <i/>
      <sz val="10"/>
      <color rgb="FF7F7F7F"/>
      <name val="Calibri"/>
      <family val="2"/>
      <scheme val="minor"/>
    </font>
    <font>
      <b/>
      <sz val="9"/>
      <color indexed="81"/>
      <name val="Tahoma"/>
      <family val="2"/>
    </font>
    <font>
      <sz val="9"/>
      <color theme="1"/>
      <name val="Arial"/>
      <family val="2"/>
    </font>
    <font>
      <sz val="9"/>
      <name val="Arial"/>
      <family val="2"/>
    </font>
    <font>
      <b/>
      <sz val="10"/>
      <color theme="0"/>
      <name val="Arial"/>
      <family val="2"/>
    </font>
    <font>
      <b/>
      <i/>
      <u/>
      <sz val="9"/>
      <color theme="9"/>
      <name val="Arial"/>
      <family val="2"/>
    </font>
    <font>
      <b/>
      <sz val="22"/>
      <color theme="4"/>
      <name val="Calibri Light"/>
      <family val="2"/>
      <scheme val="major"/>
    </font>
    <font>
      <b/>
      <sz val="14"/>
      <name val="Calibri"/>
      <family val="2"/>
      <scheme val="minor"/>
    </font>
    <font>
      <sz val="9"/>
      <name val="Calibri"/>
      <family val="2"/>
      <scheme val="minor"/>
    </font>
    <font>
      <i/>
      <sz val="9"/>
      <name val="Calibri"/>
      <family val="2"/>
      <scheme val="minor"/>
    </font>
    <font>
      <b/>
      <sz val="9"/>
      <color theme="0"/>
      <name val="Calibri"/>
      <family val="2"/>
      <scheme val="minor"/>
    </font>
    <font>
      <sz val="9"/>
      <color rgb="FFE85F31"/>
      <name val="Calibri"/>
      <family val="2"/>
      <scheme val="minor"/>
    </font>
    <font>
      <b/>
      <i/>
      <sz val="9"/>
      <color theme="1"/>
      <name val="Arial"/>
      <family val="2"/>
    </font>
    <font>
      <sz val="9"/>
      <color rgb="FF9C0006"/>
      <name val="Calibri"/>
      <family val="2"/>
      <scheme val="minor"/>
    </font>
    <font>
      <sz val="9"/>
      <color rgb="FF006100"/>
      <name val="Calibri"/>
      <family val="2"/>
      <scheme val="minor"/>
    </font>
    <font>
      <sz val="9"/>
      <color rgb="FF9C5700"/>
      <name val="Calibri"/>
      <family val="2"/>
      <scheme val="minor"/>
    </font>
    <font>
      <b/>
      <i/>
      <sz val="9"/>
      <color theme="6" tint="-0.24994659260841701"/>
      <name val="Calibri"/>
      <family val="2"/>
      <scheme val="minor"/>
    </font>
    <font>
      <b/>
      <sz val="9"/>
      <color theme="1"/>
      <name val="Calibri"/>
      <family val="2"/>
      <scheme val="minor"/>
    </font>
    <font>
      <b/>
      <sz val="13"/>
      <color theme="4"/>
      <name val="Calibri"/>
      <family val="2"/>
      <scheme val="minor"/>
    </font>
    <font>
      <b/>
      <sz val="11"/>
      <color theme="4"/>
      <name val="Calibri"/>
      <family val="2"/>
      <scheme val="minor"/>
    </font>
    <font>
      <b/>
      <i/>
      <sz val="10"/>
      <color theme="4"/>
      <name val="Calibri"/>
      <family val="2"/>
      <scheme val="minor"/>
    </font>
    <font>
      <i/>
      <sz val="9"/>
      <color theme="1" tint="0.499984740745262"/>
      <name val="Calibri"/>
      <family val="2"/>
      <scheme val="minor"/>
    </font>
    <font>
      <sz val="10"/>
      <color theme="0"/>
      <name val="Arial"/>
      <family val="2"/>
    </font>
    <font>
      <b/>
      <sz val="15"/>
      <color theme="3"/>
      <name val="Calibri"/>
      <family val="2"/>
      <scheme val="minor"/>
    </font>
    <font>
      <b/>
      <sz val="11"/>
      <color indexed="9"/>
      <name val="Calibri"/>
      <family val="2"/>
      <scheme val="minor"/>
    </font>
    <font>
      <sz val="11"/>
      <color rgb="FF000000"/>
      <name val="Calibri"/>
      <family val="2"/>
      <scheme val="minor"/>
    </font>
    <font>
      <sz val="11"/>
      <color rgb="FF000000"/>
      <name val="Calibri"/>
      <family val="2"/>
    </font>
    <font>
      <u/>
      <sz val="11"/>
      <color theme="1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8"/>
      <name val="Calibri"/>
      <family val="2"/>
      <scheme val="minor"/>
    </font>
    <font>
      <b/>
      <sz val="13"/>
      <color theme="3"/>
      <name val="Calibri"/>
      <family val="2"/>
      <scheme val="minor"/>
    </font>
    <font>
      <b/>
      <sz val="11"/>
      <color rgb="FF000000"/>
      <name val="Calibri"/>
      <family val="2"/>
    </font>
    <font>
      <sz val="11"/>
      <color theme="1"/>
      <name val="Calibri"/>
      <family val="2"/>
    </font>
    <font>
      <b/>
      <sz val="11"/>
      <color theme="1"/>
      <name val="Calibri"/>
      <family val="2"/>
    </font>
    <font>
      <b/>
      <sz val="11"/>
      <color theme="9" tint="0.39997558519241921"/>
      <name val="Calibri"/>
      <family val="2"/>
      <scheme val="minor"/>
    </font>
    <font>
      <b/>
      <sz val="11"/>
      <color rgb="FFE2EFDA"/>
      <name val="Calibri"/>
      <family val="2"/>
      <scheme val="minor"/>
    </font>
    <font>
      <b/>
      <sz val="11"/>
      <color rgb="FFFFD193"/>
      <name val="Calibri"/>
      <family val="2"/>
      <scheme val="minor"/>
    </font>
    <font>
      <b/>
      <sz val="11"/>
      <color theme="3" tint="0.59999389629810485"/>
      <name val="Calibri"/>
      <family val="2"/>
      <scheme val="minor"/>
    </font>
  </fonts>
  <fills count="40">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005070"/>
        <bgColor indexed="64"/>
      </patternFill>
    </fill>
    <fill>
      <patternFill patternType="solid">
        <fgColor indexed="43"/>
        <bgColor indexed="64"/>
      </patternFill>
    </fill>
    <fill>
      <patternFill patternType="solid">
        <fgColor rgb="FF99CCFF"/>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034E6E"/>
        <bgColor rgb="FF000000"/>
      </patternFill>
    </fill>
    <fill>
      <patternFill patternType="solid">
        <fgColor rgb="FFF2F2F2"/>
        <bgColor rgb="FF000000"/>
      </patternFill>
    </fill>
    <fill>
      <patternFill patternType="solid">
        <fgColor rgb="FFCCFFCC"/>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3"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39994506668294322"/>
        <bgColor indexed="64"/>
      </patternFill>
    </fill>
    <fill>
      <patternFill patternType="solid">
        <fgColor theme="8" tint="0.59999389629810485"/>
        <bgColor indexed="64"/>
      </patternFill>
    </fill>
    <fill>
      <patternFill patternType="solid">
        <fgColor theme="0" tint="-0.24994659260841701"/>
        <bgColor indexed="64"/>
      </patternFill>
    </fill>
    <fill>
      <patternFill patternType="solid">
        <fgColor rgb="FFFCE4D6"/>
        <bgColor indexed="64"/>
      </patternFill>
    </fill>
    <fill>
      <patternFill patternType="solid">
        <fgColor rgb="FFFFF2CC"/>
        <bgColor indexed="64"/>
      </patternFill>
    </fill>
    <fill>
      <patternFill patternType="solid">
        <fgColor rgb="FFE2EFDA"/>
        <bgColor indexed="64"/>
      </patternFill>
    </fill>
    <fill>
      <patternFill patternType="solid">
        <fgColor rgb="FFFF944B"/>
        <bgColor indexed="64"/>
      </patternFill>
    </fill>
    <fill>
      <patternFill patternType="solid">
        <fgColor theme="3" tint="-0.249977111117893"/>
        <bgColor indexed="64"/>
      </patternFill>
    </fill>
    <fill>
      <patternFill patternType="solid">
        <fgColor rgb="FFFFFF00"/>
        <bgColor indexed="64"/>
      </patternFill>
    </fill>
    <fill>
      <patternFill patternType="solid">
        <fgColor rgb="FFFFFFCC"/>
      </patternFill>
    </fill>
    <fill>
      <patternFill patternType="solid">
        <fgColor theme="4"/>
        <bgColor theme="4"/>
      </patternFill>
    </fill>
    <fill>
      <patternFill patternType="solid">
        <fgColor rgb="FFFFFF99"/>
        <bgColor indexed="64"/>
      </patternFill>
    </fill>
    <fill>
      <patternFill patternType="solid">
        <fgColor rgb="FFB0FFD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s>
  <borders count="10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theme="4"/>
      </left>
      <right style="thin">
        <color theme="4"/>
      </right>
      <top style="thin">
        <color theme="4"/>
      </top>
      <bottom style="thin">
        <color theme="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style="thin">
        <color indexed="64"/>
      </left>
      <right/>
      <top/>
      <bottom/>
      <diagonal/>
    </border>
    <border>
      <left/>
      <right style="thin">
        <color indexed="64"/>
      </right>
      <top/>
      <bottom/>
      <diagonal/>
    </border>
    <border>
      <left/>
      <right/>
      <top/>
      <bottom style="thick">
        <color theme="4" tint="0.49998474074526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bottom style="thin">
        <color theme="0" tint="-0.14996795556505021"/>
      </bottom>
      <diagonal/>
    </border>
    <border>
      <left/>
      <right/>
      <top style="thin">
        <color theme="0" tint="-0.14996795556505021"/>
      </top>
      <bottom/>
      <diagonal/>
    </border>
    <border>
      <left style="thin">
        <color indexed="64"/>
      </left>
      <right/>
      <top style="thin">
        <color indexed="64"/>
      </top>
      <bottom style="double">
        <color indexed="64"/>
      </bottom>
      <diagonal/>
    </border>
    <border>
      <left/>
      <right style="thin">
        <color theme="0" tint="-0.14990691854609822"/>
      </right>
      <top style="thin">
        <color theme="0" tint="-0.14990691854609822"/>
      </top>
      <bottom/>
      <diagonal/>
    </border>
    <border>
      <left/>
      <right style="thin">
        <color theme="0" tint="-0.14990691854609822"/>
      </right>
      <top/>
      <bottom/>
      <diagonal/>
    </border>
    <border>
      <left/>
      <right style="thin">
        <color theme="0" tint="-0.14990691854609822"/>
      </right>
      <top/>
      <bottom style="thin">
        <color theme="0" tint="-0.14990691854609822"/>
      </bottom>
      <diagonal/>
    </border>
    <border>
      <left style="thin">
        <color theme="0" tint="-0.14990691854609822"/>
      </left>
      <right/>
      <top style="thin">
        <color theme="0" tint="-0.14990691854609822"/>
      </top>
      <bottom/>
      <diagonal/>
    </border>
    <border>
      <left style="thin">
        <color theme="0" tint="-0.14990691854609822"/>
      </left>
      <right/>
      <top/>
      <bottom/>
      <diagonal/>
    </border>
    <border>
      <left style="thin">
        <color theme="0" tint="-0.14990691854609822"/>
      </left>
      <right/>
      <top/>
      <bottom style="thin">
        <color theme="0" tint="-0.14990691854609822"/>
      </bottom>
      <diagonal/>
    </border>
    <border>
      <left style="thin">
        <color theme="0" tint="-0.1498764000366222"/>
      </left>
      <right style="thin">
        <color theme="0" tint="-0.1498764000366222"/>
      </right>
      <top style="thin">
        <color theme="0" tint="-0.1498764000366222"/>
      </top>
      <bottom/>
      <diagonal/>
    </border>
    <border>
      <left/>
      <right/>
      <top style="thin">
        <color theme="0" tint="-0.14990691854609822"/>
      </top>
      <bottom/>
      <diagonal/>
    </border>
    <border>
      <left/>
      <right/>
      <top/>
      <bottom style="thin">
        <color theme="0" tint="-0.1499069185460982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medium">
        <color indexed="64"/>
      </left>
      <right style="medium">
        <color indexed="64"/>
      </right>
      <top style="thin">
        <color indexed="64"/>
      </top>
      <bottom style="medium">
        <color indexed="64"/>
      </bottom>
      <diagonal/>
    </border>
    <border>
      <left style="thin">
        <color rgb="FFB2B2B2"/>
      </left>
      <right/>
      <top/>
      <bottom/>
      <diagonal/>
    </border>
    <border>
      <left/>
      <right style="thin">
        <color rgb="FFB2B2B2"/>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top style="thin">
        <color theme="5"/>
      </top>
      <bottom style="thin">
        <color theme="5"/>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right/>
      <top/>
      <bottom style="thin">
        <color theme="0"/>
      </bottom>
      <diagonal/>
    </border>
    <border>
      <left/>
      <right/>
      <top style="thin">
        <color theme="0" tint="-0.14993743705557422"/>
      </top>
      <bottom/>
      <diagonal/>
    </border>
    <border>
      <left/>
      <right/>
      <top/>
      <bottom style="thin">
        <color theme="5"/>
      </bottom>
      <diagonal/>
    </border>
    <border>
      <left/>
      <right/>
      <top style="thin">
        <color theme="5"/>
      </top>
      <bottom style="thin">
        <color rgb="FFFF0000"/>
      </bottom>
      <diagonal/>
    </border>
    <border>
      <left style="thin">
        <color indexed="64"/>
      </left>
      <right/>
      <top/>
      <bottom style="thin">
        <color theme="0"/>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left>
      <right/>
      <top style="thin">
        <color theme="0"/>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bottom style="thin">
        <color theme="0"/>
      </bottom>
      <diagonal/>
    </border>
    <border>
      <left style="thin">
        <color rgb="FFB2B2B2"/>
      </left>
      <right style="thin">
        <color indexed="64"/>
      </right>
      <top style="thin">
        <color rgb="FFB2B2B2"/>
      </top>
      <bottom/>
      <diagonal/>
    </border>
    <border>
      <left style="thin">
        <color theme="0"/>
      </left>
      <right style="thin">
        <color indexed="64"/>
      </right>
      <top style="thin">
        <color theme="0"/>
      </top>
      <bottom style="thin">
        <color theme="0"/>
      </bottom>
      <diagonal/>
    </border>
    <border>
      <left style="thin">
        <color indexed="64"/>
      </left>
      <right/>
      <top/>
      <bottom style="thin">
        <color theme="5"/>
      </bottom>
      <diagonal/>
    </border>
    <border>
      <left/>
      <right style="thin">
        <color indexed="64"/>
      </right>
      <top/>
      <bottom style="thin">
        <color theme="5"/>
      </bottom>
      <diagonal/>
    </border>
    <border>
      <left style="thin">
        <color indexed="64"/>
      </left>
      <right/>
      <top style="thin">
        <color theme="5"/>
      </top>
      <bottom style="thin">
        <color theme="5"/>
      </bottom>
      <diagonal/>
    </border>
    <border>
      <left/>
      <right style="thin">
        <color indexed="64"/>
      </right>
      <top style="thin">
        <color theme="5"/>
      </top>
      <bottom style="thin">
        <color theme="5"/>
      </bottom>
      <diagonal/>
    </border>
    <border>
      <left style="thin">
        <color indexed="64"/>
      </left>
      <right/>
      <top style="thin">
        <color theme="5"/>
      </top>
      <bottom style="thin">
        <color rgb="FFFF0000"/>
      </bottom>
      <diagonal/>
    </border>
    <border>
      <left/>
      <right style="thin">
        <color indexed="64"/>
      </right>
      <top style="thin">
        <color theme="5"/>
      </top>
      <bottom style="thin">
        <color rgb="FFFF0000"/>
      </bottom>
      <diagonal/>
    </border>
    <border>
      <left style="thin">
        <color indexed="64"/>
      </left>
      <right/>
      <top style="thin">
        <color theme="0" tint="-0.14996795556505021"/>
      </top>
      <bottom/>
      <diagonal/>
    </border>
    <border>
      <left/>
      <right style="thin">
        <color indexed="64"/>
      </right>
      <top style="thin">
        <color theme="0" tint="-0.14996795556505021"/>
      </top>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right style="thin">
        <color rgb="FFB2B2B2"/>
      </right>
      <top style="thin">
        <color rgb="FFB2B2B2"/>
      </top>
      <bottom style="thin">
        <color rgb="FFB2B2B2"/>
      </bottom>
      <diagonal/>
    </border>
    <border>
      <left/>
      <right style="thin">
        <color theme="0"/>
      </right>
      <top/>
      <bottom style="thin">
        <color theme="0"/>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8764000366222"/>
      </left>
      <right/>
      <top/>
      <bottom/>
      <diagonal/>
    </border>
    <border>
      <left style="thin">
        <color theme="0" tint="-0.1498764000366222"/>
      </left>
      <right/>
      <top/>
      <bottom style="thin">
        <color theme="0" tint="-0.1498764000366222"/>
      </bottom>
      <diagonal/>
    </border>
    <border>
      <left style="thin">
        <color theme="0" tint="-0.499984740745262"/>
      </left>
      <right/>
      <top style="thin">
        <color indexed="64"/>
      </top>
      <bottom/>
      <diagonal/>
    </border>
  </borders>
  <cellStyleXfs count="51">
    <xf numFmtId="0" fontId="0" fillId="0" borderId="0"/>
    <xf numFmtId="43" fontId="1" fillId="0" borderId="0" applyFont="0" applyFill="0" applyBorder="0" applyAlignment="0" applyProtection="0"/>
    <xf numFmtId="9" fontId="1" fillId="0" borderId="0" applyFont="0" applyFill="0" applyBorder="0" applyAlignment="0" applyProtection="0"/>
    <xf numFmtId="164" fontId="3" fillId="0" borderId="0">
      <alignment horizontal="left" wrapText="1"/>
    </xf>
    <xf numFmtId="0" fontId="1" fillId="0" borderId="0"/>
    <xf numFmtId="9" fontId="3" fillId="0" borderId="0" applyFont="0" applyFill="0" applyBorder="0" applyAlignment="0" applyProtection="0"/>
    <xf numFmtId="0" fontId="2" fillId="2" borderId="12" applyNumberFormat="0" applyBorder="0">
      <alignment horizontal="center" vertical="center" wrapText="1"/>
    </xf>
    <xf numFmtId="0" fontId="6" fillId="4" borderId="13" applyNumberFormat="0">
      <alignment horizontal="left" vertical="center"/>
    </xf>
    <xf numFmtId="10" fontId="7" fillId="0" borderId="0" applyFont="0" applyFill="0" applyBorder="0" applyAlignment="0" applyProtection="0"/>
    <xf numFmtId="0" fontId="8" fillId="0" borderId="14"/>
    <xf numFmtId="43" fontId="7" fillId="0" borderId="0" applyFont="0" applyFill="0" applyBorder="0" applyAlignment="0" applyProtection="0"/>
    <xf numFmtId="0" fontId="7" fillId="0" borderId="0"/>
    <xf numFmtId="9" fontId="7" fillId="0" borderId="0" applyFont="0" applyFill="0" applyBorder="0" applyAlignment="0" applyProtection="0"/>
    <xf numFmtId="0" fontId="3" fillId="0" borderId="0"/>
    <xf numFmtId="43" fontId="3" fillId="0" borderId="0" applyFont="0" applyFill="0" applyBorder="0" applyAlignment="0" applyProtection="0"/>
    <xf numFmtId="0" fontId="37" fillId="0" borderId="0" applyNumberFormat="0" applyFill="0" applyBorder="0" applyAlignment="0" applyProtection="0"/>
    <xf numFmtId="0" fontId="41" fillId="0" borderId="0">
      <alignment vertical="center"/>
    </xf>
    <xf numFmtId="0" fontId="43" fillId="2" borderId="34" applyNumberFormat="0">
      <alignment vertical="center"/>
    </xf>
    <xf numFmtId="0" fontId="41" fillId="20" borderId="13" applyNumberFormat="0">
      <alignment vertical="center"/>
    </xf>
    <xf numFmtId="0" fontId="42" fillId="0" borderId="13" applyNumberFormat="0">
      <alignment vertical="center"/>
    </xf>
    <xf numFmtId="0" fontId="41" fillId="22" borderId="13" applyAlignment="0">
      <alignment horizontal="left"/>
    </xf>
    <xf numFmtId="9" fontId="7" fillId="0" borderId="0" applyFont="0" applyFill="0" applyBorder="0" applyAlignment="0" applyProtection="0">
      <protection locked="0"/>
    </xf>
    <xf numFmtId="43" fontId="7" fillId="0" borderId="0" applyFont="0" applyFill="0" applyBorder="0" applyAlignment="0" applyProtection="0">
      <protection locked="0"/>
    </xf>
    <xf numFmtId="0" fontId="44" fillId="23" borderId="13" applyNumberFormat="0" applyProtection="0">
      <alignment vertical="center"/>
    </xf>
    <xf numFmtId="44" fontId="41" fillId="0" borderId="0" applyFont="0" applyFill="0" applyBorder="0" applyAlignment="0" applyProtection="0">
      <protection locked="0"/>
    </xf>
    <xf numFmtId="0" fontId="45" fillId="0" borderId="31" applyNumberFormat="0" applyAlignment="0"/>
    <xf numFmtId="0" fontId="46" fillId="0" borderId="14" applyNumberFormat="0" applyAlignment="0"/>
    <xf numFmtId="0" fontId="57" fillId="0" borderId="31" applyNumberFormat="0" applyAlignment="0">
      <alignment vertical="center"/>
    </xf>
    <xf numFmtId="0" fontId="58" fillId="0" borderId="33" applyNumberFormat="0" applyAlignment="0"/>
    <xf numFmtId="0" fontId="59" fillId="0" borderId="32" applyNumberFormat="0" applyAlignment="0"/>
    <xf numFmtId="0" fontId="53" fillId="16" borderId="0" applyNumberFormat="0" applyBorder="0" applyProtection="0">
      <alignment vertical="center"/>
    </xf>
    <xf numFmtId="0" fontId="52" fillId="17" borderId="0" applyNumberFormat="0" applyBorder="0" applyProtection="0">
      <alignment vertical="center"/>
    </xf>
    <xf numFmtId="0" fontId="54" fillId="18" borderId="0" applyNumberFormat="0" applyBorder="0" applyProtection="0">
      <alignment vertical="center"/>
    </xf>
    <xf numFmtId="0" fontId="47" fillId="21" borderId="13" applyNumberFormat="0">
      <alignment vertical="center"/>
    </xf>
    <xf numFmtId="0" fontId="48" fillId="4" borderId="13" applyNumberFormat="0">
      <alignment vertical="center"/>
    </xf>
    <xf numFmtId="0" fontId="48" fillId="3" borderId="13" applyNumberFormat="0">
      <alignment vertical="center"/>
    </xf>
    <xf numFmtId="0" fontId="50" fillId="0" borderId="28" applyNumberFormat="0">
      <alignment vertical="center"/>
    </xf>
    <xf numFmtId="0" fontId="49" fillId="19" borderId="29" applyNumberFormat="0">
      <alignment vertical="center"/>
    </xf>
    <xf numFmtId="0" fontId="55" fillId="0" borderId="0" applyNumberFormat="0" applyFill="0" applyBorder="0">
      <alignment vertical="center"/>
    </xf>
    <xf numFmtId="0" fontId="51" fillId="24" borderId="13" applyNumberFormat="0">
      <alignment vertical="center"/>
    </xf>
    <xf numFmtId="0" fontId="60" fillId="0" borderId="0" applyNumberFormat="0" applyFill="0" applyBorder="0" applyAlignment="0"/>
    <xf numFmtId="0" fontId="56" fillId="0" borderId="30" applyNumberFormat="0">
      <alignment vertical="center"/>
    </xf>
    <xf numFmtId="22" fontId="41" fillId="0" borderId="0" applyFont="0" applyFill="0" applyBorder="0" applyProtection="0">
      <alignment vertical="center"/>
      <protection locked="0"/>
    </xf>
    <xf numFmtId="172" fontId="41" fillId="0" borderId="0" applyFont="0" applyFill="0" applyBorder="0" applyProtection="0">
      <alignment vertical="center"/>
      <protection locked="0"/>
    </xf>
    <xf numFmtId="0" fontId="48" fillId="26" borderId="13" applyNumberFormat="0">
      <alignment vertical="center"/>
    </xf>
    <xf numFmtId="0" fontId="47" fillId="25" borderId="13" applyNumberFormat="0">
      <alignment vertical="center"/>
    </xf>
    <xf numFmtId="44" fontId="1" fillId="0" borderId="0" applyFont="0" applyFill="0" applyBorder="0" applyAlignment="0" applyProtection="0"/>
    <xf numFmtId="0" fontId="62" fillId="0" borderId="39" applyNumberFormat="0" applyFill="0" applyAlignment="0" applyProtection="0"/>
    <xf numFmtId="0" fontId="66" fillId="0" borderId="0" applyNumberFormat="0" applyFill="0" applyBorder="0" applyAlignment="0" applyProtection="0"/>
    <xf numFmtId="0" fontId="71" fillId="0" borderId="42" applyNumberFormat="0" applyFill="0" applyAlignment="0" applyProtection="0"/>
    <xf numFmtId="0" fontId="1" fillId="33" borderId="47" applyNumberFormat="0" applyFont="0" applyAlignment="0" applyProtection="0"/>
  </cellStyleXfs>
  <cellXfs count="586">
    <xf numFmtId="0" fontId="0" fillId="0" borderId="0" xfId="0"/>
    <xf numFmtId="0" fontId="0" fillId="9" borderId="0" xfId="0" applyFill="1"/>
    <xf numFmtId="0" fontId="0" fillId="9" borderId="0" xfId="0" applyFill="1" applyAlignment="1">
      <alignment horizontal="center" vertical="center" wrapText="1"/>
    </xf>
    <xf numFmtId="0" fontId="2" fillId="2" borderId="9" xfId="0" applyFont="1" applyFill="1" applyBorder="1" applyAlignment="1">
      <alignment horizontal="center" vertical="center" wrapText="1"/>
    </xf>
    <xf numFmtId="0" fontId="0" fillId="0" borderId="9" xfId="0" applyBorder="1" applyAlignment="1">
      <alignment wrapText="1"/>
    </xf>
    <xf numFmtId="0" fontId="0" fillId="0" borderId="9" xfId="0" applyBorder="1"/>
    <xf numFmtId="37" fontId="0" fillId="0" borderId="9" xfId="0" applyNumberFormat="1" applyBorder="1"/>
    <xf numFmtId="165" fontId="0" fillId="0" borderId="9" xfId="0" applyNumberFormat="1" applyBorder="1"/>
    <xf numFmtId="9" fontId="5" fillId="3" borderId="9" xfId="2" applyFont="1" applyFill="1" applyBorder="1" applyAlignment="1">
      <alignment horizontal="center"/>
    </xf>
    <xf numFmtId="167" fontId="0" fillId="0" borderId="9" xfId="1" applyNumberFormat="1" applyFont="1" applyBorder="1"/>
    <xf numFmtId="165" fontId="0" fillId="0" borderId="9" xfId="0" applyNumberFormat="1" applyBorder="1" applyAlignment="1">
      <alignment wrapText="1"/>
    </xf>
    <xf numFmtId="168" fontId="0" fillId="0" borderId="9" xfId="0" applyNumberFormat="1" applyBorder="1"/>
    <xf numFmtId="169" fontId="0" fillId="0" borderId="9" xfId="0" applyNumberFormat="1" applyBorder="1"/>
    <xf numFmtId="39" fontId="0" fillId="0" borderId="9" xfId="0" applyNumberFormat="1" applyBorder="1"/>
    <xf numFmtId="0" fontId="15" fillId="0" borderId="0" xfId="13" applyFont="1" applyAlignment="1">
      <alignment wrapText="1"/>
    </xf>
    <xf numFmtId="0" fontId="15" fillId="10" borderId="9" xfId="13" applyFont="1" applyFill="1" applyBorder="1"/>
    <xf numFmtId="0" fontId="3" fillId="0" borderId="9" xfId="13" applyBorder="1"/>
    <xf numFmtId="1" fontId="17" fillId="0" borderId="9" xfId="13" applyNumberFormat="1" applyFont="1" applyBorder="1" applyAlignment="1">
      <alignment horizontal="right"/>
    </xf>
    <xf numFmtId="1" fontId="17" fillId="0" borderId="1" xfId="13" applyNumberFormat="1" applyFont="1" applyBorder="1" applyAlignment="1">
      <alignment horizontal="right"/>
    </xf>
    <xf numFmtId="0" fontId="3" fillId="0" borderId="0" xfId="13"/>
    <xf numFmtId="0" fontId="15" fillId="10" borderId="16" xfId="13" applyFont="1" applyFill="1" applyBorder="1"/>
    <xf numFmtId="0" fontId="3" fillId="0" borderId="11" xfId="13" applyBorder="1"/>
    <xf numFmtId="1" fontId="17" fillId="0" borderId="6" xfId="13" applyNumberFormat="1" applyFont="1" applyBorder="1" applyAlignment="1">
      <alignment horizontal="right"/>
    </xf>
    <xf numFmtId="1" fontId="17" fillId="0" borderId="5" xfId="13" applyNumberFormat="1" applyFont="1" applyBorder="1" applyAlignment="1">
      <alignment horizontal="right"/>
    </xf>
    <xf numFmtId="0" fontId="15" fillId="10" borderId="17" xfId="13" applyFont="1" applyFill="1" applyBorder="1"/>
    <xf numFmtId="0" fontId="3" fillId="0" borderId="2" xfId="13" applyBorder="1"/>
    <xf numFmtId="0" fontId="15" fillId="10" borderId="18" xfId="13" applyFont="1" applyFill="1" applyBorder="1"/>
    <xf numFmtId="0" fontId="3" fillId="0" borderId="10" xfId="13" applyBorder="1"/>
    <xf numFmtId="1" fontId="17" fillId="0" borderId="15" xfId="13" applyNumberFormat="1" applyFont="1" applyBorder="1" applyAlignment="1">
      <alignment horizontal="right"/>
    </xf>
    <xf numFmtId="1" fontId="17" fillId="0" borderId="4" xfId="13" applyNumberFormat="1" applyFont="1" applyBorder="1" applyAlignment="1">
      <alignment horizontal="right"/>
    </xf>
    <xf numFmtId="0" fontId="15" fillId="10" borderId="19" xfId="13" applyFont="1" applyFill="1" applyBorder="1"/>
    <xf numFmtId="0" fontId="3" fillId="9" borderId="2" xfId="13" applyFill="1" applyBorder="1"/>
    <xf numFmtId="0" fontId="3" fillId="9" borderId="9" xfId="13" applyFill="1" applyBorder="1"/>
    <xf numFmtId="1" fontId="17" fillId="0" borderId="9" xfId="14" applyNumberFormat="1" applyFont="1" applyFill="1" applyBorder="1" applyAlignment="1">
      <alignment horizontal="right"/>
    </xf>
    <xf numFmtId="1" fontId="17" fillId="0" borderId="1" xfId="14" applyNumberFormat="1" applyFont="1" applyFill="1" applyBorder="1" applyAlignment="1">
      <alignment horizontal="right"/>
    </xf>
    <xf numFmtId="0" fontId="3" fillId="0" borderId="10" xfId="13" applyBorder="1" applyAlignment="1">
      <alignment wrapText="1"/>
    </xf>
    <xf numFmtId="0" fontId="3" fillId="0" borderId="9" xfId="13" applyBorder="1" applyAlignment="1">
      <alignment wrapText="1"/>
    </xf>
    <xf numFmtId="1" fontId="17" fillId="0" borderId="9" xfId="13" applyNumberFormat="1" applyFont="1" applyBorder="1" applyAlignment="1">
      <alignment horizontal="right" wrapText="1"/>
    </xf>
    <xf numFmtId="0" fontId="17" fillId="0" borderId="9" xfId="13" applyFont="1" applyBorder="1" applyAlignment="1">
      <alignment wrapText="1"/>
    </xf>
    <xf numFmtId="1" fontId="17" fillId="0" borderId="9" xfId="13" applyNumberFormat="1" applyFont="1" applyBorder="1"/>
    <xf numFmtId="1" fontId="17" fillId="0" borderId="1" xfId="13" applyNumberFormat="1" applyFont="1" applyBorder="1"/>
    <xf numFmtId="0" fontId="23" fillId="10" borderId="9" xfId="13" applyFont="1" applyFill="1" applyBorder="1"/>
    <xf numFmtId="1" fontId="17" fillId="0" borderId="1" xfId="13" applyNumberFormat="1" applyFont="1" applyBorder="1" applyAlignment="1">
      <alignment horizontal="right" wrapText="1"/>
    </xf>
    <xf numFmtId="1" fontId="23" fillId="0" borderId="9" xfId="13" applyNumberFormat="1" applyFont="1" applyBorder="1" applyAlignment="1">
      <alignment horizontal="right"/>
    </xf>
    <xf numFmtId="1" fontId="23" fillId="0" borderId="1" xfId="13" applyNumberFormat="1" applyFont="1" applyBorder="1" applyAlignment="1">
      <alignment horizontal="right"/>
    </xf>
    <xf numFmtId="1" fontId="17" fillId="0" borderId="0" xfId="13" applyNumberFormat="1" applyFont="1" applyAlignment="1">
      <alignment horizontal="right"/>
    </xf>
    <xf numFmtId="0" fontId="3" fillId="9" borderId="9" xfId="13" applyFill="1" applyBorder="1" applyAlignment="1">
      <alignment wrapText="1"/>
    </xf>
    <xf numFmtId="1" fontId="17" fillId="0" borderId="0" xfId="13" applyNumberFormat="1" applyFont="1"/>
    <xf numFmtId="0" fontId="25" fillId="0" borderId="0" xfId="13" applyFont="1" applyAlignment="1">
      <alignment vertical="center"/>
    </xf>
    <xf numFmtId="0" fontId="28" fillId="11" borderId="4" xfId="0" applyFont="1" applyFill="1" applyBorder="1" applyAlignment="1">
      <alignment horizontal="center"/>
    </xf>
    <xf numFmtId="0" fontId="28" fillId="11" borderId="8" xfId="0" applyFont="1" applyFill="1" applyBorder="1" applyAlignment="1">
      <alignment horizontal="center"/>
    </xf>
    <xf numFmtId="0" fontId="28" fillId="11" borderId="10" xfId="0" applyFont="1" applyFill="1" applyBorder="1" applyAlignment="1">
      <alignment horizontal="center"/>
    </xf>
    <xf numFmtId="0" fontId="0" fillId="9" borderId="0" xfId="0" applyFill="1" applyAlignment="1">
      <alignment horizontal="right" vertical="center"/>
    </xf>
    <xf numFmtId="10" fontId="10" fillId="12" borderId="6" xfId="2" applyNumberFormat="1" applyFont="1" applyFill="1" applyBorder="1" applyAlignment="1">
      <alignment horizontal="center" vertical="center"/>
    </xf>
    <xf numFmtId="0" fontId="9" fillId="5" borderId="9" xfId="0" applyFont="1" applyFill="1" applyBorder="1" applyAlignment="1">
      <alignment horizontal="left" vertical="center"/>
    </xf>
    <xf numFmtId="0" fontId="12" fillId="9" borderId="0" xfId="0" applyFont="1" applyFill="1" applyAlignment="1">
      <alignment vertical="center"/>
    </xf>
    <xf numFmtId="0" fontId="28" fillId="11" borderId="15" xfId="0" applyFont="1" applyFill="1" applyBorder="1" applyAlignment="1">
      <alignment horizontal="center" wrapText="1"/>
    </xf>
    <xf numFmtId="1" fontId="0" fillId="9" borderId="0" xfId="2" applyNumberFormat="1" applyFont="1" applyFill="1" applyBorder="1"/>
    <xf numFmtId="165" fontId="0" fillId="9" borderId="0" xfId="2" applyNumberFormat="1" applyFont="1" applyFill="1" applyBorder="1"/>
    <xf numFmtId="170" fontId="0" fillId="9" borderId="0" xfId="0" applyNumberFormat="1" applyFill="1"/>
    <xf numFmtId="44" fontId="0" fillId="9" borderId="0" xfId="0" applyNumberFormat="1" applyFill="1"/>
    <xf numFmtId="0" fontId="32" fillId="9" borderId="0" xfId="0" applyFont="1" applyFill="1"/>
    <xf numFmtId="0" fontId="11" fillId="9" borderId="0" xfId="0" applyFont="1" applyFill="1"/>
    <xf numFmtId="0" fontId="12" fillId="9" borderId="0" xfId="0" applyFont="1" applyFill="1"/>
    <xf numFmtId="0" fontId="34" fillId="9" borderId="0" xfId="0" applyFont="1" applyFill="1"/>
    <xf numFmtId="0" fontId="4" fillId="14" borderId="9" xfId="0" applyFont="1" applyFill="1" applyBorder="1" applyAlignment="1">
      <alignment horizontal="center"/>
    </xf>
    <xf numFmtId="0" fontId="31" fillId="9" borderId="0" xfId="0" applyFont="1" applyFill="1"/>
    <xf numFmtId="0" fontId="11" fillId="9" borderId="0" xfId="0" applyFont="1" applyFill="1" applyAlignment="1">
      <alignment vertical="center"/>
    </xf>
    <xf numFmtId="0" fontId="12" fillId="9" borderId="20" xfId="0" applyFont="1" applyFill="1" applyBorder="1" applyAlignment="1">
      <alignment vertical="center"/>
    </xf>
    <xf numFmtId="0" fontId="12" fillId="9" borderId="21" xfId="0" applyFont="1" applyFill="1" applyBorder="1" applyAlignment="1">
      <alignment vertical="center"/>
    </xf>
    <xf numFmtId="0" fontId="0" fillId="9" borderId="21" xfId="0" applyFill="1" applyBorder="1"/>
    <xf numFmtId="0" fontId="0" fillId="9" borderId="22" xfId="0" applyFill="1" applyBorder="1"/>
    <xf numFmtId="0" fontId="29" fillId="5" borderId="23" xfId="0" applyFont="1" applyFill="1" applyBorder="1" applyAlignment="1">
      <alignment horizontal="centerContinuous" vertical="center" wrapText="1"/>
    </xf>
    <xf numFmtId="0" fontId="29" fillId="5" borderId="24" xfId="0" applyFont="1" applyFill="1" applyBorder="1" applyAlignment="1">
      <alignment horizontal="centerContinuous" vertical="center" wrapText="1"/>
    </xf>
    <xf numFmtId="0" fontId="0" fillId="9" borderId="23" xfId="0" applyFill="1" applyBorder="1"/>
    <xf numFmtId="0" fontId="0" fillId="9" borderId="24" xfId="0" applyFill="1" applyBorder="1"/>
    <xf numFmtId="0" fontId="12" fillId="9" borderId="24" xfId="0" applyFont="1" applyFill="1" applyBorder="1"/>
    <xf numFmtId="0" fontId="0" fillId="9" borderId="25" xfId="0" applyFill="1" applyBorder="1"/>
    <xf numFmtId="0" fontId="0" fillId="9" borderId="14" xfId="0" applyFill="1" applyBorder="1"/>
    <xf numFmtId="0" fontId="0" fillId="9" borderId="26" xfId="0" applyFill="1" applyBorder="1"/>
    <xf numFmtId="0" fontId="4" fillId="3" borderId="0" xfId="0" applyFont="1" applyFill="1"/>
    <xf numFmtId="1" fontId="4" fillId="7" borderId="0" xfId="0" applyNumberFormat="1" applyFont="1" applyFill="1"/>
    <xf numFmtId="9" fontId="4" fillId="7" borderId="0" xfId="2" applyFont="1" applyFill="1" applyBorder="1"/>
    <xf numFmtId="0" fontId="4" fillId="7" borderId="0" xfId="0" applyFont="1" applyFill="1"/>
    <xf numFmtId="0" fontId="0" fillId="9" borderId="0" xfId="0" applyFill="1" applyAlignment="1">
      <alignment horizontal="right"/>
    </xf>
    <xf numFmtId="0" fontId="0" fillId="9" borderId="0" xfId="0" applyFill="1" applyAlignment="1">
      <alignment horizontal="left" indent="1"/>
    </xf>
    <xf numFmtId="0" fontId="0" fillId="9" borderId="0" xfId="0" applyFill="1" applyAlignment="1">
      <alignment horizontal="left" wrapText="1" indent="1"/>
    </xf>
    <xf numFmtId="0" fontId="35" fillId="9" borderId="0" xfId="0" applyFont="1" applyFill="1"/>
    <xf numFmtId="0" fontId="33" fillId="3" borderId="9" xfId="0" applyFont="1" applyFill="1" applyBorder="1" applyAlignment="1">
      <alignment horizontal="center"/>
    </xf>
    <xf numFmtId="0" fontId="2" fillId="2" borderId="0" xfId="6" applyBorder="1">
      <alignment horizontal="center" vertical="center" wrapText="1"/>
    </xf>
    <xf numFmtId="0" fontId="0" fillId="9" borderId="15" xfId="0" applyFill="1" applyBorder="1"/>
    <xf numFmtId="0" fontId="0" fillId="9" borderId="3" xfId="0" applyFill="1" applyBorder="1"/>
    <xf numFmtId="0" fontId="35" fillId="2" borderId="0" xfId="6" applyFont="1" applyBorder="1">
      <alignment horizontal="center" vertical="center" wrapText="1"/>
    </xf>
    <xf numFmtId="0" fontId="5" fillId="9" borderId="7" xfId="0" applyFont="1" applyFill="1" applyBorder="1" applyAlignment="1">
      <alignment vertical="center" wrapText="1"/>
    </xf>
    <xf numFmtId="0" fontId="5" fillId="9" borderId="7" xfId="0" applyFont="1" applyFill="1" applyBorder="1" applyAlignment="1">
      <alignment vertical="center"/>
    </xf>
    <xf numFmtId="0" fontId="30" fillId="9" borderId="23" xfId="0" applyFont="1" applyFill="1" applyBorder="1"/>
    <xf numFmtId="0" fontId="5" fillId="9" borderId="0" xfId="0" applyFont="1" applyFill="1" applyAlignment="1">
      <alignment horizontal="left" vertical="center"/>
    </xf>
    <xf numFmtId="1" fontId="2" fillId="2" borderId="0" xfId="6" applyNumberFormat="1" applyBorder="1">
      <alignment horizontal="center" vertical="center" wrapText="1"/>
    </xf>
    <xf numFmtId="9" fontId="4" fillId="3" borderId="0" xfId="2" applyFont="1" applyFill="1" applyBorder="1"/>
    <xf numFmtId="0" fontId="5" fillId="9" borderId="9" xfId="0" applyFont="1" applyFill="1" applyBorder="1" applyAlignment="1">
      <alignment vertical="center" wrapText="1"/>
    </xf>
    <xf numFmtId="0" fontId="33" fillId="3" borderId="2" xfId="0" applyFont="1" applyFill="1" applyBorder="1" applyAlignment="1">
      <alignment horizontal="center"/>
    </xf>
    <xf numFmtId="40" fontId="0" fillId="9" borderId="9" xfId="0" applyNumberFormat="1" applyFill="1" applyBorder="1"/>
    <xf numFmtId="40" fontId="0" fillId="13" borderId="9" xfId="0" applyNumberFormat="1" applyFill="1" applyBorder="1"/>
    <xf numFmtId="0" fontId="0" fillId="9" borderId="23" xfId="0" applyFill="1" applyBorder="1" applyAlignment="1">
      <alignment horizontal="right"/>
    </xf>
    <xf numFmtId="0" fontId="11" fillId="9" borderId="23" xfId="0" applyFont="1" applyFill="1" applyBorder="1" applyAlignment="1">
      <alignment horizontal="right"/>
    </xf>
    <xf numFmtId="0" fontId="30" fillId="9" borderId="23" xfId="0" applyFont="1" applyFill="1" applyBorder="1" applyAlignment="1">
      <alignment horizontal="right"/>
    </xf>
    <xf numFmtId="0" fontId="36" fillId="9" borderId="23" xfId="0" applyFont="1" applyFill="1" applyBorder="1" applyAlignment="1">
      <alignment horizontal="right"/>
    </xf>
    <xf numFmtId="0" fontId="4" fillId="6" borderId="9" xfId="0" applyFont="1" applyFill="1" applyBorder="1" applyAlignment="1">
      <alignment horizontal="center"/>
    </xf>
    <xf numFmtId="0" fontId="4" fillId="3" borderId="9" xfId="0" applyFont="1" applyFill="1" applyBorder="1" applyAlignment="1">
      <alignment horizontal="center"/>
    </xf>
    <xf numFmtId="0" fontId="4" fillId="7" borderId="9" xfId="0" applyFont="1" applyFill="1" applyBorder="1" applyAlignment="1">
      <alignment horizontal="center"/>
    </xf>
    <xf numFmtId="0" fontId="4" fillId="8" borderId="9" xfId="0" applyFont="1" applyFill="1" applyBorder="1" applyAlignment="1">
      <alignment horizontal="center"/>
    </xf>
    <xf numFmtId="0" fontId="5" fillId="9" borderId="0" xfId="0" applyFont="1" applyFill="1" applyAlignment="1">
      <alignment vertical="center" wrapText="1"/>
    </xf>
    <xf numFmtId="171" fontId="0" fillId="9" borderId="0" xfId="0" applyNumberFormat="1" applyFill="1"/>
    <xf numFmtId="170" fontId="0" fillId="9" borderId="24" xfId="0" applyNumberFormat="1" applyFill="1" applyBorder="1" applyAlignment="1">
      <alignment horizontal="center"/>
    </xf>
    <xf numFmtId="171" fontId="4" fillId="3" borderId="0" xfId="0" applyNumberFormat="1" applyFont="1" applyFill="1"/>
    <xf numFmtId="0" fontId="0" fillId="3" borderId="9" xfId="0" applyFill="1" applyBorder="1" applyAlignment="1">
      <alignment horizontal="center"/>
    </xf>
    <xf numFmtId="14" fontId="0" fillId="9" borderId="0" xfId="0" applyNumberFormat="1" applyFill="1"/>
    <xf numFmtId="0" fontId="0" fillId="9" borderId="0" xfId="0" applyFill="1" applyAlignment="1">
      <alignment horizontal="left"/>
    </xf>
    <xf numFmtId="170" fontId="0" fillId="9" borderId="21" xfId="0" applyNumberFormat="1" applyFill="1" applyBorder="1" applyAlignment="1">
      <alignment horizontal="center"/>
    </xf>
    <xf numFmtId="170" fontId="0" fillId="9" borderId="22" xfId="0" applyNumberFormat="1" applyFill="1" applyBorder="1" applyAlignment="1">
      <alignment horizontal="center"/>
    </xf>
    <xf numFmtId="4" fontId="0" fillId="9" borderId="24" xfId="0" applyNumberFormat="1" applyFill="1" applyBorder="1" applyAlignment="1">
      <alignment horizontal="center"/>
    </xf>
    <xf numFmtId="4" fontId="0" fillId="9" borderId="14" xfId="0" applyNumberFormat="1" applyFill="1" applyBorder="1" applyAlignment="1">
      <alignment horizontal="center"/>
    </xf>
    <xf numFmtId="4" fontId="0" fillId="9" borderId="26" xfId="0" applyNumberFormat="1" applyFill="1" applyBorder="1" applyAlignment="1">
      <alignment horizontal="center"/>
    </xf>
    <xf numFmtId="0" fontId="0" fillId="9" borderId="8" xfId="0" applyFill="1" applyBorder="1"/>
    <xf numFmtId="8" fontId="0" fillId="9" borderId="0" xfId="0" applyNumberFormat="1" applyFill="1"/>
    <xf numFmtId="0" fontId="29" fillId="5" borderId="0" xfId="0" applyFont="1" applyFill="1" applyAlignment="1">
      <alignment horizontal="centerContinuous" vertical="center" wrapText="1"/>
    </xf>
    <xf numFmtId="0" fontId="12" fillId="9" borderId="0" xfId="0" applyFont="1" applyFill="1" applyAlignment="1">
      <alignment horizontal="center" vertical="center"/>
    </xf>
    <xf numFmtId="0" fontId="30" fillId="9" borderId="0" xfId="0" applyFont="1" applyFill="1"/>
    <xf numFmtId="0" fontId="30" fillId="9" borderId="0" xfId="0" applyFont="1" applyFill="1" applyAlignment="1">
      <alignment horizontal="center"/>
    </xf>
    <xf numFmtId="0" fontId="0" fillId="9" borderId="35" xfId="0" applyFill="1" applyBorder="1"/>
    <xf numFmtId="0" fontId="0" fillId="9" borderId="0" xfId="0" applyFill="1" applyAlignment="1">
      <alignment horizontal="center"/>
    </xf>
    <xf numFmtId="170" fontId="0" fillId="9" borderId="20" xfId="0" applyNumberFormat="1" applyFill="1" applyBorder="1" applyAlignment="1">
      <alignment horizontal="center"/>
    </xf>
    <xf numFmtId="170" fontId="0" fillId="9" borderId="23" xfId="0" applyNumberFormat="1" applyFill="1" applyBorder="1" applyAlignment="1">
      <alignment horizontal="center"/>
    </xf>
    <xf numFmtId="170" fontId="0" fillId="9" borderId="0" xfId="0" applyNumberFormat="1" applyFill="1" applyAlignment="1">
      <alignment horizontal="center"/>
    </xf>
    <xf numFmtId="4" fontId="0" fillId="9" borderId="23" xfId="0" applyNumberFormat="1" applyFill="1" applyBorder="1" applyAlignment="1">
      <alignment horizontal="center"/>
    </xf>
    <xf numFmtId="4" fontId="0" fillId="9" borderId="0" xfId="0" applyNumberFormat="1" applyFill="1" applyAlignment="1">
      <alignment horizontal="center"/>
    </xf>
    <xf numFmtId="4" fontId="0" fillId="9" borderId="25" xfId="0" applyNumberFormat="1" applyFill="1" applyBorder="1" applyAlignment="1">
      <alignment horizontal="center"/>
    </xf>
    <xf numFmtId="0" fontId="61" fillId="2" borderId="34" xfId="17" applyFont="1">
      <alignment vertical="center"/>
    </xf>
    <xf numFmtId="0" fontId="0" fillId="9" borderId="9" xfId="0" applyFill="1" applyBorder="1" applyAlignment="1">
      <alignment horizontal="center"/>
    </xf>
    <xf numFmtId="0" fontId="61" fillId="2" borderId="34" xfId="17" applyFont="1" applyAlignment="1">
      <alignment horizontal="center" vertical="center" wrapText="1"/>
    </xf>
    <xf numFmtId="165" fontId="0" fillId="9" borderId="9" xfId="2" applyNumberFormat="1" applyFont="1" applyFill="1" applyBorder="1" applyAlignment="1">
      <alignment horizontal="center"/>
    </xf>
    <xf numFmtId="0" fontId="0" fillId="0" borderId="0" xfId="0" applyAlignment="1">
      <alignment horizontal="center"/>
    </xf>
    <xf numFmtId="0" fontId="0" fillId="0" borderId="0" xfId="0" applyAlignment="1">
      <alignment vertical="center" wrapText="1"/>
    </xf>
    <xf numFmtId="0" fontId="0" fillId="0" borderId="0" xfId="0" applyProtection="1">
      <protection locked="0"/>
    </xf>
    <xf numFmtId="0" fontId="62" fillId="0" borderId="39" xfId="47" applyAlignment="1">
      <alignment vertical="center"/>
    </xf>
    <xf numFmtId="0" fontId="0" fillId="0" borderId="0" xfId="0" applyAlignment="1">
      <alignment vertical="center"/>
    </xf>
    <xf numFmtId="0" fontId="11" fillId="0" borderId="9" xfId="0" applyFont="1" applyBorder="1" applyAlignment="1">
      <alignment vertical="center"/>
    </xf>
    <xf numFmtId="0" fontId="11" fillId="0" borderId="9" xfId="0" applyFont="1" applyBorder="1" applyAlignment="1">
      <alignment vertical="center" wrapText="1"/>
    </xf>
    <xf numFmtId="2" fontId="0" fillId="0" borderId="9" xfId="0" applyNumberFormat="1" applyBorder="1" applyAlignment="1">
      <alignment vertical="center"/>
    </xf>
    <xf numFmtId="2" fontId="0" fillId="0" borderId="9" xfId="0" applyNumberFormat="1" applyBorder="1" applyAlignment="1">
      <alignment vertical="center" wrapText="1"/>
    </xf>
    <xf numFmtId="0" fontId="0" fillId="0" borderId="9" xfId="0" applyBorder="1" applyAlignment="1">
      <alignment vertical="center"/>
    </xf>
    <xf numFmtId="0" fontId="0" fillId="0" borderId="9" xfId="0" applyBorder="1" applyAlignment="1">
      <alignment vertical="center" wrapText="1"/>
    </xf>
    <xf numFmtId="0" fontId="66" fillId="0" borderId="9" xfId="48" applyBorder="1" applyAlignment="1">
      <alignment vertical="center" wrapText="1"/>
    </xf>
    <xf numFmtId="175" fontId="0" fillId="0" borderId="0" xfId="1" applyNumberFormat="1" applyFont="1" applyAlignment="1">
      <alignment vertical="center"/>
    </xf>
    <xf numFmtId="2" fontId="0" fillId="0" borderId="0" xfId="0" applyNumberFormat="1" applyAlignment="1">
      <alignment vertical="center"/>
    </xf>
    <xf numFmtId="170" fontId="0" fillId="0" borderId="0" xfId="0" applyNumberFormat="1" applyAlignment="1">
      <alignment vertical="center"/>
    </xf>
    <xf numFmtId="0" fontId="62" fillId="0" borderId="39" xfId="47"/>
    <xf numFmtId="10" fontId="0" fillId="0" borderId="0" xfId="2" applyNumberFormat="1" applyFont="1"/>
    <xf numFmtId="166" fontId="0" fillId="0" borderId="9" xfId="0" applyNumberFormat="1" applyBorder="1"/>
    <xf numFmtId="0" fontId="11" fillId="0" borderId="0" xfId="0" applyFont="1"/>
    <xf numFmtId="0" fontId="32" fillId="0" borderId="0" xfId="0" applyFont="1"/>
    <xf numFmtId="0" fontId="9" fillId="5" borderId="1" xfId="0" applyFont="1" applyFill="1" applyBorder="1" applyAlignment="1">
      <alignment horizontal="center" vertical="center"/>
    </xf>
    <xf numFmtId="0" fontId="0" fillId="31" borderId="0" xfId="0" applyFill="1"/>
    <xf numFmtId="0" fontId="15" fillId="32" borderId="9" xfId="13" applyFont="1" applyFill="1" applyBorder="1"/>
    <xf numFmtId="0" fontId="0" fillId="0" borderId="40" xfId="0" applyBorder="1"/>
    <xf numFmtId="4" fontId="0" fillId="9" borderId="0" xfId="0" applyNumberFormat="1" applyFill="1"/>
    <xf numFmtId="0" fontId="0" fillId="14" borderId="9" xfId="0" applyFill="1" applyBorder="1" applyAlignment="1" applyProtection="1">
      <alignment horizontal="center"/>
      <protection locked="0"/>
    </xf>
    <xf numFmtId="0" fontId="0" fillId="0" borderId="9" xfId="0" applyBorder="1" applyAlignment="1">
      <alignment horizontal="center"/>
    </xf>
    <xf numFmtId="0" fontId="72" fillId="0" borderId="43" xfId="0" applyFont="1" applyBorder="1" applyAlignment="1">
      <alignment horizontal="center"/>
    </xf>
    <xf numFmtId="0" fontId="72" fillId="0" borderId="43" xfId="0" applyFont="1" applyBorder="1" applyAlignment="1">
      <alignment wrapText="1"/>
    </xf>
    <xf numFmtId="0" fontId="73" fillId="0" borderId="6" xfId="0" applyFont="1" applyBorder="1" applyAlignment="1">
      <alignment horizontal="center"/>
    </xf>
    <xf numFmtId="10" fontId="73" fillId="0" borderId="6" xfId="2" applyNumberFormat="1" applyFont="1" applyFill="1" applyBorder="1"/>
    <xf numFmtId="10" fontId="73" fillId="0" borderId="9" xfId="2" applyNumberFormat="1" applyFont="1" applyFill="1" applyBorder="1"/>
    <xf numFmtId="10" fontId="73" fillId="0" borderId="44" xfId="2" applyNumberFormat="1" applyFont="1" applyFill="1" applyBorder="1"/>
    <xf numFmtId="0" fontId="73" fillId="0" borderId="9" xfId="0" applyFont="1" applyBorder="1" applyAlignment="1">
      <alignment horizontal="center"/>
    </xf>
    <xf numFmtId="0" fontId="73" fillId="0" borderId="44" xfId="0" applyFont="1" applyBorder="1" applyAlignment="1">
      <alignment horizontal="center"/>
    </xf>
    <xf numFmtId="0" fontId="65" fillId="0" borderId="6" xfId="0" applyFont="1" applyBorder="1" applyAlignment="1">
      <alignment horizontal="center"/>
    </xf>
    <xf numFmtId="0" fontId="73" fillId="0" borderId="0" xfId="0" applyFont="1"/>
    <xf numFmtId="0" fontId="72" fillId="0" borderId="43" xfId="0" applyFont="1" applyBorder="1" applyAlignment="1">
      <alignment horizontal="center" wrapText="1"/>
    </xf>
    <xf numFmtId="0" fontId="73" fillId="0" borderId="0" xfId="0" applyFont="1" applyAlignment="1">
      <alignment horizontal="center"/>
    </xf>
    <xf numFmtId="10" fontId="73" fillId="0" borderId="6" xfId="0" applyNumberFormat="1" applyFont="1" applyBorder="1" applyAlignment="1">
      <alignment horizontal="center"/>
    </xf>
    <xf numFmtId="10" fontId="73" fillId="0" borderId="9" xfId="0" applyNumberFormat="1" applyFont="1" applyBorder="1" applyAlignment="1">
      <alignment horizontal="center"/>
    </xf>
    <xf numFmtId="10" fontId="73" fillId="0" borderId="44" xfId="0" applyNumberFormat="1" applyFont="1" applyBorder="1" applyAlignment="1">
      <alignment horizontal="center"/>
    </xf>
    <xf numFmtId="10" fontId="0" fillId="0" borderId="9" xfId="2" applyNumberFormat="1" applyFont="1" applyBorder="1"/>
    <xf numFmtId="0" fontId="74" fillId="0" borderId="43" xfId="0" applyFont="1" applyBorder="1" applyAlignment="1">
      <alignment horizontal="center"/>
    </xf>
    <xf numFmtId="0" fontId="0" fillId="0" borderId="6" xfId="0" applyBorder="1" applyAlignment="1">
      <alignment horizontal="center"/>
    </xf>
    <xf numFmtId="10" fontId="0" fillId="0" borderId="6" xfId="2" applyNumberFormat="1" applyFont="1" applyBorder="1" applyAlignment="1">
      <alignment horizontal="center"/>
    </xf>
    <xf numFmtId="10" fontId="0" fillId="0" borderId="9" xfId="2" applyNumberFormat="1" applyFont="1" applyBorder="1" applyAlignment="1">
      <alignment horizontal="center"/>
    </xf>
    <xf numFmtId="0" fontId="0" fillId="0" borderId="44" xfId="0" applyBorder="1" applyAlignment="1">
      <alignment horizontal="center"/>
    </xf>
    <xf numFmtId="10" fontId="0" fillId="0" borderId="44" xfId="2" applyNumberFormat="1" applyFont="1" applyBorder="1" applyAlignment="1">
      <alignment horizontal="center"/>
    </xf>
    <xf numFmtId="10" fontId="0" fillId="0" borderId="0" xfId="2" applyNumberFormat="1" applyFont="1" applyBorder="1" applyAlignment="1">
      <alignment horizontal="center"/>
    </xf>
    <xf numFmtId="0" fontId="71" fillId="0" borderId="42" xfId="49"/>
    <xf numFmtId="0" fontId="73" fillId="0" borderId="9" xfId="0" applyFont="1" applyBorder="1"/>
    <xf numFmtId="0" fontId="73" fillId="0" borderId="9" xfId="2" applyNumberFormat="1" applyFont="1" applyFill="1" applyBorder="1"/>
    <xf numFmtId="0" fontId="74" fillId="32" borderId="9" xfId="2" applyNumberFormat="1" applyFont="1" applyFill="1" applyBorder="1"/>
    <xf numFmtId="10" fontId="11" fillId="32" borderId="9" xfId="2" applyNumberFormat="1" applyFont="1" applyFill="1" applyBorder="1"/>
    <xf numFmtId="0" fontId="11" fillId="0" borderId="43" xfId="0" applyFont="1" applyBorder="1" applyAlignment="1">
      <alignment horizontal="center" wrapText="1"/>
    </xf>
    <xf numFmtId="0" fontId="0" fillId="3" borderId="0" xfId="0" applyFill="1"/>
    <xf numFmtId="0" fontId="0" fillId="9" borderId="4" xfId="0" applyFill="1" applyBorder="1"/>
    <xf numFmtId="0" fontId="0" fillId="9" borderId="10" xfId="0" applyFill="1" applyBorder="1"/>
    <xf numFmtId="0" fontId="0" fillId="9" borderId="40" xfId="0" applyFill="1" applyBorder="1"/>
    <xf numFmtId="0" fontId="0" fillId="9" borderId="41" xfId="0" applyFill="1" applyBorder="1"/>
    <xf numFmtId="0" fontId="0" fillId="9" borderId="5" xfId="0" applyFill="1" applyBorder="1"/>
    <xf numFmtId="0" fontId="0" fillId="9" borderId="7" xfId="0" applyFill="1" applyBorder="1"/>
    <xf numFmtId="0" fontId="0" fillId="9" borderId="11" xfId="0" applyFill="1" applyBorder="1"/>
    <xf numFmtId="0" fontId="0" fillId="9" borderId="0" xfId="0" applyFill="1" applyAlignment="1">
      <alignment vertical="top" wrapText="1"/>
    </xf>
    <xf numFmtId="166" fontId="10" fillId="9" borderId="5" xfId="0" applyNumberFormat="1" applyFont="1" applyFill="1" applyBorder="1" applyAlignment="1">
      <alignment horizontal="center" vertical="center"/>
    </xf>
    <xf numFmtId="166" fontId="10" fillId="9" borderId="7" xfId="0" applyNumberFormat="1" applyFont="1" applyFill="1" applyBorder="1" applyAlignment="1">
      <alignment horizontal="center" vertical="center"/>
    </xf>
    <xf numFmtId="8" fontId="10" fillId="9" borderId="7" xfId="0" applyNumberFormat="1" applyFont="1" applyFill="1" applyBorder="1" applyAlignment="1">
      <alignment horizontal="center" vertical="center"/>
    </xf>
    <xf numFmtId="8" fontId="10" fillId="9" borderId="11" xfId="0" applyNumberFormat="1" applyFont="1" applyFill="1" applyBorder="1" applyAlignment="1">
      <alignment horizontal="center" vertical="center"/>
    </xf>
    <xf numFmtId="0" fontId="9" fillId="5" borderId="9" xfId="0" applyFont="1" applyFill="1" applyBorder="1" applyAlignment="1">
      <alignment horizontal="center" vertical="center"/>
    </xf>
    <xf numFmtId="0" fontId="0" fillId="0" borderId="0" xfId="0" applyAlignment="1">
      <alignment horizontal="center" vertical="center" wrapText="1"/>
    </xf>
    <xf numFmtId="0" fontId="2" fillId="34" borderId="48" xfId="0" applyFont="1" applyFill="1" applyBorder="1" applyAlignment="1">
      <alignment horizontal="center" vertical="center" wrapText="1"/>
    </xf>
    <xf numFmtId="0" fontId="5" fillId="30" borderId="9" xfId="0" applyFont="1" applyFill="1" applyBorder="1" applyAlignment="1">
      <alignment horizontal="center" vertical="center" wrapText="1"/>
    </xf>
    <xf numFmtId="0" fontId="63" fillId="5" borderId="9" xfId="0" applyFont="1" applyFill="1" applyBorder="1" applyAlignment="1">
      <alignment horizontal="center" vertical="center"/>
    </xf>
    <xf numFmtId="0" fontId="64" fillId="0" borderId="49" xfId="0" applyFont="1" applyBorder="1" applyAlignment="1">
      <alignment vertical="center" wrapText="1"/>
    </xf>
    <xf numFmtId="0" fontId="33" fillId="35" borderId="3" xfId="0" applyFont="1" applyFill="1" applyBorder="1" applyAlignment="1">
      <alignment horizontal="left" vertical="center" wrapText="1"/>
    </xf>
    <xf numFmtId="0" fontId="64" fillId="0" borderId="0" xfId="0" applyFont="1" applyAlignment="1">
      <alignment vertical="center" wrapText="1"/>
    </xf>
    <xf numFmtId="0" fontId="33" fillId="3" borderId="3" xfId="0" applyFont="1" applyFill="1" applyBorder="1" applyAlignment="1">
      <alignment horizontal="left" vertical="center" wrapText="1"/>
    </xf>
    <xf numFmtId="0" fontId="33" fillId="35" borderId="40" xfId="0" applyFont="1" applyFill="1" applyBorder="1" applyAlignment="1">
      <alignment horizontal="left" vertical="center" wrapText="1"/>
    </xf>
    <xf numFmtId="0" fontId="0" fillId="0" borderId="40" xfId="0" applyBorder="1" applyAlignment="1">
      <alignment horizontal="center" vertical="center" wrapText="1"/>
    </xf>
    <xf numFmtId="165" fontId="0" fillId="0" borderId="0" xfId="2" applyNumberFormat="1" applyFont="1" applyAlignment="1">
      <alignment horizontal="center"/>
    </xf>
    <xf numFmtId="0" fontId="33" fillId="0" borderId="0" xfId="0" applyFont="1" applyAlignment="1" applyProtection="1">
      <alignment horizontal="center"/>
      <protection locked="0"/>
    </xf>
    <xf numFmtId="165" fontId="33" fillId="0" borderId="0" xfId="2" applyNumberFormat="1" applyFont="1" applyFill="1" applyAlignment="1" applyProtection="1">
      <alignment horizontal="center"/>
      <protection locked="0"/>
    </xf>
    <xf numFmtId="165" fontId="33" fillId="0" borderId="0" xfId="2" applyNumberFormat="1" applyFont="1" applyFill="1" applyBorder="1" applyAlignment="1" applyProtection="1">
      <alignment horizontal="center"/>
      <protection locked="0"/>
    </xf>
    <xf numFmtId="0" fontId="33" fillId="0" borderId="0" xfId="2" applyNumberFormat="1" applyFont="1" applyFill="1" applyAlignment="1" applyProtection="1">
      <alignment horizontal="center"/>
      <protection locked="0"/>
    </xf>
    <xf numFmtId="165" fontId="0" fillId="0" borderId="0" xfId="0" applyNumberFormat="1" applyAlignment="1">
      <alignment horizontal="center"/>
    </xf>
    <xf numFmtId="0" fontId="33" fillId="0" borderId="0" xfId="0" applyFont="1" applyAlignment="1">
      <alignment horizontal="center"/>
    </xf>
    <xf numFmtId="165" fontId="33" fillId="0" borderId="0" xfId="2" applyNumberFormat="1" applyFont="1" applyFill="1" applyAlignment="1" applyProtection="1">
      <alignment horizontal="center"/>
    </xf>
    <xf numFmtId="1" fontId="33" fillId="0" borderId="0" xfId="2" applyNumberFormat="1" applyFont="1" applyFill="1" applyAlignment="1" applyProtection="1">
      <alignment horizontal="center"/>
    </xf>
    <xf numFmtId="0" fontId="0" fillId="33" borderId="47" xfId="50" applyFont="1"/>
    <xf numFmtId="0" fontId="3" fillId="33" borderId="47" xfId="50" applyFont="1"/>
    <xf numFmtId="1" fontId="17" fillId="33" borderId="47" xfId="50" applyNumberFormat="1" applyFont="1"/>
    <xf numFmtId="0" fontId="66" fillId="33" borderId="47" xfId="50" applyFont="1"/>
    <xf numFmtId="0" fontId="3" fillId="9" borderId="6" xfId="13" applyFill="1" applyBorder="1" applyAlignment="1">
      <alignment wrapText="1"/>
    </xf>
    <xf numFmtId="1" fontId="17" fillId="0" borderId="6" xfId="13" applyNumberFormat="1" applyFont="1" applyBorder="1" applyAlignment="1">
      <alignment horizontal="right" wrapText="1"/>
    </xf>
    <xf numFmtId="1" fontId="17" fillId="0" borderId="6" xfId="13" applyNumberFormat="1" applyFont="1" applyBorder="1"/>
    <xf numFmtId="1" fontId="17" fillId="0" borderId="5" xfId="13" applyNumberFormat="1" applyFont="1" applyBorder="1"/>
    <xf numFmtId="0" fontId="3" fillId="0" borderId="6" xfId="13" applyBorder="1"/>
    <xf numFmtId="0" fontId="15" fillId="10" borderId="44" xfId="13" applyFont="1" applyFill="1" applyBorder="1"/>
    <xf numFmtId="0" fontId="3" fillId="9" borderId="44" xfId="13" applyFill="1" applyBorder="1" applyAlignment="1">
      <alignment wrapText="1"/>
    </xf>
    <xf numFmtId="1" fontId="17" fillId="0" borderId="44" xfId="13" applyNumberFormat="1" applyFont="1" applyBorder="1" applyAlignment="1">
      <alignment horizontal="right" wrapText="1"/>
    </xf>
    <xf numFmtId="1" fontId="17" fillId="0" borderId="44" xfId="13" applyNumberFormat="1" applyFont="1" applyBorder="1"/>
    <xf numFmtId="1" fontId="17" fillId="0" borderId="52" xfId="13" applyNumberFormat="1" applyFont="1" applyBorder="1"/>
    <xf numFmtId="0" fontId="3" fillId="0" borderId="44" xfId="13" applyBorder="1"/>
    <xf numFmtId="0" fontId="15" fillId="32" borderId="6" xfId="13" applyFont="1" applyFill="1" applyBorder="1"/>
    <xf numFmtId="0" fontId="3" fillId="32" borderId="0" xfId="13" applyFill="1"/>
    <xf numFmtId="1" fontId="17" fillId="32" borderId="0" xfId="13" applyNumberFormat="1" applyFont="1" applyFill="1"/>
    <xf numFmtId="0" fontId="0" fillId="36" borderId="0" xfId="0" applyFill="1"/>
    <xf numFmtId="0" fontId="0" fillId="37" borderId="0" xfId="0" applyFill="1"/>
    <xf numFmtId="0" fontId="0" fillId="38" borderId="0" xfId="0" applyFill="1"/>
    <xf numFmtId="49" fontId="0" fillId="0" borderId="9" xfId="0" quotePrefix="1" applyNumberFormat="1" applyBorder="1" applyAlignment="1">
      <alignment horizontal="center" vertical="top"/>
    </xf>
    <xf numFmtId="49" fontId="0" fillId="0" borderId="9" xfId="0" applyNumberFormat="1" applyBorder="1" applyAlignment="1">
      <alignment horizontal="center" vertical="top"/>
    </xf>
    <xf numFmtId="0" fontId="0" fillId="0" borderId="0" xfId="0" applyAlignment="1">
      <alignment horizontal="left" vertical="top"/>
    </xf>
    <xf numFmtId="0" fontId="0" fillId="14" borderId="2" xfId="0" applyFill="1" applyBorder="1" applyAlignment="1" applyProtection="1">
      <alignment horizontal="center"/>
      <protection locked="0"/>
    </xf>
    <xf numFmtId="0" fontId="33" fillId="6" borderId="9" xfId="0" applyFont="1" applyFill="1" applyBorder="1" applyAlignment="1" applyProtection="1">
      <alignment horizontal="center"/>
      <protection locked="0"/>
    </xf>
    <xf numFmtId="0" fontId="33" fillId="6" borderId="2" xfId="0" applyFont="1" applyFill="1" applyBorder="1" applyAlignment="1" applyProtection="1">
      <alignment horizontal="center"/>
      <protection locked="0"/>
    </xf>
    <xf numFmtId="0" fontId="33" fillId="14" borderId="9" xfId="0" applyFont="1" applyFill="1" applyBorder="1" applyAlignment="1" applyProtection="1">
      <alignment horizontal="center"/>
      <protection locked="0"/>
    </xf>
    <xf numFmtId="0" fontId="62" fillId="0" borderId="39" xfId="47" applyAlignment="1">
      <alignment vertical="top"/>
    </xf>
    <xf numFmtId="0" fontId="0" fillId="0" borderId="0" xfId="0" applyAlignment="1">
      <alignment vertical="top"/>
    </xf>
    <xf numFmtId="0" fontId="0" fillId="0" borderId="0" xfId="0" applyAlignment="1">
      <alignment vertical="top" wrapText="1"/>
    </xf>
    <xf numFmtId="0" fontId="2" fillId="2" borderId="36" xfId="6" applyBorder="1" applyAlignment="1">
      <alignment vertical="top" wrapText="1"/>
    </xf>
    <xf numFmtId="0" fontId="2" fillId="2" borderId="21" xfId="6" applyBorder="1" applyAlignment="1">
      <alignment horizontal="center" vertical="top" wrapText="1"/>
    </xf>
    <xf numFmtId="0" fontId="2" fillId="2" borderId="22" xfId="6" applyBorder="1" applyAlignment="1">
      <alignment horizontal="center" vertical="top" wrapText="1"/>
    </xf>
    <xf numFmtId="2" fontId="0" fillId="0" borderId="0" xfId="0" applyNumberFormat="1" applyAlignment="1">
      <alignment vertical="top" wrapText="1"/>
    </xf>
    <xf numFmtId="2" fontId="0" fillId="0" borderId="0" xfId="0" applyNumberFormat="1" applyAlignment="1">
      <alignment horizontal="center" vertical="top"/>
    </xf>
    <xf numFmtId="0" fontId="0" fillId="0" borderId="0" xfId="0" applyAlignment="1">
      <alignment horizontal="center" vertical="top"/>
    </xf>
    <xf numFmtId="165" fontId="0" fillId="0" borderId="0" xfId="2" applyNumberFormat="1" applyFont="1" applyAlignment="1">
      <alignment vertical="top" wrapText="1"/>
    </xf>
    <xf numFmtId="1" fontId="0" fillId="0" borderId="0" xfId="2" applyNumberFormat="1" applyFont="1" applyAlignment="1">
      <alignment vertical="top" wrapText="1"/>
    </xf>
    <xf numFmtId="0" fontId="0" fillId="0" borderId="68" xfId="0" applyBorder="1" applyAlignment="1">
      <alignment vertical="top"/>
    </xf>
    <xf numFmtId="0" fontId="0" fillId="0" borderId="21" xfId="0" applyBorder="1" applyAlignment="1">
      <alignment vertical="top"/>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165" fontId="0" fillId="0" borderId="0" xfId="2" applyNumberFormat="1" applyFont="1" applyAlignment="1">
      <alignment vertical="top"/>
    </xf>
    <xf numFmtId="1" fontId="0" fillId="0" borderId="0" xfId="2" applyNumberFormat="1" applyFont="1" applyAlignment="1">
      <alignment vertical="top"/>
    </xf>
    <xf numFmtId="0" fontId="0" fillId="0" borderId="23" xfId="0" applyBorder="1" applyAlignment="1">
      <alignment vertical="top" wrapText="1"/>
    </xf>
    <xf numFmtId="0" fontId="0" fillId="0" borderId="24" xfId="0" applyBorder="1" applyAlignment="1">
      <alignment vertical="top" wrapText="1"/>
    </xf>
    <xf numFmtId="0" fontId="0" fillId="0" borderId="14" xfId="0" applyBorder="1" applyAlignment="1">
      <alignment vertical="top"/>
    </xf>
    <xf numFmtId="0" fontId="0" fillId="0" borderId="25" xfId="0" applyBorder="1" applyAlignment="1">
      <alignment vertical="top" wrapText="1"/>
    </xf>
    <xf numFmtId="0" fontId="0" fillId="0" borderId="14" xfId="0" applyBorder="1" applyAlignment="1">
      <alignment vertical="top" wrapText="1"/>
    </xf>
    <xf numFmtId="0" fontId="0" fillId="0" borderId="26" xfId="0" applyBorder="1" applyAlignment="1">
      <alignment vertical="top" wrapText="1"/>
    </xf>
    <xf numFmtId="170" fontId="0" fillId="0" borderId="0" xfId="0" applyNumberFormat="1" applyAlignment="1">
      <alignment vertical="top"/>
    </xf>
    <xf numFmtId="170" fontId="0" fillId="0" borderId="0" xfId="0" applyNumberFormat="1" applyAlignment="1">
      <alignment vertical="top" wrapText="1"/>
    </xf>
    <xf numFmtId="170" fontId="0" fillId="0" borderId="0" xfId="0" applyNumberFormat="1" applyAlignment="1">
      <alignment horizontal="center" vertical="top"/>
    </xf>
    <xf numFmtId="0" fontId="33" fillId="3" borderId="71" xfId="0" applyFont="1" applyFill="1" applyBorder="1" applyAlignment="1">
      <alignment horizontal="left" vertical="center" wrapText="1"/>
    </xf>
    <xf numFmtId="0" fontId="33" fillId="14" borderId="71" xfId="0" applyFont="1" applyFill="1" applyBorder="1" applyAlignment="1">
      <alignment horizontal="left" vertical="center" wrapText="1"/>
    </xf>
    <xf numFmtId="0" fontId="63" fillId="5" borderId="71" xfId="0" applyFont="1" applyFill="1" applyBorder="1" applyAlignment="1">
      <alignment horizontal="left" vertical="center" wrapText="1"/>
    </xf>
    <xf numFmtId="0" fontId="33" fillId="8" borderId="71" xfId="0" applyFont="1" applyFill="1" applyBorder="1" applyAlignment="1">
      <alignment horizontal="left" vertical="center" wrapText="1"/>
    </xf>
    <xf numFmtId="0" fontId="33" fillId="6" borderId="71" xfId="0" applyFont="1" applyFill="1" applyBorder="1" applyAlignment="1">
      <alignment horizontal="left" vertical="center" wrapText="1"/>
    </xf>
    <xf numFmtId="0" fontId="0" fillId="0" borderId="0" xfId="0" applyAlignment="1">
      <alignment horizontal="left" vertical="center" wrapText="1"/>
    </xf>
    <xf numFmtId="0" fontId="0" fillId="0" borderId="73" xfId="0" applyBorder="1" applyAlignment="1">
      <alignment horizontal="left" vertical="center" wrapText="1"/>
    </xf>
    <xf numFmtId="1" fontId="64" fillId="0" borderId="74" xfId="46" applyNumberFormat="1" applyFont="1" applyBorder="1" applyAlignment="1" applyProtection="1">
      <alignment horizontal="center" vertical="center"/>
    </xf>
    <xf numFmtId="0" fontId="64" fillId="0" borderId="75" xfId="0" applyFont="1" applyBorder="1" applyAlignment="1" applyProtection="1">
      <alignment vertical="center" wrapText="1"/>
      <protection locked="0"/>
    </xf>
    <xf numFmtId="166" fontId="64" fillId="0" borderId="75" xfId="46" applyNumberFormat="1" applyFont="1" applyBorder="1" applyAlignment="1" applyProtection="1">
      <alignment vertical="center"/>
    </xf>
    <xf numFmtId="166" fontId="64" fillId="0" borderId="75" xfId="46" applyNumberFormat="1" applyFont="1" applyFill="1" applyBorder="1" applyAlignment="1" applyProtection="1">
      <alignment vertical="center"/>
    </xf>
    <xf numFmtId="166" fontId="64" fillId="0" borderId="72" xfId="46" applyNumberFormat="1" applyFont="1" applyFill="1" applyBorder="1" applyAlignment="1" applyProtection="1">
      <alignment vertical="center"/>
    </xf>
    <xf numFmtId="1" fontId="64" fillId="0" borderId="76" xfId="46" applyNumberFormat="1" applyFont="1" applyBorder="1" applyAlignment="1" applyProtection="1">
      <alignment horizontal="center" vertical="center"/>
    </xf>
    <xf numFmtId="0" fontId="64" fillId="0" borderId="72" xfId="0" applyFont="1" applyBorder="1" applyAlignment="1" applyProtection="1">
      <alignment vertical="center" wrapText="1"/>
      <protection locked="0"/>
    </xf>
    <xf numFmtId="166" fontId="64" fillId="0" borderId="72" xfId="46" applyNumberFormat="1" applyFont="1" applyBorder="1" applyAlignment="1" applyProtection="1">
      <alignment vertical="center"/>
    </xf>
    <xf numFmtId="165" fontId="64" fillId="0" borderId="72" xfId="0" applyNumberFormat="1" applyFont="1" applyBorder="1" applyAlignment="1">
      <alignment vertical="center"/>
    </xf>
    <xf numFmtId="0" fontId="33" fillId="7" borderId="71" xfId="0" applyFont="1" applyFill="1" applyBorder="1" applyAlignment="1">
      <alignment horizontal="left" vertical="center" wrapText="1"/>
    </xf>
    <xf numFmtId="10" fontId="33" fillId="3" borderId="71" xfId="2" applyNumberFormat="1" applyFont="1" applyFill="1" applyBorder="1" applyAlignment="1">
      <alignment horizontal="left" vertical="center" wrapText="1"/>
    </xf>
    <xf numFmtId="166" fontId="1" fillId="0" borderId="75" xfId="46" applyNumberFormat="1" applyFont="1" applyBorder="1" applyAlignment="1" applyProtection="1">
      <alignment vertical="center"/>
    </xf>
    <xf numFmtId="44" fontId="0" fillId="0" borderId="72" xfId="0" applyNumberFormat="1" applyBorder="1" applyAlignment="1">
      <alignment vertical="center"/>
    </xf>
    <xf numFmtId="166" fontId="1" fillId="0" borderId="72" xfId="46" applyNumberFormat="1" applyFont="1" applyBorder="1" applyAlignment="1" applyProtection="1">
      <alignment vertical="center"/>
    </xf>
    <xf numFmtId="0" fontId="0" fillId="14" borderId="9" xfId="0" applyFill="1" applyBorder="1" applyAlignment="1" applyProtection="1">
      <alignment horizontal="center" vertical="center"/>
      <protection locked="0"/>
    </xf>
    <xf numFmtId="0" fontId="0" fillId="3" borderId="9" xfId="0" applyFill="1" applyBorder="1" applyAlignment="1">
      <alignment horizontal="center" vertical="center"/>
    </xf>
    <xf numFmtId="0" fontId="0" fillId="14" borderId="9" xfId="0" applyFill="1" applyBorder="1" applyAlignment="1">
      <alignment horizontal="center" vertical="center"/>
    </xf>
    <xf numFmtId="10" fontId="0" fillId="3" borderId="9" xfId="2" applyNumberFormat="1" applyFont="1" applyFill="1" applyBorder="1" applyAlignment="1">
      <alignment horizontal="center" vertical="center"/>
    </xf>
    <xf numFmtId="0" fontId="7" fillId="0" borderId="0" xfId="0" applyFont="1" applyAlignment="1">
      <alignment vertical="center" wrapText="1"/>
    </xf>
    <xf numFmtId="0" fontId="1" fillId="0" borderId="75" xfId="0" applyFont="1" applyBorder="1" applyAlignment="1" applyProtection="1">
      <alignment horizontal="center" vertical="center"/>
      <protection locked="0"/>
    </xf>
    <xf numFmtId="0" fontId="1" fillId="0" borderId="75" xfId="0" applyFont="1" applyBorder="1" applyAlignment="1" applyProtection="1">
      <alignment vertical="center"/>
      <protection locked="0"/>
    </xf>
    <xf numFmtId="0" fontId="1" fillId="0" borderId="75" xfId="0" applyFont="1" applyBorder="1" applyAlignment="1">
      <alignment vertical="center"/>
    </xf>
    <xf numFmtId="165" fontId="1" fillId="0" borderId="75" xfId="2" applyNumberFormat="1" applyFont="1" applyBorder="1" applyAlignment="1" applyProtection="1">
      <alignment vertical="center"/>
    </xf>
    <xf numFmtId="1" fontId="1" fillId="0" borderId="75" xfId="2" applyNumberFormat="1" applyFont="1" applyBorder="1" applyAlignment="1" applyProtection="1">
      <alignment vertical="center"/>
    </xf>
    <xf numFmtId="1" fontId="1" fillId="0" borderId="75" xfId="0" applyNumberFormat="1" applyFont="1" applyBorder="1" applyAlignment="1">
      <alignment horizontal="right" vertical="center"/>
    </xf>
    <xf numFmtId="1" fontId="1" fillId="0" borderId="75" xfId="0" applyNumberFormat="1" applyFont="1" applyBorder="1" applyAlignment="1">
      <alignment vertical="center"/>
    </xf>
    <xf numFmtId="9" fontId="1" fillId="0" borderId="75" xfId="2" applyFont="1" applyBorder="1" applyAlignment="1" applyProtection="1">
      <alignment vertical="center"/>
    </xf>
    <xf numFmtId="170" fontId="1" fillId="0" borderId="75" xfId="2" applyNumberFormat="1" applyFont="1" applyBorder="1" applyAlignment="1" applyProtection="1">
      <alignment vertical="center"/>
    </xf>
    <xf numFmtId="0" fontId="1" fillId="0" borderId="0" xfId="0" applyFont="1" applyAlignment="1">
      <alignment vertical="center"/>
    </xf>
    <xf numFmtId="0" fontId="1" fillId="0" borderId="72" xfId="0" applyFont="1" applyBorder="1" applyAlignment="1" applyProtection="1">
      <alignment horizontal="center" vertical="center"/>
      <protection locked="0"/>
    </xf>
    <xf numFmtId="0" fontId="1" fillId="0" borderId="72" xfId="0" applyFont="1" applyBorder="1" applyAlignment="1" applyProtection="1">
      <alignment vertical="center"/>
      <protection locked="0"/>
    </xf>
    <xf numFmtId="0" fontId="1" fillId="0" borderId="72" xfId="0" applyFont="1" applyBorder="1" applyAlignment="1">
      <alignment vertical="center"/>
    </xf>
    <xf numFmtId="3" fontId="1" fillId="0" borderId="72" xfId="2" applyNumberFormat="1" applyFont="1" applyBorder="1" applyAlignment="1" applyProtection="1">
      <alignment vertical="center"/>
    </xf>
    <xf numFmtId="165" fontId="1" fillId="0" borderId="72" xfId="2" applyNumberFormat="1" applyFont="1" applyBorder="1" applyAlignment="1" applyProtection="1">
      <alignment vertical="center"/>
    </xf>
    <xf numFmtId="1" fontId="1" fillId="0" borderId="72" xfId="2" applyNumberFormat="1" applyFont="1" applyBorder="1" applyAlignment="1" applyProtection="1">
      <alignment vertical="center"/>
    </xf>
    <xf numFmtId="1" fontId="1" fillId="0" borderId="72" xfId="0" applyNumberFormat="1" applyFont="1" applyBorder="1" applyAlignment="1">
      <alignment horizontal="right" vertical="center"/>
    </xf>
    <xf numFmtId="1" fontId="1" fillId="0" borderId="72" xfId="0" applyNumberFormat="1" applyFont="1" applyBorder="1" applyAlignment="1">
      <alignment vertical="center"/>
    </xf>
    <xf numFmtId="9" fontId="1" fillId="0" borderId="72" xfId="2" applyFont="1" applyBorder="1" applyAlignment="1" applyProtection="1">
      <alignment vertical="center"/>
    </xf>
    <xf numFmtId="170" fontId="1" fillId="0" borderId="72" xfId="2" applyNumberFormat="1" applyFont="1" applyBorder="1" applyAlignment="1" applyProtection="1">
      <alignment vertical="center"/>
    </xf>
    <xf numFmtId="9" fontId="1" fillId="0" borderId="72" xfId="2" applyFont="1" applyBorder="1" applyAlignment="1" applyProtection="1">
      <alignment horizontal="right" vertical="center"/>
    </xf>
    <xf numFmtId="1" fontId="0" fillId="0" borderId="76" xfId="0" applyNumberFormat="1" applyBorder="1" applyAlignment="1">
      <alignment horizontal="center" vertical="center"/>
    </xf>
    <xf numFmtId="0" fontId="0" fillId="0" borderId="72" xfId="0" applyBorder="1" applyAlignment="1">
      <alignment horizontal="center" vertical="center"/>
    </xf>
    <xf numFmtId="2" fontId="0" fillId="0" borderId="72" xfId="0" applyNumberFormat="1" applyBorder="1" applyAlignment="1">
      <alignment horizontal="center" vertical="center"/>
    </xf>
    <xf numFmtId="2" fontId="0" fillId="0" borderId="72" xfId="0" applyNumberFormat="1" applyBorder="1" applyAlignment="1">
      <alignment vertical="center"/>
    </xf>
    <xf numFmtId="0" fontId="0" fillId="0" borderId="72" xfId="0" applyBorder="1" applyAlignment="1">
      <alignment vertical="center"/>
    </xf>
    <xf numFmtId="174" fontId="0" fillId="0" borderId="72" xfId="0" applyNumberFormat="1" applyBorder="1" applyAlignment="1">
      <alignment vertical="center"/>
    </xf>
    <xf numFmtId="165" fontId="0" fillId="0" borderId="72" xfId="0" applyNumberFormat="1" applyBorder="1" applyAlignment="1">
      <alignment vertical="center"/>
    </xf>
    <xf numFmtId="2" fontId="1" fillId="0" borderId="72" xfId="0" applyNumberFormat="1" applyFont="1" applyBorder="1" applyAlignment="1" applyProtection="1">
      <alignment vertical="center" wrapText="1"/>
      <protection locked="0"/>
    </xf>
    <xf numFmtId="2" fontId="0" fillId="0" borderId="72" xfId="0" applyNumberFormat="1" applyBorder="1" applyAlignment="1">
      <alignment vertical="center" wrapText="1"/>
    </xf>
    <xf numFmtId="2" fontId="1" fillId="0" borderId="75" xfId="0" applyNumberFormat="1" applyFont="1" applyBorder="1" applyAlignment="1" applyProtection="1">
      <alignment vertical="center" wrapText="1"/>
      <protection locked="0"/>
    </xf>
    <xf numFmtId="0" fontId="9"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0" fillId="0" borderId="72" xfId="0" applyBorder="1" applyAlignment="1">
      <alignment horizontal="center" vertical="center" wrapText="1"/>
    </xf>
    <xf numFmtId="9" fontId="1" fillId="0" borderId="72" xfId="2" applyFont="1" applyFill="1" applyBorder="1" applyAlignment="1" applyProtection="1">
      <alignment vertical="center"/>
    </xf>
    <xf numFmtId="166" fontId="64" fillId="0" borderId="76" xfId="46" applyNumberFormat="1" applyFont="1" applyBorder="1" applyAlignment="1" applyProtection="1">
      <alignment vertical="center"/>
    </xf>
    <xf numFmtId="166" fontId="64" fillId="0" borderId="0" xfId="46" applyNumberFormat="1" applyFont="1" applyBorder="1" applyAlignment="1" applyProtection="1">
      <alignment vertical="center"/>
    </xf>
    <xf numFmtId="166" fontId="64" fillId="0" borderId="0" xfId="46" applyNumberFormat="1" applyFont="1" applyFill="1" applyBorder="1" applyAlignment="1" applyProtection="1">
      <alignment vertical="center"/>
    </xf>
    <xf numFmtId="170" fontId="7" fillId="13" borderId="0" xfId="0" applyNumberFormat="1" applyFont="1" applyFill="1"/>
    <xf numFmtId="0" fontId="7" fillId="9" borderId="0" xfId="0" applyFont="1" applyFill="1"/>
    <xf numFmtId="0" fontId="0" fillId="0" borderId="9" xfId="0" applyBorder="1" applyAlignment="1">
      <alignment vertical="top"/>
    </xf>
    <xf numFmtId="0" fontId="0" fillId="0" borderId="9" xfId="0" applyBorder="1" applyAlignment="1">
      <alignment vertical="top" wrapText="1"/>
    </xf>
    <xf numFmtId="176" fontId="0" fillId="0" borderId="9" xfId="0" applyNumberFormat="1" applyBorder="1" applyAlignment="1">
      <alignment vertical="top"/>
    </xf>
    <xf numFmtId="0" fontId="11" fillId="0" borderId="9" xfId="0" applyFont="1" applyBorder="1" applyAlignment="1">
      <alignment vertical="top" wrapText="1"/>
    </xf>
    <xf numFmtId="0" fontId="11" fillId="0" borderId="9" xfId="0" applyFont="1" applyBorder="1" applyAlignment="1">
      <alignment vertical="top"/>
    </xf>
    <xf numFmtId="176" fontId="11" fillId="0" borderId="9" xfId="0" applyNumberFormat="1" applyFont="1" applyBorder="1" applyAlignment="1">
      <alignment vertical="top"/>
    </xf>
    <xf numFmtId="176" fontId="0" fillId="0" borderId="0" xfId="0" applyNumberFormat="1" applyAlignment="1">
      <alignment vertical="top"/>
    </xf>
    <xf numFmtId="0" fontId="68" fillId="9" borderId="0" xfId="0" applyFont="1" applyFill="1"/>
    <xf numFmtId="44" fontId="0" fillId="39" borderId="0" xfId="0" applyNumberFormat="1" applyFill="1"/>
    <xf numFmtId="0" fontId="1" fillId="0" borderId="75" xfId="0" applyFont="1" applyBorder="1" applyAlignment="1" applyProtection="1">
      <alignment vertical="center" wrapText="1"/>
      <protection locked="0"/>
    </xf>
    <xf numFmtId="0" fontId="1" fillId="0" borderId="72" xfId="0" applyFont="1" applyBorder="1" applyAlignment="1" applyProtection="1">
      <alignment vertical="center" wrapText="1"/>
      <protection locked="0"/>
    </xf>
    <xf numFmtId="1" fontId="1" fillId="0" borderId="72" xfId="0" applyNumberFormat="1" applyFont="1" applyBorder="1" applyAlignment="1" applyProtection="1">
      <alignment vertical="center" wrapText="1"/>
      <protection locked="0"/>
    </xf>
    <xf numFmtId="2" fontId="0" fillId="15" borderId="0" xfId="0" applyNumberFormat="1" applyFill="1" applyAlignment="1">
      <alignment horizontal="center" vertical="top"/>
    </xf>
    <xf numFmtId="0" fontId="0" fillId="0" borderId="0" xfId="0" applyAlignment="1">
      <alignment horizontal="left" vertical="top" wrapText="1"/>
    </xf>
    <xf numFmtId="49" fontId="0" fillId="0" borderId="0" xfId="0" applyNumberFormat="1" applyAlignment="1">
      <alignment horizontal="center" vertical="top"/>
    </xf>
    <xf numFmtId="176" fontId="0" fillId="0" borderId="0" xfId="0" applyNumberFormat="1" applyAlignment="1">
      <alignment horizontal="center" vertical="top"/>
    </xf>
    <xf numFmtId="0" fontId="7" fillId="0" borderId="0" xfId="0" applyFont="1" applyAlignment="1">
      <alignment horizontal="left" vertical="center" wrapText="1"/>
    </xf>
    <xf numFmtId="1" fontId="0" fillId="0" borderId="22" xfId="0" applyNumberFormat="1" applyBorder="1" applyAlignment="1">
      <alignment vertical="top"/>
    </xf>
    <xf numFmtId="1" fontId="0" fillId="0" borderId="24" xfId="0" applyNumberFormat="1" applyBorder="1" applyAlignment="1">
      <alignment vertical="top"/>
    </xf>
    <xf numFmtId="1" fontId="0" fillId="0" borderId="0" xfId="0" applyNumberFormat="1" applyAlignment="1">
      <alignment vertical="top"/>
    </xf>
    <xf numFmtId="0" fontId="2" fillId="2" borderId="45" xfId="6" applyBorder="1" applyAlignment="1">
      <alignment vertical="top" wrapText="1"/>
    </xf>
    <xf numFmtId="0" fontId="2" fillId="2" borderId="46" xfId="6" applyBorder="1" applyAlignment="1">
      <alignment vertical="top" wrapText="1"/>
    </xf>
    <xf numFmtId="1" fontId="0" fillId="0" borderId="26" xfId="0" applyNumberFormat="1" applyBorder="1" applyAlignment="1">
      <alignment vertical="top"/>
    </xf>
    <xf numFmtId="1" fontId="0" fillId="0" borderId="14" xfId="0" applyNumberFormat="1" applyBorder="1" applyAlignment="1">
      <alignment vertical="top"/>
    </xf>
    <xf numFmtId="0" fontId="2" fillId="2" borderId="78" xfId="6" applyBorder="1" applyAlignment="1">
      <alignment vertical="top" wrapText="1"/>
    </xf>
    <xf numFmtId="0" fontId="0" fillId="0" borderId="36" xfId="0" applyBorder="1" applyAlignment="1">
      <alignment vertical="top" wrapText="1"/>
    </xf>
    <xf numFmtId="1" fontId="0" fillId="0" borderId="37" xfId="0" applyNumberFormat="1" applyBorder="1" applyAlignment="1">
      <alignment vertical="top"/>
    </xf>
    <xf numFmtId="0" fontId="0" fillId="0" borderId="37" xfId="0" applyBorder="1" applyAlignment="1">
      <alignment vertical="top"/>
    </xf>
    <xf numFmtId="0" fontId="0" fillId="0" borderId="38" xfId="0" applyBorder="1" applyAlignment="1">
      <alignment vertical="top"/>
    </xf>
    <xf numFmtId="0" fontId="0" fillId="0" borderId="9" xfId="0" applyBorder="1" applyAlignment="1">
      <alignment horizontal="left" vertical="top" wrapText="1"/>
    </xf>
    <xf numFmtId="0" fontId="0" fillId="0" borderId="1" xfId="0" applyBorder="1" applyAlignment="1">
      <alignment horizontal="left" vertical="top"/>
    </xf>
    <xf numFmtId="0" fontId="9" fillId="5" borderId="1" xfId="0" applyFont="1" applyFill="1" applyBorder="1" applyAlignment="1">
      <alignment horizontal="center" vertical="center"/>
    </xf>
    <xf numFmtId="0" fontId="9" fillId="5" borderId="9" xfId="0" applyFont="1" applyFill="1" applyBorder="1" applyAlignment="1">
      <alignment horizontal="center" vertical="center"/>
    </xf>
    <xf numFmtId="1" fontId="0" fillId="0" borderId="0" xfId="0" applyNumberFormat="1" applyAlignment="1">
      <alignment horizontal="center" vertical="center"/>
    </xf>
    <xf numFmtId="1" fontId="0" fillId="0" borderId="0" xfId="0" applyNumberFormat="1" applyAlignment="1">
      <alignment horizontal="center" vertical="center" wrapText="1"/>
    </xf>
    <xf numFmtId="1" fontId="64" fillId="0" borderId="75" xfId="46" applyNumberFormat="1" applyFont="1" applyBorder="1" applyAlignment="1" applyProtection="1">
      <alignment horizontal="center" vertical="center"/>
    </xf>
    <xf numFmtId="1" fontId="64" fillId="0" borderId="72" xfId="46" applyNumberFormat="1" applyFont="1" applyBorder="1" applyAlignment="1" applyProtection="1">
      <alignment horizontal="center" vertical="center"/>
    </xf>
    <xf numFmtId="1" fontId="0" fillId="0" borderId="72" xfId="0" applyNumberFormat="1" applyBorder="1" applyAlignment="1">
      <alignment horizontal="center" vertical="center"/>
    </xf>
    <xf numFmtId="1" fontId="33" fillId="3" borderId="79" xfId="0" applyNumberFormat="1" applyFont="1" applyFill="1" applyBorder="1" applyAlignment="1">
      <alignment horizontal="left" vertical="center" textRotation="90" wrapText="1"/>
    </xf>
    <xf numFmtId="0" fontId="7" fillId="0" borderId="81" xfId="0" applyFont="1" applyBorder="1" applyAlignment="1">
      <alignment horizontal="center" vertical="top" wrapText="1"/>
    </xf>
    <xf numFmtId="0" fontId="1" fillId="0" borderId="72" xfId="0" applyFont="1" applyBorder="1" applyAlignment="1">
      <alignment horizontal="center" vertical="center"/>
    </xf>
    <xf numFmtId="0" fontId="1" fillId="0" borderId="75" xfId="0" applyFont="1" applyBorder="1" applyAlignment="1">
      <alignment horizontal="center" vertical="center"/>
    </xf>
    <xf numFmtId="1" fontId="64" fillId="0" borderId="75" xfId="46" applyNumberFormat="1" applyFont="1" applyFill="1" applyBorder="1" applyAlignment="1" applyProtection="1">
      <alignment horizontal="center" vertical="center"/>
    </xf>
    <xf numFmtId="0" fontId="0" fillId="0" borderId="0" xfId="0" applyBorder="1" applyAlignment="1">
      <alignment vertical="center" wrapText="1"/>
    </xf>
    <xf numFmtId="0" fontId="7" fillId="0" borderId="0" xfId="0" applyFont="1"/>
    <xf numFmtId="0" fontId="11" fillId="32" borderId="0" xfId="0" applyFont="1" applyFill="1" applyAlignment="1">
      <alignment vertical="top"/>
    </xf>
    <xf numFmtId="0" fontId="0" fillId="32" borderId="0" xfId="0" applyFill="1" applyAlignment="1">
      <alignment vertical="top"/>
    </xf>
    <xf numFmtId="2" fontId="1" fillId="0" borderId="75" xfId="0" applyNumberFormat="1" applyFont="1" applyBorder="1" applyAlignment="1" applyProtection="1">
      <alignment horizontal="center" vertical="center"/>
      <protection locked="0"/>
    </xf>
    <xf numFmtId="2" fontId="1" fillId="0" borderId="72" xfId="0" applyNumberFormat="1" applyFont="1" applyBorder="1" applyAlignment="1" applyProtection="1">
      <alignment horizontal="center" vertical="center"/>
      <protection locked="0"/>
    </xf>
    <xf numFmtId="4" fontId="0" fillId="0" borderId="9" xfId="0" applyNumberFormat="1" applyBorder="1" applyAlignment="1">
      <alignment horizontal="right" vertical="center" wrapText="1"/>
    </xf>
    <xf numFmtId="4" fontId="0" fillId="0" borderId="9" xfId="0" applyNumberFormat="1" applyBorder="1" applyAlignment="1">
      <alignment horizontal="right" vertical="center"/>
    </xf>
    <xf numFmtId="0" fontId="0" fillId="0" borderId="9" xfId="0" applyBorder="1" applyAlignment="1">
      <alignment horizontal="left" vertical="top" wrapText="1"/>
    </xf>
    <xf numFmtId="173" fontId="0" fillId="29" borderId="40" xfId="0" applyNumberFormat="1" applyFill="1" applyBorder="1" applyAlignment="1">
      <alignment horizontal="center" vertical="center" wrapText="1"/>
    </xf>
    <xf numFmtId="2" fontId="0" fillId="28" borderId="0" xfId="0" applyNumberFormat="1" applyFill="1" applyBorder="1" applyAlignment="1">
      <alignment horizontal="center" vertical="center" wrapText="1"/>
    </xf>
    <xf numFmtId="2" fontId="0" fillId="27" borderId="41" xfId="0" applyNumberFormat="1" applyFill="1" applyBorder="1" applyAlignment="1">
      <alignment horizontal="center" vertical="center" wrapText="1"/>
    </xf>
    <xf numFmtId="0" fontId="0" fillId="0" borderId="40" xfId="0" applyBorder="1" applyAlignment="1">
      <alignment vertical="center" wrapText="1"/>
    </xf>
    <xf numFmtId="2" fontId="0" fillId="20" borderId="41" xfId="0" applyNumberFormat="1" applyFill="1" applyBorder="1" applyAlignment="1">
      <alignment horizontal="center" vertical="center" wrapText="1"/>
    </xf>
    <xf numFmtId="0" fontId="0" fillId="0" borderId="41" xfId="0" applyBorder="1" applyAlignment="1">
      <alignment vertical="center" wrapText="1"/>
    </xf>
    <xf numFmtId="0" fontId="7" fillId="33" borderId="85" xfId="50" applyFont="1" applyBorder="1" applyAlignment="1">
      <alignment horizontal="center" vertical="center" wrapText="1"/>
    </xf>
    <xf numFmtId="0" fontId="33" fillId="14" borderId="86" xfId="0" applyFont="1" applyFill="1" applyBorder="1" applyAlignment="1">
      <alignment horizontal="left" vertical="center" wrapText="1"/>
    </xf>
    <xf numFmtId="0" fontId="33" fillId="14" borderId="87" xfId="0" applyFont="1" applyFill="1" applyBorder="1" applyAlignment="1">
      <alignment horizontal="left" vertical="center" wrapText="1"/>
    </xf>
    <xf numFmtId="0" fontId="33" fillId="14" borderId="88" xfId="0" applyFont="1" applyFill="1" applyBorder="1" applyAlignment="1">
      <alignment horizontal="left" vertical="center" wrapText="1"/>
    </xf>
    <xf numFmtId="0" fontId="0" fillId="0" borderId="40"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7" fillId="33" borderId="89" xfId="50" applyFont="1" applyBorder="1" applyAlignment="1">
      <alignment horizontal="center" vertical="center" wrapText="1"/>
    </xf>
    <xf numFmtId="0" fontId="33" fillId="14" borderId="90" xfId="0" applyFont="1" applyFill="1" applyBorder="1" applyAlignment="1">
      <alignment horizontal="left" vertical="center" wrapText="1"/>
    </xf>
    <xf numFmtId="0" fontId="33" fillId="7" borderId="87" xfId="0" applyFont="1" applyFill="1" applyBorder="1" applyAlignment="1">
      <alignment horizontal="left" vertical="center" wrapText="1"/>
    </xf>
    <xf numFmtId="0" fontId="33" fillId="7" borderId="90" xfId="0" applyFont="1" applyFill="1" applyBorder="1" applyAlignment="1">
      <alignment horizontal="left" vertical="center" wrapText="1"/>
    </xf>
    <xf numFmtId="10" fontId="33" fillId="3" borderId="73" xfId="2" applyNumberFormat="1" applyFont="1" applyFill="1" applyBorder="1" applyAlignment="1">
      <alignment horizontal="left" vertical="center" wrapText="1"/>
    </xf>
    <xf numFmtId="2" fontId="0" fillId="27" borderId="0" xfId="0" applyNumberFormat="1" applyFill="1" applyBorder="1" applyAlignment="1">
      <alignment horizontal="center" vertical="center" wrapText="1"/>
    </xf>
    <xf numFmtId="0" fontId="33" fillId="3" borderId="87" xfId="0" applyFont="1" applyFill="1" applyBorder="1" applyAlignment="1">
      <alignment horizontal="left" vertical="center" wrapText="1"/>
    </xf>
    <xf numFmtId="0" fontId="33" fillId="3" borderId="90" xfId="0" applyFont="1" applyFill="1" applyBorder="1" applyAlignment="1">
      <alignment horizontal="left" vertical="center" wrapText="1"/>
    </xf>
    <xf numFmtId="166" fontId="0" fillId="0" borderId="0" xfId="0" applyNumberFormat="1" applyBorder="1" applyAlignment="1">
      <alignment vertical="center"/>
    </xf>
    <xf numFmtId="166" fontId="0" fillId="0" borderId="0" xfId="0" applyNumberFormat="1" applyBorder="1" applyAlignment="1">
      <alignment vertical="center" wrapText="1"/>
    </xf>
    <xf numFmtId="0" fontId="63" fillId="5" borderId="87" xfId="0" applyFont="1" applyFill="1" applyBorder="1" applyAlignment="1">
      <alignment horizontal="left" vertical="center" wrapText="1"/>
    </xf>
    <xf numFmtId="0" fontId="63" fillId="5" borderId="90" xfId="0" applyFont="1" applyFill="1" applyBorder="1" applyAlignment="1">
      <alignment horizontal="left" vertical="center" wrapText="1"/>
    </xf>
    <xf numFmtId="0" fontId="0" fillId="0" borderId="0" xfId="0" applyBorder="1"/>
    <xf numFmtId="0" fontId="33" fillId="8" borderId="87" xfId="0" applyFont="1" applyFill="1" applyBorder="1" applyAlignment="1">
      <alignment horizontal="left" vertical="center" wrapText="1"/>
    </xf>
    <xf numFmtId="0" fontId="33" fillId="8" borderId="90" xfId="0" applyFont="1" applyFill="1" applyBorder="1" applyAlignment="1">
      <alignment horizontal="left" vertical="center" wrapText="1"/>
    </xf>
    <xf numFmtId="1" fontId="33" fillId="3" borderId="102" xfId="0" applyNumberFormat="1" applyFont="1" applyFill="1" applyBorder="1" applyAlignment="1">
      <alignment horizontal="left" vertical="center" textRotation="90" wrapText="1"/>
    </xf>
    <xf numFmtId="0" fontId="0" fillId="0" borderId="41" xfId="0" applyBorder="1"/>
    <xf numFmtId="173" fontId="0" fillId="0" borderId="103" xfId="0" applyNumberFormat="1" applyBorder="1" applyAlignment="1">
      <alignment horizontal="center" vertical="center" wrapText="1"/>
    </xf>
    <xf numFmtId="173" fontId="0" fillId="0" borderId="104" xfId="0" applyNumberFormat="1" applyBorder="1" applyAlignment="1">
      <alignment horizontal="center" vertical="center" wrapText="1"/>
    </xf>
    <xf numFmtId="0" fontId="33" fillId="3" borderId="86" xfId="0" applyFont="1" applyFill="1" applyBorder="1" applyAlignment="1">
      <alignment horizontal="left" vertical="center" wrapText="1"/>
    </xf>
    <xf numFmtId="10" fontId="33" fillId="3" borderId="87" xfId="2" applyNumberFormat="1" applyFont="1" applyFill="1" applyBorder="1" applyAlignment="1">
      <alignment horizontal="left" vertical="center" wrapText="1"/>
    </xf>
    <xf numFmtId="10" fontId="33" fillId="3" borderId="90" xfId="2" applyNumberFormat="1" applyFont="1" applyFill="1" applyBorder="1" applyAlignment="1">
      <alignment horizontal="left" vertical="center" wrapText="1"/>
    </xf>
    <xf numFmtId="0" fontId="44" fillId="23" borderId="13" xfId="23" applyAlignment="1">
      <alignment horizontal="center" vertical="center"/>
    </xf>
    <xf numFmtId="0" fontId="0" fillId="0" borderId="0" xfId="0" applyAlignment="1">
      <alignment horizontal="right"/>
    </xf>
    <xf numFmtId="0" fontId="0" fillId="0" borderId="9"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40"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xf>
    <xf numFmtId="0" fontId="69" fillId="0" borderId="40" xfId="0" applyFont="1" applyBorder="1" applyAlignment="1">
      <alignment horizontal="left" vertical="top" wrapText="1"/>
    </xf>
    <xf numFmtId="0" fontId="11" fillId="0" borderId="0" xfId="0" applyFont="1" applyAlignment="1">
      <alignment horizontal="left"/>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176" fontId="0" fillId="0" borderId="1" xfId="0" applyNumberFormat="1" applyBorder="1" applyAlignment="1">
      <alignment horizontal="center" vertical="top"/>
    </xf>
    <xf numFmtId="176" fontId="0" fillId="0" borderId="2" xfId="0" applyNumberFormat="1" applyBorder="1" applyAlignment="1">
      <alignment horizontal="center" vertical="top"/>
    </xf>
    <xf numFmtId="49" fontId="0" fillId="0" borderId="15" xfId="0" applyNumberFormat="1" applyBorder="1" applyAlignment="1">
      <alignment horizontal="center" vertical="top"/>
    </xf>
    <xf numFmtId="49" fontId="0" fillId="0" borderId="3" xfId="0" applyNumberFormat="1" applyBorder="1" applyAlignment="1">
      <alignment horizontal="center" vertical="top"/>
    </xf>
    <xf numFmtId="49" fontId="0" fillId="0" borderId="6" xfId="0" applyNumberFormat="1" applyBorder="1" applyAlignment="1">
      <alignment horizontal="center" vertical="top"/>
    </xf>
    <xf numFmtId="176" fontId="0" fillId="0" borderId="4" xfId="0" applyNumberFormat="1" applyBorder="1" applyAlignment="1">
      <alignment horizontal="center" vertical="top"/>
    </xf>
    <xf numFmtId="176" fontId="0" fillId="0" borderId="10" xfId="0" applyNumberFormat="1" applyBorder="1" applyAlignment="1">
      <alignment horizontal="center" vertical="top"/>
    </xf>
    <xf numFmtId="176" fontId="0" fillId="0" borderId="40" xfId="0" applyNumberFormat="1" applyBorder="1" applyAlignment="1">
      <alignment horizontal="center" vertical="top"/>
    </xf>
    <xf numFmtId="176" fontId="0" fillId="0" borderId="41" xfId="0" applyNumberFormat="1" applyBorder="1" applyAlignment="1">
      <alignment horizontal="center" vertical="top"/>
    </xf>
    <xf numFmtId="176" fontId="0" fillId="0" borderId="5" xfId="0" applyNumberFormat="1" applyBorder="1" applyAlignment="1">
      <alignment horizontal="center" vertical="top"/>
    </xf>
    <xf numFmtId="176" fontId="0" fillId="0" borderId="11" xfId="0" applyNumberFormat="1" applyBorder="1" applyAlignment="1">
      <alignment horizontal="center" vertical="top"/>
    </xf>
    <xf numFmtId="0" fontId="0" fillId="0" borderId="4" xfId="0" applyBorder="1" applyAlignment="1">
      <alignment horizontal="left" vertical="top"/>
    </xf>
    <xf numFmtId="0" fontId="0" fillId="0" borderId="40" xfId="0" applyBorder="1" applyAlignment="1">
      <alignment horizontal="left" vertical="top"/>
    </xf>
    <xf numFmtId="0" fontId="0" fillId="0" borderId="5" xfId="0" applyBorder="1" applyAlignment="1">
      <alignment horizontal="left" vertical="top"/>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7" fillId="0" borderId="40" xfId="0" applyFont="1" applyBorder="1" applyAlignment="1">
      <alignment horizontal="left" vertical="center" wrapText="1"/>
    </xf>
    <xf numFmtId="0" fontId="7" fillId="0" borderId="0" xfId="0" applyFont="1" applyBorder="1" applyAlignment="1">
      <alignment horizontal="left" vertical="center" wrapText="1"/>
    </xf>
    <xf numFmtId="0" fontId="7" fillId="0" borderId="41" xfId="0" applyFont="1" applyBorder="1" applyAlignment="1">
      <alignment horizontal="left" vertical="center" wrapText="1"/>
    </xf>
    <xf numFmtId="0" fontId="0" fillId="14" borderId="93" xfId="0" applyFill="1" applyBorder="1" applyAlignment="1">
      <alignment horizontal="center" vertical="center"/>
    </xf>
    <xf numFmtId="0" fontId="0" fillId="14" borderId="77" xfId="0" applyFill="1" applyBorder="1" applyAlignment="1">
      <alignment horizontal="center" vertical="center"/>
    </xf>
    <xf numFmtId="0" fontId="0" fillId="14" borderId="94" xfId="0" applyFill="1" applyBorder="1" applyAlignment="1">
      <alignment horizontal="center" vertical="center"/>
    </xf>
    <xf numFmtId="0" fontId="0" fillId="32" borderId="95" xfId="0" applyFill="1" applyBorder="1" applyAlignment="1">
      <alignment horizontal="center" vertical="center"/>
    </xf>
    <xf numFmtId="0" fontId="0" fillId="32" borderId="83" xfId="0" applyFill="1" applyBorder="1" applyAlignment="1">
      <alignment horizontal="center" vertical="center"/>
    </xf>
    <xf numFmtId="0" fontId="0" fillId="32" borderId="96" xfId="0" applyFill="1" applyBorder="1" applyAlignment="1">
      <alignment horizontal="center" vertical="center"/>
    </xf>
    <xf numFmtId="0" fontId="7" fillId="9" borderId="8" xfId="50" applyFont="1" applyFill="1" applyBorder="1" applyAlignment="1">
      <alignment horizontal="center" vertical="center" wrapText="1"/>
    </xf>
    <xf numFmtId="0" fontId="7" fillId="9" borderId="80" xfId="50" applyFont="1" applyFill="1" applyBorder="1" applyAlignment="1">
      <alignment horizontal="center" vertical="center" wrapText="1"/>
    </xf>
    <xf numFmtId="0" fontId="7" fillId="9" borderId="0" xfId="50" applyFont="1" applyFill="1" applyBorder="1" applyAlignment="1">
      <alignment horizontal="center" vertical="center" wrapText="1"/>
    </xf>
    <xf numFmtId="0" fontId="7" fillId="0" borderId="4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0" xfId="0" applyFont="1" applyBorder="1" applyAlignment="1">
      <alignment horizontal="center" vertical="center" wrapText="1"/>
    </xf>
    <xf numFmtId="0" fontId="37" fillId="0" borderId="91" xfId="15" applyBorder="1" applyAlignment="1">
      <alignment horizontal="center" vertical="center"/>
    </xf>
    <xf numFmtId="0" fontId="37" fillId="0" borderId="82" xfId="15" applyBorder="1" applyAlignment="1">
      <alignment horizontal="center" vertical="center"/>
    </xf>
    <xf numFmtId="0" fontId="37" fillId="0" borderId="92" xfId="15" applyBorder="1" applyAlignment="1">
      <alignment horizontal="center" vertical="center"/>
    </xf>
    <xf numFmtId="0" fontId="63" fillId="5" borderId="9" xfId="0" applyFont="1" applyFill="1" applyBorder="1" applyAlignment="1">
      <alignment horizontal="center" vertical="center"/>
    </xf>
    <xf numFmtId="0" fontId="0" fillId="0" borderId="9" xfId="0" applyBorder="1" applyAlignment="1">
      <alignment horizontal="left" vertical="center"/>
    </xf>
    <xf numFmtId="0" fontId="7" fillId="33" borderId="62" xfId="50" applyFont="1" applyBorder="1" applyAlignment="1">
      <alignment horizontal="center" vertical="center" wrapText="1"/>
    </xf>
    <xf numFmtId="0" fontId="7" fillId="33" borderId="64" xfId="50" applyFont="1" applyBorder="1" applyAlignment="1">
      <alignment horizontal="center" vertical="center" wrapText="1"/>
    </xf>
    <xf numFmtId="0" fontId="63" fillId="5" borderId="9" xfId="0" applyFont="1" applyFill="1" applyBorder="1" applyAlignment="1">
      <alignment horizontal="left" vertical="center"/>
    </xf>
    <xf numFmtId="0" fontId="7" fillId="0" borderId="56" xfId="0" applyFont="1" applyBorder="1" applyAlignment="1">
      <alignment horizontal="left" vertical="center" wrapText="1"/>
    </xf>
    <xf numFmtId="0" fontId="7" fillId="0" borderId="61" xfId="0" applyFont="1" applyBorder="1" applyAlignment="1">
      <alignment horizontal="left" vertical="center" wrapText="1"/>
    </xf>
    <xf numFmtId="0" fontId="7" fillId="0" borderId="59" xfId="0" applyFont="1" applyBorder="1" applyAlignment="1">
      <alignment horizontal="right" vertical="center" wrapText="1"/>
    </xf>
    <xf numFmtId="0" fontId="7" fillId="0" borderId="105" xfId="0" applyFont="1" applyBorder="1" applyAlignment="1">
      <alignment horizontal="right" vertical="center" wrapText="1"/>
    </xf>
    <xf numFmtId="0" fontId="7" fillId="0" borderId="106" xfId="0" applyFont="1" applyBorder="1" applyAlignment="1">
      <alignment horizontal="right" vertical="center" wrapText="1"/>
    </xf>
    <xf numFmtId="1" fontId="7" fillId="33" borderId="101" xfId="50" applyNumberFormat="1" applyFont="1" applyBorder="1" applyAlignment="1">
      <alignment horizontal="center" vertical="center" wrapText="1"/>
    </xf>
    <xf numFmtId="1" fontId="7" fillId="33" borderId="47" xfId="50" applyNumberFormat="1" applyFont="1" applyBorder="1" applyAlignment="1">
      <alignment horizontal="center" vertical="center" wrapText="1"/>
    </xf>
    <xf numFmtId="0" fontId="7" fillId="0" borderId="97" xfId="0" applyFont="1" applyBorder="1" applyAlignment="1">
      <alignment horizontal="left" vertical="center" wrapText="1"/>
    </xf>
    <xf numFmtId="0" fontId="7" fillId="0" borderId="51" xfId="0" applyFont="1" applyBorder="1" applyAlignment="1">
      <alignment horizontal="left" vertical="center" wrapText="1"/>
    </xf>
    <xf numFmtId="0" fontId="7" fillId="0" borderId="98" xfId="0" applyFont="1" applyBorder="1" applyAlignment="1">
      <alignment horizontal="left" vertical="center" wrapText="1"/>
    </xf>
    <xf numFmtId="0" fontId="7" fillId="0" borderId="99" xfId="0" applyFont="1" applyBorder="1" applyAlignment="1">
      <alignment horizontal="left" vertical="center" wrapText="1"/>
    </xf>
    <xf numFmtId="0" fontId="7" fillId="0" borderId="50" xfId="0" applyFont="1" applyBorder="1" applyAlignment="1">
      <alignment horizontal="left" vertical="center" wrapText="1"/>
    </xf>
    <xf numFmtId="0" fontId="7" fillId="0" borderId="100" xfId="0" applyFont="1" applyBorder="1" applyAlignment="1">
      <alignment horizontal="left" vertical="center" wrapText="1"/>
    </xf>
    <xf numFmtId="2" fontId="0" fillId="20" borderId="0" xfId="0" applyNumberFormat="1" applyFill="1" applyAlignment="1">
      <alignment horizontal="center"/>
    </xf>
    <xf numFmtId="0" fontId="7" fillId="9" borderId="56" xfId="0" applyFont="1" applyFill="1" applyBorder="1" applyAlignment="1">
      <alignment horizontal="left" vertical="top" wrapText="1"/>
    </xf>
    <xf numFmtId="0" fontId="7" fillId="9" borderId="60" xfId="0" applyFont="1" applyFill="1" applyBorder="1" applyAlignment="1">
      <alignment horizontal="left" vertical="top" wrapText="1"/>
    </xf>
    <xf numFmtId="0" fontId="7" fillId="9" borderId="53" xfId="0" applyFont="1" applyFill="1" applyBorder="1" applyAlignment="1">
      <alignment horizontal="left" vertical="top" wrapText="1"/>
    </xf>
    <xf numFmtId="0" fontId="7" fillId="9" borderId="57" xfId="0" applyFont="1" applyFill="1" applyBorder="1" applyAlignment="1">
      <alignment horizontal="left" vertical="top" wrapText="1"/>
    </xf>
    <xf numFmtId="0" fontId="7" fillId="9" borderId="0" xfId="0" applyFont="1" applyFill="1" applyAlignment="1">
      <alignment horizontal="left" vertical="top" wrapText="1"/>
    </xf>
    <xf numFmtId="0" fontId="7" fillId="9" borderId="54" xfId="0" applyFont="1" applyFill="1" applyBorder="1" applyAlignment="1">
      <alignment horizontal="left" vertical="top" wrapText="1"/>
    </xf>
    <xf numFmtId="0" fontId="7" fillId="9" borderId="58" xfId="0" applyFont="1" applyFill="1" applyBorder="1" applyAlignment="1">
      <alignment horizontal="left" vertical="top" wrapText="1"/>
    </xf>
    <xf numFmtId="0" fontId="7" fillId="9" borderId="61" xfId="0" applyFont="1" applyFill="1" applyBorder="1" applyAlignment="1">
      <alignment horizontal="left" vertical="top" wrapText="1"/>
    </xf>
    <xf numFmtId="0" fontId="7" fillId="9" borderId="55" xfId="0" applyFont="1" applyFill="1" applyBorder="1" applyAlignment="1">
      <alignment horizontal="left" vertical="top" wrapText="1"/>
    </xf>
    <xf numFmtId="173" fontId="0" fillId="29" borderId="0" xfId="0" applyNumberFormat="1" applyFill="1" applyAlignment="1">
      <alignment horizontal="center"/>
    </xf>
    <xf numFmtId="173" fontId="0" fillId="29" borderId="41" xfId="0" applyNumberFormat="1" applyFill="1" applyBorder="1" applyAlignment="1">
      <alignment horizontal="center"/>
    </xf>
    <xf numFmtId="2" fontId="0" fillId="28" borderId="0" xfId="0" applyNumberFormat="1" applyFill="1" applyAlignment="1">
      <alignment horizontal="center"/>
    </xf>
    <xf numFmtId="2" fontId="0" fillId="28" borderId="41" xfId="0" applyNumberFormat="1" applyFill="1" applyBorder="1" applyAlignment="1">
      <alignment horizontal="center"/>
    </xf>
    <xf numFmtId="2" fontId="0" fillId="27" borderId="0" xfId="0" applyNumberFormat="1" applyFill="1" applyAlignment="1">
      <alignment horizontal="center"/>
    </xf>
    <xf numFmtId="2" fontId="0" fillId="27" borderId="41" xfId="0" applyNumberFormat="1" applyFill="1" applyBorder="1" applyAlignment="1">
      <alignment horizontal="center"/>
    </xf>
    <xf numFmtId="0" fontId="0" fillId="33" borderId="47" xfId="50" applyFont="1" applyAlignment="1">
      <alignment horizontal="left" vertical="top" wrapText="1"/>
    </xf>
    <xf numFmtId="0" fontId="0" fillId="33" borderId="62" xfId="50" applyFont="1" applyBorder="1" applyAlignment="1">
      <alignment horizontal="left" vertical="top" wrapText="1"/>
    </xf>
    <xf numFmtId="0" fontId="0" fillId="33" borderId="64" xfId="50" applyFont="1" applyBorder="1" applyAlignment="1">
      <alignment horizontal="left" vertical="top" wrapText="1"/>
    </xf>
    <xf numFmtId="0" fontId="0" fillId="33" borderId="69" xfId="50" applyFont="1" applyBorder="1" applyAlignment="1">
      <alignment horizontal="left" vertical="top" wrapText="1"/>
    </xf>
    <xf numFmtId="0" fontId="0" fillId="33" borderId="70" xfId="50" applyFont="1" applyBorder="1" applyAlignment="1">
      <alignment horizontal="left" vertical="top" wrapText="1"/>
    </xf>
    <xf numFmtId="0" fontId="0" fillId="33" borderId="65" xfId="50" applyFont="1" applyBorder="1" applyAlignment="1">
      <alignment horizontal="left" vertical="top" wrapText="1"/>
    </xf>
    <xf numFmtId="0" fontId="0" fillId="33" borderId="67" xfId="50" applyFont="1" applyBorder="1" applyAlignment="1">
      <alignment horizontal="left" vertical="top" wrapText="1"/>
    </xf>
    <xf numFmtId="0" fontId="7" fillId="33" borderId="47" xfId="50" applyFont="1" applyAlignment="1">
      <alignment horizontal="left" vertical="top" wrapText="1"/>
    </xf>
    <xf numFmtId="0" fontId="0" fillId="0" borderId="9" xfId="0" applyBorder="1" applyAlignment="1">
      <alignment horizontal="left" vertical="center" wrapText="1"/>
    </xf>
    <xf numFmtId="0" fontId="0" fillId="33" borderId="62" xfId="50" applyFont="1" applyBorder="1" applyAlignment="1">
      <alignment horizontal="center" vertical="top" wrapText="1"/>
    </xf>
    <xf numFmtId="0" fontId="0" fillId="33" borderId="63" xfId="50" applyFont="1" applyBorder="1" applyAlignment="1">
      <alignment horizontal="center" vertical="top" wrapText="1"/>
    </xf>
    <xf numFmtId="0" fontId="0" fillId="33" borderId="65" xfId="50" applyFont="1" applyBorder="1" applyAlignment="1">
      <alignment horizontal="center" vertical="top" wrapText="1"/>
    </xf>
    <xf numFmtId="0" fontId="0" fillId="33" borderId="66" xfId="50" applyFont="1" applyBorder="1" applyAlignment="1">
      <alignment horizontal="center" vertical="top" wrapText="1"/>
    </xf>
    <xf numFmtId="0" fontId="0" fillId="9" borderId="0" xfId="0" applyFill="1" applyAlignment="1">
      <alignment horizontal="left" vertical="top" wrapText="1"/>
    </xf>
    <xf numFmtId="0" fontId="66" fillId="23" borderId="0" xfId="48" applyFill="1" applyBorder="1" applyAlignment="1">
      <alignment horizontal="left" vertical="top" wrapText="1"/>
    </xf>
    <xf numFmtId="0" fontId="4" fillId="15" borderId="9" xfId="0" applyFont="1" applyFill="1" applyBorder="1" applyAlignment="1">
      <alignment horizontal="center" vertical="center" wrapText="1"/>
    </xf>
    <xf numFmtId="0" fontId="0" fillId="9" borderId="0" xfId="0" applyFill="1" applyAlignment="1">
      <alignment horizontal="left"/>
    </xf>
    <xf numFmtId="0" fontId="30" fillId="9" borderId="0" xfId="0" applyFont="1" applyFill="1" applyAlignment="1">
      <alignment horizontal="left"/>
    </xf>
    <xf numFmtId="0" fontId="33" fillId="14" borderId="1" xfId="0" applyFont="1" applyFill="1" applyBorder="1" applyAlignment="1" applyProtection="1">
      <alignment horizontal="center"/>
      <protection locked="0"/>
    </xf>
    <xf numFmtId="0" fontId="33" fillId="14" borderId="27" xfId="0" applyFont="1" applyFill="1" applyBorder="1" applyAlignment="1" applyProtection="1">
      <alignment horizontal="center"/>
      <protection locked="0"/>
    </xf>
    <xf numFmtId="0" fontId="33" fillId="14" borderId="2" xfId="0" applyFont="1" applyFill="1" applyBorder="1" applyAlignment="1" applyProtection="1">
      <alignment horizontal="center"/>
      <protection locked="0"/>
    </xf>
    <xf numFmtId="10" fontId="33" fillId="3" borderId="1" xfId="2" applyNumberFormat="1" applyFont="1" applyFill="1" applyBorder="1" applyAlignment="1">
      <alignment horizontal="center"/>
    </xf>
    <xf numFmtId="10" fontId="33" fillId="3" borderId="27" xfId="2" applyNumberFormat="1" applyFont="1" applyFill="1" applyBorder="1" applyAlignment="1">
      <alignment horizontal="center"/>
    </xf>
    <xf numFmtId="10" fontId="33" fillId="3" borderId="2" xfId="2" applyNumberFormat="1" applyFont="1" applyFill="1" applyBorder="1" applyAlignment="1">
      <alignment horizontal="center"/>
    </xf>
    <xf numFmtId="0" fontId="0" fillId="14" borderId="1" xfId="0" applyFill="1" applyBorder="1" applyAlignment="1">
      <alignment horizontal="center"/>
    </xf>
    <xf numFmtId="0" fontId="0" fillId="14" borderId="27" xfId="0" applyFill="1" applyBorder="1" applyAlignment="1">
      <alignment horizontal="center"/>
    </xf>
    <xf numFmtId="0" fontId="0" fillId="14" borderId="2" xfId="0" applyFill="1" applyBorder="1" applyAlignment="1">
      <alignment horizontal="center"/>
    </xf>
    <xf numFmtId="44" fontId="2" fillId="2" borderId="9" xfId="6" applyNumberFormat="1" applyBorder="1">
      <alignment horizontal="center" vertical="center" wrapText="1"/>
    </xf>
    <xf numFmtId="0" fontId="2" fillId="2" borderId="9" xfId="6" applyBorder="1" applyAlignment="1">
      <alignment horizontal="center" vertical="center"/>
    </xf>
    <xf numFmtId="4" fontId="0" fillId="13" borderId="9" xfId="0" applyNumberFormat="1" applyFill="1" applyBorder="1" applyAlignment="1">
      <alignment horizontal="center"/>
    </xf>
    <xf numFmtId="0" fontId="0" fillId="9" borderId="1" xfId="0" applyFill="1" applyBorder="1" applyAlignment="1">
      <alignment horizontal="left"/>
    </xf>
    <xf numFmtId="0" fontId="0" fillId="9" borderId="2" xfId="0" applyFill="1" applyBorder="1" applyAlignment="1">
      <alignment horizontal="left"/>
    </xf>
    <xf numFmtId="0" fontId="39" fillId="9" borderId="8" xfId="15" applyFont="1" applyFill="1" applyBorder="1" applyAlignment="1">
      <alignment horizontal="left" wrapText="1"/>
    </xf>
    <xf numFmtId="0" fontId="39" fillId="9" borderId="0" xfId="15" applyFont="1" applyFill="1" applyBorder="1" applyAlignment="1">
      <alignment horizontal="left" wrapText="1"/>
    </xf>
    <xf numFmtId="0" fontId="11" fillId="9" borderId="36" xfId="0" applyFont="1" applyFill="1" applyBorder="1" applyAlignment="1">
      <alignment horizontal="center" vertical="center" textRotation="90"/>
    </xf>
    <xf numFmtId="0" fontId="11" fillId="9" borderId="37" xfId="0" applyFont="1" applyFill="1" applyBorder="1" applyAlignment="1">
      <alignment horizontal="center" vertical="center" textRotation="90"/>
    </xf>
    <xf numFmtId="0" fontId="11" fillId="9" borderId="38" xfId="0" applyFont="1" applyFill="1" applyBorder="1" applyAlignment="1">
      <alignment horizontal="center" vertical="center" textRotation="90"/>
    </xf>
    <xf numFmtId="0" fontId="0" fillId="9" borderId="14" xfId="0" applyFill="1" applyBorder="1" applyAlignment="1">
      <alignment horizontal="left"/>
    </xf>
    <xf numFmtId="0" fontId="0" fillId="9" borderId="21" xfId="0" applyFill="1" applyBorder="1" applyAlignment="1">
      <alignment horizontal="left"/>
    </xf>
    <xf numFmtId="4" fontId="0" fillId="13" borderId="4" xfId="0" applyNumberFormat="1" applyFill="1" applyBorder="1" applyAlignment="1">
      <alignment horizontal="center" vertical="center" wrapText="1"/>
    </xf>
    <xf numFmtId="4" fontId="0" fillId="13" borderId="35" xfId="0" applyNumberFormat="1" applyFill="1" applyBorder="1" applyAlignment="1">
      <alignment horizontal="center" vertical="center" wrapText="1"/>
    </xf>
    <xf numFmtId="171" fontId="33" fillId="3" borderId="9" xfId="1" applyNumberFormat="1" applyFont="1" applyFill="1" applyBorder="1" applyAlignment="1">
      <alignment horizontal="center"/>
    </xf>
    <xf numFmtId="0" fontId="33" fillId="14" borderId="15" xfId="0" applyFont="1" applyFill="1" applyBorder="1" applyAlignment="1" applyProtection="1">
      <alignment horizontal="center" vertical="top" wrapText="1"/>
      <protection locked="0"/>
    </xf>
    <xf numFmtId="0" fontId="33" fillId="14" borderId="3" xfId="0" applyFont="1" applyFill="1" applyBorder="1" applyAlignment="1" applyProtection="1">
      <alignment horizontal="center" vertical="top" wrapText="1"/>
      <protection locked="0"/>
    </xf>
    <xf numFmtId="0" fontId="33" fillId="14" borderId="6" xfId="0" applyFont="1" applyFill="1" applyBorder="1" applyAlignment="1" applyProtection="1">
      <alignment horizontal="center" vertical="top" wrapText="1"/>
      <protection locked="0"/>
    </xf>
    <xf numFmtId="0" fontId="33" fillId="3" borderId="15" xfId="0" applyFont="1" applyFill="1" applyBorder="1" applyAlignment="1">
      <alignment horizontal="center" vertical="top" wrapText="1"/>
    </xf>
    <xf numFmtId="0" fontId="33" fillId="3" borderId="3" xfId="0" applyFont="1" applyFill="1" applyBorder="1" applyAlignment="1">
      <alignment horizontal="center" vertical="top" wrapText="1"/>
    </xf>
    <xf numFmtId="0" fontId="33" fillId="3" borderId="6" xfId="0" applyFont="1" applyFill="1" applyBorder="1" applyAlignment="1">
      <alignment horizontal="center" vertical="top" wrapText="1"/>
    </xf>
    <xf numFmtId="10" fontId="33" fillId="6" borderId="1" xfId="2" applyNumberFormat="1" applyFont="1" applyFill="1" applyBorder="1" applyAlignment="1" applyProtection="1">
      <alignment horizontal="center"/>
      <protection locked="0"/>
    </xf>
    <xf numFmtId="10" fontId="33" fillId="6" borderId="27" xfId="2" applyNumberFormat="1" applyFont="1" applyFill="1" applyBorder="1" applyAlignment="1" applyProtection="1">
      <alignment horizontal="center"/>
      <protection locked="0"/>
    </xf>
    <xf numFmtId="0" fontId="0" fillId="0" borderId="9" xfId="0" applyBorder="1" applyAlignment="1">
      <alignment horizontal="center" vertical="center"/>
    </xf>
    <xf numFmtId="0" fontId="3" fillId="0" borderId="9" xfId="13" applyBorder="1" applyAlignment="1">
      <alignment horizontal="center" vertical="center"/>
    </xf>
    <xf numFmtId="4" fontId="1" fillId="0" borderId="72" xfId="0" applyNumberFormat="1" applyFont="1" applyBorder="1" applyAlignment="1" applyProtection="1">
      <alignment vertical="center"/>
      <protection locked="0"/>
    </xf>
    <xf numFmtId="3" fontId="1" fillId="0" borderId="72" xfId="2" applyNumberFormat="1" applyFont="1" applyBorder="1" applyAlignment="1" applyProtection="1">
      <alignment vertical="center"/>
      <protection locked="0"/>
    </xf>
    <xf numFmtId="0" fontId="44" fillId="23" borderId="107" xfId="23" applyBorder="1" applyAlignment="1">
      <alignment horizontal="center" vertical="center"/>
    </xf>
    <xf numFmtId="0" fontId="44" fillId="23" borderId="8" xfId="23" applyBorder="1" applyAlignment="1">
      <alignment horizontal="center" vertical="center"/>
    </xf>
    <xf numFmtId="0" fontId="7" fillId="0" borderId="9" xfId="0" applyFont="1" applyBorder="1" applyAlignment="1">
      <alignment vertical="center"/>
    </xf>
  </cellXfs>
  <cellStyles count="51">
    <cellStyle name="Bad 2" xfId="31" xr:uid="{D0B05FA5-3C28-4728-9054-3982736AEF3C}"/>
    <cellStyle name="Calculation 2" xfId="35" xr:uid="{381A12AA-D971-49A7-B613-A3B02EFE4CF9}"/>
    <cellStyle name="Calculation with Different Formula" xfId="44" xr:uid="{40BCE340-A679-4FCE-888D-D5D1967C57BF}"/>
    <cellStyle name="Check Cell 2" xfId="37" xr:uid="{A29AF5A1-F83E-43CA-85A7-21DF4954C564}"/>
    <cellStyle name="Comma" xfId="1" builtinId="3"/>
    <cellStyle name="Comma 18" xfId="14" xr:uid="{A81BAAF4-169A-9B43-A56D-ACE2BA05037E}"/>
    <cellStyle name="Comma 2" xfId="10" xr:uid="{C5A56A6F-4EDB-43FF-9507-FF2F2E101CF7}"/>
    <cellStyle name="Comma 3" xfId="22" xr:uid="{BF70D331-5432-4CC6-A334-A030E8196D31}"/>
    <cellStyle name="Currency" xfId="46" builtinId="4"/>
    <cellStyle name="Currency 2" xfId="24" xr:uid="{C29C96CD-60C0-4497-B103-C9133156036B}"/>
    <cellStyle name="Datetime Format" xfId="42" xr:uid="{8AEF6069-AB7A-472B-BDC3-A0F9B4D24686}"/>
    <cellStyle name="Dollars Format" xfId="43" xr:uid="{889C3C68-8E5F-47CA-82CE-6C6ED5EBC1E8}"/>
    <cellStyle name="Dropdown Input" xfId="45" xr:uid="{1678C0FE-9BA1-421E-BBB9-2BED42610F08}"/>
    <cellStyle name="Explanatory Text" xfId="15" builtinId="53"/>
    <cellStyle name="Explanatory Text 2" xfId="40" xr:uid="{40970DC8-D56B-4603-A1A6-F8AB5A0F165B}"/>
    <cellStyle name="Good 2" xfId="30" xr:uid="{768ECDED-2D23-415A-9F25-CB6EF9C443E4}"/>
    <cellStyle name="Heading" xfId="6" xr:uid="{8FE4F839-F6E0-4481-97F9-AE4479C4B020}"/>
    <cellStyle name="Heading 1" xfId="47" builtinId="16"/>
    <cellStyle name="Heading 1 2" xfId="26" xr:uid="{162BAC3E-A3F7-413F-92BB-BEE5450D04E6}"/>
    <cellStyle name="Heading 2" xfId="49" builtinId="17"/>
    <cellStyle name="Heading 2 2" xfId="27" xr:uid="{980785EF-4618-4F0D-9BF8-EC906EA99782}"/>
    <cellStyle name="Heading 3 2" xfId="28" xr:uid="{88F80014-6B41-4DE4-B71C-C3D50B8875E1}"/>
    <cellStyle name="Heading 4 2" xfId="29" xr:uid="{D045B3D7-1D0D-4A0E-8140-AAA97ADF5534}"/>
    <cellStyle name="Hyperlink" xfId="23" builtinId="8" customBuiltin="1"/>
    <cellStyle name="Hyperlink 2" xfId="48" xr:uid="{CED2D85F-BCB2-425C-BCEA-6DCB1ED3C19D}"/>
    <cellStyle name="Input 2" xfId="33" xr:uid="{C847C6A9-D212-454A-A300-ACE554D8AAC6}"/>
    <cellStyle name="Linked Cell 2" xfId="36" xr:uid="{A7737CA1-8691-4606-BD1D-F4CC1BDA97EB}"/>
    <cellStyle name="Neutral 2" xfId="32" xr:uid="{F4204890-F7D7-4763-AB7A-C1AB974E7B96}"/>
    <cellStyle name="Normal" xfId="0" builtinId="0"/>
    <cellStyle name="Normal 2" xfId="13" xr:uid="{FB1CEE69-7BAF-7D47-9F2D-8E78E3AFA7AD}"/>
    <cellStyle name="Normal 3" xfId="16" xr:uid="{634065D0-8B8A-46F1-A563-0D0B700E57A7}"/>
    <cellStyle name="Normal 30 2" xfId="3" xr:uid="{1D73EC0B-FCDA-4753-89A0-7281C6198EBE}"/>
    <cellStyle name="Normal 4" xfId="11" xr:uid="{367C1F84-65B4-4FA6-A5CF-927771A168B1}"/>
    <cellStyle name="Normal 5 2 2" xfId="4" xr:uid="{310F91FA-E449-43C2-9046-45680AC2F8BD}"/>
    <cellStyle name="Note" xfId="50" builtinId="10"/>
    <cellStyle name="Note 2" xfId="39" xr:uid="{142A7BD7-E7B3-4B0F-B31F-B832ACB5D677}"/>
    <cellStyle name="Output 2" xfId="34" xr:uid="{FBAF6970-5689-444C-8770-AA57F41BD7DE}"/>
    <cellStyle name="Percent" xfId="2" builtinId="5"/>
    <cellStyle name="Percent 10" xfId="5" xr:uid="{D67E511B-D5A7-4ED6-A7C1-AC682255FCE0}"/>
    <cellStyle name="Percent 2" xfId="8" xr:uid="{BB1DFE22-A831-476C-9194-4342B105A526}"/>
    <cellStyle name="Percent 2 2" xfId="12" xr:uid="{790E68DD-33A8-477D-9A16-AB26A2A029DE}"/>
    <cellStyle name="Percent 3" xfId="21" xr:uid="{B70F04C6-8A8F-4750-8903-908BCB64615B}"/>
    <cellStyle name="Results" xfId="7" xr:uid="{6CC81B00-7DDD-49A1-A4EA-6C64CE2A55EE}"/>
    <cellStyle name="Subtitle" xfId="9" xr:uid="{7D6CFBA2-1B5C-4177-966B-CD9D0517D195}"/>
    <cellStyle name="Table Header" xfId="17" xr:uid="{D0B533DF-DF6A-42DA-B556-09366B825550}"/>
    <cellStyle name="Table Index" xfId="18" xr:uid="{3AB71BB0-8293-4BEA-A833-2130A62DC0FE}"/>
    <cellStyle name="Table Sub-Header" xfId="20" xr:uid="{BCD6836E-5C89-4540-BE6C-C3FFCD9A58AC}"/>
    <cellStyle name="Table Value" xfId="19" xr:uid="{06E90EEA-8EE5-4546-BBF2-9ADCAA7CF9D6}"/>
    <cellStyle name="Title 2" xfId="25" xr:uid="{3CFECD45-FCC5-416E-9949-08D83C32C69C}"/>
    <cellStyle name="Total 2" xfId="41" xr:uid="{36E90834-868B-4236-95D3-70F92B7D6B12}"/>
    <cellStyle name="Warning Text 2" xfId="38" xr:uid="{C2220763-3556-4023-8521-1D54B122A16B}"/>
  </cellStyles>
  <dxfs count="292">
    <dxf>
      <font>
        <b val="0"/>
        <i/>
        <color theme="0"/>
      </font>
      <fill>
        <patternFill>
          <bgColor theme="0"/>
        </patternFill>
      </fill>
      <border>
        <left style="thin">
          <color auto="1"/>
        </left>
        <right/>
        <top/>
        <bottom/>
      </border>
    </dxf>
    <dxf>
      <font>
        <b val="0"/>
        <i/>
        <color theme="0"/>
      </font>
      <fill>
        <patternFill>
          <bgColor theme="0"/>
        </patternFill>
      </fill>
      <border>
        <left/>
        <right/>
        <top/>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
      <font>
        <color theme="0"/>
      </font>
    </dxf>
    <dxf>
      <fill>
        <patternFill>
          <bgColor theme="6" tint="0.79998168889431442"/>
        </patternFill>
      </fill>
    </dxf>
    <dxf>
      <fill>
        <patternFill>
          <bgColor theme="0"/>
        </patternFill>
      </fill>
    </dxf>
    <dxf>
      <font>
        <color rgb="FF9C0006"/>
      </font>
      <fill>
        <patternFill>
          <bgColor rgb="FFFFC7CE"/>
        </patternFill>
      </fill>
    </dxf>
    <dxf>
      <fill>
        <patternFill>
          <bgColor theme="5" tint="0.79998168889431442"/>
        </patternFill>
      </fill>
    </dxf>
    <dxf>
      <fill>
        <patternFill>
          <bgColor theme="0" tint="-4.9989318521683403E-2"/>
        </patternFill>
      </fill>
    </dxf>
    <dxf>
      <fill>
        <patternFill>
          <bgColor rgb="FFFFC000"/>
        </patternFill>
      </fill>
    </dxf>
    <dxf>
      <font>
        <color theme="0" tint="-4.9989318521683403E-2"/>
      </font>
    </dxf>
    <dxf>
      <font>
        <color theme="0" tint="-4.9989318521683403E-2"/>
      </font>
    </dxf>
    <dxf>
      <fill>
        <patternFill>
          <bgColor rgb="FFFFFF00"/>
        </patternFill>
      </fill>
      <border>
        <left style="thin">
          <color rgb="FFC00000"/>
        </left>
        <right style="thin">
          <color rgb="FFC00000"/>
        </right>
        <top style="thin">
          <color rgb="FFC00000"/>
        </top>
        <bottom style="thin">
          <color rgb="FFC00000"/>
        </bottom>
      </border>
    </dxf>
    <dxf>
      <fill>
        <patternFill>
          <bgColor theme="5" tint="0.79998168889431442"/>
        </patternFill>
      </fill>
      <border>
        <left style="thin">
          <color theme="5"/>
        </left>
        <right style="thin">
          <color theme="5"/>
        </right>
        <top style="thin">
          <color theme="5"/>
        </top>
        <bottom style="thin">
          <color theme="5"/>
        </bottom>
      </border>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color theme="0" tint="-4.9989318521683403E-2"/>
      </font>
    </dxf>
    <dxf>
      <alignment horizontal="center" vertical="center" textRotation="0" wrapText="0" indent="0" justifyLastLine="0" shrinkToFit="0" readingOrder="0"/>
      <border diagonalUp="0" diagonalDown="0" outline="0">
        <left style="thin">
          <color theme="0"/>
        </left>
        <right style="thin">
          <color theme="0"/>
        </right>
        <top/>
        <bottom/>
      </border>
    </dxf>
    <dxf>
      <numFmt numFmtId="1" formatCode="0"/>
      <alignment horizontal="center" vertical="center" textRotation="0" wrapText="0" indent="0" justifyLastLine="0" shrinkToFit="0" readingOrder="0"/>
      <border diagonalUp="0" diagonalDown="0" outline="0">
        <left style="thin">
          <color theme="0"/>
        </left>
        <right style="thin">
          <color theme="0"/>
        </right>
        <top/>
        <bottom/>
      </border>
    </dxf>
    <dxf>
      <numFmt numFmtId="1" formatCode="0"/>
      <alignment horizontal="center" vertical="center" textRotation="0" wrapText="0" indent="0" justifyLastLine="0" shrinkToFit="0" readingOrder="0"/>
      <border diagonalUp="0" diagonalDown="0" outline="0">
        <left style="thin">
          <color theme="0"/>
        </left>
        <right style="thin">
          <color theme="0"/>
        </right>
        <top/>
        <bottom/>
      </border>
    </dxf>
    <dxf>
      <numFmt numFmtId="1" formatCode="0"/>
      <alignment horizontal="center"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numFmt numFmtId="34" formatCode="_(&quot;$&quot;* #,##0.00_);_(&quot;$&quot;* \(#,##0.00\);_(&quot;$&quot;* &quot;-&quot;??_);_(@_)"/>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rgb="FF000000"/>
        <name val="Calibri"/>
        <family val="2"/>
        <scheme val="minor"/>
      </font>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numFmt numFmtId="165" formatCode="0.0%"/>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0" indent="0" justifyLastLine="0" shrinkToFit="0" readingOrder="0"/>
      <border diagonalUp="0" diagonalDown="0" outline="0">
        <left style="thin">
          <color theme="0"/>
        </left>
        <right style="thin">
          <color theme="0"/>
        </right>
        <top/>
        <bottom/>
      </border>
    </dxf>
    <dxf>
      <numFmt numFmtId="174" formatCode="#,##0.0"/>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alignment horizontal="general" vertical="center" textRotation="0" wrapText="0"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1"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1"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1" indent="0" justifyLastLine="0" shrinkToFit="0" readingOrder="0"/>
      <border diagonalUp="0" diagonalDown="0" outline="0">
        <left style="thin">
          <color theme="0"/>
        </left>
        <right style="thin">
          <color theme="0"/>
        </right>
        <top/>
        <bottom/>
      </border>
    </dxf>
    <dxf>
      <numFmt numFmtId="2" formatCode="0.00"/>
      <alignment horizontal="general" vertical="center" textRotation="0" wrapText="1" indent="0" justifyLastLine="0" shrinkToFit="0" readingOrder="0"/>
      <border diagonalUp="0" diagonalDown="0" outline="0">
        <left style="thin">
          <color theme="0"/>
        </left>
        <right style="thin">
          <color theme="0"/>
        </right>
        <top/>
        <bottom/>
      </border>
    </dxf>
    <dxf>
      <numFmt numFmtId="2" formatCode="0.00"/>
      <alignment horizontal="center" vertical="center" textRotation="0" wrapText="0" indent="0" justifyLastLine="0" shrinkToFit="0" readingOrder="0"/>
      <border diagonalUp="0" diagonalDown="0" outline="0">
        <left style="thin">
          <color theme="0"/>
        </left>
        <right style="thin">
          <color theme="0"/>
        </right>
        <top/>
        <bottom/>
      </border>
    </dxf>
    <dxf>
      <numFmt numFmtId="2" formatCode="0.00"/>
      <alignment horizontal="center" vertical="center" textRotation="0" wrapText="0" indent="0" justifyLastLine="0" shrinkToFit="0" readingOrder="0"/>
      <border diagonalUp="0" diagonalDown="0" outline="0">
        <left style="thin">
          <color theme="0"/>
        </left>
        <right style="thin">
          <color theme="0"/>
        </right>
        <top/>
        <bottom/>
      </border>
    </dxf>
    <dxf>
      <numFmt numFmtId="2" formatCode="0.00"/>
      <alignment horizontal="center" vertical="center" textRotation="0" wrapText="0" indent="0" justifyLastLine="0" shrinkToFit="0" readingOrder="0"/>
      <border diagonalUp="0" diagonalDown="0" outline="0">
        <left style="thin">
          <color theme="0"/>
        </left>
        <right style="thin">
          <color theme="0"/>
        </right>
        <top/>
        <bottom/>
      </border>
    </dxf>
    <dxf>
      <numFmt numFmtId="2" formatCode="0.00"/>
      <alignment horizontal="center" vertical="center" textRotation="0" wrapText="0" indent="0" justifyLastLine="0" shrinkToFit="0" readingOrder="0"/>
      <border diagonalUp="0" diagonalDown="0" outline="0">
        <left style="thin">
          <color theme="0"/>
        </left>
        <right style="thin">
          <color theme="0"/>
        </right>
        <top/>
        <bottom/>
      </border>
    </dxf>
    <dxf>
      <alignment horizontal="center" vertical="center" textRotation="0" wrapText="0" indent="0" justifyLastLine="0" shrinkToFit="0" readingOrder="0"/>
      <border diagonalUp="0" diagonalDown="0" outline="0">
        <left style="thin">
          <color theme="0"/>
        </left>
        <right style="thin">
          <color theme="0"/>
        </right>
        <top/>
        <bottom/>
      </border>
    </dxf>
    <dxf>
      <alignment horizontal="center" vertical="center" textRotation="0" wrapText="1" indent="0" justifyLastLine="0" shrinkToFit="0" readingOrder="0"/>
      <border diagonalUp="0" diagonalDown="0" outline="0">
        <left style="thin">
          <color theme="0"/>
        </left>
        <right style="thin">
          <color theme="0"/>
        </right>
        <top/>
        <bottom/>
      </border>
    </dxf>
    <dxf>
      <numFmt numFmtId="1" formatCode="0"/>
      <alignment horizontal="center" vertical="center" textRotation="0" wrapText="0" indent="0" justifyLastLine="0" shrinkToFit="0" readingOrder="0"/>
      <border diagonalUp="0" diagonalDown="0" outline="0">
        <left/>
        <right style="thin">
          <color theme="0"/>
        </right>
        <top/>
        <bottom/>
      </border>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 formatCode="0"/>
      <alignment horizontal="center"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 formatCode="0"/>
      <alignment horizontal="center"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 formatCode="0"/>
      <alignment horizontal="center"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 formatCode="0"/>
      <alignment horizontal="center"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fill>
        <patternFill patternType="none">
          <fgColor indexed="64"/>
          <bgColor indexed="65"/>
        </patternFill>
      </fill>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6" formatCode="&quot;$&quot;#,##0.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rgb="FF000000"/>
        <name val="Calibri"/>
        <family val="2"/>
        <scheme val="minor"/>
      </font>
      <numFmt numFmtId="166" formatCode="&quot;$&quot;#,##0.00"/>
      <alignment horizontal="general" vertical="center" textRotation="0" wrapText="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70" formatCode="0.0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3"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vertical="center" textRotation="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dxf>
    <dxf>
      <font>
        <strike val="0"/>
        <outline val="0"/>
        <shadow val="0"/>
        <u val="none"/>
        <vertAlign val="baseline"/>
        <sz val="11"/>
        <name val="Calibri"/>
        <family val="2"/>
        <scheme val="minor"/>
      </font>
      <numFmt numFmtId="1" formatCode="0"/>
      <alignment horizontal="right" vertical="center" textRotation="0" wrapText="0" indent="0" justifyLastLine="0" shrinkToFit="0" readingOrder="0"/>
      <border diagonalUp="0" diagonalDown="0" outline="0">
        <left style="thin">
          <color theme="0"/>
        </left>
        <right style="thin">
          <color theme="0"/>
        </right>
      </border>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family val="2"/>
        <scheme val="minor"/>
      </font>
      <numFmt numFmtId="0" formatCode="General"/>
      <alignment horizontal="general" vertical="center"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1"/>
        <name val="Calibri"/>
        <family val="2"/>
        <scheme val="minor"/>
      </font>
      <numFmt numFmtId="0" formatCode="General"/>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0" formatCode="General"/>
      <alignment horizontal="general" vertical="center" textRotation="0" wrapText="0"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 formatCode="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1" formatCode="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165" formatCode="0.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3" formatCode="#,##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3" formatCode="#,##0"/>
      <alignment vertical="center" textRotation="0" indent="0" justifyLastLine="0" shrinkToFit="0" readingOrder="0"/>
      <border diagonalUp="0" diagonalDown="0" outline="0">
        <left style="thin">
          <color theme="0"/>
        </left>
        <right style="thin">
          <color theme="0"/>
        </right>
      </border>
      <protection locked="1" hidden="0"/>
    </dxf>
    <dxf>
      <font>
        <b val="0"/>
        <i val="0"/>
        <strike val="0"/>
        <condense val="0"/>
        <extend val="0"/>
        <outline val="0"/>
        <shadow val="0"/>
        <u val="none"/>
        <vertAlign val="baseline"/>
        <sz val="11"/>
        <color theme="1"/>
        <name val="Calibri"/>
        <family val="2"/>
        <scheme val="minor"/>
      </font>
      <numFmt numFmtId="3" formatCode="#,##0"/>
      <alignment vertical="center" textRotation="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name val="Calibri"/>
        <family val="2"/>
        <scheme val="minor"/>
      </font>
      <numFmt numFmtId="4" formatCode="#,##0.0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4" formatCode="#,##0.00"/>
      <alignment horizontal="right" vertical="center" textRotation="0" wrapText="0" indent="0" justifyLastLine="0" shrinkToFit="0" readingOrder="0"/>
      <border diagonalUp="0" diagonalDown="0">
        <left style="thin">
          <color theme="0"/>
        </left>
        <right style="thin">
          <color theme="0"/>
        </right>
      </border>
      <protection locked="1" hidden="0"/>
    </dxf>
    <dxf>
      <font>
        <strike val="0"/>
        <outline val="0"/>
        <shadow val="0"/>
        <u val="none"/>
        <vertAlign val="baseline"/>
        <sz val="11"/>
        <name val="Calibri"/>
        <family val="2"/>
        <scheme val="minor"/>
      </font>
      <numFmt numFmtId="4" formatCode="#,##0.00"/>
      <alignment horizontal="right" vertical="center" textRotation="0" wrapText="0" indent="0" justifyLastLine="0" shrinkToFit="0" readingOrder="0"/>
      <border diagonalUp="0" diagonalDown="0" outline="0">
        <left style="thin">
          <color theme="0"/>
        </left>
        <right style="thin">
          <color theme="0"/>
        </right>
      </border>
      <protection locked="1" hidden="0"/>
    </dxf>
    <dxf>
      <font>
        <strike val="0"/>
        <outline val="0"/>
        <shadow val="0"/>
        <u val="none"/>
        <vertAlign val="baseline"/>
        <sz val="11"/>
        <color theme="1"/>
        <name val="Calibri"/>
        <family val="2"/>
        <scheme val="minor"/>
      </font>
      <numFmt numFmtId="0" formatCode="General"/>
      <alignment horizontal="right" vertical="center" textRotation="0" wrapText="0"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0" formatCode="General"/>
      <alignment horizontal="right" vertical="center" textRotation="0" wrapText="0"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0" formatCode="General"/>
      <alignment horizontal="right" vertical="center" textRotation="0" wrapText="0"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2" formatCode="0.00"/>
      <alignment vertical="center" textRotation="0" wrapText="1"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2" formatCode="0.00"/>
      <alignment vertical="center" textRotation="0" wrapText="1"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2" formatCode="0.00"/>
      <alignment horizontal="right" vertical="center" textRotation="0" wrapText="1"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color theme="1"/>
        <name val="Calibri"/>
        <family val="2"/>
        <scheme val="minor"/>
      </font>
      <numFmt numFmtId="1" formatCode="0"/>
      <alignment horizontal="right" vertical="center" textRotation="0" wrapText="1"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name val="Calibri"/>
        <family val="2"/>
        <scheme val="minor"/>
      </font>
      <numFmt numFmtId="2" formatCode="0.00"/>
      <alignment horizontal="center" vertical="center" textRotation="0" indent="0" justifyLastLine="0" shrinkToFit="0" readingOrder="0"/>
      <border diagonalUp="0" diagonalDown="0">
        <left style="thin">
          <color theme="0"/>
        </left>
        <right style="thin">
          <color theme="0"/>
        </right>
      </border>
      <protection locked="0" hidden="0"/>
    </dxf>
    <dxf>
      <font>
        <strike val="0"/>
        <outline val="0"/>
        <shadow val="0"/>
        <u val="none"/>
        <vertAlign val="baseline"/>
        <sz val="11"/>
        <name val="Calibri"/>
        <family val="2"/>
        <scheme val="minor"/>
      </font>
      <numFmt numFmtId="2" formatCode="0.00"/>
      <alignment horizontal="center" vertical="center" textRotation="0" indent="0" justifyLastLine="0" shrinkToFit="0" readingOrder="0"/>
      <border diagonalUp="0" diagonalDown="0">
        <left style="thin">
          <color theme="0"/>
        </left>
        <right style="thin">
          <color theme="0"/>
        </right>
      </border>
      <protection locked="0" hidden="0"/>
    </dxf>
    <dxf>
      <font>
        <strike val="0"/>
        <outline val="0"/>
        <shadow val="0"/>
        <u val="none"/>
        <vertAlign val="baseline"/>
        <sz val="11"/>
        <name val="Calibri"/>
        <family val="2"/>
        <scheme val="minor"/>
      </font>
      <numFmt numFmtId="2" formatCode="0.00"/>
      <alignment horizontal="center" vertical="center" textRotation="0" indent="0" justifyLastLine="0" shrinkToFit="0" readingOrder="0"/>
      <border diagonalUp="0" diagonalDown="0">
        <left style="thin">
          <color theme="0"/>
        </left>
        <right style="thin">
          <color theme="0"/>
        </right>
      </border>
      <protection locked="0" hidden="0"/>
    </dxf>
    <dxf>
      <font>
        <strike val="0"/>
        <outline val="0"/>
        <shadow val="0"/>
        <u val="none"/>
        <vertAlign val="baseline"/>
        <sz val="11"/>
        <name val="Calibri"/>
        <family val="2"/>
        <scheme val="minor"/>
      </font>
      <numFmt numFmtId="2" formatCode="0.00"/>
      <alignment horizontal="center" vertical="center" textRotation="0" indent="0" justifyLastLine="0" shrinkToFit="0" readingOrder="0"/>
      <border diagonalUp="0" diagonalDown="0">
        <left style="thin">
          <color theme="0"/>
        </left>
        <right style="thin">
          <color theme="0"/>
        </right>
      </border>
      <protection locked="0" hidden="0"/>
    </dxf>
    <dxf>
      <font>
        <strike val="0"/>
        <outline val="0"/>
        <shadow val="0"/>
        <u val="none"/>
        <vertAlign val="baseline"/>
        <sz val="11"/>
        <name val="Calibri"/>
        <family val="2"/>
        <scheme val="minor"/>
      </font>
      <alignment horizontal="center" vertical="center" textRotation="0" indent="0" justifyLastLine="0" shrinkToFit="0" readingOrder="0"/>
      <border diagonalUp="0" diagonalDown="0" outline="0">
        <left style="thin">
          <color theme="0"/>
        </left>
        <right style="thin">
          <color theme="0"/>
        </right>
      </border>
      <protection locked="0" hidden="0"/>
    </dxf>
    <dxf>
      <font>
        <strike val="0"/>
        <outline val="0"/>
        <shadow val="0"/>
        <u val="none"/>
        <vertAlign val="baseline"/>
        <sz val="11"/>
        <name val="Calibri"/>
        <family val="2"/>
        <scheme val="minor"/>
      </font>
      <alignment vertical="center" textRotation="0" wrapText="1" indent="0" justifyLastLine="0" shrinkToFit="0" readingOrder="0"/>
      <border diagonalUp="0" diagonalDown="0" outline="0">
        <left style="thin">
          <color theme="0"/>
        </left>
        <right style="thin">
          <color theme="0"/>
        </right>
      </border>
      <protection locked="0" hidden="0"/>
    </dxf>
    <dxf>
      <font>
        <b val="0"/>
        <i val="0"/>
        <strike val="0"/>
        <condense val="0"/>
        <extend val="0"/>
        <outline val="0"/>
        <shadow val="0"/>
        <u val="none"/>
        <vertAlign val="baseline"/>
        <sz val="11"/>
        <color rgb="FF000000"/>
        <name val="Calibri"/>
        <family val="2"/>
        <scheme val="minor"/>
      </font>
      <numFmt numFmtId="1" formatCode="0"/>
      <alignment horizontal="center" vertical="center" textRotation="0" wrapText="0" indent="0" justifyLastLine="0" shrinkToFit="0" readingOrder="0"/>
      <border diagonalUp="0" diagonalDown="0" outline="0">
        <left/>
        <right style="thin">
          <color theme="0"/>
        </right>
      </border>
      <protection locked="1" hidden="0"/>
    </dxf>
    <dxf>
      <font>
        <strike val="0"/>
        <outline val="0"/>
        <shadow val="0"/>
        <u val="none"/>
        <vertAlign val="baseline"/>
        <sz val="10"/>
        <color theme="1"/>
        <name val="Calibri"/>
        <family val="2"/>
        <scheme val="minor"/>
      </font>
      <numFmt numFmtId="0" formatCode="General"/>
    </dxf>
    <dxf>
      <font>
        <strike val="0"/>
        <outline val="0"/>
        <shadow val="0"/>
        <u val="none"/>
        <vertAlign val="baseline"/>
        <sz val="10"/>
        <color theme="1"/>
        <name val="Calibri"/>
        <family val="2"/>
        <scheme val="minor"/>
      </font>
      <numFmt numFmtId="0" formatCode="General"/>
    </dxf>
    <dxf>
      <font>
        <strike val="0"/>
        <outline val="0"/>
        <shadow val="0"/>
        <u val="none"/>
        <vertAlign val="baseline"/>
        <sz val="10"/>
        <color theme="1"/>
        <name val="Calibri"/>
        <family val="2"/>
        <scheme val="minor"/>
      </font>
      <numFmt numFmtId="0" formatCode="General"/>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b val="0"/>
        <i val="0"/>
        <strike val="0"/>
        <condense val="0"/>
        <extend val="0"/>
        <outline val="0"/>
        <shadow val="0"/>
        <u val="none"/>
        <vertAlign val="baseline"/>
        <sz val="11"/>
        <color theme="1"/>
        <name val="Calibri"/>
        <family val="2"/>
        <scheme val="minor"/>
      </font>
      <numFmt numFmtId="1" formatCode="0"/>
      <alignment vertical="top" textRotation="0" indent="0" justifyLastLine="0" shrinkToFit="0" readingOrder="0"/>
    </dxf>
    <dxf>
      <numFmt numFmtId="165" formatCode="0.0%"/>
      <alignment vertical="top" textRotation="0" indent="0" justifyLastLine="0" shrinkToFit="0" readingOrder="0"/>
    </dxf>
    <dxf>
      <numFmt numFmtId="165" formatCode="0.0%"/>
      <alignment vertical="top" textRotation="0" indent="0" justifyLastLine="0" shrinkToFit="0" readingOrder="0"/>
    </dxf>
    <dxf>
      <alignment horizontal="general" vertical="top" textRotation="0" wrapText="1" indent="0" justifyLastLine="0" shrinkToFit="0" readingOrder="0"/>
    </dxf>
    <dxf>
      <numFmt numFmtId="170" formatCode="0.000"/>
      <alignment horizontal="center" vertical="top" textRotation="0" wrapText="0" indent="0" justifyLastLine="0" shrinkToFit="0" readingOrder="0"/>
    </dxf>
    <dxf>
      <numFmt numFmtId="2" formatCode="0.00"/>
      <alignment horizontal="center" vertical="top" textRotation="0" wrapText="0" indent="0" justifyLastLine="0" shrinkToFit="0" readingOrder="0"/>
    </dxf>
    <dxf>
      <numFmt numFmtId="2" formatCode="0.00"/>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dxf>
    <dxf>
      <border diagonalUp="0" diagonalDown="0" outline="0">
        <left style="thin">
          <color indexed="64"/>
        </left>
        <right/>
        <top/>
        <bottom/>
      </border>
    </dxf>
    <dxf>
      <font>
        <strike val="0"/>
        <outline val="0"/>
        <shadow val="0"/>
        <u val="none"/>
        <vertAlign val="baseline"/>
        <sz val="11"/>
        <name val="Calibri"/>
        <family val="2"/>
        <scheme val="minor"/>
      </font>
      <numFmt numFmtId="0" formatCode="General"/>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border diagonalUp="0" diagonalDown="0" outline="0">
        <left style="thin">
          <color indexed="64"/>
        </left>
        <right/>
        <top/>
        <bottom/>
      </border>
    </dxf>
    <dxf>
      <font>
        <strike val="0"/>
        <outline val="0"/>
        <shadow val="0"/>
        <u val="none"/>
        <vertAlign val="baseline"/>
        <sz val="11"/>
        <name val="Calibri"/>
        <family val="2"/>
        <scheme val="minor"/>
      </font>
      <numFmt numFmtId="0" formatCode="General"/>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border diagonalUp="0" diagonalDown="0" outline="0">
        <left style="thin">
          <color indexed="64"/>
        </left>
        <right/>
        <top/>
        <bottom/>
      </border>
    </dxf>
    <dxf>
      <font>
        <strike val="0"/>
        <outline val="0"/>
        <shadow val="0"/>
        <u val="none"/>
        <vertAlign val="baseline"/>
        <sz val="11"/>
        <name val="Calibri"/>
        <family val="2"/>
        <scheme val="minor"/>
      </font>
      <numFmt numFmtId="0" formatCode="General"/>
      <border diagonalUp="0" diagonalDown="0" outline="0">
        <left style="thin">
          <color indexed="64"/>
        </left>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protection locked="0" hidden="0"/>
    </dxf>
    <dxf>
      <font>
        <strike val="0"/>
        <outline val="0"/>
        <shadow val="0"/>
        <u val="none"/>
        <vertAlign val="baseline"/>
        <sz val="11"/>
        <name val="Calibri"/>
        <family val="2"/>
        <scheme val="minor"/>
      </font>
      <numFmt numFmtId="0" formatCode="General"/>
    </dxf>
    <dxf>
      <alignment horizontal="center" vertical="bottom" textRotation="0" wrapText="0" indent="0" justifyLastLine="0" shrinkToFit="0" readingOrder="0"/>
    </dxf>
    <dxf>
      <font>
        <strike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strike val="0"/>
        <outline val="0"/>
        <shadow val="0"/>
        <u val="none"/>
        <vertAlign val="baseline"/>
        <sz val="11"/>
        <name val="Calibri"/>
        <family val="2"/>
        <scheme val="minor"/>
      </font>
      <numFmt numFmtId="0" formatCode="General"/>
      <fill>
        <patternFill patternType="none">
          <fgColor indexed="64"/>
          <bgColor auto="1"/>
        </patternFill>
      </fill>
      <border diagonalUp="0" diagonalDown="0" outline="0">
        <left style="thin">
          <color theme="4" tint="0.39997558519241921"/>
        </left>
        <right/>
        <top style="thin">
          <color theme="4" tint="0.39997558519241921"/>
        </top>
        <bottom style="thin">
          <color theme="4" tint="0.39997558519241921"/>
        </bottom>
      </border>
    </dxf>
    <dxf>
      <border outline="0">
        <top style="thin">
          <color indexed="64"/>
        </top>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rgb="FFFFFF99"/>
        </patternFill>
      </fill>
      <alignment horizontal="left" vertical="center" textRotation="0" wrapText="1" indent="0" justifyLastLine="0" shrinkToFit="0" readingOrder="0"/>
      <border diagonalUp="0" diagonalDown="0" outline="0">
        <left style="thin">
          <color indexed="64"/>
        </left>
        <right style="thin">
          <color indexed="64"/>
        </right>
        <top/>
        <bottom/>
      </border>
    </dxf>
    <dxf>
      <alignment vertical="center" textRotation="0" indent="0" justifyLastLine="0" shrinkToFit="0" readingOrder="0"/>
      <border diagonalUp="0" diagonalDown="0" outline="0">
        <left style="thin">
          <color theme="0"/>
        </left>
        <right style="thin">
          <color theme="0"/>
        </right>
      </border>
    </dxf>
    <dxf>
      <border diagonalUp="0" diagonalDown="0">
        <left style="thin">
          <color theme="0"/>
        </left>
        <right/>
        <bottom/>
      </border>
    </dxf>
    <dxf>
      <alignment vertical="center" textRotation="0" indent="0" justifyLastLine="0" shrinkToFit="0" readingOrder="0"/>
    </dxf>
    <dxf>
      <border>
        <bottom style="thin">
          <color theme="0"/>
        </bottom>
      </border>
    </dxf>
    <dxf>
      <alignment horizontal="left" vertical="center" textRotation="0" wrapText="1" indent="0" justifyLastLine="0" shrinkToFit="0" readingOrder="0"/>
      <border diagonalUp="0" diagonalDown="0" outline="0">
        <left style="thin">
          <color theme="0"/>
        </left>
        <right style="thin">
          <color theme="0"/>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24CABB7E-512D-42AF-8DD2-0A2C0571540F}">
      <tableStyleElement type="wholeTable" dxfId="291"/>
      <tableStyleElement type="headerRow" dxfId="290"/>
    </tableStyle>
  </tableStyles>
  <colors>
    <mruColors>
      <color rgb="FFFFD193"/>
      <color rgb="FFE2EFDA"/>
      <color rgb="FFFFF2E0"/>
      <color rgb="FFC0E399"/>
      <color rgb="FFABDB77"/>
      <color rgb="FFFCE4D6"/>
      <color rgb="FFCCFFCC"/>
      <color rgb="FF99CCFF"/>
      <color rgb="FFB0FFD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3</xdr:col>
      <xdr:colOff>523875</xdr:colOff>
      <xdr:row>211</xdr:row>
      <xdr:rowOff>142875</xdr:rowOff>
    </xdr:from>
    <xdr:to>
      <xdr:col>5</xdr:col>
      <xdr:colOff>1114844</xdr:colOff>
      <xdr:row>219</xdr:row>
      <xdr:rowOff>114509</xdr:rowOff>
    </xdr:to>
    <xdr:pic>
      <xdr:nvPicPr>
        <xdr:cNvPr id="3" name="Picture 2">
          <a:extLst>
            <a:ext uri="{FF2B5EF4-FFF2-40B4-BE49-F238E27FC236}">
              <a16:creationId xmlns:a16="http://schemas.microsoft.com/office/drawing/2014/main" id="{7134CE2F-92CB-1A95-08E2-9C9581C2AD9B}"/>
            </a:ext>
          </a:extLst>
        </xdr:cNvPr>
        <xdr:cNvPicPr>
          <a:picLocks noChangeAspect="1"/>
        </xdr:cNvPicPr>
      </xdr:nvPicPr>
      <xdr:blipFill>
        <a:blip xmlns:r="http://schemas.openxmlformats.org/officeDocument/2006/relationships" r:embed="rId1"/>
        <a:stretch>
          <a:fillRect/>
        </a:stretch>
      </xdr:blipFill>
      <xdr:spPr>
        <a:xfrm>
          <a:off x="2466975" y="54902100"/>
          <a:ext cx="3000794" cy="1495634"/>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304800</xdr:colOff>
      <xdr:row>226</xdr:row>
      <xdr:rowOff>104775</xdr:rowOff>
    </xdr:from>
    <xdr:to>
      <xdr:col>5</xdr:col>
      <xdr:colOff>3514725</xdr:colOff>
      <xdr:row>246</xdr:row>
      <xdr:rowOff>123825</xdr:rowOff>
    </xdr:to>
    <xdr:pic>
      <xdr:nvPicPr>
        <xdr:cNvPr id="2" name="Graphic 1">
          <a:extLst>
            <a:ext uri="{FF2B5EF4-FFF2-40B4-BE49-F238E27FC236}">
              <a16:creationId xmlns:a16="http://schemas.microsoft.com/office/drawing/2014/main" id="{C7C1C4E3-6A11-40B5-AEB8-C9BBCC56392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914400" y="67141725"/>
          <a:ext cx="6969125" cy="3829050"/>
        </a:xfrm>
        <a:prstGeom prst="rect">
          <a:avLst/>
        </a:prstGeom>
      </xdr:spPr>
    </xdr:pic>
    <xdr:clientData/>
  </xdr:twoCellAnchor>
  <xdr:twoCellAnchor editAs="oneCell">
    <xdr:from>
      <xdr:col>1</xdr:col>
      <xdr:colOff>352424</xdr:colOff>
      <xdr:row>246</xdr:row>
      <xdr:rowOff>95250</xdr:rowOff>
    </xdr:from>
    <xdr:to>
      <xdr:col>5</xdr:col>
      <xdr:colOff>3448050</xdr:colOff>
      <xdr:row>266</xdr:row>
      <xdr:rowOff>95250</xdr:rowOff>
    </xdr:to>
    <xdr:pic>
      <xdr:nvPicPr>
        <xdr:cNvPr id="4" name="Graphic 3">
          <a:extLst>
            <a:ext uri="{FF2B5EF4-FFF2-40B4-BE49-F238E27FC236}">
              <a16:creationId xmlns:a16="http://schemas.microsoft.com/office/drawing/2014/main" id="{B494C739-BA41-490B-B2A4-FE2E0C805F25}"/>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962024" y="70942200"/>
          <a:ext cx="6854826" cy="381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85724</xdr:colOff>
      <xdr:row>22</xdr:row>
      <xdr:rowOff>25098</xdr:rowOff>
    </xdr:from>
    <xdr:to>
      <xdr:col>4</xdr:col>
      <xdr:colOff>904874</xdr:colOff>
      <xdr:row>33</xdr:row>
      <xdr:rowOff>76199</xdr:rowOff>
    </xdr:to>
    <xdr:pic>
      <xdr:nvPicPr>
        <xdr:cNvPr id="2" name="Picture 1">
          <a:extLst>
            <a:ext uri="{FF2B5EF4-FFF2-40B4-BE49-F238E27FC236}">
              <a16:creationId xmlns:a16="http://schemas.microsoft.com/office/drawing/2014/main" id="{1220D4C5-4387-4467-8B8F-6A09D334D98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62124" y="5159073"/>
          <a:ext cx="3133725" cy="214660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5635625</xdr:colOff>
      <xdr:row>17</xdr:row>
      <xdr:rowOff>142875</xdr:rowOff>
    </xdr:from>
    <xdr:to>
      <xdr:col>15</xdr:col>
      <xdr:colOff>197301</xdr:colOff>
      <xdr:row>28</xdr:row>
      <xdr:rowOff>147320</xdr:rowOff>
    </xdr:to>
    <xdr:pic>
      <xdr:nvPicPr>
        <xdr:cNvPr id="2" name="Picture 1">
          <a:extLst>
            <a:ext uri="{FF2B5EF4-FFF2-40B4-BE49-F238E27FC236}">
              <a16:creationId xmlns:a16="http://schemas.microsoft.com/office/drawing/2014/main" id="{D72473CC-2DD8-4468-B18E-D2BB3CFFABCB}"/>
            </a:ext>
          </a:extLst>
        </xdr:cNvPr>
        <xdr:cNvPicPr>
          <a:picLocks noChangeAspect="1"/>
        </xdr:cNvPicPr>
      </xdr:nvPicPr>
      <xdr:blipFill>
        <a:blip xmlns:r="http://schemas.openxmlformats.org/officeDocument/2006/relationships" r:embed="rId1"/>
        <a:stretch>
          <a:fillRect/>
        </a:stretch>
      </xdr:blipFill>
      <xdr:spPr>
        <a:xfrm>
          <a:off x="19001105" y="5909945"/>
          <a:ext cx="5058226" cy="203009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7</xdr:col>
      <xdr:colOff>4318001</xdr:colOff>
      <xdr:row>32</xdr:row>
      <xdr:rowOff>47624</xdr:rowOff>
    </xdr:from>
    <xdr:to>
      <xdr:col>23</xdr:col>
      <xdr:colOff>129210</xdr:colOff>
      <xdr:row>75</xdr:row>
      <xdr:rowOff>75609</xdr:rowOff>
    </xdr:to>
    <xdr:pic>
      <xdr:nvPicPr>
        <xdr:cNvPr id="3" name="Picture 2">
          <a:extLst>
            <a:ext uri="{FF2B5EF4-FFF2-40B4-BE49-F238E27FC236}">
              <a16:creationId xmlns:a16="http://schemas.microsoft.com/office/drawing/2014/main" id="{3822B9AC-C373-4ADB-BFBA-6AA3E1BACE74}"/>
            </a:ext>
          </a:extLst>
        </xdr:cNvPr>
        <xdr:cNvPicPr>
          <a:picLocks noChangeAspect="1"/>
        </xdr:cNvPicPr>
      </xdr:nvPicPr>
      <xdr:blipFill>
        <a:blip xmlns:r="http://schemas.openxmlformats.org/officeDocument/2006/relationships" r:embed="rId2"/>
        <a:stretch>
          <a:fillRect/>
        </a:stretch>
      </xdr:blipFill>
      <xdr:spPr>
        <a:xfrm>
          <a:off x="17686021" y="8560434"/>
          <a:ext cx="12267234" cy="794643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26</xdr:col>
      <xdr:colOff>206375</xdr:colOff>
      <xdr:row>33</xdr:row>
      <xdr:rowOff>63500</xdr:rowOff>
    </xdr:from>
    <xdr:to>
      <xdr:col>36</xdr:col>
      <xdr:colOff>521176</xdr:colOff>
      <xdr:row>39</xdr:row>
      <xdr:rowOff>116690</xdr:rowOff>
    </xdr:to>
    <xdr:pic>
      <xdr:nvPicPr>
        <xdr:cNvPr id="4" name="Picture 3">
          <a:extLst>
            <a:ext uri="{FF2B5EF4-FFF2-40B4-BE49-F238E27FC236}">
              <a16:creationId xmlns:a16="http://schemas.microsoft.com/office/drawing/2014/main" id="{C15AAFFF-C91F-44CA-8C40-1383DE9FFD05}"/>
            </a:ext>
          </a:extLst>
        </xdr:cNvPr>
        <xdr:cNvPicPr>
          <a:picLocks noChangeAspect="1"/>
        </xdr:cNvPicPr>
      </xdr:nvPicPr>
      <xdr:blipFill>
        <a:blip xmlns:r="http://schemas.openxmlformats.org/officeDocument/2006/relationships" r:embed="rId3"/>
        <a:stretch>
          <a:fillRect/>
        </a:stretch>
      </xdr:blipFill>
      <xdr:spPr>
        <a:xfrm>
          <a:off x="33928685" y="8755380"/>
          <a:ext cx="6791801" cy="1158090"/>
        </a:xfrm>
        <a:prstGeom prst="rect">
          <a:avLst/>
        </a:prstGeom>
      </xdr:spPr>
    </xdr:pic>
    <xdr:clientData/>
  </xdr:twoCellAnchor>
  <xdr:twoCellAnchor editAs="oneCell">
    <xdr:from>
      <xdr:col>8</xdr:col>
      <xdr:colOff>133350</xdr:colOff>
      <xdr:row>78</xdr:row>
      <xdr:rowOff>76200</xdr:rowOff>
    </xdr:from>
    <xdr:to>
      <xdr:col>17</xdr:col>
      <xdr:colOff>440960</xdr:colOff>
      <xdr:row>101</xdr:row>
      <xdr:rowOff>154297</xdr:rowOff>
    </xdr:to>
    <xdr:pic>
      <xdr:nvPicPr>
        <xdr:cNvPr id="5" name="Picture 4">
          <a:extLst>
            <a:ext uri="{FF2B5EF4-FFF2-40B4-BE49-F238E27FC236}">
              <a16:creationId xmlns:a16="http://schemas.microsoft.com/office/drawing/2014/main" id="{E1985D8D-AE6D-450D-9122-2166AB014286}"/>
            </a:ext>
          </a:extLst>
        </xdr:cNvPr>
        <xdr:cNvPicPr>
          <a:picLocks noChangeAspect="1"/>
        </xdr:cNvPicPr>
      </xdr:nvPicPr>
      <xdr:blipFill>
        <a:blip xmlns:r="http://schemas.openxmlformats.org/officeDocument/2006/relationships" r:embed="rId4"/>
        <a:stretch>
          <a:fillRect/>
        </a:stretch>
      </xdr:blipFill>
      <xdr:spPr>
        <a:xfrm>
          <a:off x="21046440" y="17000220"/>
          <a:ext cx="6848110" cy="431354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123825</xdr:colOff>
      <xdr:row>102</xdr:row>
      <xdr:rowOff>180975</xdr:rowOff>
    </xdr:from>
    <xdr:to>
      <xdr:col>21</xdr:col>
      <xdr:colOff>274908</xdr:colOff>
      <xdr:row>127</xdr:row>
      <xdr:rowOff>31127</xdr:rowOff>
    </xdr:to>
    <xdr:pic>
      <xdr:nvPicPr>
        <xdr:cNvPr id="6" name="Picture 5">
          <a:extLst>
            <a:ext uri="{FF2B5EF4-FFF2-40B4-BE49-F238E27FC236}">
              <a16:creationId xmlns:a16="http://schemas.microsoft.com/office/drawing/2014/main" id="{01993588-569B-45A2-B160-7B01DCB708A4}"/>
            </a:ext>
          </a:extLst>
        </xdr:cNvPr>
        <xdr:cNvPicPr>
          <a:picLocks noChangeAspect="1"/>
        </xdr:cNvPicPr>
      </xdr:nvPicPr>
      <xdr:blipFill>
        <a:blip xmlns:r="http://schemas.openxmlformats.org/officeDocument/2006/relationships" r:embed="rId5"/>
        <a:stretch>
          <a:fillRect/>
        </a:stretch>
      </xdr:blipFill>
      <xdr:spPr>
        <a:xfrm>
          <a:off x="21035645" y="21492845"/>
          <a:ext cx="9282383" cy="4453902"/>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166688</xdr:colOff>
      <xdr:row>0</xdr:row>
      <xdr:rowOff>100014</xdr:rowOff>
    </xdr:from>
    <xdr:ext cx="3464719" cy="678657"/>
    <xdr:pic>
      <xdr:nvPicPr>
        <xdr:cNvPr id="2" name="Picture 1">
          <a:extLst>
            <a:ext uri="{FF2B5EF4-FFF2-40B4-BE49-F238E27FC236}">
              <a16:creationId xmlns:a16="http://schemas.microsoft.com/office/drawing/2014/main" id="{1F49A7F8-D2CE-4803-860A-CAEFEDAF806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2977813" y="100014"/>
          <a:ext cx="3464719" cy="67865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threesf-my.sharepoint.com/Sffs01/rv%20team/Link%20Busta%20(DO%20NOT%20DELETE%20THIS%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threesf-my.sharepoint.com/M:/USERS/EMosley/General%20Marketing/Bloomberg%20One%20Pag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ink Busta (DO NOT DELETE THIS "/>
      <sheetName val="Traffic_Rev"/>
      <sheetName val="RTL-IP-Dep-FA"/>
      <sheetName val="IA - Summary"/>
      <sheetName val="Assumptions"/>
      <sheetName val="#REF"/>
      <sheetName val="IPRD"/>
      <sheetName val="Inventec"/>
      <sheetName val="Broadcom"/>
      <sheetName val="VARS"/>
      <sheetName val="7 Qtr (1Q00-3Q01)"/>
      <sheetName val="Cap-FA"/>
      <sheetName val="Assumptions and Inputs"/>
      <sheetName val="Summary"/>
      <sheetName val="Risk Data"/>
      <sheetName val="Bal Sht 9-30-01"/>
      <sheetName val="Do not use"/>
      <sheetName val="LOH0197"/>
      <sheetName val="CAPITAL"/>
      <sheetName val="CAPMIP"/>
      <sheetName val="Input1"/>
      <sheetName val="Input2"/>
      <sheetName val="EPG"/>
      <sheetName val="Music"/>
      <sheetName val="Shopping"/>
      <sheetName val="Weather"/>
      <sheetName val="Banking"/>
      <sheetName val="Cost to Customer"/>
      <sheetName val="2001"/>
      <sheetName val="Q3"/>
      <sheetName val="Q4"/>
      <sheetName val="Projections 2"/>
      <sheetName val="Inputs"/>
      <sheetName val="key_inputs"/>
      <sheetName val="Proj. Financials"/>
      <sheetName val="KeyMultInputs"/>
      <sheetName val="Attrition"/>
      <sheetName val="Iowa Curves"/>
      <sheetName val="Historical"/>
      <sheetName val="Mult-3yr"/>
      <sheetName val="WP_Hist ABC"/>
      <sheetName val="Exb II.1_Summary Taira"/>
      <sheetName val="Detail Schedules"/>
      <sheetName val="Forecast"/>
      <sheetName val="Jobs"/>
      <sheetName val="dom-salaries"/>
      <sheetName val="Trends &amp; Rates"/>
      <sheetName val="Deferred Maint - old"/>
      <sheetName val="Deferred Add"/>
      <sheetName val="Existing"/>
      <sheetName val="INPUT"/>
      <sheetName val="DCF"/>
      <sheetName val="Historical IS"/>
      <sheetName val="LC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Pager"/>
      <sheetName val="1st Bond"/>
      <sheetName val="2nd Bond"/>
      <sheetName val="3rd Bond"/>
      <sheetName val="Quote"/>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Nicholas Fette" id="{0DCB712D-850A-4A91-8A36-B5980C749F0D}" userId="S::nfette@solaris-technical.com::17f1301c-3be6-43a2-b1ce-afff31c1021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96C9EC-2F10-4031-8D8B-FFE4B723F2BB}" name="DeemedDashboard" displayName="DeemedDashboard" ref="A9:DA110" totalsRowCount="1" headerRowDxfId="289" dataDxfId="287" totalsRowDxfId="285" headerRowBorderDxfId="288" tableBorderDxfId="286">
  <autoFilter ref="A9:DA109" xr:uid="{5C96C9EC-2F10-4031-8D8B-FFE4B723F2BB}"/>
  <tableColumns count="105">
    <tableColumn id="211" xr3:uid="{F381CA93-3FD9-46DA-A870-688355EEE768}" name="Index" dataDxfId="238" totalsRowDxfId="133" dataCellStyle="Currency">
      <calculatedColumnFormula>ROW(DeemedDashboard[[#This Row],[Index]])-ROW(DeemedDashboard[[#Headers],[Index]])</calculatedColumnFormula>
    </tableColumn>
    <tableColumn id="2" xr3:uid="{89B99CF3-8BDB-4286-B070-C7E5ED8A2CBC}" name="Measure description" totalsRowFunction="count" dataDxfId="237" totalsRowDxfId="132"/>
    <tableColumn id="3" xr3:uid="{E30F34D8-874D-4EFD-8F01-11AFF3D16FCB}" name="MeasAppType" dataDxfId="236" totalsRowDxfId="131"/>
    <tableColumn id="7" xr3:uid="{7414E341-89B5-4CBB-A25E-60DB401E49C4}" name="Measure New Device EUL" dataDxfId="235" totalsRowDxfId="130" dataCellStyle="Explanatory Text"/>
    <tableColumn id="47" xr3:uid="{C66D2D93-2153-4AEF-BD9B-DF12E4869351}" name="Counterfactual New Device EUL" dataDxfId="234" totalsRowDxfId="129"/>
    <tableColumn id="42" xr3:uid="{8BB67A32-4A2D-461C-B211-74CC21E3CD97}" name="Existing Device EUL" dataDxfId="233" totalsRowDxfId="128" dataCellStyle="Explanatory Text"/>
    <tableColumn id="114" xr3:uid="{81EF0A7D-1B64-43C3-A792-EE32792EE950}" name="Existing Device RUL or AR First Baseline Life" dataDxfId="232" totalsRowDxfId="127"/>
    <tableColumn id="112" xr3:uid="{7F869D5D-EEF6-49E3-AFCF-EC3ED2D3E15C}" name="TechGroup and NormUnit" dataDxfId="231" totalsRowDxfId="126"/>
    <tableColumn id="59" xr3:uid="{B81CD325-F606-495E-AFB2-78DF0E3BA81A}" name="Msr device type" dataDxfId="230" totalsRowDxfId="125"/>
    <tableColumn id="58" xr3:uid="{08CA119F-6CA9-4008-9064-3DA0792633B5}" name="Std device type" dataDxfId="229" totalsRowDxfId="124"/>
    <tableColumn id="57" xr3:uid="{A924457C-FB61-4C2B-BB8F-9E7874C0E0B6}" name="Pre/Ext device type" dataDxfId="228" totalsRowDxfId="123"/>
    <tableColumn id="65" xr3:uid="{4594EA3F-2E9D-4CD1-8903-7A0D600B7071}" name="Msr refrigerant Type" dataDxfId="227" totalsRowDxfId="122"/>
    <tableColumn id="64" xr3:uid="{E9CDD8B1-76A9-4E0D-B4D6-D4F4DFDFF69E}" name="Std refrigerant Type" dataDxfId="226" totalsRowDxfId="121"/>
    <tableColumn id="9" xr3:uid="{9FBB9DF0-A095-46FF-99A3-CF99E4DC1A35}" name="Pre/Ext refrigerant Type" dataDxfId="225" totalsRowDxfId="120"/>
    <tableColumn id="8" xr3:uid="{08B5D6EF-80B3-4A57-8CC7-065D87BD048A}" name="Msr refrigerant charge (lb) per NormUnit" dataDxfId="224" totalsRowDxfId="119">
      <calculatedColumnFormula>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calculatedColumnFormula>
    </tableColumn>
    <tableColumn id="6" xr3:uid="{857B97DC-5916-4A77-AADE-0D553977DC9E}" name="Std refrigerant charge (lb) per NormUnit" dataDxfId="223" totalsRowDxfId="118">
      <calculatedColumnFormula>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calculatedColumnFormula>
    </tableColumn>
    <tableColumn id="12" xr3:uid="{1D4F3BAB-259E-4F78-8969-F9476EE872D1}" name="Pre/Ext refrigerant charge (lb) per NormUnit" dataDxfId="222" totalsRowDxfId="117">
      <calculatedColumnFormula>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calculatedColumnFormula>
    </tableColumn>
    <tableColumn id="68" xr3:uid="{CA78D1B8-4299-4486-8B74-C2B9E3304E81}" name="Msr GWP" dataDxfId="221" totalsRowDxfId="116" dataCellStyle="Percent">
      <calculatedColumnFormula array="1">IFERROR(IF(DeemedDashboard[[#This Row],[Msr device type]]=const_device_nonrefrig,0,INDEX(_xlfn.SWITCH($E$4,const_20_yr,GWP_Values_20_year_AR4,const_100_yr,GWP_Values_100_year_AR4),MATCH(DeemedDashboard[[#This Row],[Msr refrigerant Type]],RefrigDropdownList,0))),"")</calculatedColumnFormula>
    </tableColumn>
    <tableColumn id="67" xr3:uid="{DA83A893-94DA-4986-A9AB-DAEB34EA3F9A}" name="Std GWP" dataDxfId="220" totalsRowDxfId="115" dataCellStyle="Percent">
      <calculatedColumnFormula array="1">IFERROR(IF(DeemedDashboard[[#This Row],[Std device type]]=const_device_nonrefrig,0,INDEX(_xlfn.SWITCH($E$4,const_20_yr,GWP_Values_20_year_AR4,const_100_yr,GWP_Values_100_year_AR4),MATCH(DeemedDashboard[[#This Row],[Std refrigerant Type]],RefrigDropdownList,0))),"")</calculatedColumnFormula>
    </tableColumn>
    <tableColumn id="66" xr3:uid="{8993CA5D-233C-42E9-954C-BA850844541F}" name="Pre/Ext GWP" dataDxfId="219" totalsRowDxfId="114" dataCellStyle="Percent">
      <calculatedColumnFormula array="1">IFERROR(IF(DeemedDashboard[[#This Row],[Pre/Ext device type]]=const_device_nonrefrig,0,INDEX(_xlfn.SWITCH($E$4,const_20_yr,GWP_Values_20_year_AR4,const_100_yr,GWP_Values_100_year_AR4),MATCH(DeemedDashboard[[#This Row],[Pre/Ext refrigerant Type]],RefrigDropdownList,0))),"")</calculatedColumnFormula>
    </tableColumn>
    <tableColumn id="61" xr3:uid="{3ADB64C0-47FF-4C50-9897-CC8B6421A7AD}" name="Msr annual refrigerant leakage %" dataDxfId="218" totalsRowDxfId="113" dataCellStyle="Percent">
      <calculatedColumnFormula>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calculatedColumnFormula>
    </tableColumn>
    <tableColumn id="60" xr3:uid="{0C061069-A149-4D4B-A45F-E36836C2C5A0}" name="Std annual refrigerant leakage %" dataDxfId="217" totalsRowDxfId="112" dataCellStyle="Percent">
      <calculatedColumnFormula>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calculatedColumnFormula>
    </tableColumn>
    <tableColumn id="11" xr3:uid="{BC5BB856-F009-4721-9AEB-7FDD383D24F6}" name="Pre/Ext annual refrigerant leakage %" dataDxfId="216" totalsRowDxfId="111" dataCellStyle="Percent">
      <calculatedColumnFormula>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calculatedColumnFormula>
    </tableColumn>
    <tableColumn id="63" xr3:uid="{D44369B8-21B9-44C4-897F-E6D55CD6E299}" name="Msr gross EOL refrigerant leakage %" dataDxfId="215" totalsRowDxfId="110" dataCellStyle="Percent">
      <calculatedColumnFormula>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calculatedColumnFormula>
    </tableColumn>
    <tableColumn id="62" xr3:uid="{13260374-109B-438C-B448-15C574BB45E9}" name="Std gross EOL refrigerant leakage %" dataDxfId="214" totalsRowDxfId="109" dataCellStyle="Percent">
      <calculatedColumnFormula>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calculatedColumnFormula>
    </tableColumn>
    <tableColumn id="13" xr3:uid="{B4F65129-BFBA-4BDC-AD86-9F0551FAFC58}" name="Pre/Ext gross EOL refrigerant leakage %" dataDxfId="213" totalsRowDxfId="108" dataCellStyle="Percent">
      <calculatedColumnFormula>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calculatedColumnFormula>
    </tableColumn>
    <tableColumn id="20" xr3:uid="{C4CBA06D-631A-4843-9EFF-CAE646DB2649}" name="Msr t_EOL" dataDxfId="212" totalsRowDxfId="107" dataCellStyle="Percent">
      <calculatedColumnFormula>IFERROR(IF(DeemedDashboard[[#This Row],[Msr device type]]=const_userspec,IF(ISBLANK(User_Specified_Refrigerant[[#This Row],[Msr t_EOL]]),"",User_Specified_Refrigerant[[#This Row],[Msr t_EOL]]),INDEX(TechGroup_NormUnit_Table[t_EOL],MATCH(DeemedDashboard[[#This Row],[Msr device type]],DropdownRefrigTech,0))),"")</calculatedColumnFormula>
    </tableColumn>
    <tableColumn id="19" xr3:uid="{BB4A0C80-101C-4BCD-9B3A-A0F65C74D20B}" name="Std t_EOL" dataDxfId="211" totalsRowDxfId="106" dataCellStyle="Percent">
      <calculatedColumnFormula>IFERROR(IF(DeemedDashboard[[#This Row],[Std device type]]=const_userspec,IF(ISBLANK(User_Specified_Refrigerant[[#This Row],[Std t_EOL]]),"",User_Specified_Refrigerant[[#This Row],[Std t_EOL]]),INDEX(TechGroup_NormUnit_Table[t_EOL],MATCH(DeemedDashboard[[#This Row],[Std device type]],DropdownRefrigTech,0))),"")</calculatedColumnFormula>
    </tableColumn>
    <tableColumn id="18" xr3:uid="{2261B334-2F5C-41B3-9AFF-C720ACE1D03B}" name="Pre/Ext t_EOL" dataDxfId="210" totalsRowDxfId="105" dataCellStyle="Percent">
      <calculatedColumnFormula>IFERROR(IF(DeemedDashboard[[#This Row],[Pre/Ext device type]]=const_userspec,IF(ISBLANK(User_Specified_Refrigerant[[#This Row],[Pre t_EOL]]),"",User_Specified_Refrigerant[[#This Row],[Pre t_EOL]]),INDEX(TechGroup_NormUnit_Table[t_EOL],MATCH(DeemedDashboard[[#This Row],[Pre/Ext device type]],DropdownRefrigTech,0))),"")</calculatedColumnFormula>
    </tableColumn>
    <tableColumn id="1" xr3:uid="{D265C212-6FE4-4F62-A4F9-3211573D853F}" name="Measure Start Year" totalsRowLabel="Total" dataDxfId="209" totalsRowDxfId="104" dataCellStyle="Percent">
      <calculatedColumnFormula>IF(ISBLANK(DeemedDashboard[[#This Row],[MeasAppType]]),"",$E$2)</calculatedColumnFormula>
    </tableColumn>
    <tableColumn id="38" xr3:uid="{8722E3F3-03EC-4896-AB7D-33AFAB7F7E7A}" name="Measure End _x000a_Year" dataDxfId="208" totalsRowDxfId="103" dataCellStyle="Percent">
      <calculatedColumnFormula>IFERROR(IF(ISBLANK(DeemedDashboard[[#This Row],[MeasAppType]]),NA(),DeemedDashboard[[#This Row],[Measure Start Year]]+DeemedDashboard[[#This Row],[Msr EUL rounded]]-1),"")</calculatedColumnFormula>
    </tableColumn>
    <tableColumn id="32" xr3:uid="{A595BC6F-ECD8-4E01-B931-07FFC6A930D2}" name="Msr EUL rounded" dataDxfId="207" totalsRowDxfId="102">
      <calculatedColumnFormula>IF(ISBLANK(DeemedDashboard[[#This Row],[Measure New Device EUL]]),"",ROUND(DeemedDashboard[[#This Row],[Measure New Device EUL]],0))</calculatedColumnFormula>
    </tableColumn>
    <tableColumn id="43" xr3:uid="{D78ED9FF-077D-4E07-86DA-05E9F4A0455B}" name="Std EUL rounded" dataDxfId="206" totalsRowDxfId="101">
      <calculatedColumnFormula>IF(ISBLANK(DeemedDashboard[[#This Row],[Counterfactual New Device EUL]]),"",ROUND(DeemedDashboard[[#This Row],[Counterfactual New Device EUL]],0))</calculatedColumnFormula>
    </tableColumn>
    <tableColumn id="52" xr3:uid="{52CD0ED0-BD81-4435-9F94-455FFFAFDB7D}" name="Pre EUL rounded" dataDxfId="205" totalsRowDxfId="100">
      <calculatedColumnFormula>IF(ISBLANK(DeemedDashboard[[#This Row],[Existing Device EUL]]),"",ROUND(DeemedDashboard[[#This Row],[Existing Device EUL]],0))</calculatedColumnFormula>
    </tableColumn>
    <tableColumn id="97" xr3:uid="{3B16637A-4A96-41B1-9FF2-0783C5797910}" name="Ext RUL rounded" dataDxfId="204" totalsRowDxfId="99">
      <calculatedColumnFormula>IF(ISBLANK(DeemedDashboard[[#This Row],[Existing Device RUL or AR First Baseline Life]]),"",ROUND(DeemedDashboard[[#This Row],[Existing Device RUL or AR First Baseline Life]],0))</calculatedColumnFormula>
    </tableColumn>
    <tableColumn id="5" xr3:uid="{C5A04751-96B9-4DF7-BCAD-04AA9821C5C2}" name="Msr Device Install Year" dataDxfId="203" totalsRowDxfId="98">
      <calculatedColumnFormula>DeemedDashboard[[#This Row],[Measure Start Year]]</calculatedColumnFormula>
    </tableColumn>
    <tableColumn id="72" xr3:uid="{FC2011F3-2A89-4AD2-BA1E-3C1892F59E07}" name="Std Device Install Year" dataDxfId="202" totalsRowDxfId="97">
      <calculatedColumnFormula>IF(DeemedDashboard[[#This Row],[MeasAppType]]&lt;&gt;const_AR,DeemedDashboard[[#This Row],[Measure Start Year]],DeemedDashboard[[#This Row],[Ext Device Retire-ment Year]]+1)</calculatedColumnFormula>
    </tableColumn>
    <tableColumn id="108" xr3:uid="{66E08F6C-4EAF-45AD-BEF4-1F6584DA8815}" name="Pre Device Install Year" dataDxfId="201" totalsRowDxfId="96">
      <calculatedColumnFormula>IFERROR(IF(DeemedDashboard[[#This Row],[MeasAppType]]=const_AR,DeemedDashboard[[#This Row],[Measure Start Year]]-(DeemedDashboard[[#This Row],[Existing Device EUL]]-DeemedDashboard[[#This Row],[Existing Device RUL or AR First Baseline Life]]),NA()),"")</calculatedColumnFormula>
    </tableColumn>
    <tableColumn id="109" xr3:uid="{EF61FC1E-D75F-472D-B082-02F676A4EBFF}" name="Ext Device Install Year" dataDxfId="200" totalsRowDxfId="95">
      <calculatedColumnFormula>DeemedDashboard[[#This Row],[Pre Device Install Year]]</calculatedColumnFormula>
    </tableColumn>
    <tableColumn id="48" xr3:uid="{06D3060F-A1F9-4209-ACC3-9F124DAAE5AE}" name="Msr Device Retire-ment Year" dataDxfId="199" totalsRowDxfId="94">
      <calculatedColumnFormula>IFERROR(IF(ISBLANK(DeemedDashboard[[#This Row],[MeasAppType]]),NA(),DeemedDashboard[[#This Row],[Measure Start Year]]+DeemedDashboard[[#This Row],[Msr EUL rounded]]-1),"")</calculatedColumnFormula>
    </tableColumn>
    <tableColumn id="49" xr3:uid="{B7F9C748-2E3E-45CB-BB24-0965222E55CB}" name="Std Device Retire-ment Year" dataDxfId="198" totalsRowDxfId="93">
      <calculatedColumnFormula>IFERROR(DeemedDashboard[[#This Row],[Std Device Install Year]]+DeemedDashboard[[#This Row],[Counterfactual New Device EUL]]-1,"")</calculatedColumnFormula>
    </tableColumn>
    <tableColumn id="50" xr3:uid="{729B210A-1CB9-47F0-86D0-1CB26FF6AC6C}" name="Pre Device Retire-ment Year" dataDxfId="197" totalsRowDxfId="92">
      <calculatedColumnFormula>IFERROR(IF(AND(DeemedDashboard[[#This Row],[MeasAppType]]=const_AR,DeemedDashboard[[#This Row],[Measure Start Year]]&lt;(DeemedDashboard[[#This Row],[Pre Device Install Year]]+DeemedDashboard[[#This Row],[Existing Device EUL]]-1)),DeemedDashboard[[#This Row],[Measure Start Year]]-1,NA()),"")</calculatedColumnFormula>
    </tableColumn>
    <tableColumn id="80" xr3:uid="{1431700E-5670-4E5A-967A-C9FF3202E2D9}" name="Ext Device Retire-ment Year" dataDxfId="196" totalsRowDxfId="91">
      <calculatedColumnFormula>IFERROR(IF(DeemedDashboard[[#This Row],[MeasAppType]]=const_AR,DeemedDashboard[[#This Row],[Ext Device Install Year]]+DeemedDashboard[[#This Row],[Existing Device EUL]]-1,NA()),"")</calculatedColumnFormula>
    </tableColumn>
    <tableColumn id="53" xr3:uid="{C96DD0A9-9B50-4B5B-8CB3-AD6031BDA155}" name="Msr Number of Years device retired early" dataDxfId="195" totalsRowDxfId="90">
      <calculatedColumnFormula>IFERROR(IF(ISBLANK(DeemedDashboard[[#This Row],[MeasAppType]]),NA(),0),"")</calculatedColumnFormula>
    </tableColumn>
    <tableColumn id="54" xr3:uid="{36A3073A-77A4-43B5-AF29-817CFE122278}" name="Std Number of Years device retired early" dataDxfId="194" totalsRowDxfId="89">
      <calculatedColumnFormula>IFERROR(IF(ISBLANK(DeemedDashboard[[#This Row],[MeasAppType]]),NA(),0),"")</calculatedColumnFormula>
    </tableColumn>
    <tableColumn id="55" xr3:uid="{267933C4-2D52-4319-9F21-9B3247EE97B5}" name="Pre Number of Years device retired early" dataDxfId="193" totalsRowDxfId="88">
      <calculatedColumnFormula>IF(ISBLANK(DeemedDashboard[[#This Row],[MeasAppType]]),"",IF(DeemedDashboard[[#This Row],[MeasAppType]]&lt;&gt;const_AR,"",(DeemedDashboard[[#This Row],[Pre Device Install Year]]+DeemedDashboard[[#This Row],[Existing Device EUL]]-1)-DeemedDashboard[[#This Row],[Pre Device Retire-ment Year]]))</calculatedColumnFormula>
    </tableColumn>
    <tableColumn id="44" xr3:uid="{DBC86404-3733-473D-AE84-E2EAA49F21AC}" name="Ext Number of Years device retired early" dataDxfId="192" totalsRowDxfId="87">
      <calculatedColumnFormula>IF(ISBLANK(DeemedDashboard[[#This Row],[MeasAppType]]),"",IF(DeemedDashboard[[#This Row],[MeasAppType]]=const_AR,0,""))</calculatedColumnFormula>
    </tableColumn>
    <tableColumn id="81" xr3:uid="{375E6192-301A-4521-BFDC-33526E74ED85}" name="Msr Device Years Over-lapping with Measure Years" dataDxfId="191" totalsRowDxfId="86">
      <calculatedColumnFormula>IF(ISBLANK(DeemedDashboard[[#This Row],[MeasAppType]]),"",MAX((1+MIN(DeemedDashboard[[#This Row],[Msr Device Retire-ment Year]],DeemedDashboard[[#This Row],[Measure End 
Year]])-MAX(DeemedDashboard[[#This Row],[Msr Device Install Year]],DeemedDashboard[[#This Row],[Measure Start Year]])),0))</calculatedColumnFormula>
    </tableColumn>
    <tableColumn id="82" xr3:uid="{ECE1BE25-FF63-410F-A666-A593D064696F}" name="Std Device Years Over-lapping with Measure Years" dataDxfId="190" totalsRowDxfId="85">
      <calculatedColumnFormula>IF(ISBLANK(DeemedDashboard[[#This Row],[MeasAppType]]),"",MAX((1+MIN(DeemedDashboard[[#This Row],[Std Device Retire-ment Year]],DeemedDashboard[[#This Row],[Measure End 
Year]])-MAX(DeemedDashboard[[#This Row],[Std Device Install Year]],DeemedDashboard[[#This Row],[Measure Start Year]])),0))</calculatedColumnFormula>
    </tableColumn>
    <tableColumn id="83" xr3:uid="{63D25477-9271-4F47-B554-3E0518FFEEDE}" name="Pre Device Years Over-lapping with Measure Years" dataDxfId="189" totalsRowDxfId="84">
      <calculatedColumnFormula>IF(ISBLANK(DeemedDashboard[[#This Row],[MeasAppType]]),"",IF(DeemedDashboard[[#This Row],[MeasAppType]]=const_NR,"",MAX((1+MIN(DeemedDashboard[[#This Row],[Pre Device Retire-ment Year]],DeemedDashboard[[#This Row],[Measure End 
Year]])-MAX(DeemedDashboard[[#This Row],[Pre Device Install Year]],DeemedDashboard[[#This Row],[Measure Start Year]])),0)))</calculatedColumnFormula>
    </tableColumn>
    <tableColumn id="27" xr3:uid="{7065DA81-A56D-447C-AB6E-1F946F76DDA7}" name="Ext Device Years Over-lapping with Measure Years" dataDxfId="188" totalsRowDxfId="83">
      <calculatedColumnFormula>IF(ISBLANK(DeemedDashboard[[#This Row],[MeasAppType]]),"",IF(DeemedDashboard[[#This Row],[MeasAppType]]=const_NR,"",MAX((1+MIN(DeemedDashboard[[#This Row],[Ext Device Retire-ment Year]],DeemedDashboard[[#This Row],[Measure End 
Year]])-MAX(DeemedDashboard[[#This Row],[Ext Device Install Year]],DeemedDashboard[[#This Row],[Measure Start Year]])),0)))</calculatedColumnFormula>
    </tableColumn>
    <tableColumn id="84" xr3:uid="{FCB3B074-D641-4F70-A536-8C5FFD73940E}" name="Msr % of device lifetime during measure years" dataDxfId="187" totalsRowDxfId="82" dataCellStyle="Percent">
      <calculatedColumnFormula>IF(ISBLANK(DeemedDashboard[[#This Row],[MeasAppType]]),"",IF(DeemedDashboard[[#This Row],[Msr Device Years Over-lapping with Measure Years]]=0,0,DeemedDashboard[[#This Row],[Msr Device Years Over-lapping with Measure Years]]/DeemedDashboard[[#This Row],[Msr EUL rounded]]))</calculatedColumnFormula>
    </tableColumn>
    <tableColumn id="85" xr3:uid="{CABC6AD3-2241-4529-88D3-8C40086FFED3}" name="Std % of device lifetime during measure years" dataDxfId="186" totalsRowDxfId="81" dataCellStyle="Percent">
      <calculatedColumnFormula>IF(ISBLANK(DeemedDashboard[[#This Row],[MeasAppType]]),"",IF(DeemedDashboard[[#This Row],[Std Device Years Over-lapping with Measure Years]]=0,0,DeemedDashboard[[#This Row],[Std Device Years Over-lapping with Measure Years]]/DeemedDashboard[[#This Row],[Counterfactual New Device EUL]]))</calculatedColumnFormula>
    </tableColumn>
    <tableColumn id="86" xr3:uid="{BA9C6942-B6AB-4DCE-8A55-4E298A339844}" name="Pre % of device lifetime during measure years" dataDxfId="185" totalsRowDxfId="80" dataCellStyle="Percent">
      <calculatedColumnFormula>IF(ISBLANK(DeemedDashboard[[#This Row],[MeasAppType]]),"",IFERROR(IF(DeemedDashboard[[#This Row],[Pre Device Years Over-lapping with Measure Years]]=0,0,DeemedDashboard[[#This Row],[Pre Device Years Over-lapping with Measure Years]]/DeemedDashboard[[#This Row],[Existing Device EUL]]),""))</calculatedColumnFormula>
    </tableColumn>
    <tableColumn id="45" xr3:uid="{2BC335A9-6583-4201-A95C-118A577ADA9A}" name="Ext % of device lifetime during measure years" dataDxfId="184" totalsRowDxfId="79" dataCellStyle="Percent">
      <calculatedColumnFormula>IFERROR(IF(DeemedDashboard[[#This Row],[Ext Device Years Over-lapping with Measure Years]]=0,0,DeemedDashboard[[#This Row],[Ext Device Years Over-lapping with Measure Years]]/DeemedDashboard[[#This Row],[Existing Device EUL]]),"")</calculatedColumnFormula>
    </tableColumn>
    <tableColumn id="87" xr3:uid="{A4ACAB98-1035-4E30-9D3F-C7341596CD22}" name="Msr % of device lifetime retired early" dataDxfId="183" totalsRowDxfId="78" dataCellStyle="Percent">
      <calculatedColumnFormula>IFERROR(IF(DeemedDashboard[[#This Row],[Msr Number of Years device retired early]]=0,0,DeemedDashboard[[#This Row],[Msr Number of Years device retired early]]/DeemedDashboard[[#This Row],[Msr EUL rounded]]),"")</calculatedColumnFormula>
    </tableColumn>
    <tableColumn id="88" xr3:uid="{FE253106-FC1D-45E3-B917-E1D6857B42D9}" name="Std % of device lifetime retired early" dataDxfId="182" totalsRowDxfId="77" dataCellStyle="Percent">
      <calculatedColumnFormula>IFERROR(IF(DeemedDashboard[[#This Row],[Std Number of Years device retired early]]=0,0,DeemedDashboard[[#This Row],[Std Number of Years device retired early]]/DeemedDashboard[[#This Row],[Msr EUL rounded]]),"")</calculatedColumnFormula>
    </tableColumn>
    <tableColumn id="89" xr3:uid="{57552C8C-D76A-46F3-98EE-C806019B81BB}" name="Pre % of device lifetime retired early" dataDxfId="181" totalsRowDxfId="76" dataCellStyle="Percent">
      <calculatedColumnFormula>IFERROR(IF(DeemedDashboard[[#This Row],[MeasAppType]]&lt;&gt;const_AR,"",IF(DeemedDashboard[[#This Row],[Pre Number of Years device retired early]]=0,0,DeemedDashboard[[#This Row],[Pre Number of Years device retired early]]/DeemedDashboard[[#This Row],[Existing Device EUL]])),"")</calculatedColumnFormula>
    </tableColumn>
    <tableColumn id="46" xr3:uid="{8D9185CA-EF90-43F3-9017-295E61FAFFA4}" name="Ext % of device lifetime retired early" dataDxfId="180" totalsRowDxfId="75" dataCellStyle="Percent">
      <calculatedColumnFormula>IFERROR(IF(DeemedDashboard[[#This Row],[Ext Number of Years device retired early]]=0,0,DeemedDashboard[[#This Row],[Ext Number of Years device retired early]]/DeemedDashboard[[#This Row],[Existing Device EUL]]),"")</calculatedColumnFormula>
    </tableColumn>
    <tableColumn id="23" xr3:uid="{3F7B7074-63EA-41D3-8B77-5D3E8F83064B}" name="Msr charging remaining (%)" dataDxfId="179" totalsRowDxfId="74" dataCellStyle="Percent">
      <calculatedColumnFormula>IFERROR(1-DeemedDashboard[[#This Row],[Msr annual refrigerant leakage %]]*DeemedDashboard[[#This Row],[Msr t_EOL]],"")</calculatedColumnFormula>
    </tableColumn>
    <tableColumn id="22" xr3:uid="{1FA905D2-BC19-48A7-B701-BC522BE6AEBC}" name="Std charging remaining (%)" dataDxfId="178" totalsRowDxfId="73" dataCellStyle="Percent">
      <calculatedColumnFormula>IFERROR(1-DeemedDashboard[[#This Row],[Std annual refrigerant leakage %]]*DeemedDashboard[[#This Row],[Std t_EOL]],"")</calculatedColumnFormula>
    </tableColumn>
    <tableColumn id="21" xr3:uid="{C8F21C77-BB35-4A0E-BFD3-E0776A7ECBF0}" name="Pre charging remaining (%)" dataDxfId="177" totalsRowDxfId="72" dataCellStyle="Percent">
      <calculatedColumnFormula>IFERROR(1-DeemedDashboard[[#This Row],[Pre/Ext annual refrigerant leakage %]]*DeemedDashboard[[#This Row],[Pre/Ext t_EOL]],"")</calculatedColumnFormula>
    </tableColumn>
    <tableColumn id="34" xr3:uid="{301BD035-0DFA-4F02-9A07-D48D7FE889F2}" name="Ext charging remaining (%)" dataDxfId="176" totalsRowDxfId="71" dataCellStyle="Percent">
      <calculatedColumnFormula>IFERROR(1-DeemedDashboard[[#This Row],[Pre/Ext annual refrigerant leakage %]]*DeemedDashboard[[#This Row],[Pre/Ext t_EOL]],"")</calculatedColumnFormula>
    </tableColumn>
    <tableColumn id="26" xr3:uid="{55C91874-D91D-4DC4-B393-C768CA9EFD24}" name="Msr net EOL refrigerant leakage (%)" dataDxfId="175" totalsRowDxfId="70" dataCellStyle="Percent">
      <calculatedColumnFormula>IFERROR(DeemedDashboard[[#This Row],[Msr charging remaining (%)]]*DeemedDashboard[[#This Row],[Msr gross EOL refrigerant leakage %]],"")</calculatedColumnFormula>
    </tableColumn>
    <tableColumn id="25" xr3:uid="{A8C61937-A4F6-4748-B42B-8490437597B8}" name="Std net EOL refrigerant leakage (%)" dataDxfId="174" totalsRowDxfId="69" dataCellStyle="Percent">
      <calculatedColumnFormula>IFERROR(DeemedDashboard[[#This Row],[Std charging remaining (%)]]*DeemedDashboard[[#This Row],[Std gross EOL refrigerant leakage %]],"")</calculatedColumnFormula>
    </tableColumn>
    <tableColumn id="24" xr3:uid="{260D491E-60B3-491F-BFD2-E000CF580E0A}" name="Pre net EOL refrigerant leakage (%)" dataDxfId="173" totalsRowDxfId="68" dataCellStyle="Percent">
      <calculatedColumnFormula>IFERROR(DeemedDashboard[[#This Row],[Pre charging remaining (%)]]*DeemedDashboard[[#This Row],[Pre/Ext gross EOL refrigerant leakage %]],"")</calculatedColumnFormula>
    </tableColumn>
    <tableColumn id="91" xr3:uid="{1411150C-2745-495C-9FC6-127FC80805FA}" name="Ext net EOL refrigerant leakage (%)" dataDxfId="172" totalsRowDxfId="67" dataCellStyle="Percent">
      <calculatedColumnFormula>IFERROR(DeemedDashboard[[#This Row],[Ext charging remaining (%)]]*DeemedDashboard[[#This Row],[Pre/Ext gross EOL refrigerant leakage %]],"")</calculatedColumnFormula>
    </tableColumn>
    <tableColumn id="71" xr3:uid="{C8F65FB9-939B-4B63-8E3D-0A5A2BD16F2C}" name="Msr Annual leakage tons CO2e" dataDxfId="171" totalsRowDxfId="66" dataCellStyle="Percent">
      <calculatedColumnFormula>IFERROR((DeemedDashboard[[#This Row],[Msr refrigerant charge (lb) per NormUnit]]/pounds_per_metric_ton)*DeemedDashboard[[#This Row],[Msr annual refrigerant leakage %]]*DeemedDashboard[[#This Row],[Msr GWP]],"")</calculatedColumnFormula>
    </tableColumn>
    <tableColumn id="70" xr3:uid="{A90FC03F-2FE0-4F17-833B-A4BA25AEFBEF}" name="Std Annual leakage tons CO2e" dataDxfId="170" totalsRowDxfId="65" dataCellStyle="Percent">
      <calculatedColumnFormula>IFERROR((DeemedDashboard[[#This Row],[Std refrigerant charge (lb) per NormUnit]]/pounds_per_metric_ton)*DeemedDashboard[[#This Row],[Std annual refrigerant leakage %]]*DeemedDashboard[[#This Row],[Std GWP]],"")</calculatedColumnFormula>
    </tableColumn>
    <tableColumn id="69" xr3:uid="{626663A4-C9A8-4F29-8BF0-A2FE53F2D8F3}" name="Pre Annual leakage tons CO2e" dataDxfId="137" totalsRowDxfId="64" dataCellStyle="Percent">
      <calculatedColumnFormula>IF(DeemedDashboard[[#This Row],[MeasAppType]]=const_AR,(DeemedDashboard[[#This Row],[Pre/Ext refrigerant charge (lb) per NormUnit]]/pounds_per_metric_ton)*DeemedDashboard[[#This Row],[Pre/Ext annual refrigerant leakage %]]*DeemedDashboard[[#This Row],[Pre/Ext GWP]],"")</calculatedColumnFormula>
    </tableColumn>
    <tableColumn id="93" xr3:uid="{B3AE06F3-CFF6-480D-B56B-1B6C724F8476}" name="Ext Annual leakage tons CO2e" dataDxfId="136" totalsRowDxfId="63" dataCellStyle="Percent">
      <calculatedColumnFormula>IF(DeemedDashboard[[#This Row],[MeasAppType]]=const_AR,(DeemedDashboard[[#This Row],[Pre/Ext refrigerant charge (lb) per NormUnit]]/pounds_per_metric_ton)*DeemedDashboard[[#This Row],[Pre/Ext annual refrigerant leakage %]]*DeemedDashboard[[#This Row],[Pre/Ext GWP]],"")</calculatedColumnFormula>
    </tableColumn>
    <tableColumn id="14" xr3:uid="{33D97B53-3840-401C-BEE4-9149CF061902}" name="Msr EOL leakage tons CO2e" dataDxfId="169" totalsRowDxfId="62" dataCellStyle="Percent">
      <calculatedColumnFormula>IFERROR((DeemedDashboard[[#This Row],[Msr refrigerant charge (lb) per NormUnit]]/pounds_per_metric_ton)*DeemedDashboard[[#This Row],[Msr net EOL refrigerant leakage (%)]]*DeemedDashboard[[#This Row],[Msr GWP]],"")</calculatedColumnFormula>
    </tableColumn>
    <tableColumn id="10" xr3:uid="{282C35B7-3EA1-4876-9B64-20D2529E6041}" name="Std EOL leakage tons CO2e" dataDxfId="168" totalsRowDxfId="61" dataCellStyle="Percent">
      <calculatedColumnFormula>IFERROR((DeemedDashboard[[#This Row],[Std refrigerant charge (lb) per NormUnit]]/pounds_per_metric_ton)*DeemedDashboard[[#This Row],[Std net EOL refrigerant leakage (%)]]*DeemedDashboard[[#This Row],[Std GWP]],"")</calculatedColumnFormula>
    </tableColumn>
    <tableColumn id="4" xr3:uid="{F5079BA5-9B51-4D0D-9A37-00911D687EB1}" name="Pre EOL leakage tons CO2e" dataDxfId="167" totalsRowDxfId="60" dataCellStyle="Percent">
      <calculatedColumnFormula>IFERROR((DeemedDashboard[[#This Row],[Pre/Ext refrigerant charge (lb) per NormUnit]]/pounds_per_metric_ton)*DeemedDashboard[[#This Row],[Pre net EOL refrigerant leakage (%)]]*DeemedDashboard[[#This Row],[Pre/Ext GWP]],"")</calculatedColumnFormula>
    </tableColumn>
    <tableColumn id="94" xr3:uid="{D17E3473-3F26-4140-BAB2-4AA0D8791ACD}" name="Ext EOL leakage tons CO2e" dataDxfId="166" totalsRowDxfId="59" dataCellStyle="Percent">
      <calculatedColumnFormula>IFERROR((DeemedDashboard[[#This Row],[Pre/Ext refrigerant charge (lb) per NormUnit]]/pounds_per_metric_ton)*DeemedDashboard[[#This Row],[Ext net EOL refrigerant leakage (%)]]*DeemedDashboard[[#This Row],[Pre/Ext GWP]],"")</calculatedColumnFormula>
    </tableColumn>
    <tableColumn id="41" xr3:uid="{35ACB9C3-0BB3-4FD8-AD66-2563D45924B9}" name="Msr NPV Cost of Annual Leakage" dataDxfId="165" totalsRowDxfId="58" dataCellStyle="Currency">
      <calculatedColumnFormula array="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calculatedColumnFormula>
    </tableColumn>
    <tableColumn id="73" xr3:uid="{9E0CC9A2-3DFC-4D62-BD48-335F09373B13}" name="Std NPV Cost of Annual Leakage" dataDxfId="164" totalsRowDxfId="57" dataCellStyle="Currency">
      <calculatedColumnFormula array="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calculatedColumnFormula>
    </tableColumn>
    <tableColumn id="31" xr3:uid="{20F94892-BFE7-480A-B41E-91A4BEA7E4AE}" name="Pre NPV Cost of Annual Leakage" dataDxfId="163" totalsRowDxfId="56" dataCellStyle="Currency">
      <calculatedColumnFormula>IFERROR(IF(OR(DeemedDashboard[[#This Row],[MeasAppType]]&lt;&gt;const_AR,ISBLANK(DeemedDashboard[[#This Row],[MeasAppType]])),NA(),0),"")</calculatedColumnFormula>
    </tableColumn>
    <tableColumn id="37" xr3:uid="{80E913F8-A1F2-4CC0-8A6B-493537190DE9}" name="Ext NPV Cost of Annual Leakage" dataDxfId="162" totalsRowDxfId="55" dataCellStyle="Currency">
      <calculatedColumnFormula array="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calculatedColumnFormula>
    </tableColumn>
    <tableColumn id="76" xr3:uid="{85043415-040B-4DEF-A00F-89834BB84AC8}" name="Msr NPV Cost of EOL Leakage" dataDxfId="161" totalsRowDxfId="54" dataCellStyle="Currency">
      <calculatedColumnFormula>IFERROR((DeemedDashboard[[#This Row],[Msr EOL leakage tons CO2e]]*OFFSET(GHG_Adder_dollar_per_tonne,0,(DeemedDashboard[[#This Row],[Msr Device Retire-ment Year]]-DY+1),1,1))/(1+WACC)^(DeemedDashboard[[#This Row],[Msr Device Retire-ment Year]]-DeemedDashboard[[#This Row],[Measure Start Year]]+0.5),"")</calculatedColumnFormula>
    </tableColumn>
    <tableColumn id="75" xr3:uid="{941CE42E-18A7-427B-8139-74DD9E4636F3}" name="Std NPV Cost of EOL Leakage" dataDxfId="160" totalsRowDxfId="53" dataCellStyle="Currency">
      <calculatedColumnFormula>IFERROR((DeemedDashboard[[#This Row],[Std EOL leakage tons CO2e]]*OFFSET(GHG_Adder_dollar_per_tonne,0,(DeemedDashboard[[#This Row],[Std Device Retire-ment Year]]-DY+1),1,1))/(1+WACC)^(DeemedDashboard[[#This Row],[Std Device Retire-ment Year]]-DeemedDashboard[[#This Row],[Measure Start Year]]+0.5),"")</calculatedColumnFormula>
    </tableColumn>
    <tableColumn id="74" xr3:uid="{C03A1E60-B3FD-4C7C-A940-78BAC442269F}" name="Pre NPV Cost of EOL Leakage" dataDxfId="159" totalsRowDxfId="52" dataCellStyle="Currency">
      <calculatedColumnFormula>IFERROR((DeemedDashboard[[#This Row],[Pre EOL leakage tons CO2e]]*OFFSET(GHG_Adder_dollar_per_tonne,0,(DeemedDashboard[[#This Row],[Measure Start Year]]-DY),1,1))/(1+WACC)^(-0.5),"")</calculatedColumnFormula>
    </tableColumn>
    <tableColumn id="96" xr3:uid="{B84A05AE-462C-446C-8728-2E07D1FB57A1}" name="Ext NPV Cost of EOL Leakage" dataDxfId="158" totalsRowDxfId="51" dataCellStyle="Currency">
      <calculatedColumnFormula>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calculatedColumnFormula>
    </tableColumn>
    <tableColumn id="103" xr3:uid="{ABBC9733-F3F5-4953-8589-E9A000FC8CD2}" name="Msr Adj NPV Cost of Annual Leakage" dataDxfId="157" totalsRowDxfId="50" dataCellStyle="Currency">
      <calculatedColumnFormula>IFERROR(DeemedDashboard[[#This Row],[Msr NPV Cost of Annual Leakage]]/(1+ACC_Inflation_Rate)^(DeemedDashboard[[#This Row],[Measure Start Year]]-DY),"")</calculatedColumnFormula>
    </tableColumn>
    <tableColumn id="104" xr3:uid="{EF87A3E6-2FC8-4A25-859B-2A95A0A5623F}" name="Std Adj NPV Cost of Annual Leakage" dataDxfId="156" totalsRowDxfId="49" dataCellStyle="Currency">
      <calculatedColumnFormula>IFERROR(DeemedDashboard[[#This Row],[Std NPV Cost of Annual Leakage]]/(1+ACC_Inflation_Rate)^(DeemedDashboard[[#This Row],[Measure Start Year]]-DY),"")</calculatedColumnFormula>
    </tableColumn>
    <tableColumn id="105" xr3:uid="{7C0D5E24-1688-4D03-8EFC-FDAD5BED8250}" name="Pre Adj NPV Cost of Annual Leakage" dataDxfId="155" totalsRowDxfId="48" dataCellStyle="Currency">
      <calculatedColumnFormula>IFERROR(IF(ISBLANK(DeemedDashboard[[#This Row],[MeasAppType]]),NA(),IF(DeemedDashboard[[#This Row],[MeasAppType]]=const_AR,DeemedDashboard[[#This Row],[Pre NPV Cost of Annual Leakage]]/(1+ACC_Inflation_Rate)^(DeemedDashboard[[#This Row],[Measure Start Year]]-DY),"")),"")</calculatedColumnFormula>
    </tableColumn>
    <tableColumn id="106" xr3:uid="{28DF80B5-9875-426A-B4D2-C83DBF212645}" name="Ext Adj NPV Cost of Annual Leakage" dataDxfId="154" totalsRowDxfId="47" dataCellStyle="Currency">
      <calculatedColumnFormula>IFERROR(IF(ISBLANK(DeemedDashboard[[#This Row],[MeasAppType]]),NA(),IF(DeemedDashboard[[#This Row],[MeasAppType]]=const_AR,DeemedDashboard[[#This Row],[Ext NPV Cost of Annual Leakage]]/(1+ACC_Inflation_Rate)^(DeemedDashboard[[#This Row],[Measure Start Year]]-DY),"")),"")</calculatedColumnFormula>
    </tableColumn>
    <tableColumn id="99" xr3:uid="{EFE8898D-E893-4BBE-AA58-D05AD1ECA705}" name="Msr Adj NPV Cost of EOL Leakage" dataDxfId="153" totalsRowDxfId="46" dataCellStyle="Currency">
      <calculatedColumnFormula>IFERROR((DeemedDashboard[[#This Row],[Msr % of device lifetime during measure years]]+DeemedDashboard[[#This Row],[Msr % of device lifetime retired early]])*DeemedDashboard[[#This Row],[Msr NPV Cost of EOL Leakage]]/(1+ACC_Inflation_Rate)^(DeemedDashboard[[#This Row],[Measure Start Year]]-DY),"")</calculatedColumnFormula>
    </tableColumn>
    <tableColumn id="100" xr3:uid="{2762B005-D93F-42D3-A99B-A4F3463AC187}" name="Std Adj NPV Cost of EOL Leakage" dataDxfId="152" totalsRowDxfId="45" dataCellStyle="Currency">
      <calculatedColumnFormula>IFERROR((DeemedDashboard[[#This Row],[Std % of device lifetime during measure years]]+DeemedDashboard[[#This Row],[Std % of device lifetime retired early]])*DeemedDashboard[[#This Row],[Std NPV Cost of EOL Leakage]]/(1+ACC_Inflation_Rate)^(DeemedDashboard[[#This Row],[Measure Start Year]]-DY),"")</calculatedColumnFormula>
    </tableColumn>
    <tableColumn id="101" xr3:uid="{1FD9C7C0-AD4A-44D4-ADF1-9093E23BD0FB}" name="Pre Adj NPV Cost of EOL Leakage" dataDxfId="151" totalsRowDxfId="44" dataCellStyle="Currency">
      <calculatedColumnFormula>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calculatedColumnFormula>
    </tableColumn>
    <tableColumn id="102" xr3:uid="{E582AC83-4F71-4833-B878-44A3771D5831}" name="Ext Adj NPV Cost of EOL Leakage" dataDxfId="150" totalsRowDxfId="43" dataCellStyle="Currency">
      <calculatedColumnFormula>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calculatedColumnFormula>
    </tableColumn>
    <tableColumn id="95" xr3:uid="{55A50B81-AD65-4A59-9654-727312490F31}" name="Measure total _x000a_NPV cost" dataDxfId="135" totalsRowDxfId="42" dataCellStyle="Currency">
      <calculatedColumnFormula>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calculatedColumnFormula>
    </tableColumn>
    <tableColumn id="107" xr3:uid="{7A82EDA2-0514-44A1-AD28-2CC28CD79954}" name="Counter-factual total _x000a_NPV cost" dataDxfId="134" totalsRowDxfId="41" dataCellStyle="Currency">
      <calculatedColumnFormula>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calculatedColumnFormula>
    </tableColumn>
    <tableColumn id="29" xr3:uid="{BC4A34F6-9C60-4B17-9C72-E35BF2805F18}" name="Refrigerant_x000a_NPV costs_x000a_avoided" dataDxfId="149" totalsRowDxfId="40" dataCellStyle="Currency">
      <calculatedColumnFormula>IFERROR(DeemedDashboard[[#This Row],[Counter-factual total 
NPV cost]]-DeemedDashboard[[#This Row],[Measure total 
NPV cost]],"")</calculatedColumnFormula>
    </tableColumn>
    <tableColumn id="30" xr3:uid="{428B4FAF-EE57-4077-901B-8E7D77678B8F}" name="Is Avoided Net Cost &gt;0?" dataDxfId="148" totalsRowDxfId="39" dataCellStyle="Currency">
      <calculatedColumnFormula>IF(ISBLANK(DeemedDashboard[[#This Row],[MeasAppType]]),"",DeemedDashboard[[#This Row],[Refrigerant
NPV costs
avoided]]&gt;0)</calculatedColumnFormula>
    </tableColumn>
    <tableColumn id="79" xr3:uid="{34BDCE5B-1E81-4627-A7CC-B04B43228C99}" name="Refrigerant_x000a_NPVCosts_x000a_Mea per NormUnit" dataDxfId="147" totalsRowDxfId="38" dataCellStyle="Currency">
      <calculatedColumnFormula>IFERROR(DeemedDashboard[[#This Row],[Msr Adj NPV Cost of Annual Leakage]]+DeemedDashboard[[#This Row],[Msr Adj NPV Cost of EOL Leakage]],"")</calculatedColumnFormula>
    </tableColumn>
    <tableColumn id="78" xr3:uid="{58F4D52B-9A66-4B7C-814D-3405069C19E4}" name="Refrigerant_x000a_NPVCosts_x000a_StdBaseline per NormUnit" dataDxfId="146" totalsRowDxfId="37" dataCellStyle="Currency">
      <calculatedColumnFormula>IFERROR(DeemedDashboard[[#This Row],[Std Adj NPV Cost of Annual Leakage]]+DeemedDashboard[[#This Row],[Std Adj NPV Cost of EOL Leakage]],"")</calculatedColumnFormula>
    </tableColumn>
    <tableColumn id="77" xr3:uid="{BEEC41B3-33CE-49A2-BF89-CF61B24179BA}" name="Refrigerant_x000a_NPVCosts_x000a_Pre per NormUnit" dataDxfId="145" totalsRowDxfId="36" dataCellStyle="Currency">
      <calculatedColumnFormula>IFERROR(IF((DeemedDashboard[[#This Row],[Pre Adj NPV Cost of Annual Leakage]]+DeemedDashboard[[#This Row],[Pre Adj NPV Cost of EOL Leakage]])=0,"",DeemedDashboard[[#This Row],[Pre Adj NPV Cost of Annual Leakage]]+DeemedDashboard[[#This Row],[Pre Adj NPV Cost of EOL Leakage]]),"")</calculatedColumnFormula>
    </tableColumn>
    <tableColumn id="98" xr3:uid="{1263A29D-BFAC-4FF8-B66E-B3D6B6FAB0EA}" name="Unit Refrigerant_x000a_NPVCosts_x000a_ExtBaseline per NormUnit" dataDxfId="144" totalsRowDxfId="35" dataCellStyle="Currency">
      <calculatedColumnFormula>IFERROR(IF((DeemedDashboard[[#This Row],[Ext Adj NPV Cost of Annual Leakage]]+DeemedDashboard[[#This Row],[Ext Adj NPV Cost of EOL Leakage]])=0,"",DeemedDashboard[[#This Row],[Ext Adj NPV Cost of Annual Leakage]]+DeemedDashboard[[#This Row],[Ext Adj NPV Cost of EOL Leakage]]),"")</calculatedColumnFormula>
    </tableColumn>
    <tableColumn id="51" xr3:uid="{472B3D89-7B39-4180-AD5D-E3226E9D427D}" name="UnitRefrig_x000a_Costs" dataDxfId="143" totalsRowDxfId="34" dataCellStyle="Currency">
      <calculatedColumnFormula>IFERROR(IF(DeemedDashboard[[#This Row],[Is Avoided Net Cost &gt;0?]],"",-DeemedDashboard[[#This Row],[Refrigerant
NPV costs
avoided]]),"")</calculatedColumnFormula>
    </tableColumn>
    <tableColumn id="28" xr3:uid="{0DBAA1B8-317C-4D1E-B364-AC865EAC6E2E}" name="UnitRefrig_x000a_Bens" dataDxfId="142" totalsRowDxfId="33" dataCellStyle="Currency">
      <calculatedColumnFormula>IFERROR(IF(DeemedDashboard[[#This Row],[Is Avoided Net Cost &gt;0?]],DeemedDashboard[[#This Row],[Refrigerant
NPV costs
avoided]],""),"")</calculatedColumnFormula>
    </tableColumn>
    <tableColumn id="16" xr3:uid="{E971AB96-0104-4D15-9F20-DDF227C16916}" name="TGIndex" dataDxfId="141" totalsRowDxfId="32" dataCellStyle="Currency">
      <calculatedColumnFormula>IFERROR(MATCH(DeemedDashboard[[#This Row],[TechGroup and NormUnit]],TechGroup_and_NormUnit,0),1)</calculatedColumnFormula>
    </tableColumn>
    <tableColumn id="17" xr3:uid="{E92AE49D-A347-4334-8AE6-0A1EEA2C65AD}" name="TGRows" dataDxfId="140" totalsRowDxfId="31" dataCellStyle="Currency">
      <calculatedColumnFormula array="1">IFERROR(INDEX(TGRows,DeemedDashboard[[#This Row],[TGIndex]]),"")</calculatedColumnFormula>
    </tableColumn>
    <tableColumn id="56" xr3:uid="{D012B5FE-A92D-454A-8D5E-5EEDA586B5BF}" name="TG Rows (with blank)" dataDxfId="139" totalsRowDxfId="30" dataCellStyle="Currency">
      <calculatedColumnFormula>IF(DeemedDashboard[[#This Row],[MeasAppType]]=const_AR,DeemedDashboard[[#This Row],[TGRows]],DeemedDashboard[[#This Row],[TGRows]]+1)</calculatedColumnFormula>
    </tableColumn>
    <tableColumn id="110" xr3:uid="{8A94307C-A8F0-4CF9-A0F3-8997603D8009}" name="Workbook integrity check" dataDxfId="138" totalsRowDxfId="29" dataCellStyle="Currency">
      <calculatedColumnFormula>IF(ISBLANK(DeemedDashboard[[#This Row],[MeasAppType]]),"",IF(DeemedDashboard[[#This Row],[Index]]=User_Specified_Refrigerant[[#This Row],[Index]],"OK","ERROR"))</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83F895-C7F4-430D-AB14-10A5E90C6C3B}" name="User_Specified_Refrigerant" displayName="User_Specified_Refrigerant" ref="A9:V110" totalsRowCount="1" headerRowDxfId="284" dataDxfId="283" tableBorderDxfId="282">
  <tableColumns count="22">
    <tableColumn id="1" xr3:uid="{90B0BB11-E082-40C5-902E-D2E1821EFE5C}" name="Index" dataDxfId="281">
      <calculatedColumnFormula>ROW(User_Specified_Refrigerant[[#This Row],[Index]])-ROW(User_Specified_Refrigerant[[#Headers],[Index]])</calculatedColumnFormula>
    </tableColumn>
    <tableColumn id="2" xr3:uid="{E4BD995D-00F3-42B9-A1AB-00FB7215A69B}" name="Measure description" totalsRowFunction="custom" dataDxfId="280" totalsRowDxfId="279">
      <calculatedColumnFormula>IF(ISBLANK(DeemedDashboard[[#This Row],[Measure description]]),"",DeemedDashboard[[#This Row],[Measure description]])</calculatedColumnFormula>
      <totalsRowFormula array="1">SUM(1*(LEN(User_Specified_Refrigerant[Measure description])&gt;0))</totalsRowFormula>
    </tableColumn>
    <tableColumn id="24" xr3:uid="{7FE9ED5D-DB43-4F3F-94AD-F39410A92DCA}" name="User-specified mode for Msr device?" dataDxfId="278">
      <calculatedColumnFormula>DeemedDashboard[[#This Row],[Msr device type]]=const_userspec</calculatedColumnFormula>
    </tableColumn>
    <tableColumn id="10" xr3:uid="{00ACF887-49F7-417F-B92B-561DE02DC11C}" name="Msr Refrigerant charge (lbs) per NormUnit" dataDxfId="277"/>
    <tableColumn id="14" xr3:uid="{E673662C-FFBD-4635-A1E5-4CA803B30D07}" name="Msr annual refrigerant leakage %" dataDxfId="276" dataCellStyle="Percent"/>
    <tableColumn id="22" xr3:uid="{D152A74E-B400-44B4-9B4E-39EAE8F0D50F}" name="Msr gross EOL refrigerant leakage %" dataDxfId="275" dataCellStyle="Percent"/>
    <tableColumn id="18" xr3:uid="{89DD6A6B-0754-46C6-9083-793F2C1EB359}" name="Msr t_EOL" dataDxfId="274" dataCellStyle="Percent"/>
    <tableColumn id="26" xr3:uid="{CB669A08-F3DC-404B-B55B-3AE128C247AB}" name="User-specified mode for Std device?" dataDxfId="273" totalsRowDxfId="272">
      <calculatedColumnFormula>DeemedDashboard[[#This Row],[Std device type]]=const_userspec</calculatedColumnFormula>
    </tableColumn>
    <tableColumn id="9" xr3:uid="{BA7490ED-CB47-49E1-A7C6-43D01A448B42}" name="Std Refrigerant charge (lbs) per NormUnit" dataDxfId="271" dataCellStyle="Percent"/>
    <tableColumn id="13" xr3:uid="{5846349E-10D8-4353-884D-6570806DB129}" name="Std annual refrigerant leakage %" dataDxfId="270" dataCellStyle="Percent"/>
    <tableColumn id="21" xr3:uid="{36449735-3997-4166-8DB6-2ED84139A2AB}" name="Std gross EOL refrigerant leakage %" dataDxfId="269" dataCellStyle="Percent"/>
    <tableColumn id="17" xr3:uid="{493FD34D-1621-4E83-90A8-CAC86B10628C}" name="Std t_EOL" dataDxfId="268" dataCellStyle="Percent"/>
    <tableColumn id="28" xr3:uid="{186C6E1B-6DAC-4EA3-B634-105A687F6061}" name="User-specified mode for Pre device?" dataDxfId="267" totalsRowDxfId="266">
      <calculatedColumnFormula>DeemedDashboard[[#This Row],[Pre/Ext device type]]=const_userspec</calculatedColumnFormula>
    </tableColumn>
    <tableColumn id="8" xr3:uid="{64220E66-9FAE-43F4-B7FD-2AF970144AD8}" name="Pre Refrigerant charge (lbs) per NormUnit" dataDxfId="265" dataCellStyle="Percent"/>
    <tableColumn id="12" xr3:uid="{74EC214C-093F-45E7-80EE-093168BCF509}" name="Pre annual refrigerant leakage %" dataDxfId="264" dataCellStyle="Percent"/>
    <tableColumn id="20" xr3:uid="{672F1049-1265-4CF4-BFDD-3FF09472C5A7}" name="Pre gross EOL refrigerant leakage %" dataDxfId="263" dataCellStyle="Percent"/>
    <tableColumn id="16" xr3:uid="{56202C1C-8B66-4167-AACF-D2DB65D33CFA}" name="Pre t_EOL" dataDxfId="262" dataCellStyle="Percent"/>
    <tableColumn id="25" xr3:uid="{22C58900-A2E8-4959-835C-F8EEB14340DE}" name="User-specified mode for Ext device?" dataDxfId="261" totalsRowDxfId="260">
      <calculatedColumnFormula>User_Specified_Refrigerant[[#This Row],[User-specified mode for Pre device?]]</calculatedColumnFormula>
    </tableColumn>
    <tableColumn id="7" xr3:uid="{3DF8FD7C-CFC8-482D-9E8E-56AA8129330E}" name="Ext Refrigerant charge (lbs) per NormUnit" dataDxfId="259">
      <calculatedColumnFormula>IF(ISBLANK(User_Specified_Refrigerant[[#This Row],[Pre Refrigerant charge (lbs) per NormUnit]]),"",User_Specified_Refrigerant[[#This Row],[Pre Refrigerant charge (lbs) per NormUnit]])</calculatedColumnFormula>
    </tableColumn>
    <tableColumn id="11" xr3:uid="{B45EB727-8948-43B0-A6B7-25A93117B942}" name="Ext annual refrigerant leakage %" dataDxfId="258" dataCellStyle="Percent">
      <calculatedColumnFormula>IF(ISBLANK(User_Specified_Refrigerant[[#This Row],[Pre annual refrigerant leakage %]]),"",User_Specified_Refrigerant[[#This Row],[Pre annual refrigerant leakage %]])</calculatedColumnFormula>
    </tableColumn>
    <tableColumn id="15" xr3:uid="{75528D2E-29CA-4C9C-921E-6BC213FCB629}" name="Ext t_EOL" dataDxfId="257" dataCellStyle="Percent">
      <calculatedColumnFormula>IF(ISBLANK(User_Specified_Refrigerant[[#This Row],[Pre t_EOL]]),"",User_Specified_Refrigerant[[#This Row],[Pre t_EOL]])</calculatedColumnFormula>
    </tableColumn>
    <tableColumn id="19" xr3:uid="{94C168E4-31B2-4342-AF19-7BD6E2496390}" name="Ext gross EOL refrigerant leakage %" dataDxfId="256" dataCellStyle="Percent">
      <calculatedColumnFormula>IF(ISBLANK(User_Specified_Refrigerant[[#This Row],[Pre gross EOL refrigerant leakage %]]),"",User_Specified_Refrigerant[[#This Row],[Pre gross EOL refrigerant leakage %]])</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D07DBE-3B05-4432-80E7-D1B5FDED3FCC}" name="TechGroup_NormUnit_Table" displayName="TechGroup_NormUnit_Table" ref="B11:I37" totalsRowShown="0" headerRowDxfId="255" dataDxfId="254">
  <autoFilter ref="B11:I37" xr:uid="{A5CA9968-771D-4A9E-AEF2-9C4E9C7BAB60}"/>
  <tableColumns count="8">
    <tableColumn id="9" xr3:uid="{A20746CE-324A-4657-BD53-440223480392}" name="TechGroup and NormUnit" dataDxfId="253"/>
    <tableColumn id="1" xr3:uid="{BB30FCF1-4AEE-4A02-AB6A-4557639E40C6}" name="DropdownRefrigTech" dataDxfId="252"/>
    <tableColumn id="3" xr3:uid="{DD1618F7-DD96-4A99-A0B5-5283D0BEA742}" name="CommonRefrigerantType" dataDxfId="251"/>
    <tableColumn id="4" xr3:uid="{28CCF9B6-B0F2-4CF1-897B-0FFA5CEEBF6D}" name="RefrigChargePoundsPerNormUnit" dataDxfId="250"/>
    <tableColumn id="5" xr3:uid="{EAFB8EB7-6A18-4AB9-979F-7755500B904D}" name="LeakageLookupKey" dataDxfId="249"/>
    <tableColumn id="6" xr3:uid="{924B6735-D5BB-4FFF-B320-4D8BD7CCF223}" name="AnnualLeakageRate" dataDxfId="248" dataCellStyle="Percent">
      <calculatedColumnFormula>IFERROR(INDEX(q_ann,MATCH(TechGroup_NormUnit_Table[[#This Row],[LeakageLookupKey]],Dropdown_Leakage_Device_Type,0)),0)</calculatedColumnFormula>
    </tableColumn>
    <tableColumn id="7" xr3:uid="{07C27589-92DB-4F3B-8B11-9C71E2809904}" name="q_EOL" dataDxfId="247" dataCellStyle="Percent">
      <calculatedColumnFormula>IFERROR(INDEX(q_EOL,MATCH(TechGroup_NormUnit_Table[[#This Row],[LeakageLookupKey]],Dropdown_Leakage_Device_Type,0)),0)</calculatedColumnFormula>
    </tableColumn>
    <tableColumn id="10" xr3:uid="{653B7F65-454F-45DF-9037-96F655DB9E4B}" name="t_EOL" dataDxfId="246" dataCellStyle="Percent">
      <calculatedColumnFormula>IFERROR(INDEX(t_EOL,MATCH(TechGroup_NormUnit_Table[[#This Row],[LeakageLookupKey]],Dropdown_Leakage_Device_Type,0)),0)</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AFE229-394F-4D1D-93F1-78BC520ECD3B}" name="Named_Ranges" displayName="Named_Ranges" ref="A1:E41" totalsRowShown="0" headerRowDxfId="245" dataDxfId="244">
  <autoFilter ref="A1:E41" xr:uid="{8BAFE229-394F-4D1D-93F1-78BC520ECD3B}"/>
  <tableColumns count="5">
    <tableColumn id="1" xr3:uid="{9304D5D4-E8F4-43E4-956A-05EC5A8B3E8C}" name="Name" dataDxfId="243"/>
    <tableColumn id="2" xr3:uid="{55AC8B94-1173-4F60-A5F0-A70E8D0821DA}" name="Range" dataDxfId="242"/>
    <tableColumn id="4" xr3:uid="{BA3E12A1-A488-44F8-93B0-C986957A32A9}" name="Columns" dataDxfId="241">
      <calculatedColumnFormula>IFERROR(COLUMNS(INDIRECT(SUBSTITUTE(Named_Ranges[[#This Row],[Range]],"=",""))),0)</calculatedColumnFormula>
    </tableColumn>
    <tableColumn id="5" xr3:uid="{D1879D77-660E-4CA8-BA47-2EAE20D2C4CD}" name="Rows" dataDxfId="240">
      <calculatedColumnFormula>IFERROR(ROWS(INDIRECT(SUBSTITUTE(Named_Ranges[[#This Row],[Range]],"=",""))),0)</calculatedColumnFormula>
    </tableColumn>
    <tableColumn id="3" xr3:uid="{1FBBA77D-131F-47B9-9702-5F13E9BB593B}" name="Value" dataDxfId="239">
      <calculatedColumnFormula array="1">IF((Named_Ranges[[#This Row],[Columns]]+Named_Ranges[[#This Row],[Rows]])=2,INDIRECT(SUBSTITUTE(Named_Ranges[[#This Row],[Range]],"=","")),IF((Named_Ranges[[#This Row],[Columns]]+Named_Ranges[[#This Row],[Rows]])=0,"","Array"))</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E3">
      <a:dk1>
        <a:sysClr val="windowText" lastClr="000000"/>
      </a:dk1>
      <a:lt1>
        <a:sysClr val="window" lastClr="FFFFFF"/>
      </a:lt1>
      <a:dk2>
        <a:srgbClr val="315361"/>
      </a:dk2>
      <a:lt2>
        <a:srgbClr val="EEECE1"/>
      </a:lt2>
      <a:accent1>
        <a:srgbClr val="034E6E"/>
      </a:accent1>
      <a:accent2>
        <a:srgbClr val="AF7E00"/>
      </a:accent2>
      <a:accent3>
        <a:srgbClr val="AF2200"/>
      </a:accent3>
      <a:accent4>
        <a:srgbClr val="007E33"/>
      </a:accent4>
      <a:accent5>
        <a:srgbClr val="AF5D00"/>
      </a:accent5>
      <a:accent6>
        <a:srgbClr val="0A197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23" dT="2023-04-13T18:42:40.52" personId="{0DCB712D-850A-4A91-8A36-B5980C749F0D}" id="{89DCBC70-E95D-4ED1-85F3-F37A259EBC25}">
    <text>Corrected cell reference for inflation rate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puc.ca.gov/industries-and-topics/electrical-energy/demand-side-management/energy-efficiency/idsm"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5.bin"/><Relationship Id="rId1" Type="http://schemas.openxmlformats.org/officeDocument/2006/relationships/hyperlink" Target="https://www.cpuc.ca.gov/industries-and-topics/electrical-energy/demand-side-management/energy-efficiency/idsm" TargetMode="External"/><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lochinvar.com/products/commercial-heat-pump-water-heaters/air-source-heat-pump-water-heaters/See%20table%20on%20the%20side%20for%20calculations" TargetMode="External"/><Relationship Id="rId1" Type="http://schemas.openxmlformats.org/officeDocument/2006/relationships/hyperlink" Target="https://www.lochinvar.com/lit/436248CHE-Spec-01.pdf"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1BBCD-1FED-448F-A61F-726D7680A8CB}">
  <sheetPr codeName="Sheet1">
    <tabColor theme="3" tint="0.39997558519241921"/>
    <pageSetUpPr fitToPage="1"/>
  </sheetPr>
  <dimension ref="A1:F289"/>
  <sheetViews>
    <sheetView showGridLines="0" tabSelected="1" zoomScaleNormal="100" workbookViewId="0"/>
  </sheetViews>
  <sheetFormatPr defaultRowHeight="15" x14ac:dyDescent="0.25"/>
  <cols>
    <col min="2" max="2" width="9.28515625" customWidth="1"/>
    <col min="3" max="3" width="10.7109375" customWidth="1"/>
    <col min="4" max="4" width="9.28515625" customWidth="1"/>
    <col min="5" max="5" width="26.85546875" customWidth="1"/>
    <col min="6" max="6" width="93.28515625" customWidth="1"/>
    <col min="7" max="10" width="9.28515625" customWidth="1"/>
  </cols>
  <sheetData>
    <row r="1" spans="1:6" x14ac:dyDescent="0.25">
      <c r="A1" s="159"/>
    </row>
    <row r="2" spans="1:6" ht="31.5" x14ac:dyDescent="0.5">
      <c r="A2" s="159"/>
      <c r="B2" s="160" t="s">
        <v>982</v>
      </c>
    </row>
    <row r="3" spans="1:6" x14ac:dyDescent="0.25">
      <c r="A3" s="159"/>
      <c r="B3" s="443" t="s">
        <v>0</v>
      </c>
      <c r="C3" s="443"/>
      <c r="D3" s="443"/>
    </row>
    <row r="4" spans="1:6" x14ac:dyDescent="0.25">
      <c r="A4" s="159"/>
      <c r="B4" s="443" t="s">
        <v>979</v>
      </c>
      <c r="C4" s="443"/>
      <c r="D4" s="443"/>
      <c r="E4" s="442" t="s">
        <v>980</v>
      </c>
      <c r="F4" s="1"/>
    </row>
    <row r="5" spans="1:6" x14ac:dyDescent="0.25">
      <c r="A5" s="159"/>
      <c r="B5" s="453" t="s">
        <v>1</v>
      </c>
      <c r="C5" s="453"/>
      <c r="D5" s="453"/>
      <c r="E5" s="453"/>
      <c r="F5" s="453"/>
    </row>
    <row r="6" spans="1:6" x14ac:dyDescent="0.25">
      <c r="A6" s="159"/>
      <c r="B6" s="159"/>
    </row>
    <row r="7" spans="1:6" x14ac:dyDescent="0.25">
      <c r="A7" s="159"/>
      <c r="B7" s="161" t="s">
        <v>2</v>
      </c>
      <c r="C7" s="454" t="s">
        <v>3</v>
      </c>
      <c r="D7" s="455"/>
      <c r="E7" s="386" t="s">
        <v>4</v>
      </c>
      <c r="F7" s="387" t="s">
        <v>5</v>
      </c>
    </row>
    <row r="8" spans="1:6" x14ac:dyDescent="0.25">
      <c r="A8" s="159"/>
      <c r="B8" s="251" t="s">
        <v>6</v>
      </c>
      <c r="C8" s="456">
        <v>44406</v>
      </c>
      <c r="D8" s="457"/>
      <c r="E8" s="385" t="s">
        <v>7</v>
      </c>
      <c r="F8" s="384" t="s">
        <v>8</v>
      </c>
    </row>
    <row r="9" spans="1:6" x14ac:dyDescent="0.25">
      <c r="A9" s="159"/>
      <c r="B9" s="458">
        <v>1.1000000000000001</v>
      </c>
      <c r="C9" s="461">
        <v>44434</v>
      </c>
      <c r="D9" s="462"/>
      <c r="E9" s="467" t="s">
        <v>7</v>
      </c>
      <c r="F9" s="444" t="s">
        <v>9</v>
      </c>
    </row>
    <row r="10" spans="1:6" x14ac:dyDescent="0.25">
      <c r="B10" s="459"/>
      <c r="C10" s="463"/>
      <c r="D10" s="464"/>
      <c r="E10" s="468"/>
      <c r="F10" s="451"/>
    </row>
    <row r="11" spans="1:6" x14ac:dyDescent="0.25">
      <c r="B11" s="459"/>
      <c r="C11" s="463"/>
      <c r="D11" s="464"/>
      <c r="E11" s="468"/>
      <c r="F11" s="451"/>
    </row>
    <row r="12" spans="1:6" x14ac:dyDescent="0.25">
      <c r="B12" s="460"/>
      <c r="C12" s="465"/>
      <c r="D12" s="466"/>
      <c r="E12" s="469"/>
      <c r="F12" s="451"/>
    </row>
    <row r="13" spans="1:6" ht="30" x14ac:dyDescent="0.25">
      <c r="B13" s="252">
        <v>1.2</v>
      </c>
      <c r="C13" s="456">
        <v>44476</v>
      </c>
      <c r="D13" s="457"/>
      <c r="E13" s="385" t="s">
        <v>7</v>
      </c>
      <c r="F13" s="384" t="s">
        <v>10</v>
      </c>
    </row>
    <row r="14" spans="1:6" ht="90" x14ac:dyDescent="0.25">
      <c r="B14" s="252" t="s">
        <v>11</v>
      </c>
      <c r="C14" s="456">
        <v>44503</v>
      </c>
      <c r="D14" s="457"/>
      <c r="E14" s="385" t="s">
        <v>7</v>
      </c>
      <c r="F14" s="384" t="s">
        <v>12</v>
      </c>
    </row>
    <row r="15" spans="1:6" ht="180" x14ac:dyDescent="0.25">
      <c r="B15" s="252" t="s">
        <v>13</v>
      </c>
      <c r="C15" s="456">
        <v>45040</v>
      </c>
      <c r="D15" s="457"/>
      <c r="E15" s="385" t="s">
        <v>7</v>
      </c>
      <c r="F15" s="384" t="s">
        <v>14</v>
      </c>
    </row>
    <row r="16" spans="1:6" ht="45" x14ac:dyDescent="0.25">
      <c r="B16" s="252" t="s">
        <v>872</v>
      </c>
      <c r="C16" s="456">
        <v>45105</v>
      </c>
      <c r="D16" s="457"/>
      <c r="E16" s="385" t="s">
        <v>7</v>
      </c>
      <c r="F16" s="384" t="s">
        <v>884</v>
      </c>
    </row>
    <row r="17" spans="2:6" x14ac:dyDescent="0.25">
      <c r="B17" s="252" t="s">
        <v>873</v>
      </c>
      <c r="C17" s="456">
        <v>45120</v>
      </c>
      <c r="D17" s="457"/>
      <c r="E17" s="385" t="s">
        <v>7</v>
      </c>
      <c r="F17" s="384" t="s">
        <v>885</v>
      </c>
    </row>
    <row r="18" spans="2:6" ht="195" x14ac:dyDescent="0.25">
      <c r="B18" s="252" t="s">
        <v>874</v>
      </c>
      <c r="C18" s="456">
        <v>45126</v>
      </c>
      <c r="D18" s="457"/>
      <c r="E18" s="385" t="s">
        <v>875</v>
      </c>
      <c r="F18" s="384" t="s">
        <v>877</v>
      </c>
    </row>
    <row r="19" spans="2:6" ht="105" x14ac:dyDescent="0.25">
      <c r="B19" s="252" t="s">
        <v>876</v>
      </c>
      <c r="C19" s="456">
        <v>45155</v>
      </c>
      <c r="D19" s="457"/>
      <c r="E19" s="385" t="s">
        <v>7</v>
      </c>
      <c r="F19" s="384" t="s">
        <v>890</v>
      </c>
    </row>
    <row r="20" spans="2:6" ht="76.5" customHeight="1" x14ac:dyDescent="0.25">
      <c r="B20" s="252" t="s">
        <v>984</v>
      </c>
      <c r="C20" s="456">
        <v>45163</v>
      </c>
      <c r="D20" s="457"/>
      <c r="E20" s="385" t="s">
        <v>875</v>
      </c>
      <c r="F20" s="406" t="s">
        <v>985</v>
      </c>
    </row>
    <row r="21" spans="2:6" x14ac:dyDescent="0.25">
      <c r="B21" s="369"/>
      <c r="C21" s="370"/>
      <c r="D21" s="370"/>
      <c r="E21" s="253"/>
      <c r="F21" s="368"/>
    </row>
    <row r="22" spans="2:6" x14ac:dyDescent="0.25">
      <c r="B22" t="s">
        <v>15</v>
      </c>
    </row>
    <row r="23" spans="2:6" x14ac:dyDescent="0.25">
      <c r="B23" s="162"/>
      <c r="C23" s="249"/>
      <c r="D23" s="250"/>
      <c r="E23" t="s">
        <v>16</v>
      </c>
    </row>
    <row r="24" spans="2:6" x14ac:dyDescent="0.25">
      <c r="B24" s="248"/>
      <c r="C24" s="248"/>
      <c r="D24" s="248"/>
      <c r="E24" t="s">
        <v>17</v>
      </c>
    </row>
    <row r="26" spans="2:6" x14ac:dyDescent="0.25">
      <c r="B26" s="444" t="s">
        <v>18</v>
      </c>
      <c r="C26" s="444"/>
      <c r="D26" s="444"/>
      <c r="E26" s="444"/>
      <c r="F26" s="444"/>
    </row>
    <row r="27" spans="2:6" x14ac:dyDescent="0.25">
      <c r="B27" s="444"/>
      <c r="C27" s="444"/>
      <c r="D27" s="444"/>
      <c r="E27" s="444"/>
      <c r="F27" s="444"/>
    </row>
    <row r="28" spans="2:6" x14ac:dyDescent="0.25">
      <c r="B28" s="444"/>
      <c r="C28" s="444"/>
      <c r="D28" s="444"/>
      <c r="E28" s="444"/>
      <c r="F28" s="444"/>
    </row>
    <row r="29" spans="2:6" x14ac:dyDescent="0.25">
      <c r="B29" s="444"/>
      <c r="C29" s="444"/>
      <c r="D29" s="444"/>
      <c r="E29" s="444"/>
      <c r="F29" s="444"/>
    </row>
    <row r="30" spans="2:6" x14ac:dyDescent="0.25">
      <c r="B30" s="444"/>
      <c r="C30" s="444"/>
      <c r="D30" s="444"/>
      <c r="E30" s="444"/>
      <c r="F30" s="444"/>
    </row>
    <row r="31" spans="2:6" x14ac:dyDescent="0.25">
      <c r="B31" s="444"/>
      <c r="C31" s="444"/>
      <c r="D31" s="444"/>
      <c r="E31" s="444"/>
      <c r="F31" s="444"/>
    </row>
    <row r="32" spans="2:6" x14ac:dyDescent="0.25">
      <c r="B32" s="444"/>
      <c r="C32" s="444"/>
      <c r="D32" s="444"/>
      <c r="E32" s="444"/>
      <c r="F32" s="444"/>
    </row>
    <row r="33" spans="2:6" x14ac:dyDescent="0.25">
      <c r="B33" s="444"/>
      <c r="C33" s="444"/>
      <c r="D33" s="444"/>
      <c r="E33" s="444"/>
      <c r="F33" s="444"/>
    </row>
    <row r="34" spans="2:6" x14ac:dyDescent="0.25">
      <c r="B34" s="444"/>
      <c r="C34" s="444"/>
      <c r="D34" s="444"/>
      <c r="E34" s="444"/>
      <c r="F34" s="444"/>
    </row>
    <row r="35" spans="2:6" x14ac:dyDescent="0.25">
      <c r="B35" s="444"/>
      <c r="C35" s="444"/>
      <c r="D35" s="444"/>
      <c r="E35" s="444"/>
      <c r="F35" s="444"/>
    </row>
    <row r="36" spans="2:6" x14ac:dyDescent="0.25">
      <c r="B36" s="444"/>
      <c r="C36" s="444"/>
      <c r="D36" s="444"/>
      <c r="E36" s="444"/>
      <c r="F36" s="444"/>
    </row>
    <row r="37" spans="2:6" x14ac:dyDescent="0.25">
      <c r="B37" s="444"/>
      <c r="C37" s="444"/>
      <c r="D37" s="444"/>
      <c r="E37" s="444"/>
      <c r="F37" s="444"/>
    </row>
    <row r="38" spans="2:6" x14ac:dyDescent="0.25">
      <c r="B38" s="444"/>
      <c r="C38" s="444"/>
      <c r="D38" s="444"/>
      <c r="E38" s="444"/>
      <c r="F38" s="444"/>
    </row>
    <row r="40" spans="2:6" x14ac:dyDescent="0.25">
      <c r="B40" s="444" t="s">
        <v>19</v>
      </c>
      <c r="C40" s="444"/>
      <c r="D40" s="444"/>
      <c r="E40" s="444"/>
      <c r="F40" s="444"/>
    </row>
    <row r="41" spans="2:6" x14ac:dyDescent="0.25">
      <c r="B41" s="444"/>
      <c r="C41" s="444"/>
      <c r="D41" s="444"/>
      <c r="E41" s="444"/>
      <c r="F41" s="444"/>
    </row>
    <row r="42" spans="2:6" x14ac:dyDescent="0.25">
      <c r="B42" s="444"/>
      <c r="C42" s="444"/>
      <c r="D42" s="444"/>
      <c r="E42" s="444"/>
      <c r="F42" s="444"/>
    </row>
    <row r="43" spans="2:6" x14ac:dyDescent="0.25">
      <c r="B43" s="444"/>
      <c r="C43" s="444"/>
      <c r="D43" s="444"/>
      <c r="E43" s="444"/>
      <c r="F43" s="444"/>
    </row>
    <row r="44" spans="2:6" x14ac:dyDescent="0.25">
      <c r="B44" s="444"/>
      <c r="C44" s="444"/>
      <c r="D44" s="444"/>
      <c r="E44" s="444"/>
      <c r="F44" s="444"/>
    </row>
    <row r="45" spans="2:6" x14ac:dyDescent="0.25">
      <c r="B45" s="444"/>
      <c r="C45" s="444"/>
      <c r="D45" s="444"/>
      <c r="E45" s="444"/>
      <c r="F45" s="444"/>
    </row>
    <row r="46" spans="2:6" x14ac:dyDescent="0.25">
      <c r="B46" s="444"/>
      <c r="C46" s="444"/>
      <c r="D46" s="444"/>
      <c r="E46" s="444"/>
      <c r="F46" s="444"/>
    </row>
    <row r="47" spans="2:6" x14ac:dyDescent="0.25">
      <c r="B47" s="444"/>
      <c r="C47" s="444"/>
      <c r="D47" s="444"/>
      <c r="E47" s="444"/>
      <c r="F47" s="444"/>
    </row>
    <row r="48" spans="2:6" x14ac:dyDescent="0.25">
      <c r="B48" s="444"/>
      <c r="C48" s="444"/>
      <c r="D48" s="444"/>
      <c r="E48" s="444"/>
      <c r="F48" s="444"/>
    </row>
    <row r="49" spans="2:6" x14ac:dyDescent="0.25">
      <c r="B49" s="444"/>
      <c r="C49" s="444"/>
      <c r="D49" s="444"/>
      <c r="E49" s="444"/>
      <c r="F49" s="444"/>
    </row>
    <row r="50" spans="2:6" x14ac:dyDescent="0.25">
      <c r="B50" s="444"/>
      <c r="C50" s="444"/>
      <c r="D50" s="444"/>
      <c r="E50" s="444"/>
      <c r="F50" s="444"/>
    </row>
    <row r="51" spans="2:6" x14ac:dyDescent="0.25">
      <c r="B51" s="444"/>
      <c r="C51" s="444"/>
      <c r="D51" s="444"/>
      <c r="E51" s="444"/>
      <c r="F51" s="444"/>
    </row>
    <row r="52" spans="2:6" x14ac:dyDescent="0.25">
      <c r="B52" s="444"/>
      <c r="C52" s="444"/>
      <c r="D52" s="444"/>
      <c r="E52" s="444"/>
      <c r="F52" s="444"/>
    </row>
    <row r="53" spans="2:6" x14ac:dyDescent="0.25">
      <c r="B53" s="444"/>
      <c r="C53" s="444"/>
      <c r="D53" s="444"/>
      <c r="E53" s="444"/>
      <c r="F53" s="444"/>
    </row>
    <row r="54" spans="2:6" x14ac:dyDescent="0.25">
      <c r="B54" s="444"/>
      <c r="C54" s="444"/>
      <c r="D54" s="444"/>
      <c r="E54" s="444"/>
      <c r="F54" s="444"/>
    </row>
    <row r="55" spans="2:6" x14ac:dyDescent="0.25">
      <c r="B55" s="444"/>
      <c r="C55" s="444"/>
      <c r="D55" s="444"/>
      <c r="E55" s="444"/>
      <c r="F55" s="444"/>
    </row>
    <row r="56" spans="2:6" x14ac:dyDescent="0.25">
      <c r="B56" s="444"/>
      <c r="C56" s="444"/>
      <c r="D56" s="444"/>
      <c r="E56" s="444"/>
      <c r="F56" s="444"/>
    </row>
    <row r="57" spans="2:6" x14ac:dyDescent="0.25">
      <c r="B57" s="444"/>
      <c r="C57" s="444"/>
      <c r="D57" s="444"/>
      <c r="E57" s="444"/>
      <c r="F57" s="444"/>
    </row>
    <row r="58" spans="2:6" x14ac:dyDescent="0.25">
      <c r="B58" s="444"/>
      <c r="C58" s="444"/>
      <c r="D58" s="444"/>
      <c r="E58" s="444"/>
      <c r="F58" s="444"/>
    </row>
    <row r="59" spans="2:6" x14ac:dyDescent="0.25">
      <c r="B59" s="444"/>
      <c r="C59" s="444"/>
      <c r="D59" s="444"/>
      <c r="E59" s="444"/>
      <c r="F59" s="444"/>
    </row>
    <row r="60" spans="2:6" x14ac:dyDescent="0.25">
      <c r="B60" s="444"/>
      <c r="C60" s="444"/>
      <c r="D60" s="444"/>
      <c r="E60" s="444"/>
      <c r="F60" s="444"/>
    </row>
    <row r="61" spans="2:6" x14ac:dyDescent="0.25">
      <c r="B61" s="444"/>
      <c r="C61" s="444"/>
      <c r="D61" s="444"/>
      <c r="E61" s="444"/>
      <c r="F61" s="444"/>
    </row>
    <row r="62" spans="2:6" x14ac:dyDescent="0.25">
      <c r="B62" s="444"/>
      <c r="C62" s="444"/>
      <c r="D62" s="444"/>
      <c r="E62" s="444"/>
      <c r="F62" s="444"/>
    </row>
    <row r="63" spans="2:6" x14ac:dyDescent="0.25">
      <c r="B63" s="444"/>
      <c r="C63" s="444"/>
      <c r="D63" s="444"/>
      <c r="E63" s="444"/>
      <c r="F63" s="444"/>
    </row>
    <row r="64" spans="2:6" x14ac:dyDescent="0.25">
      <c r="B64" s="444"/>
      <c r="C64" s="444"/>
      <c r="D64" s="444"/>
      <c r="E64" s="444"/>
      <c r="F64" s="444"/>
    </row>
    <row r="65" spans="2:6" x14ac:dyDescent="0.25">
      <c r="B65" s="444"/>
      <c r="C65" s="444"/>
      <c r="D65" s="444"/>
      <c r="E65" s="444"/>
      <c r="F65" s="444"/>
    </row>
    <row r="66" spans="2:6" x14ac:dyDescent="0.25">
      <c r="B66" s="444"/>
      <c r="C66" s="444"/>
      <c r="D66" s="444"/>
      <c r="E66" s="444"/>
      <c r="F66" s="444"/>
    </row>
    <row r="67" spans="2:6" x14ac:dyDescent="0.25">
      <c r="B67" s="444"/>
      <c r="C67" s="444"/>
      <c r="D67" s="444"/>
      <c r="E67" s="444"/>
      <c r="F67" s="444"/>
    </row>
    <row r="68" spans="2:6" x14ac:dyDescent="0.25">
      <c r="B68" s="444"/>
      <c r="C68" s="444"/>
      <c r="D68" s="444"/>
      <c r="E68" s="444"/>
      <c r="F68" s="444"/>
    </row>
    <row r="69" spans="2:6" x14ac:dyDescent="0.25">
      <c r="B69" s="444"/>
      <c r="C69" s="444"/>
      <c r="D69" s="444"/>
      <c r="E69" s="444"/>
      <c r="F69" s="444"/>
    </row>
    <row r="70" spans="2:6" x14ac:dyDescent="0.25">
      <c r="B70" s="444"/>
      <c r="C70" s="444"/>
      <c r="D70" s="444"/>
      <c r="E70" s="444"/>
      <c r="F70" s="444"/>
    </row>
    <row r="71" spans="2:6" x14ac:dyDescent="0.25">
      <c r="B71" s="444"/>
      <c r="C71" s="444"/>
      <c r="D71" s="444"/>
      <c r="E71" s="444"/>
      <c r="F71" s="444"/>
    </row>
    <row r="73" spans="2:6" x14ac:dyDescent="0.25">
      <c r="B73" s="444" t="s">
        <v>20</v>
      </c>
      <c r="C73" s="451"/>
      <c r="D73" s="451"/>
      <c r="E73" s="451"/>
      <c r="F73" s="451"/>
    </row>
    <row r="74" spans="2:6" x14ac:dyDescent="0.25">
      <c r="B74" s="451"/>
      <c r="C74" s="451"/>
      <c r="D74" s="451"/>
      <c r="E74" s="451"/>
      <c r="F74" s="451"/>
    </row>
    <row r="75" spans="2:6" x14ac:dyDescent="0.25">
      <c r="B75" s="451"/>
      <c r="C75" s="451"/>
      <c r="D75" s="451"/>
      <c r="E75" s="451"/>
      <c r="F75" s="451"/>
    </row>
    <row r="76" spans="2:6" x14ac:dyDescent="0.25">
      <c r="B76" s="451"/>
      <c r="C76" s="451"/>
      <c r="D76" s="451"/>
      <c r="E76" s="451"/>
      <c r="F76" s="451"/>
    </row>
    <row r="77" spans="2:6" x14ac:dyDescent="0.25">
      <c r="B77" s="451"/>
      <c r="C77" s="451"/>
      <c r="D77" s="451"/>
      <c r="E77" s="451"/>
      <c r="F77" s="451"/>
    </row>
    <row r="78" spans="2:6" x14ac:dyDescent="0.25">
      <c r="B78" s="451"/>
      <c r="C78" s="451"/>
      <c r="D78" s="451"/>
      <c r="E78" s="451"/>
      <c r="F78" s="451"/>
    </row>
    <row r="79" spans="2:6" x14ac:dyDescent="0.25">
      <c r="B79" s="451"/>
      <c r="C79" s="451"/>
      <c r="D79" s="451"/>
      <c r="E79" s="451"/>
      <c r="F79" s="451"/>
    </row>
    <row r="80" spans="2:6" x14ac:dyDescent="0.25">
      <c r="B80" s="451"/>
      <c r="C80" s="451"/>
      <c r="D80" s="451"/>
      <c r="E80" s="451"/>
      <c r="F80" s="451"/>
    </row>
    <row r="81" spans="2:6" x14ac:dyDescent="0.25">
      <c r="B81" s="451"/>
      <c r="C81" s="451"/>
      <c r="D81" s="451"/>
      <c r="E81" s="451"/>
      <c r="F81" s="451"/>
    </row>
    <row r="82" spans="2:6" x14ac:dyDescent="0.25">
      <c r="B82" s="451"/>
      <c r="C82" s="451"/>
      <c r="D82" s="451"/>
      <c r="E82" s="451"/>
      <c r="F82" s="451"/>
    </row>
    <row r="83" spans="2:6" x14ac:dyDescent="0.25">
      <c r="B83" s="451"/>
      <c r="C83" s="451"/>
      <c r="D83" s="451"/>
      <c r="E83" s="451"/>
      <c r="F83" s="451"/>
    </row>
    <row r="84" spans="2:6" x14ac:dyDescent="0.25">
      <c r="B84" s="451"/>
      <c r="C84" s="451"/>
      <c r="D84" s="451"/>
      <c r="E84" s="451"/>
      <c r="F84" s="451"/>
    </row>
    <row r="85" spans="2:6" x14ac:dyDescent="0.25">
      <c r="B85" s="451"/>
      <c r="C85" s="451"/>
      <c r="D85" s="451"/>
      <c r="E85" s="451"/>
      <c r="F85" s="451"/>
    </row>
    <row r="86" spans="2:6" x14ac:dyDescent="0.25">
      <c r="B86" s="451"/>
      <c r="C86" s="451"/>
      <c r="D86" s="451"/>
      <c r="E86" s="451"/>
      <c r="F86" s="451"/>
    </row>
    <row r="87" spans="2:6" x14ac:dyDescent="0.25">
      <c r="B87" s="451"/>
      <c r="C87" s="451"/>
      <c r="D87" s="451"/>
      <c r="E87" s="451"/>
      <c r="F87" s="451"/>
    </row>
    <row r="88" spans="2:6" x14ac:dyDescent="0.25">
      <c r="B88" s="451"/>
      <c r="C88" s="451"/>
      <c r="D88" s="451"/>
      <c r="E88" s="451"/>
      <c r="F88" s="451"/>
    </row>
    <row r="89" spans="2:6" x14ac:dyDescent="0.25">
      <c r="B89" s="451"/>
      <c r="C89" s="451"/>
      <c r="D89" s="451"/>
      <c r="E89" s="451"/>
      <c r="F89" s="451"/>
    </row>
    <row r="90" spans="2:6" x14ac:dyDescent="0.25">
      <c r="B90" s="451"/>
      <c r="C90" s="451"/>
      <c r="D90" s="451"/>
      <c r="E90" s="451"/>
      <c r="F90" s="451"/>
    </row>
    <row r="91" spans="2:6" x14ac:dyDescent="0.25">
      <c r="B91" s="451"/>
      <c r="C91" s="451"/>
      <c r="D91" s="451"/>
      <c r="E91" s="451"/>
      <c r="F91" s="451"/>
    </row>
    <row r="92" spans="2:6" x14ac:dyDescent="0.25">
      <c r="B92" s="451"/>
      <c r="C92" s="451"/>
      <c r="D92" s="451"/>
      <c r="E92" s="451"/>
      <c r="F92" s="451"/>
    </row>
    <row r="93" spans="2:6" x14ac:dyDescent="0.25">
      <c r="B93" s="451"/>
      <c r="C93" s="451"/>
      <c r="D93" s="451"/>
      <c r="E93" s="451"/>
      <c r="F93" s="451"/>
    </row>
    <row r="94" spans="2:6" x14ac:dyDescent="0.25">
      <c r="B94" s="451"/>
      <c r="C94" s="451"/>
      <c r="D94" s="451"/>
      <c r="E94" s="451"/>
      <c r="F94" s="451"/>
    </row>
    <row r="95" spans="2:6" x14ac:dyDescent="0.25">
      <c r="B95" s="451"/>
      <c r="C95" s="451"/>
      <c r="D95" s="451"/>
      <c r="E95" s="451"/>
      <c r="F95" s="451"/>
    </row>
    <row r="96" spans="2:6" x14ac:dyDescent="0.25">
      <c r="B96" s="451"/>
      <c r="C96" s="451"/>
      <c r="D96" s="451"/>
      <c r="E96" s="451"/>
      <c r="F96" s="451"/>
    </row>
    <row r="97" spans="2:6" x14ac:dyDescent="0.25">
      <c r="B97" s="451"/>
      <c r="C97" s="451"/>
      <c r="D97" s="451"/>
      <c r="E97" s="451"/>
      <c r="F97" s="451"/>
    </row>
    <row r="98" spans="2:6" x14ac:dyDescent="0.25">
      <c r="B98" s="451"/>
      <c r="C98" s="451"/>
      <c r="D98" s="451"/>
      <c r="E98" s="451"/>
      <c r="F98" s="451"/>
    </row>
    <row r="99" spans="2:6" x14ac:dyDescent="0.25">
      <c r="B99" s="451"/>
      <c r="C99" s="451"/>
      <c r="D99" s="451"/>
      <c r="E99" s="451"/>
      <c r="F99" s="451"/>
    </row>
    <row r="100" spans="2:6" x14ac:dyDescent="0.25">
      <c r="B100" s="451"/>
      <c r="C100" s="451"/>
      <c r="D100" s="451"/>
      <c r="E100" s="451"/>
      <c r="F100" s="451"/>
    </row>
    <row r="101" spans="2:6" x14ac:dyDescent="0.25">
      <c r="B101" s="451"/>
      <c r="C101" s="451"/>
      <c r="D101" s="451"/>
      <c r="E101" s="451"/>
      <c r="F101" s="451"/>
    </row>
    <row r="102" spans="2:6" x14ac:dyDescent="0.25">
      <c r="B102" s="451"/>
      <c r="C102" s="451"/>
      <c r="D102" s="451"/>
      <c r="E102" s="451"/>
      <c r="F102" s="451"/>
    </row>
    <row r="103" spans="2:6" x14ac:dyDescent="0.25">
      <c r="B103" s="451"/>
      <c r="C103" s="451"/>
      <c r="D103" s="451"/>
      <c r="E103" s="451"/>
      <c r="F103" s="451"/>
    </row>
    <row r="104" spans="2:6" x14ac:dyDescent="0.25">
      <c r="B104" s="451"/>
      <c r="C104" s="451"/>
      <c r="D104" s="451"/>
      <c r="E104" s="451"/>
      <c r="F104" s="451"/>
    </row>
    <row r="105" spans="2:6" x14ac:dyDescent="0.25">
      <c r="B105" s="451"/>
      <c r="C105" s="451"/>
      <c r="D105" s="451"/>
      <c r="E105" s="451"/>
      <c r="F105" s="451"/>
    </row>
    <row r="106" spans="2:6" x14ac:dyDescent="0.25">
      <c r="B106" s="451"/>
      <c r="C106" s="451"/>
      <c r="D106" s="451"/>
      <c r="E106" s="451"/>
      <c r="F106" s="451"/>
    </row>
    <row r="107" spans="2:6" x14ac:dyDescent="0.25">
      <c r="B107" s="451"/>
      <c r="C107" s="451"/>
      <c r="D107" s="451"/>
      <c r="E107" s="451"/>
      <c r="F107" s="451"/>
    </row>
    <row r="108" spans="2:6" x14ac:dyDescent="0.25">
      <c r="B108" s="451"/>
      <c r="C108" s="451"/>
      <c r="D108" s="451"/>
      <c r="E108" s="451"/>
      <c r="F108" s="451"/>
    </row>
    <row r="109" spans="2:6" x14ac:dyDescent="0.25">
      <c r="B109" s="451"/>
      <c r="C109" s="451"/>
      <c r="D109" s="451"/>
      <c r="E109" s="451"/>
      <c r="F109" s="451"/>
    </row>
    <row r="110" spans="2:6" x14ac:dyDescent="0.25">
      <c r="B110" s="451"/>
      <c r="C110" s="451"/>
      <c r="D110" s="451"/>
      <c r="E110" s="451"/>
      <c r="F110" s="451"/>
    </row>
    <row r="111" spans="2:6" x14ac:dyDescent="0.25">
      <c r="B111" s="451"/>
      <c r="C111" s="451"/>
      <c r="D111" s="451"/>
      <c r="E111" s="451"/>
      <c r="F111" s="451"/>
    </row>
    <row r="112" spans="2:6" x14ac:dyDescent="0.25">
      <c r="B112" s="451"/>
      <c r="C112" s="451"/>
      <c r="D112" s="451"/>
      <c r="E112" s="451"/>
      <c r="F112" s="451"/>
    </row>
    <row r="113" spans="2:6" x14ac:dyDescent="0.25">
      <c r="B113" s="451"/>
      <c r="C113" s="451"/>
      <c r="D113" s="451"/>
      <c r="E113" s="451"/>
      <c r="F113" s="451"/>
    </row>
    <row r="114" spans="2:6" x14ac:dyDescent="0.25">
      <c r="B114" s="451"/>
      <c r="C114" s="451"/>
      <c r="D114" s="451"/>
      <c r="E114" s="451"/>
      <c r="F114" s="451"/>
    </row>
    <row r="115" spans="2:6" x14ac:dyDescent="0.25">
      <c r="B115" s="451"/>
      <c r="C115" s="451"/>
      <c r="D115" s="451"/>
      <c r="E115" s="451"/>
      <c r="F115" s="451"/>
    </row>
    <row r="116" spans="2:6" x14ac:dyDescent="0.25">
      <c r="B116" s="451"/>
      <c r="C116" s="451"/>
      <c r="D116" s="451"/>
      <c r="E116" s="451"/>
      <c r="F116" s="451"/>
    </row>
    <row r="117" spans="2:6" x14ac:dyDescent="0.25">
      <c r="B117" s="451"/>
      <c r="C117" s="451"/>
      <c r="D117" s="451"/>
      <c r="E117" s="451"/>
      <c r="F117" s="451"/>
    </row>
    <row r="118" spans="2:6" x14ac:dyDescent="0.25">
      <c r="B118" s="451"/>
      <c r="C118" s="451"/>
      <c r="D118" s="451"/>
      <c r="E118" s="451"/>
      <c r="F118" s="451"/>
    </row>
    <row r="119" spans="2:6" x14ac:dyDescent="0.25">
      <c r="B119" s="451"/>
      <c r="C119" s="451"/>
      <c r="D119" s="451"/>
      <c r="E119" s="451"/>
      <c r="F119" s="451"/>
    </row>
    <row r="120" spans="2:6" x14ac:dyDescent="0.25">
      <c r="B120" s="451"/>
      <c r="C120" s="451"/>
      <c r="D120" s="451"/>
      <c r="E120" s="451"/>
      <c r="F120" s="451"/>
    </row>
    <row r="121" spans="2:6" x14ac:dyDescent="0.25">
      <c r="B121" s="451"/>
      <c r="C121" s="451"/>
      <c r="D121" s="451"/>
      <c r="E121" s="451"/>
      <c r="F121" s="451"/>
    </row>
    <row r="122" spans="2:6" x14ac:dyDescent="0.25">
      <c r="B122" s="451"/>
      <c r="C122" s="451"/>
      <c r="D122" s="451"/>
      <c r="E122" s="451"/>
      <c r="F122" s="451"/>
    </row>
    <row r="123" spans="2:6" x14ac:dyDescent="0.25">
      <c r="B123" s="451"/>
      <c r="C123" s="451"/>
      <c r="D123" s="451"/>
      <c r="E123" s="451"/>
      <c r="F123" s="451"/>
    </row>
    <row r="124" spans="2:6" x14ac:dyDescent="0.25">
      <c r="B124" s="451"/>
      <c r="C124" s="451"/>
      <c r="D124" s="451"/>
      <c r="E124" s="451"/>
      <c r="F124" s="451"/>
    </row>
    <row r="125" spans="2:6" x14ac:dyDescent="0.25">
      <c r="B125" s="451"/>
      <c r="C125" s="451"/>
      <c r="D125" s="451"/>
      <c r="E125" s="451"/>
      <c r="F125" s="451"/>
    </row>
    <row r="126" spans="2:6" x14ac:dyDescent="0.25">
      <c r="B126" s="451"/>
      <c r="C126" s="451"/>
      <c r="D126" s="451"/>
      <c r="E126" s="451"/>
      <c r="F126" s="451"/>
    </row>
    <row r="127" spans="2:6" x14ac:dyDescent="0.25">
      <c r="B127" s="451"/>
      <c r="C127" s="451"/>
      <c r="D127" s="451"/>
      <c r="E127" s="451"/>
      <c r="F127" s="451"/>
    </row>
    <row r="128" spans="2:6" x14ac:dyDescent="0.25">
      <c r="B128" s="451"/>
      <c r="C128" s="451"/>
      <c r="D128" s="451"/>
      <c r="E128" s="451"/>
      <c r="F128" s="451"/>
    </row>
    <row r="129" spans="2:6" x14ac:dyDescent="0.25">
      <c r="B129" s="451"/>
      <c r="C129" s="451"/>
      <c r="D129" s="451"/>
      <c r="E129" s="451"/>
      <c r="F129" s="451"/>
    </row>
    <row r="130" spans="2:6" x14ac:dyDescent="0.25">
      <c r="B130" s="451"/>
      <c r="C130" s="451"/>
      <c r="D130" s="451"/>
      <c r="E130" s="451"/>
      <c r="F130" s="451"/>
    </row>
    <row r="131" spans="2:6" ht="62.25" customHeight="1" x14ac:dyDescent="0.25">
      <c r="B131" s="451"/>
      <c r="C131" s="451"/>
      <c r="D131" s="451"/>
      <c r="E131" s="451"/>
      <c r="F131" s="451"/>
    </row>
    <row r="132" spans="2:6" x14ac:dyDescent="0.25">
      <c r="B132" s="253"/>
      <c r="C132" s="253"/>
      <c r="D132" s="253"/>
      <c r="E132" s="253"/>
      <c r="F132" s="253"/>
    </row>
    <row r="133" spans="2:6" x14ac:dyDescent="0.25">
      <c r="B133" s="444" t="s">
        <v>21</v>
      </c>
      <c r="C133" s="451"/>
      <c r="D133" s="451"/>
      <c r="E133" s="451"/>
      <c r="F133" s="451"/>
    </row>
    <row r="134" spans="2:6" x14ac:dyDescent="0.25">
      <c r="B134" s="444"/>
      <c r="C134" s="451"/>
      <c r="D134" s="451"/>
      <c r="E134" s="451"/>
      <c r="F134" s="451"/>
    </row>
    <row r="135" spans="2:6" x14ac:dyDescent="0.25">
      <c r="B135" s="444"/>
      <c r="C135" s="451"/>
      <c r="D135" s="451"/>
      <c r="E135" s="451"/>
      <c r="F135" s="451"/>
    </row>
    <row r="136" spans="2:6" x14ac:dyDescent="0.25">
      <c r="B136" s="444"/>
      <c r="C136" s="451"/>
      <c r="D136" s="451"/>
      <c r="E136" s="451"/>
      <c r="F136" s="451"/>
    </row>
    <row r="137" spans="2:6" x14ac:dyDescent="0.25">
      <c r="B137" s="444"/>
      <c r="C137" s="451"/>
      <c r="D137" s="451"/>
      <c r="E137" s="451"/>
      <c r="F137" s="451"/>
    </row>
    <row r="138" spans="2:6" x14ac:dyDescent="0.25">
      <c r="B138" s="444"/>
      <c r="C138" s="451"/>
      <c r="D138" s="451"/>
      <c r="E138" s="451"/>
      <c r="F138" s="451"/>
    </row>
    <row r="139" spans="2:6" x14ac:dyDescent="0.25">
      <c r="B139" s="444"/>
      <c r="C139" s="451"/>
      <c r="D139" s="451"/>
      <c r="E139" s="451"/>
      <c r="F139" s="451"/>
    </row>
    <row r="140" spans="2:6" x14ac:dyDescent="0.25">
      <c r="B140" s="451"/>
      <c r="C140" s="451"/>
      <c r="D140" s="451"/>
      <c r="E140" s="451"/>
      <c r="F140" s="451"/>
    </row>
    <row r="141" spans="2:6" x14ac:dyDescent="0.25">
      <c r="B141" s="451"/>
      <c r="C141" s="451"/>
      <c r="D141" s="451"/>
      <c r="E141" s="451"/>
      <c r="F141" s="451"/>
    </row>
    <row r="142" spans="2:6" x14ac:dyDescent="0.25">
      <c r="B142" s="451"/>
      <c r="C142" s="451"/>
      <c r="D142" s="451"/>
      <c r="E142" s="451"/>
      <c r="F142" s="451"/>
    </row>
    <row r="143" spans="2:6" x14ac:dyDescent="0.25">
      <c r="B143" s="451"/>
      <c r="C143" s="451"/>
      <c r="D143" s="451"/>
      <c r="E143" s="451"/>
      <c r="F143" s="451"/>
    </row>
    <row r="144" spans="2:6" x14ac:dyDescent="0.25">
      <c r="B144" s="451"/>
      <c r="C144" s="451"/>
      <c r="D144" s="451"/>
      <c r="E144" s="451"/>
      <c r="F144" s="451"/>
    </row>
    <row r="145" spans="2:6" x14ac:dyDescent="0.25">
      <c r="B145" s="451"/>
      <c r="C145" s="451"/>
      <c r="D145" s="451"/>
      <c r="E145" s="451"/>
      <c r="F145" s="451"/>
    </row>
    <row r="146" spans="2:6" x14ac:dyDescent="0.25">
      <c r="B146" s="451"/>
      <c r="C146" s="451"/>
      <c r="D146" s="451"/>
      <c r="E146" s="451"/>
      <c r="F146" s="451"/>
    </row>
    <row r="147" spans="2:6" x14ac:dyDescent="0.25">
      <c r="B147" s="451"/>
      <c r="C147" s="451"/>
      <c r="D147" s="451"/>
      <c r="E147" s="451"/>
      <c r="F147" s="451"/>
    </row>
    <row r="148" spans="2:6" x14ac:dyDescent="0.25">
      <c r="B148" s="451"/>
      <c r="C148" s="451"/>
      <c r="D148" s="451"/>
      <c r="E148" s="451"/>
      <c r="F148" s="451"/>
    </row>
    <row r="149" spans="2:6" x14ac:dyDescent="0.25">
      <c r="B149" s="451"/>
      <c r="C149" s="451"/>
      <c r="D149" s="451"/>
      <c r="E149" s="451"/>
      <c r="F149" s="451"/>
    </row>
    <row r="150" spans="2:6" ht="48" customHeight="1" x14ac:dyDescent="0.25">
      <c r="B150" s="451"/>
      <c r="C150" s="451"/>
      <c r="D150" s="451"/>
      <c r="E150" s="451"/>
      <c r="F150" s="451"/>
    </row>
    <row r="152" spans="2:6" x14ac:dyDescent="0.25">
      <c r="B152" s="444" t="s">
        <v>892</v>
      </c>
      <c r="C152" s="451"/>
      <c r="D152" s="451"/>
      <c r="E152" s="451"/>
      <c r="F152" s="451"/>
    </row>
    <row r="153" spans="2:6" x14ac:dyDescent="0.25">
      <c r="B153" s="451"/>
      <c r="C153" s="451"/>
      <c r="D153" s="451"/>
      <c r="E153" s="451"/>
      <c r="F153" s="451"/>
    </row>
    <row r="154" spans="2:6" x14ac:dyDescent="0.25">
      <c r="B154" s="451"/>
      <c r="C154" s="451"/>
      <c r="D154" s="451"/>
      <c r="E154" s="451"/>
      <c r="F154" s="451"/>
    </row>
    <row r="155" spans="2:6" x14ac:dyDescent="0.25">
      <c r="B155" s="451"/>
      <c r="C155" s="451"/>
      <c r="D155" s="451"/>
      <c r="E155" s="451"/>
      <c r="F155" s="451"/>
    </row>
    <row r="156" spans="2:6" x14ac:dyDescent="0.25">
      <c r="B156" s="451"/>
      <c r="C156" s="451"/>
      <c r="D156" s="451"/>
      <c r="E156" s="451"/>
      <c r="F156" s="451"/>
    </row>
    <row r="157" spans="2:6" x14ac:dyDescent="0.25">
      <c r="B157" s="451"/>
      <c r="C157" s="451"/>
      <c r="D157" s="451"/>
      <c r="E157" s="451"/>
      <c r="F157" s="451"/>
    </row>
    <row r="158" spans="2:6" x14ac:dyDescent="0.25">
      <c r="B158" s="451"/>
      <c r="C158" s="451"/>
      <c r="D158" s="451"/>
      <c r="E158" s="451"/>
      <c r="F158" s="451"/>
    </row>
    <row r="159" spans="2:6" x14ac:dyDescent="0.25">
      <c r="B159" s="451"/>
      <c r="C159" s="451"/>
      <c r="D159" s="451"/>
      <c r="E159" s="451"/>
      <c r="F159" s="451"/>
    </row>
    <row r="160" spans="2:6" x14ac:dyDescent="0.25">
      <c r="B160" s="451"/>
      <c r="C160" s="451"/>
      <c r="D160" s="451"/>
      <c r="E160" s="451"/>
      <c r="F160" s="451"/>
    </row>
    <row r="161" spans="2:6" x14ac:dyDescent="0.25">
      <c r="B161" s="451"/>
      <c r="C161" s="451"/>
      <c r="D161" s="451"/>
      <c r="E161" s="451"/>
      <c r="F161" s="451"/>
    </row>
    <row r="162" spans="2:6" x14ac:dyDescent="0.25">
      <c r="B162" s="451"/>
      <c r="C162" s="451"/>
      <c r="D162" s="451"/>
      <c r="E162" s="451"/>
      <c r="F162" s="451"/>
    </row>
    <row r="163" spans="2:6" x14ac:dyDescent="0.25">
      <c r="B163" s="451"/>
      <c r="C163" s="451"/>
      <c r="D163" s="451"/>
      <c r="E163" s="451"/>
      <c r="F163" s="451"/>
    </row>
    <row r="164" spans="2:6" x14ac:dyDescent="0.25">
      <c r="B164" s="451"/>
      <c r="C164" s="451"/>
      <c r="D164" s="451"/>
      <c r="E164" s="451"/>
      <c r="F164" s="451"/>
    </row>
    <row r="165" spans="2:6" x14ac:dyDescent="0.25">
      <c r="B165" s="451"/>
      <c r="C165" s="451"/>
      <c r="D165" s="451"/>
      <c r="E165" s="451"/>
      <c r="F165" s="451"/>
    </row>
    <row r="166" spans="2:6" x14ac:dyDescent="0.25">
      <c r="B166" s="451"/>
      <c r="C166" s="451"/>
      <c r="D166" s="451"/>
      <c r="E166" s="451"/>
      <c r="F166" s="451"/>
    </row>
    <row r="167" spans="2:6" x14ac:dyDescent="0.25">
      <c r="B167" s="451"/>
      <c r="C167" s="451"/>
      <c r="D167" s="451"/>
      <c r="E167" s="451"/>
      <c r="F167" s="451"/>
    </row>
    <row r="168" spans="2:6" x14ac:dyDescent="0.25">
      <c r="B168" s="451"/>
      <c r="C168" s="451"/>
      <c r="D168" s="451"/>
      <c r="E168" s="451"/>
      <c r="F168" s="451"/>
    </row>
    <row r="169" spans="2:6" x14ac:dyDescent="0.25">
      <c r="B169" s="451"/>
      <c r="C169" s="451"/>
      <c r="D169" s="451"/>
      <c r="E169" s="451"/>
      <c r="F169" s="451"/>
    </row>
    <row r="170" spans="2:6" x14ac:dyDescent="0.25">
      <c r="B170" s="451"/>
      <c r="C170" s="451"/>
      <c r="D170" s="451"/>
      <c r="E170" s="451"/>
      <c r="F170" s="451"/>
    </row>
    <row r="171" spans="2:6" x14ac:dyDescent="0.25">
      <c r="B171" s="451"/>
      <c r="C171" s="451"/>
      <c r="D171" s="451"/>
      <c r="E171" s="451"/>
      <c r="F171" s="451"/>
    </row>
    <row r="172" spans="2:6" x14ac:dyDescent="0.25">
      <c r="B172" s="451"/>
      <c r="C172" s="451"/>
      <c r="D172" s="451"/>
      <c r="E172" s="451"/>
      <c r="F172" s="451"/>
    </row>
    <row r="173" spans="2:6" x14ac:dyDescent="0.25">
      <c r="B173" s="451"/>
      <c r="C173" s="451"/>
      <c r="D173" s="451"/>
      <c r="E173" s="451"/>
      <c r="F173" s="451"/>
    </row>
    <row r="174" spans="2:6" x14ac:dyDescent="0.25">
      <c r="B174" s="451"/>
      <c r="C174" s="451"/>
      <c r="D174" s="451"/>
      <c r="E174" s="451"/>
      <c r="F174" s="451"/>
    </row>
    <row r="175" spans="2:6" x14ac:dyDescent="0.25">
      <c r="B175" s="451"/>
      <c r="C175" s="451"/>
      <c r="D175" s="451"/>
      <c r="E175" s="451"/>
      <c r="F175" s="451"/>
    </row>
    <row r="176" spans="2:6" x14ac:dyDescent="0.25">
      <c r="B176" s="451"/>
      <c r="C176" s="451"/>
      <c r="D176" s="451"/>
      <c r="E176" s="451"/>
      <c r="F176" s="451"/>
    </row>
    <row r="177" spans="2:6" x14ac:dyDescent="0.25">
      <c r="B177" s="451"/>
      <c r="C177" s="451"/>
      <c r="D177" s="451"/>
      <c r="E177" s="451"/>
      <c r="F177" s="451"/>
    </row>
    <row r="178" spans="2:6" x14ac:dyDescent="0.25">
      <c r="B178" s="451"/>
      <c r="C178" s="451"/>
      <c r="D178" s="451"/>
      <c r="E178" s="451"/>
      <c r="F178" s="451"/>
    </row>
    <row r="180" spans="2:6" x14ac:dyDescent="0.25">
      <c r="B180" s="444" t="s">
        <v>893</v>
      </c>
      <c r="C180" s="444"/>
      <c r="D180" s="444"/>
      <c r="E180" s="444"/>
      <c r="F180" s="444"/>
    </row>
    <row r="181" spans="2:6" x14ac:dyDescent="0.25">
      <c r="B181" s="444"/>
      <c r="C181" s="444"/>
      <c r="D181" s="444"/>
      <c r="E181" s="444"/>
      <c r="F181" s="444"/>
    </row>
    <row r="182" spans="2:6" x14ac:dyDescent="0.25">
      <c r="B182" s="444"/>
      <c r="C182" s="444"/>
      <c r="D182" s="444"/>
      <c r="E182" s="444"/>
      <c r="F182" s="444"/>
    </row>
    <row r="183" spans="2:6" x14ac:dyDescent="0.25">
      <c r="B183" s="444"/>
      <c r="C183" s="444"/>
      <c r="D183" s="444"/>
      <c r="E183" s="444"/>
      <c r="F183" s="444"/>
    </row>
    <row r="184" spans="2:6" x14ac:dyDescent="0.25">
      <c r="B184" s="444"/>
      <c r="C184" s="444"/>
      <c r="D184" s="444"/>
      <c r="E184" s="444"/>
      <c r="F184" s="444"/>
    </row>
    <row r="185" spans="2:6" x14ac:dyDescent="0.25">
      <c r="B185" s="444"/>
      <c r="C185" s="444"/>
      <c r="D185" s="444"/>
      <c r="E185" s="444"/>
      <c r="F185" s="444"/>
    </row>
    <row r="186" spans="2:6" x14ac:dyDescent="0.25">
      <c r="B186" s="444"/>
      <c r="C186" s="444"/>
      <c r="D186" s="444"/>
      <c r="E186" s="444"/>
      <c r="F186" s="444"/>
    </row>
    <row r="187" spans="2:6" x14ac:dyDescent="0.25">
      <c r="B187" s="444"/>
      <c r="C187" s="444"/>
      <c r="D187" s="444"/>
      <c r="E187" s="444"/>
      <c r="F187" s="444"/>
    </row>
    <row r="188" spans="2:6" x14ac:dyDescent="0.25">
      <c r="B188" s="444"/>
      <c r="C188" s="444"/>
      <c r="D188" s="444"/>
      <c r="E188" s="444"/>
      <c r="F188" s="444"/>
    </row>
    <row r="189" spans="2:6" x14ac:dyDescent="0.25">
      <c r="B189" s="444"/>
      <c r="C189" s="444"/>
      <c r="D189" s="444"/>
      <c r="E189" s="444"/>
      <c r="F189" s="444"/>
    </row>
    <row r="190" spans="2:6" x14ac:dyDescent="0.25">
      <c r="B190" s="444"/>
      <c r="C190" s="444"/>
      <c r="D190" s="444"/>
      <c r="E190" s="444"/>
      <c r="F190" s="444"/>
    </row>
    <row r="191" spans="2:6" x14ac:dyDescent="0.25">
      <c r="B191" s="444"/>
      <c r="C191" s="444"/>
      <c r="D191" s="444"/>
      <c r="E191" s="444"/>
      <c r="F191" s="444"/>
    </row>
    <row r="192" spans="2:6" x14ac:dyDescent="0.25">
      <c r="B192" s="444"/>
      <c r="C192" s="444"/>
      <c r="D192" s="444"/>
      <c r="E192" s="444"/>
      <c r="F192" s="444"/>
    </row>
    <row r="193" spans="2:6" x14ac:dyDescent="0.25">
      <c r="B193" s="444"/>
      <c r="C193" s="444"/>
      <c r="D193" s="444"/>
      <c r="E193" s="444"/>
      <c r="F193" s="444"/>
    </row>
    <row r="194" spans="2:6" x14ac:dyDescent="0.25">
      <c r="B194" s="444"/>
      <c r="C194" s="444"/>
      <c r="D194" s="444"/>
      <c r="E194" s="444"/>
      <c r="F194" s="444"/>
    </row>
    <row r="195" spans="2:6" x14ac:dyDescent="0.25">
      <c r="B195" s="444"/>
      <c r="C195" s="444"/>
      <c r="D195" s="444"/>
      <c r="E195" s="444"/>
      <c r="F195" s="444"/>
    </row>
    <row r="196" spans="2:6" x14ac:dyDescent="0.25">
      <c r="B196" s="444"/>
      <c r="C196" s="444"/>
      <c r="D196" s="444"/>
      <c r="E196" s="444"/>
      <c r="F196" s="444"/>
    </row>
    <row r="197" spans="2:6" x14ac:dyDescent="0.25">
      <c r="B197" s="444"/>
      <c r="C197" s="444"/>
      <c r="D197" s="444"/>
      <c r="E197" s="444"/>
      <c r="F197" s="444"/>
    </row>
    <row r="198" spans="2:6" x14ac:dyDescent="0.25">
      <c r="B198" s="444"/>
      <c r="C198" s="444"/>
      <c r="D198" s="444"/>
      <c r="E198" s="444"/>
      <c r="F198" s="444"/>
    </row>
    <row r="199" spans="2:6" x14ac:dyDescent="0.25">
      <c r="B199" s="444"/>
      <c r="C199" s="444"/>
      <c r="D199" s="444"/>
      <c r="E199" s="444"/>
      <c r="F199" s="444"/>
    </row>
    <row r="200" spans="2:6" x14ac:dyDescent="0.25">
      <c r="B200" s="444"/>
      <c r="C200" s="444"/>
      <c r="D200" s="444"/>
      <c r="E200" s="444"/>
      <c r="F200" s="444"/>
    </row>
    <row r="201" spans="2:6" x14ac:dyDescent="0.25">
      <c r="B201" s="444"/>
      <c r="C201" s="444"/>
      <c r="D201" s="444"/>
      <c r="E201" s="444"/>
      <c r="F201" s="444"/>
    </row>
    <row r="202" spans="2:6" x14ac:dyDescent="0.25">
      <c r="B202" s="444"/>
      <c r="C202" s="444"/>
      <c r="D202" s="444"/>
      <c r="E202" s="444"/>
      <c r="F202" s="444"/>
    </row>
    <row r="203" spans="2:6" x14ac:dyDescent="0.25">
      <c r="B203" s="444"/>
      <c r="C203" s="444"/>
      <c r="D203" s="444"/>
      <c r="E203" s="444"/>
      <c r="F203" s="444"/>
    </row>
    <row r="204" spans="2:6" x14ac:dyDescent="0.25">
      <c r="B204" s="444"/>
      <c r="C204" s="444"/>
      <c r="D204" s="444"/>
      <c r="E204" s="444"/>
      <c r="F204" s="444"/>
    </row>
    <row r="205" spans="2:6" x14ac:dyDescent="0.25">
      <c r="B205" s="444"/>
      <c r="C205" s="444"/>
      <c r="D205" s="444"/>
      <c r="E205" s="444"/>
      <c r="F205" s="444"/>
    </row>
    <row r="206" spans="2:6" ht="108" customHeight="1" x14ac:dyDescent="0.25">
      <c r="B206" s="444"/>
      <c r="C206" s="444"/>
      <c r="D206" s="444"/>
      <c r="E206" s="444"/>
      <c r="F206" s="444"/>
    </row>
    <row r="208" spans="2:6" x14ac:dyDescent="0.25">
      <c r="B208" s="445" t="s">
        <v>22</v>
      </c>
      <c r="C208" s="446"/>
      <c r="D208" s="446"/>
      <c r="E208" s="446"/>
      <c r="F208" s="446"/>
    </row>
    <row r="209" spans="2:6" x14ac:dyDescent="0.25">
      <c r="B209" s="447"/>
      <c r="C209" s="448"/>
      <c r="D209" s="448"/>
      <c r="E209" s="448"/>
      <c r="F209" s="448"/>
    </row>
    <row r="210" spans="2:6" x14ac:dyDescent="0.25">
      <c r="B210" s="447"/>
      <c r="C210" s="448"/>
      <c r="D210" s="448"/>
      <c r="E210" s="448"/>
      <c r="F210" s="448"/>
    </row>
    <row r="211" spans="2:6" x14ac:dyDescent="0.25">
      <c r="B211" s="447"/>
      <c r="C211" s="448"/>
      <c r="D211" s="448"/>
      <c r="E211" s="448"/>
      <c r="F211" s="448"/>
    </row>
    <row r="212" spans="2:6" x14ac:dyDescent="0.25">
      <c r="B212" s="447"/>
      <c r="C212" s="448"/>
      <c r="D212" s="448"/>
      <c r="E212" s="448"/>
      <c r="F212" s="448"/>
    </row>
    <row r="213" spans="2:6" x14ac:dyDescent="0.25">
      <c r="B213" s="447"/>
      <c r="C213" s="448"/>
      <c r="D213" s="448"/>
      <c r="E213" s="448"/>
      <c r="F213" s="448"/>
    </row>
    <row r="214" spans="2:6" x14ac:dyDescent="0.25">
      <c r="B214" s="447"/>
      <c r="C214" s="448"/>
      <c r="D214" s="448"/>
      <c r="E214" s="448"/>
      <c r="F214" s="448"/>
    </row>
    <row r="215" spans="2:6" x14ac:dyDescent="0.25">
      <c r="B215" s="447"/>
      <c r="C215" s="448"/>
      <c r="D215" s="448"/>
      <c r="E215" s="448"/>
      <c r="F215" s="448"/>
    </row>
    <row r="216" spans="2:6" x14ac:dyDescent="0.25">
      <c r="B216" s="447"/>
      <c r="C216" s="448"/>
      <c r="D216" s="448"/>
      <c r="E216" s="448"/>
      <c r="F216" s="448"/>
    </row>
    <row r="217" spans="2:6" x14ac:dyDescent="0.25">
      <c r="B217" s="447"/>
      <c r="C217" s="448"/>
      <c r="D217" s="448"/>
      <c r="E217" s="448"/>
      <c r="F217" s="448"/>
    </row>
    <row r="218" spans="2:6" x14ac:dyDescent="0.25">
      <c r="B218" s="447"/>
      <c r="C218" s="448"/>
      <c r="D218" s="448"/>
      <c r="E218" s="448"/>
      <c r="F218" s="448"/>
    </row>
    <row r="219" spans="2:6" x14ac:dyDescent="0.25">
      <c r="B219" s="447"/>
      <c r="C219" s="448"/>
      <c r="D219" s="448"/>
      <c r="E219" s="448"/>
      <c r="F219" s="448"/>
    </row>
    <row r="220" spans="2:6" x14ac:dyDescent="0.25">
      <c r="B220" s="447"/>
      <c r="C220" s="448"/>
      <c r="D220" s="448"/>
      <c r="E220" s="448"/>
      <c r="F220" s="448"/>
    </row>
    <row r="221" spans="2:6" x14ac:dyDescent="0.25">
      <c r="B221" s="447"/>
      <c r="C221" s="448"/>
      <c r="D221" s="448"/>
      <c r="E221" s="448"/>
      <c r="F221" s="448"/>
    </row>
    <row r="222" spans="2:6" x14ac:dyDescent="0.25">
      <c r="B222" s="449"/>
      <c r="C222" s="450"/>
      <c r="D222" s="450"/>
      <c r="E222" s="450"/>
      <c r="F222" s="450"/>
    </row>
    <row r="223" spans="2:6" x14ac:dyDescent="0.25">
      <c r="B223" s="452" t="s">
        <v>886</v>
      </c>
      <c r="C223" s="448"/>
      <c r="D223" s="448"/>
      <c r="E223" s="448"/>
      <c r="F223" s="448"/>
    </row>
    <row r="224" spans="2:6" x14ac:dyDescent="0.25">
      <c r="B224" s="447"/>
      <c r="C224" s="448"/>
      <c r="D224" s="448"/>
      <c r="E224" s="448"/>
      <c r="F224" s="448"/>
    </row>
    <row r="225" spans="2:6" x14ac:dyDescent="0.25">
      <c r="B225" s="447"/>
      <c r="C225" s="448"/>
      <c r="D225" s="448"/>
      <c r="E225" s="448"/>
      <c r="F225" s="448"/>
    </row>
    <row r="226" spans="2:6" x14ac:dyDescent="0.25">
      <c r="B226" s="447"/>
      <c r="C226" s="448"/>
      <c r="D226" s="448"/>
      <c r="E226" s="448"/>
      <c r="F226" s="448"/>
    </row>
    <row r="227" spans="2:6" x14ac:dyDescent="0.25">
      <c r="B227" s="447"/>
      <c r="C227" s="448"/>
      <c r="D227" s="448"/>
      <c r="E227" s="448"/>
      <c r="F227" s="448"/>
    </row>
    <row r="228" spans="2:6" x14ac:dyDescent="0.25">
      <c r="B228" s="447"/>
      <c r="C228" s="448"/>
      <c r="D228" s="448"/>
      <c r="E228" s="448"/>
      <c r="F228" s="448"/>
    </row>
    <row r="229" spans="2:6" x14ac:dyDescent="0.25">
      <c r="B229" s="447"/>
      <c r="C229" s="448"/>
      <c r="D229" s="448"/>
      <c r="E229" s="448"/>
      <c r="F229" s="448"/>
    </row>
    <row r="230" spans="2:6" x14ac:dyDescent="0.25">
      <c r="B230" s="447"/>
      <c r="C230" s="448"/>
      <c r="D230" s="448"/>
      <c r="E230" s="448"/>
      <c r="F230" s="448"/>
    </row>
    <row r="231" spans="2:6" x14ac:dyDescent="0.25">
      <c r="B231" s="447"/>
      <c r="C231" s="448"/>
      <c r="D231" s="448"/>
      <c r="E231" s="448"/>
      <c r="F231" s="448"/>
    </row>
    <row r="232" spans="2:6" x14ac:dyDescent="0.25">
      <c r="B232" s="447"/>
      <c r="C232" s="448"/>
      <c r="D232" s="448"/>
      <c r="E232" s="448"/>
      <c r="F232" s="448"/>
    </row>
    <row r="233" spans="2:6" x14ac:dyDescent="0.25">
      <c r="B233" s="447"/>
      <c r="C233" s="448"/>
      <c r="D233" s="448"/>
      <c r="E233" s="448"/>
      <c r="F233" s="448"/>
    </row>
    <row r="234" spans="2:6" x14ac:dyDescent="0.25">
      <c r="B234" s="447"/>
      <c r="C234" s="448"/>
      <c r="D234" s="448"/>
      <c r="E234" s="448"/>
      <c r="F234" s="448"/>
    </row>
    <row r="235" spans="2:6" x14ac:dyDescent="0.25">
      <c r="B235" s="447"/>
      <c r="C235" s="448"/>
      <c r="D235" s="448"/>
      <c r="E235" s="448"/>
      <c r="F235" s="448"/>
    </row>
    <row r="236" spans="2:6" x14ac:dyDescent="0.25">
      <c r="B236" s="447"/>
      <c r="C236" s="448"/>
      <c r="D236" s="448"/>
      <c r="E236" s="448"/>
      <c r="F236" s="448"/>
    </row>
    <row r="237" spans="2:6" x14ac:dyDescent="0.25">
      <c r="B237" s="447"/>
      <c r="C237" s="448"/>
      <c r="D237" s="448"/>
      <c r="E237" s="448"/>
      <c r="F237" s="448"/>
    </row>
    <row r="238" spans="2:6" x14ac:dyDescent="0.25">
      <c r="B238" s="447"/>
      <c r="C238" s="448"/>
      <c r="D238" s="448"/>
      <c r="E238" s="448"/>
      <c r="F238" s="448"/>
    </row>
    <row r="239" spans="2:6" x14ac:dyDescent="0.25">
      <c r="B239" s="447"/>
      <c r="C239" s="448"/>
      <c r="D239" s="448"/>
      <c r="E239" s="448"/>
      <c r="F239" s="448"/>
    </row>
    <row r="240" spans="2:6" x14ac:dyDescent="0.25">
      <c r="B240" s="447"/>
      <c r="C240" s="448"/>
      <c r="D240" s="448"/>
      <c r="E240" s="448"/>
      <c r="F240" s="448"/>
    </row>
    <row r="241" spans="2:6" x14ac:dyDescent="0.25">
      <c r="B241" s="447"/>
      <c r="C241" s="448"/>
      <c r="D241" s="448"/>
      <c r="E241" s="448"/>
      <c r="F241" s="448"/>
    </row>
    <row r="242" spans="2:6" x14ac:dyDescent="0.25">
      <c r="B242" s="447"/>
      <c r="C242" s="448"/>
      <c r="D242" s="448"/>
      <c r="E242" s="448"/>
      <c r="F242" s="448"/>
    </row>
    <row r="243" spans="2:6" x14ac:dyDescent="0.25">
      <c r="B243" s="447"/>
      <c r="C243" s="448"/>
      <c r="D243" s="448"/>
      <c r="E243" s="448"/>
      <c r="F243" s="448"/>
    </row>
    <row r="244" spans="2:6" x14ac:dyDescent="0.25">
      <c r="B244" s="447"/>
      <c r="C244" s="448"/>
      <c r="D244" s="448"/>
      <c r="E244" s="448"/>
      <c r="F244" s="448"/>
    </row>
    <row r="245" spans="2:6" x14ac:dyDescent="0.25">
      <c r="B245" s="447"/>
      <c r="C245" s="448"/>
      <c r="D245" s="448"/>
      <c r="E245" s="448"/>
      <c r="F245" s="448"/>
    </row>
    <row r="246" spans="2:6" x14ac:dyDescent="0.25">
      <c r="B246" s="447"/>
      <c r="C246" s="448"/>
      <c r="D246" s="448"/>
      <c r="E246" s="448"/>
      <c r="F246" s="448"/>
    </row>
    <row r="247" spans="2:6" x14ac:dyDescent="0.25">
      <c r="B247" s="447"/>
      <c r="C247" s="448"/>
      <c r="D247" s="448"/>
      <c r="E247" s="448"/>
      <c r="F247" s="448"/>
    </row>
    <row r="248" spans="2:6" x14ac:dyDescent="0.25">
      <c r="B248" s="447"/>
      <c r="C248" s="448"/>
      <c r="D248" s="448"/>
      <c r="E248" s="448"/>
      <c r="F248" s="448"/>
    </row>
    <row r="249" spans="2:6" x14ac:dyDescent="0.25">
      <c r="B249" s="447"/>
      <c r="C249" s="448"/>
      <c r="D249" s="448"/>
      <c r="E249" s="448"/>
      <c r="F249" s="448"/>
    </row>
    <row r="250" spans="2:6" x14ac:dyDescent="0.25">
      <c r="B250" s="447"/>
      <c r="C250" s="448"/>
      <c r="D250" s="448"/>
      <c r="E250" s="448"/>
      <c r="F250" s="448"/>
    </row>
    <row r="251" spans="2:6" x14ac:dyDescent="0.25">
      <c r="B251" s="447"/>
      <c r="C251" s="448"/>
      <c r="D251" s="448"/>
      <c r="E251" s="448"/>
      <c r="F251" s="448"/>
    </row>
    <row r="252" spans="2:6" x14ac:dyDescent="0.25">
      <c r="B252" s="447"/>
      <c r="C252" s="448"/>
      <c r="D252" s="448"/>
      <c r="E252" s="448"/>
      <c r="F252" s="448"/>
    </row>
    <row r="253" spans="2:6" x14ac:dyDescent="0.25">
      <c r="B253" s="447"/>
      <c r="C253" s="448"/>
      <c r="D253" s="448"/>
      <c r="E253" s="448"/>
      <c r="F253" s="448"/>
    </row>
    <row r="254" spans="2:6" x14ac:dyDescent="0.25">
      <c r="B254" s="447"/>
      <c r="C254" s="448"/>
      <c r="D254" s="448"/>
      <c r="E254" s="448"/>
      <c r="F254" s="448"/>
    </row>
    <row r="255" spans="2:6" x14ac:dyDescent="0.25">
      <c r="B255" s="447"/>
      <c r="C255" s="448"/>
      <c r="D255" s="448"/>
      <c r="E255" s="448"/>
      <c r="F255" s="448"/>
    </row>
    <row r="256" spans="2:6" x14ac:dyDescent="0.25">
      <c r="B256" s="447"/>
      <c r="C256" s="448"/>
      <c r="D256" s="448"/>
      <c r="E256" s="448"/>
      <c r="F256" s="448"/>
    </row>
    <row r="257" spans="2:6" x14ac:dyDescent="0.25">
      <c r="B257" s="447"/>
      <c r="C257" s="448"/>
      <c r="D257" s="448"/>
      <c r="E257" s="448"/>
      <c r="F257" s="448"/>
    </row>
    <row r="258" spans="2:6" x14ac:dyDescent="0.25">
      <c r="B258" s="447"/>
      <c r="C258" s="448"/>
      <c r="D258" s="448"/>
      <c r="E258" s="448"/>
      <c r="F258" s="448"/>
    </row>
    <row r="259" spans="2:6" x14ac:dyDescent="0.25">
      <c r="B259" s="447"/>
      <c r="C259" s="448"/>
      <c r="D259" s="448"/>
      <c r="E259" s="448"/>
      <c r="F259" s="448"/>
    </row>
    <row r="260" spans="2:6" x14ac:dyDescent="0.25">
      <c r="B260" s="447"/>
      <c r="C260" s="448"/>
      <c r="D260" s="448"/>
      <c r="E260" s="448"/>
      <c r="F260" s="448"/>
    </row>
    <row r="261" spans="2:6" x14ac:dyDescent="0.25">
      <c r="B261" s="447"/>
      <c r="C261" s="448"/>
      <c r="D261" s="448"/>
      <c r="E261" s="448"/>
      <c r="F261" s="448"/>
    </row>
    <row r="262" spans="2:6" x14ac:dyDescent="0.25">
      <c r="B262" s="447"/>
      <c r="C262" s="448"/>
      <c r="D262" s="448"/>
      <c r="E262" s="448"/>
      <c r="F262" s="448"/>
    </row>
    <row r="263" spans="2:6" x14ac:dyDescent="0.25">
      <c r="B263" s="447"/>
      <c r="C263" s="448"/>
      <c r="D263" s="448"/>
      <c r="E263" s="448"/>
      <c r="F263" s="448"/>
    </row>
    <row r="264" spans="2:6" x14ac:dyDescent="0.25">
      <c r="B264" s="447"/>
      <c r="C264" s="448"/>
      <c r="D264" s="448"/>
      <c r="E264" s="448"/>
      <c r="F264" s="448"/>
    </row>
    <row r="265" spans="2:6" x14ac:dyDescent="0.25">
      <c r="B265" s="447"/>
      <c r="C265" s="448"/>
      <c r="D265" s="448"/>
      <c r="E265" s="448"/>
      <c r="F265" s="448"/>
    </row>
    <row r="266" spans="2:6" x14ac:dyDescent="0.25">
      <c r="B266" s="447"/>
      <c r="C266" s="448"/>
      <c r="D266" s="448"/>
      <c r="E266" s="448"/>
      <c r="F266" s="448"/>
    </row>
    <row r="267" spans="2:6" x14ac:dyDescent="0.25">
      <c r="B267" s="449"/>
      <c r="C267" s="450"/>
      <c r="D267" s="450"/>
      <c r="E267" s="450"/>
      <c r="F267" s="450"/>
    </row>
    <row r="269" spans="2:6" x14ac:dyDescent="0.25">
      <c r="B269" s="444" t="s">
        <v>981</v>
      </c>
      <c r="C269" s="444"/>
      <c r="D269" s="444"/>
      <c r="E269" s="444"/>
      <c r="F269" s="444"/>
    </row>
    <row r="270" spans="2:6" x14ac:dyDescent="0.25">
      <c r="B270" s="444"/>
      <c r="C270" s="444"/>
      <c r="D270" s="444"/>
      <c r="E270" s="444"/>
      <c r="F270" s="444"/>
    </row>
    <row r="271" spans="2:6" x14ac:dyDescent="0.25">
      <c r="B271" s="444"/>
      <c r="C271" s="444"/>
      <c r="D271" s="444"/>
      <c r="E271" s="444"/>
      <c r="F271" s="444"/>
    </row>
    <row r="272" spans="2:6" x14ac:dyDescent="0.25">
      <c r="B272" s="444"/>
      <c r="C272" s="444"/>
      <c r="D272" s="444"/>
      <c r="E272" s="444"/>
      <c r="F272" s="444"/>
    </row>
    <row r="273" spans="2:6" x14ac:dyDescent="0.25">
      <c r="B273" s="444"/>
      <c r="C273" s="444"/>
      <c r="D273" s="444"/>
      <c r="E273" s="444"/>
      <c r="F273" s="444"/>
    </row>
    <row r="274" spans="2:6" x14ac:dyDescent="0.25">
      <c r="B274" s="444"/>
      <c r="C274" s="444"/>
      <c r="D274" s="444"/>
      <c r="E274" s="444"/>
      <c r="F274" s="444"/>
    </row>
    <row r="275" spans="2:6" x14ac:dyDescent="0.25">
      <c r="B275" s="444"/>
      <c r="C275" s="444"/>
      <c r="D275" s="444"/>
      <c r="E275" s="444"/>
      <c r="F275" s="444"/>
    </row>
    <row r="276" spans="2:6" x14ac:dyDescent="0.25">
      <c r="B276" s="444"/>
      <c r="C276" s="444"/>
      <c r="D276" s="444"/>
      <c r="E276" s="444"/>
      <c r="F276" s="444"/>
    </row>
    <row r="277" spans="2:6" x14ac:dyDescent="0.25">
      <c r="B277" s="444"/>
      <c r="C277" s="444"/>
      <c r="D277" s="444"/>
      <c r="E277" s="444"/>
      <c r="F277" s="444"/>
    </row>
    <row r="278" spans="2:6" x14ac:dyDescent="0.25">
      <c r="B278" s="444"/>
      <c r="C278" s="444"/>
      <c r="D278" s="444"/>
      <c r="E278" s="444"/>
      <c r="F278" s="444"/>
    </row>
    <row r="279" spans="2:6" x14ac:dyDescent="0.25">
      <c r="B279" s="444"/>
      <c r="C279" s="444"/>
      <c r="D279" s="444"/>
      <c r="E279" s="444"/>
      <c r="F279" s="444"/>
    </row>
    <row r="280" spans="2:6" x14ac:dyDescent="0.25">
      <c r="B280" s="444"/>
      <c r="C280" s="444"/>
      <c r="D280" s="444"/>
      <c r="E280" s="444"/>
      <c r="F280" s="444"/>
    </row>
    <row r="281" spans="2:6" x14ac:dyDescent="0.25">
      <c r="B281" s="444"/>
      <c r="C281" s="444"/>
      <c r="D281" s="444"/>
      <c r="E281" s="444"/>
      <c r="F281" s="444"/>
    </row>
    <row r="282" spans="2:6" x14ac:dyDescent="0.25">
      <c r="B282" s="444"/>
      <c r="C282" s="444"/>
      <c r="D282" s="444"/>
      <c r="E282" s="444"/>
      <c r="F282" s="444"/>
    </row>
    <row r="283" spans="2:6" x14ac:dyDescent="0.25">
      <c r="B283" s="444"/>
      <c r="C283" s="444"/>
      <c r="D283" s="444"/>
      <c r="E283" s="444"/>
      <c r="F283" s="444"/>
    </row>
    <row r="284" spans="2:6" x14ac:dyDescent="0.25">
      <c r="B284" s="444"/>
      <c r="C284" s="444"/>
      <c r="D284" s="444"/>
      <c r="E284" s="444"/>
      <c r="F284" s="444"/>
    </row>
    <row r="285" spans="2:6" x14ac:dyDescent="0.25">
      <c r="B285" s="444"/>
      <c r="C285" s="444"/>
      <c r="D285" s="444"/>
      <c r="E285" s="444"/>
      <c r="F285" s="444"/>
    </row>
    <row r="286" spans="2:6" x14ac:dyDescent="0.25">
      <c r="B286" s="444"/>
      <c r="C286" s="444"/>
      <c r="D286" s="444"/>
      <c r="E286" s="444"/>
      <c r="F286" s="444"/>
    </row>
    <row r="287" spans="2:6" x14ac:dyDescent="0.25">
      <c r="B287" s="444"/>
      <c r="C287" s="444"/>
      <c r="D287" s="444"/>
      <c r="E287" s="444"/>
      <c r="F287" s="444"/>
    </row>
    <row r="288" spans="2:6" x14ac:dyDescent="0.25">
      <c r="B288" s="444"/>
      <c r="C288" s="444"/>
      <c r="D288" s="444"/>
      <c r="E288" s="444"/>
      <c r="F288" s="444"/>
    </row>
    <row r="289" spans="2:4" x14ac:dyDescent="0.25">
      <c r="B289" s="583" t="s">
        <v>983</v>
      </c>
      <c r="C289" s="584"/>
      <c r="D289" s="584"/>
    </row>
  </sheetData>
  <sheetProtection algorithmName="SHA-512" hashValue="p6zOosDPT5R0JzHzTKuuFKrCLKxtyayBe9PWkeGor0bUmsRYz8dxktbXgmmrDiy+sU8Oxv0WedmhnBKmVnPdEw==" saltValue="vCYnYakJ/7OfMg4+G47/Fg==" spinCount="100000" sheet="1" objects="1" scenarios="1" autoFilter="0"/>
  <mergeCells count="27">
    <mergeCell ref="E9:E12"/>
    <mergeCell ref="F9:F12"/>
    <mergeCell ref="C13:D13"/>
    <mergeCell ref="B289:D289"/>
    <mergeCell ref="C20:D20"/>
    <mergeCell ref="C16:D16"/>
    <mergeCell ref="C17:D17"/>
    <mergeCell ref="C18:D18"/>
    <mergeCell ref="C19:D19"/>
    <mergeCell ref="B9:B12"/>
    <mergeCell ref="C9:D12"/>
    <mergeCell ref="B3:D3"/>
    <mergeCell ref="B4:D4"/>
    <mergeCell ref="B180:F206"/>
    <mergeCell ref="B208:F222"/>
    <mergeCell ref="B269:F288"/>
    <mergeCell ref="B73:F131"/>
    <mergeCell ref="B152:F178"/>
    <mergeCell ref="B133:F150"/>
    <mergeCell ref="B223:F267"/>
    <mergeCell ref="B5:F5"/>
    <mergeCell ref="C7:D7"/>
    <mergeCell ref="C8:D8"/>
    <mergeCell ref="B40:F71"/>
    <mergeCell ref="C14:D14"/>
    <mergeCell ref="C15:D15"/>
    <mergeCell ref="B26:F38"/>
  </mergeCells>
  <phoneticPr fontId="70" type="noConversion"/>
  <hyperlinks>
    <hyperlink ref="E4" location="Password" display="See password" xr:uid="{C819BA9D-47D9-482F-B89D-991E39C1D2AE}"/>
    <hyperlink ref="B289:C289" location="'Cover Sheet'!A1" display="Back to top of worksheet" xr:uid="{CC05EFFA-0C04-4E7E-B55F-DFAA725F63C8}"/>
  </hyperlinks>
  <pageMargins left="0.7" right="0.7" top="0.75" bottom="0.75" header="0.3" footer="0.3"/>
  <pageSetup scale="74" fitToHeight="0" orientation="portrait" r:id="rId1"/>
  <ignoredErrors>
    <ignoredError sqref="B15 B8"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20972-FD77-46CD-8660-AB41BDEDE059}">
  <sheetPr codeName="Sheet7">
    <tabColor theme="3" tint="0.59999389629810485"/>
  </sheetPr>
  <dimension ref="B1:O19"/>
  <sheetViews>
    <sheetView zoomScale="80" zoomScaleNormal="80" workbookViewId="0">
      <selection activeCell="R21" sqref="R21"/>
    </sheetView>
  </sheetViews>
  <sheetFormatPr defaultRowHeight="15" x14ac:dyDescent="0.25"/>
  <cols>
    <col min="1" max="1" width="4.140625" style="259" customWidth="1"/>
    <col min="2" max="2" width="24.7109375" style="259" customWidth="1"/>
    <col min="3" max="3" width="11.5703125" style="259" customWidth="1"/>
    <col min="4" max="4" width="10.5703125" style="259" bestFit="1" customWidth="1"/>
    <col min="5" max="5" width="18" style="259" customWidth="1"/>
    <col min="6" max="8" width="11.5703125" style="259" bestFit="1" customWidth="1"/>
    <col min="9" max="9" width="21" style="259" customWidth="1"/>
    <col min="10" max="10" width="11.5703125" style="259" bestFit="1" customWidth="1"/>
    <col min="11" max="11" width="27.140625" style="259" customWidth="1"/>
    <col min="12" max="12" width="9.140625" style="259"/>
    <col min="13" max="13" width="22.28515625" style="259" customWidth="1"/>
    <col min="14" max="14" width="9.140625" style="259"/>
    <col min="15" max="15" width="27.85546875" style="259" customWidth="1"/>
    <col min="16" max="16384" width="9.140625" style="259"/>
  </cols>
  <sheetData>
    <row r="1" spans="2:15" ht="15" customHeight="1" x14ac:dyDescent="0.25">
      <c r="H1" s="538" t="s">
        <v>304</v>
      </c>
      <c r="I1" s="539"/>
      <c r="J1" s="539"/>
      <c r="K1" s="539"/>
      <c r="L1" s="539"/>
    </row>
    <row r="2" spans="2:15" x14ac:dyDescent="0.25">
      <c r="B2" s="400" t="s">
        <v>305</v>
      </c>
      <c r="C2" s="401"/>
      <c r="D2" s="401"/>
      <c r="E2" s="401"/>
      <c r="F2" s="401"/>
      <c r="H2" s="540"/>
      <c r="I2" s="541"/>
      <c r="J2" s="541"/>
      <c r="K2" s="541"/>
      <c r="L2" s="541"/>
    </row>
    <row r="4" spans="2:15" s="260" customFormat="1" ht="30" x14ac:dyDescent="0.25">
      <c r="B4" s="260" t="s">
        <v>306</v>
      </c>
      <c r="C4" s="260">
        <v>2204.62</v>
      </c>
      <c r="E4" s="260" t="s">
        <v>307</v>
      </c>
      <c r="G4" s="260" t="s">
        <v>308</v>
      </c>
      <c r="I4" s="260" t="s">
        <v>309</v>
      </c>
      <c r="K4" s="260" t="s">
        <v>310</v>
      </c>
      <c r="M4" s="260" t="s">
        <v>311</v>
      </c>
      <c r="O4" s="260" t="s">
        <v>312</v>
      </c>
    </row>
    <row r="5" spans="2:15" x14ac:dyDescent="0.25">
      <c r="E5" s="259">
        <v>2022</v>
      </c>
      <c r="G5" s="259" t="s">
        <v>313</v>
      </c>
      <c r="I5" s="259">
        <v>2020</v>
      </c>
      <c r="K5" s="259">
        <v>2009</v>
      </c>
      <c r="M5" s="259" t="s">
        <v>65</v>
      </c>
      <c r="O5" s="259" t="s">
        <v>314</v>
      </c>
    </row>
    <row r="6" spans="2:15" x14ac:dyDescent="0.25">
      <c r="E6" s="259">
        <v>2023</v>
      </c>
      <c r="G6" s="259" t="s">
        <v>315</v>
      </c>
      <c r="I6" s="259">
        <v>2021</v>
      </c>
      <c r="K6" s="259">
        <v>2010</v>
      </c>
      <c r="M6" s="259" t="s">
        <v>316</v>
      </c>
    </row>
    <row r="7" spans="2:15" x14ac:dyDescent="0.25">
      <c r="E7" s="259">
        <v>2024</v>
      </c>
      <c r="G7" s="259" t="s">
        <v>317</v>
      </c>
      <c r="I7" s="259">
        <v>2022</v>
      </c>
      <c r="K7" s="259">
        <v>2011</v>
      </c>
      <c r="O7" s="259" t="s">
        <v>318</v>
      </c>
    </row>
    <row r="8" spans="2:15" x14ac:dyDescent="0.25">
      <c r="E8" s="259">
        <v>2025</v>
      </c>
      <c r="G8" s="259" t="s">
        <v>319</v>
      </c>
      <c r="K8" s="259">
        <v>2012</v>
      </c>
      <c r="O8" s="259" t="str">
        <f>'Refrigerant Leakage'!$B$41</f>
        <v>None</v>
      </c>
    </row>
    <row r="9" spans="2:15" x14ac:dyDescent="0.25">
      <c r="E9" s="259">
        <v>2026</v>
      </c>
      <c r="K9" s="259">
        <v>2013</v>
      </c>
    </row>
    <row r="10" spans="2:15" x14ac:dyDescent="0.25">
      <c r="E10" s="259">
        <v>2027</v>
      </c>
      <c r="K10" s="259">
        <v>2014</v>
      </c>
      <c r="O10" s="259" t="s">
        <v>320</v>
      </c>
    </row>
    <row r="11" spans="2:15" x14ac:dyDescent="0.25">
      <c r="E11" s="259">
        <v>2028</v>
      </c>
      <c r="K11" s="259">
        <v>2015</v>
      </c>
      <c r="O11" s="259" t="s">
        <v>321</v>
      </c>
    </row>
    <row r="12" spans="2:15" x14ac:dyDescent="0.25">
      <c r="E12" s="259">
        <v>2029</v>
      </c>
      <c r="K12" s="259">
        <v>2016</v>
      </c>
    </row>
    <row r="13" spans="2:15" x14ac:dyDescent="0.25">
      <c r="E13" s="259">
        <v>2030</v>
      </c>
      <c r="K13" s="259">
        <v>2017</v>
      </c>
      <c r="O13" s="259" t="s">
        <v>322</v>
      </c>
    </row>
    <row r="14" spans="2:15" x14ac:dyDescent="0.25">
      <c r="E14" s="259">
        <v>2031</v>
      </c>
      <c r="K14" s="259">
        <v>2018</v>
      </c>
      <c r="O14" s="259" t="s">
        <v>323</v>
      </c>
    </row>
    <row r="15" spans="2:15" x14ac:dyDescent="0.25">
      <c r="K15" s="259">
        <v>2019</v>
      </c>
    </row>
    <row r="16" spans="2:15" x14ac:dyDescent="0.25">
      <c r="K16" s="259">
        <v>2020</v>
      </c>
    </row>
    <row r="17" spans="11:11" x14ac:dyDescent="0.25">
      <c r="K17" s="259">
        <v>2021</v>
      </c>
    </row>
    <row r="18" spans="11:11" x14ac:dyDescent="0.25">
      <c r="K18" s="259">
        <v>2022</v>
      </c>
    </row>
    <row r="19" spans="11:11" x14ac:dyDescent="0.25">
      <c r="K19" s="259">
        <v>2023</v>
      </c>
    </row>
  </sheetData>
  <sheetProtection formatColumns="0" formatRows="0"/>
  <mergeCells count="1">
    <mergeCell ref="H1:L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87D6-5F66-4123-B618-0345D1036C2B}">
  <sheetPr>
    <tabColor theme="3" tint="0.59999389629810485"/>
  </sheetPr>
  <dimension ref="A1:E41"/>
  <sheetViews>
    <sheetView workbookViewId="0">
      <pane xSplit="1" ySplit="1" topLeftCell="B2" activePane="bottomRight" state="frozen"/>
      <selection activeCell="R21" sqref="R21"/>
      <selection pane="topRight" activeCell="R21" sqref="R21"/>
      <selection pane="bottomLeft" activeCell="R21" sqref="R21"/>
      <selection pane="bottomRight" activeCell="R21" sqref="R21"/>
    </sheetView>
  </sheetViews>
  <sheetFormatPr defaultRowHeight="12.75" x14ac:dyDescent="0.2"/>
  <cols>
    <col min="1" max="1" width="35.5703125" style="399" bestFit="1" customWidth="1"/>
    <col min="2" max="2" width="42.42578125" style="399" bestFit="1" customWidth="1"/>
    <col min="3" max="4" width="10.28515625" style="399" customWidth="1"/>
    <col min="5" max="5" width="22.28515625" style="399" bestFit="1" customWidth="1"/>
    <col min="6" max="16384" width="9.140625" style="399"/>
  </cols>
  <sheetData>
    <row r="1" spans="1:5" x14ac:dyDescent="0.2">
      <c r="A1" s="399" t="s">
        <v>895</v>
      </c>
      <c r="B1" s="399" t="s">
        <v>896</v>
      </c>
      <c r="C1" s="399" t="s">
        <v>948</v>
      </c>
      <c r="D1" s="399" t="s">
        <v>949</v>
      </c>
      <c r="E1" s="399" t="s">
        <v>897</v>
      </c>
    </row>
    <row r="2" spans="1:5" x14ac:dyDescent="0.2">
      <c r="A2" s="399" t="s">
        <v>898</v>
      </c>
      <c r="B2" s="399" t="s">
        <v>899</v>
      </c>
      <c r="C2" s="399">
        <f ca="1">IFERROR(COLUMNS(INDIRECT(SUBSTITUTE(Named_Ranges[[#This Row],[Range]],"=",""))),0)</f>
        <v>1</v>
      </c>
      <c r="D2" s="399">
        <f ca="1">IFERROR(ROWS(INDIRECT(SUBSTITUTE(Named_Ranges[[#This Row],[Range]],"=",""))),0)</f>
        <v>1</v>
      </c>
      <c r="E2" s="399" cm="1">
        <f t="array" aca="1" ref="E2" ca="1">IF((Named_Ranges[[#This Row],[Columns]]+Named_Ranges[[#This Row],[Rows]])=2,INDIRECT(SUBSTITUTE(Named_Ranges[[#This Row],[Range]],"=","")),IF((Named_Ranges[[#This Row],[Columns]]+Named_Ranges[[#This Row],[Rows]])=0,"","Array"))</f>
        <v>2022</v>
      </c>
    </row>
    <row r="3" spans="1:5" x14ac:dyDescent="0.2">
      <c r="A3" s="399" t="s">
        <v>900</v>
      </c>
      <c r="B3" s="399" t="s">
        <v>901</v>
      </c>
      <c r="C3" s="399">
        <f ca="1">IFERROR(COLUMNS(INDIRECT(SUBSTITUTE(Named_Ranges[[#This Row],[Range]],"=",""))),0)</f>
        <v>1</v>
      </c>
      <c r="D3" s="399">
        <f ca="1">IFERROR(ROWS(INDIRECT(SUBSTITUTE(Named_Ranges[[#This Row],[Range]],"=",""))),0)</f>
        <v>1</v>
      </c>
      <c r="E3" s="399" cm="1">
        <f t="array" aca="1" ref="E3" ca="1">IF((Named_Ranges[[#This Row],[Columns]]+Named_Ranges[[#This Row],[Rows]])=2,INDIRECT(SUBSTITUTE(Named_Ranges[[#This Row],[Range]],"=","")),IF((Named_Ranges[[#This Row],[Columns]]+Named_Ranges[[#This Row],[Rows]])=0,"","Array"))</f>
        <v>0.02</v>
      </c>
    </row>
    <row r="4" spans="1:5" x14ac:dyDescent="0.2">
      <c r="A4" s="399" t="s">
        <v>902</v>
      </c>
      <c r="B4" s="399" t="s">
        <v>961</v>
      </c>
      <c r="C4" s="399">
        <f ca="1">IFERROR(COLUMNS(INDIRECT(SUBSTITUTE(Named_Ranges[[#This Row],[Range]],"=",""))),0)</f>
        <v>1</v>
      </c>
      <c r="D4" s="399">
        <f ca="1">IFERROR(ROWS(INDIRECT(SUBSTITUTE(Named_Ranges[[#This Row],[Range]],"=",""))),0)</f>
        <v>1</v>
      </c>
      <c r="E4" s="399" t="str" cm="1">
        <f t="array" aca="1" ref="E4" ca="1">IF((Named_Ranges[[#This Row],[Columns]]+Named_Ranges[[#This Row],[Rows]])=2,INDIRECT(SUBSTITUTE(Named_Ranges[[#This Row],[Range]],"=","")),IF((Named_Ranges[[#This Row],[Columns]]+Named_Ranges[[#This Row],[Rows]])=0,"","Array"))</f>
        <v>100-yr</v>
      </c>
    </row>
    <row r="5" spans="1:5" x14ac:dyDescent="0.2">
      <c r="A5" s="399" t="s">
        <v>903</v>
      </c>
      <c r="B5" s="399" t="s">
        <v>962</v>
      </c>
      <c r="C5" s="399">
        <f ca="1">IFERROR(COLUMNS(INDIRECT(SUBSTITUTE(Named_Ranges[[#This Row],[Range]],"=",""))),0)</f>
        <v>1</v>
      </c>
      <c r="D5" s="399">
        <f ca="1">IFERROR(ROWS(INDIRECT(SUBSTITUTE(Named_Ranges[[#This Row],[Range]],"=",""))),0)</f>
        <v>1</v>
      </c>
      <c r="E5" s="399" t="str" cm="1">
        <f t="array" aca="1" ref="E5" ca="1">IF((Named_Ranges[[#This Row],[Columns]]+Named_Ranges[[#This Row],[Rows]])=2,INDIRECT(SUBSTITUTE(Named_Ranges[[#This Row],[Range]],"=","")),IF((Named_Ranges[[#This Row],[Columns]]+Named_Ranges[[#This Row],[Rows]])=0,"","Array"))</f>
        <v>20-yr</v>
      </c>
    </row>
    <row r="6" spans="1:5" x14ac:dyDescent="0.2">
      <c r="A6" s="399" t="s">
        <v>904</v>
      </c>
      <c r="B6" s="399" t="s">
        <v>963</v>
      </c>
      <c r="C6" s="399">
        <f ca="1">IFERROR(COLUMNS(INDIRECT(SUBSTITUTE(Named_Ranges[[#This Row],[Range]],"=",""))),0)</f>
        <v>1</v>
      </c>
      <c r="D6" s="399">
        <f ca="1">IFERROR(ROWS(INDIRECT(SUBSTITUTE(Named_Ranges[[#This Row],[Range]],"=",""))),0)</f>
        <v>1</v>
      </c>
      <c r="E6" s="399" t="str" cm="1">
        <f t="array" aca="1" ref="E6" ca="1">IF((Named_Ranges[[#This Row],[Columns]]+Named_Ranges[[#This Row],[Rows]])=2,INDIRECT(SUBSTITUTE(Named_Ranges[[#This Row],[Range]],"=","")),IF((Named_Ranges[[#This Row],[Columns]]+Named_Ranges[[#This Row],[Rows]])=0,"","Array"))</f>
        <v>AR</v>
      </c>
    </row>
    <row r="7" spans="1:5" x14ac:dyDescent="0.2">
      <c r="A7" s="399" t="s">
        <v>318</v>
      </c>
      <c r="B7" s="399" t="s">
        <v>964</v>
      </c>
      <c r="C7" s="399">
        <f ca="1">IFERROR(COLUMNS(INDIRECT(SUBSTITUTE(Named_Ranges[[#This Row],[Range]],"=",""))),0)</f>
        <v>1</v>
      </c>
      <c r="D7" s="399">
        <f ca="1">IFERROR(ROWS(INDIRECT(SUBSTITUTE(Named_Ranges[[#This Row],[Range]],"=",""))),0)</f>
        <v>1</v>
      </c>
      <c r="E7" s="399" t="str" cm="1">
        <f t="array" aca="1" ref="E7" ca="1">IF((Named_Ranges[[#This Row],[Columns]]+Named_Ranges[[#This Row],[Rows]])=2,INDIRECT(SUBSTITUTE(Named_Ranges[[#This Row],[Range]],"=","")),IF((Named_Ranges[[#This Row],[Columns]]+Named_Ranges[[#This Row],[Rows]])=0,"","Array"))</f>
        <v>None</v>
      </c>
    </row>
    <row r="8" spans="1:5" x14ac:dyDescent="0.2">
      <c r="A8" s="399" t="s">
        <v>322</v>
      </c>
      <c r="B8" s="399" t="s">
        <v>965</v>
      </c>
      <c r="C8" s="399">
        <f ca="1">IFERROR(COLUMNS(INDIRECT(SUBSTITUTE(Named_Ranges[[#This Row],[Range]],"=",""))),0)</f>
        <v>1</v>
      </c>
      <c r="D8" s="399">
        <f ca="1">IFERROR(ROWS(INDIRECT(SUBSTITUTE(Named_Ranges[[#This Row],[Range]],"=",""))),0)</f>
        <v>1</v>
      </c>
      <c r="E8" s="399" t="str" cm="1">
        <f t="array" aca="1" ref="E8" ca="1">IF((Named_Ranges[[#This Row],[Columns]]+Named_Ranges[[#This Row],[Rows]])=2,INDIRECT(SUBSTITUTE(Named_Ranges[[#This Row],[Range]],"=","")),IF((Named_Ranges[[#This Row],[Columns]]+Named_Ranges[[#This Row],[Rows]])=0,"","Array"))</f>
        <v>Non-refrigerant equipment</v>
      </c>
    </row>
    <row r="9" spans="1:5" x14ac:dyDescent="0.2">
      <c r="A9" s="399" t="s">
        <v>905</v>
      </c>
      <c r="B9" s="399" t="s">
        <v>966</v>
      </c>
      <c r="C9" s="399">
        <f ca="1">IFERROR(COLUMNS(INDIRECT(SUBSTITUTE(Named_Ranges[[#This Row],[Range]],"=",""))),0)</f>
        <v>1</v>
      </c>
      <c r="D9" s="399">
        <f ca="1">IFERROR(ROWS(INDIRECT(SUBSTITUTE(Named_Ranges[[#This Row],[Range]],"=",""))),0)</f>
        <v>1</v>
      </c>
      <c r="E9" s="399" t="str" cm="1">
        <f t="array" aca="1" ref="E9" ca="1">IF((Named_Ranges[[#This Row],[Columns]]+Named_Ranges[[#This Row],[Rows]])=2,INDIRECT(SUBSTITUTE(Named_Ranges[[#This Row],[Range]],"=","")),IF((Named_Ranges[[#This Row],[Columns]]+Named_Ranges[[#This Row],[Rows]])=0,"","Array"))</f>
        <v>NC</v>
      </c>
    </row>
    <row r="10" spans="1:5" x14ac:dyDescent="0.2">
      <c r="A10" s="399" t="s">
        <v>906</v>
      </c>
      <c r="B10" s="399" t="s">
        <v>967</v>
      </c>
      <c r="C10" s="399">
        <f ca="1">IFERROR(COLUMNS(INDIRECT(SUBSTITUTE(Named_Ranges[[#This Row],[Range]],"=",""))),0)</f>
        <v>1</v>
      </c>
      <c r="D10" s="399">
        <f ca="1">IFERROR(ROWS(INDIRECT(SUBSTITUTE(Named_Ranges[[#This Row],[Range]],"=",""))),0)</f>
        <v>1</v>
      </c>
      <c r="E10" s="399" t="str" cm="1">
        <f t="array" aca="1" ref="E10" ca="1">IF((Named_Ranges[[#This Row],[Columns]]+Named_Ranges[[#This Row],[Rows]])=2,INDIRECT(SUBSTITUTE(Named_Ranges[[#This Row],[Range]],"=","")),IF((Named_Ranges[[#This Row],[Columns]]+Named_Ranges[[#This Row],[Rows]])=0,"","Array"))</f>
        <v>NR</v>
      </c>
    </row>
    <row r="11" spans="1:5" x14ac:dyDescent="0.2">
      <c r="A11" s="399" t="s">
        <v>320</v>
      </c>
      <c r="B11" s="399" t="s">
        <v>968</v>
      </c>
      <c r="C11" s="399">
        <f ca="1">IFERROR(COLUMNS(INDIRECT(SUBSTITUTE(Named_Ranges[[#This Row],[Range]],"=",""))),0)</f>
        <v>1</v>
      </c>
      <c r="D11" s="399">
        <f ca="1">IFERROR(ROWS(INDIRECT(SUBSTITUTE(Named_Ranges[[#This Row],[Range]],"=",""))),0)</f>
        <v>1</v>
      </c>
      <c r="E11" s="399" t="str" cm="1">
        <f t="array" aca="1" ref="E11" ca="1">IF((Named_Ranges[[#This Row],[Columns]]+Named_Ranges[[#This Row],[Rows]])=2,INDIRECT(SUBSTITUTE(Named_Ranges[[#This Row],[Range]],"=","")),IF((Named_Ranges[[#This Row],[Columns]]+Named_Ranges[[#This Row],[Rows]])=0,"","Array"))</f>
        <v xml:space="preserve"> Other / Not specified</v>
      </c>
    </row>
    <row r="12" spans="1:5" x14ac:dyDescent="0.2">
      <c r="A12" s="399" t="s">
        <v>312</v>
      </c>
      <c r="B12" s="399" t="s">
        <v>969</v>
      </c>
      <c r="C12" s="399">
        <f ca="1">IFERROR(COLUMNS(INDIRECT(SUBSTITUTE(Named_Ranges[[#This Row],[Range]],"=",""))),0)</f>
        <v>1</v>
      </c>
      <c r="D12" s="399">
        <f ca="1">IFERROR(ROWS(INDIRECT(SUBSTITUTE(Named_Ranges[[#This Row],[Range]],"=",""))),0)</f>
        <v>1</v>
      </c>
      <c r="E12" s="399" t="str" cm="1">
        <f t="array" aca="1" ref="E12" ca="1">IF((Named_Ranges[[#This Row],[Columns]]+Named_Ranges[[#This Row],[Rows]])=2,INDIRECT(SUBSTITUTE(Named_Ranges[[#This Row],[Range]],"=","")),IF((Named_Ranges[[#This Row],[Columns]]+Named_Ranges[[#This Row],[Rows]])=0,"","Array"))</f>
        <v>User specified</v>
      </c>
    </row>
    <row r="13" spans="1:5" x14ac:dyDescent="0.2">
      <c r="A13" s="399" t="s">
        <v>307</v>
      </c>
      <c r="B13" s="399" t="s">
        <v>970</v>
      </c>
      <c r="C13" s="399">
        <f ca="1">IFERROR(COLUMNS(INDIRECT(SUBSTITUTE(Named_Ranges[[#This Row],[Range]],"=",""))),0)</f>
        <v>1</v>
      </c>
      <c r="D13" s="399">
        <f ca="1">IFERROR(ROWS(INDIRECT(SUBSTITUTE(Named_Ranges[[#This Row],[Range]],"=",""))),0)</f>
        <v>10</v>
      </c>
      <c r="E13" s="399" t="str" cm="1">
        <f t="array" aca="1" ref="E13" ca="1">IF((Named_Ranges[[#This Row],[Columns]]+Named_Ranges[[#This Row],[Rows]])=2,INDIRECT(SUBSTITUTE(Named_Ranges[[#This Row],[Range]],"=","")),IF((Named_Ranges[[#This Row],[Columns]]+Named_Ranges[[#This Row],[Rows]])=0,"","Array"))</f>
        <v>Array</v>
      </c>
    </row>
    <row r="14" spans="1:5" x14ac:dyDescent="0.2">
      <c r="A14" s="399" t="s">
        <v>310</v>
      </c>
      <c r="B14" s="399" t="s">
        <v>971</v>
      </c>
      <c r="C14" s="399">
        <f ca="1">IFERROR(COLUMNS(INDIRECT(SUBSTITUTE(Named_Ranges[[#This Row],[Range]],"=",""))),0)</f>
        <v>1</v>
      </c>
      <c r="D14" s="399">
        <f ca="1">IFERROR(ROWS(INDIRECT(SUBSTITUTE(Named_Ranges[[#This Row],[Range]],"=",""))),0)</f>
        <v>15</v>
      </c>
      <c r="E14" s="399" t="str" cm="1">
        <f t="array" aca="1" ref="E14" ca="1">IF((Named_Ranges[[#This Row],[Columns]]+Named_Ranges[[#This Row],[Rows]])=2,INDIRECT(SUBSTITUTE(Named_Ranges[[#This Row],[Range]],"=","")),IF((Named_Ranges[[#This Row],[Columns]]+Named_Ranges[[#This Row],[Rows]])=0,"","Array"))</f>
        <v>Array</v>
      </c>
    </row>
    <row r="15" spans="1:5" x14ac:dyDescent="0.2">
      <c r="A15" s="399" t="s">
        <v>311</v>
      </c>
      <c r="B15" s="399" t="s">
        <v>972</v>
      </c>
      <c r="C15" s="399">
        <f ca="1">IFERROR(COLUMNS(INDIRECT(SUBSTITUTE(Named_Ranges[[#This Row],[Range]],"=",""))),0)</f>
        <v>1</v>
      </c>
      <c r="D15" s="399">
        <f ca="1">IFERROR(ROWS(INDIRECT(SUBSTITUTE(Named_Ranges[[#This Row],[Range]],"=",""))),0)</f>
        <v>2</v>
      </c>
      <c r="E15" s="399" t="str" cm="1">
        <f t="array" aca="1" ref="E15" ca="1">IF((Named_Ranges[[#This Row],[Columns]]+Named_Ranges[[#This Row],[Rows]])=2,INDIRECT(SUBSTITUTE(Named_Ranges[[#This Row],[Range]],"=","")),IF((Named_Ranges[[#This Row],[Columns]]+Named_Ranges[[#This Row],[Rows]])=0,"","Array"))</f>
        <v>Array</v>
      </c>
    </row>
    <row r="16" spans="1:5" x14ac:dyDescent="0.2">
      <c r="A16" s="399" t="s">
        <v>907</v>
      </c>
      <c r="B16" s="399" t="s">
        <v>908</v>
      </c>
      <c r="C16" s="399">
        <f ca="1">IFERROR(COLUMNS(INDIRECT(SUBSTITUTE(Named_Ranges[[#This Row],[Range]],"=",""))),0)</f>
        <v>1</v>
      </c>
      <c r="D16" s="399">
        <f ca="1">IFERROR(ROWS(INDIRECT(SUBSTITUTE(Named_Ranges[[#This Row],[Range]],"=",""))),0)</f>
        <v>40</v>
      </c>
      <c r="E16" s="399" t="str" cm="1">
        <f t="array" aca="1" ref="E16" ca="1">IF((Named_Ranges[[#This Row],[Columns]]+Named_Ranges[[#This Row],[Rows]])=2,INDIRECT(SUBSTITUTE(Named_Ranges[[#This Row],[Range]],"=","")),IF((Named_Ranges[[#This Row],[Columns]]+Named_Ranges[[#This Row],[Rows]])=0,"","Array"))</f>
        <v>Array</v>
      </c>
    </row>
    <row r="17" spans="1:5" x14ac:dyDescent="0.2">
      <c r="A17" s="399" t="s">
        <v>308</v>
      </c>
      <c r="B17" s="399" t="s">
        <v>973</v>
      </c>
      <c r="C17" s="399">
        <f ca="1">IFERROR(COLUMNS(INDIRECT(SUBSTITUTE(Named_Ranges[[#This Row],[Range]],"=",""))),0)</f>
        <v>1</v>
      </c>
      <c r="D17" s="399">
        <f ca="1">IFERROR(ROWS(INDIRECT(SUBSTITUTE(Named_Ranges[[#This Row],[Range]],"=",""))),0)</f>
        <v>4</v>
      </c>
      <c r="E17" s="399" t="str" cm="1">
        <f t="array" aca="1" ref="E17" ca="1">IF((Named_Ranges[[#This Row],[Columns]]+Named_Ranges[[#This Row],[Rows]])=2,INDIRECT(SUBSTITUTE(Named_Ranges[[#This Row],[Range]],"=","")),IF((Named_Ranges[[#This Row],[Columns]]+Named_Ranges[[#This Row],[Rows]])=0,"","Array"))</f>
        <v>Array</v>
      </c>
    </row>
    <row r="18" spans="1:5" x14ac:dyDescent="0.2">
      <c r="A18" s="399" t="s">
        <v>182</v>
      </c>
      <c r="B18" s="399" t="s">
        <v>909</v>
      </c>
      <c r="C18" s="399">
        <f ca="1">IFERROR(COLUMNS(INDIRECT(SUBSTITUTE(Named_Ranges[[#This Row],[Range]],"=",""))),0)</f>
        <v>1</v>
      </c>
      <c r="D18" s="399">
        <f ca="1">IFERROR(ROWS(INDIRECT(SUBSTITUTE(Named_Ranges[[#This Row],[Range]],"=",""))),0)</f>
        <v>26</v>
      </c>
      <c r="E18" s="399" t="str" cm="1">
        <f t="array" aca="1" ref="E18" ca="1">IF((Named_Ranges[[#This Row],[Columns]]+Named_Ranges[[#This Row],[Rows]])=2,INDIRECT(SUBSTITUTE(Named_Ranges[[#This Row],[Range]],"=","")),IF((Named_Ranges[[#This Row],[Columns]]+Named_Ranges[[#This Row],[Rows]])=0,"","Array"))</f>
        <v>Array</v>
      </c>
    </row>
    <row r="19" spans="1:5" x14ac:dyDescent="0.2">
      <c r="A19" s="399" t="s">
        <v>910</v>
      </c>
      <c r="B19" s="399" t="s">
        <v>911</v>
      </c>
      <c r="C19" s="399">
        <f ca="1">IFERROR(COLUMNS(INDIRECT(SUBSTITUTE(Named_Ranges[[#This Row],[Range]],"=",""))),0)</f>
        <v>1</v>
      </c>
      <c r="D19" s="399">
        <f ca="1">IFERROR(ROWS(INDIRECT(SUBSTITUTE(Named_Ranges[[#This Row],[Range]],"=",""))),0)</f>
        <v>1</v>
      </c>
      <c r="E19" s="399" cm="1">
        <f t="array" aca="1" ref="E19" ca="1">IF((Named_Ranges[[#This Row],[Columns]]+Named_Ranges[[#This Row],[Rows]])=2,INDIRECT(SUBSTITUTE(Named_Ranges[[#This Row],[Range]],"=","")),IF((Named_Ranges[[#This Row],[Columns]]+Named_Ranges[[#This Row],[Rows]])=0,"","Array"))</f>
        <v>2022</v>
      </c>
    </row>
    <row r="20" spans="1:5" x14ac:dyDescent="0.2">
      <c r="A20" s="399" t="s">
        <v>912</v>
      </c>
      <c r="B20" s="399" t="s">
        <v>913</v>
      </c>
      <c r="C20" s="399">
        <f ca="1">IFERROR(COLUMNS(INDIRECT(SUBSTITUTE(Named_Ranges[[#This Row],[Range]],"=",""))),0)</f>
        <v>32</v>
      </c>
      <c r="D20" s="399">
        <f ca="1">IFERROR(ROWS(INDIRECT(SUBSTITUTE(Named_Ranges[[#This Row],[Range]],"=",""))),0)</f>
        <v>1</v>
      </c>
      <c r="E20" s="399" t="str" cm="1">
        <f t="array" aca="1" ref="E20" ca="1">IF((Named_Ranges[[#This Row],[Columns]]+Named_Ranges[[#This Row],[Rows]])=2,INDIRECT(SUBSTITUTE(Named_Ranges[[#This Row],[Range]],"=","")),IF((Named_Ranges[[#This Row],[Columns]]+Named_Ranges[[#This Row],[Rows]])=0,"","Array"))</f>
        <v>Array</v>
      </c>
    </row>
    <row r="21" spans="1:5" x14ac:dyDescent="0.2">
      <c r="A21" s="399" t="s">
        <v>914</v>
      </c>
      <c r="B21" s="399" t="s">
        <v>915</v>
      </c>
      <c r="C21" s="399">
        <f ca="1">IFERROR(COLUMNS(INDIRECT(SUBSTITUTE(Named_Ranges[[#This Row],[Range]],"=",""))),0)</f>
        <v>1</v>
      </c>
      <c r="D21" s="399">
        <f ca="1">IFERROR(ROWS(INDIRECT(SUBSTITUTE(Named_Ranges[[#This Row],[Range]],"=",""))),0)</f>
        <v>1</v>
      </c>
      <c r="E21" s="399" cm="1">
        <f t="array" aca="1" ref="E21" ca="1">IF((Named_Ranges[[#This Row],[Columns]]+Named_Ranges[[#This Row],[Rows]])=2,INDIRECT(SUBSTITUTE(Named_Ranges[[#This Row],[Range]],"=","")),IF((Named_Ranges[[#This Row],[Columns]]+Named_Ranges[[#This Row],[Rows]])=0,"","Array"))</f>
        <v>2021</v>
      </c>
    </row>
    <row r="22" spans="1:5" x14ac:dyDescent="0.2">
      <c r="A22" s="399" t="s">
        <v>916</v>
      </c>
      <c r="B22" s="399" t="s">
        <v>917</v>
      </c>
      <c r="C22" s="399">
        <f ca="1">IFERROR(COLUMNS(INDIRECT(SUBSTITUTE(Named_Ranges[[#This Row],[Range]],"=",""))),0)</f>
        <v>1</v>
      </c>
      <c r="D22" s="399">
        <f ca="1">IFERROR(ROWS(INDIRECT(SUBSTITUTE(Named_Ranges[[#This Row],[Range]],"=",""))),0)</f>
        <v>155</v>
      </c>
      <c r="E22" s="399" t="str" cm="1">
        <f t="array" aca="1" ref="E22" ca="1">IF((Named_Ranges[[#This Row],[Columns]]+Named_Ranges[[#This Row],[Rows]])=2,INDIRECT(SUBSTITUTE(Named_Ranges[[#This Row],[Range]],"=","")),IF((Named_Ranges[[#This Row],[Columns]]+Named_Ranges[[#This Row],[Rows]])=0,"","Array"))</f>
        <v>Array</v>
      </c>
    </row>
    <row r="23" spans="1:5" x14ac:dyDescent="0.2">
      <c r="A23" s="399" t="s">
        <v>918</v>
      </c>
      <c r="B23" s="399" t="s">
        <v>919</v>
      </c>
      <c r="C23" s="399">
        <f ca="1">IFERROR(COLUMNS(INDIRECT(SUBSTITUTE(Named_Ranges[[#This Row],[Range]],"=",""))),0)</f>
        <v>1</v>
      </c>
      <c r="D23" s="399">
        <f ca="1">IFERROR(ROWS(INDIRECT(SUBSTITUTE(Named_Ranges[[#This Row],[Range]],"=",""))),0)</f>
        <v>155</v>
      </c>
      <c r="E23" s="399" t="str" cm="1">
        <f t="array" aca="1" ref="E23" ca="1">IF((Named_Ranges[[#This Row],[Columns]]+Named_Ranges[[#This Row],[Rows]])=2,INDIRECT(SUBSTITUTE(Named_Ranges[[#This Row],[Range]],"=","")),IF((Named_Ranges[[#This Row],[Columns]]+Named_Ranges[[#This Row],[Rows]])=0,"","Array"))</f>
        <v>Array</v>
      </c>
    </row>
    <row r="24" spans="1:5" x14ac:dyDescent="0.2">
      <c r="A24" s="399" t="s">
        <v>920</v>
      </c>
      <c r="B24" s="399" t="s">
        <v>921</v>
      </c>
      <c r="C24" s="399">
        <f ca="1">IFERROR(COLUMNS(INDIRECT(SUBSTITUTE(Named_Ranges[[#This Row],[Range]],"=",""))),0)</f>
        <v>0</v>
      </c>
      <c r="D24" s="399">
        <f ca="1">IFERROR(ROWS(INDIRECT(SUBSTITUTE(Named_Ranges[[#This Row],[Range]],"=",""))),0)</f>
        <v>0</v>
      </c>
      <c r="E24" s="399" t="str" cm="1">
        <f t="array" aca="1" ref="E24" ca="1">IF((Named_Ranges[[#This Row],[Columns]]+Named_Ranges[[#This Row],[Rows]])=2,INDIRECT(SUBSTITUTE(Named_Ranges[[#This Row],[Range]],"=","")),IF((Named_Ranges[[#This Row],[Columns]]+Named_Ranges[[#This Row],[Rows]])=0,"","Array"))</f>
        <v/>
      </c>
    </row>
    <row r="25" spans="1:5" x14ac:dyDescent="0.2">
      <c r="A25" s="399" t="s">
        <v>922</v>
      </c>
      <c r="B25" s="399" t="s">
        <v>923</v>
      </c>
      <c r="C25" s="399">
        <f ca="1">IFERROR(COLUMNS(INDIRECT(SUBSTITUTE(Named_Ranges[[#This Row],[Range]],"=",""))),0)</f>
        <v>0</v>
      </c>
      <c r="D25" s="399">
        <f ca="1">IFERROR(ROWS(INDIRECT(SUBSTITUTE(Named_Ranges[[#This Row],[Range]],"=",""))),0)</f>
        <v>0</v>
      </c>
      <c r="E25" s="399" t="str" cm="1">
        <f t="array" aca="1" ref="E25" ca="1">IF((Named_Ranges[[#This Row],[Columns]]+Named_Ranges[[#This Row],[Rows]])=2,INDIRECT(SUBSTITUTE(Named_Ranges[[#This Row],[Range]],"=","")),IF((Named_Ranges[[#This Row],[Columns]]+Named_Ranges[[#This Row],[Rows]])=0,"","Array"))</f>
        <v/>
      </c>
    </row>
    <row r="26" spans="1:5" x14ac:dyDescent="0.2">
      <c r="A26" s="399" t="s">
        <v>924</v>
      </c>
      <c r="B26" s="399" t="s">
        <v>925</v>
      </c>
      <c r="C26" s="399">
        <f ca="1">IFERROR(COLUMNS(INDIRECT(SUBSTITUTE(Named_Ranges[[#This Row],[Range]],"=",""))),0)</f>
        <v>0</v>
      </c>
      <c r="D26" s="399">
        <f ca="1">IFERROR(ROWS(INDIRECT(SUBSTITUTE(Named_Ranges[[#This Row],[Range]],"=",""))),0)</f>
        <v>0</v>
      </c>
      <c r="E26" s="399" t="str" cm="1">
        <f t="array" aca="1" ref="E26" ca="1">IF((Named_Ranges[[#This Row],[Columns]]+Named_Ranges[[#This Row],[Rows]])=2,INDIRECT(SUBSTITUTE(Named_Ranges[[#This Row],[Range]],"=","")),IF((Named_Ranges[[#This Row],[Columns]]+Named_Ranges[[#This Row],[Rows]])=0,"","Array"))</f>
        <v/>
      </c>
    </row>
    <row r="27" spans="1:5" x14ac:dyDescent="0.2">
      <c r="A27" s="399" t="s">
        <v>926</v>
      </c>
      <c r="B27" s="399" t="s">
        <v>927</v>
      </c>
      <c r="C27" s="399">
        <f ca="1">IFERROR(COLUMNS(INDIRECT(SUBSTITUTE(Named_Ranges[[#This Row],[Range]],"=",""))),0)</f>
        <v>0</v>
      </c>
      <c r="D27" s="399">
        <f ca="1">IFERROR(ROWS(INDIRECT(SUBSTITUTE(Named_Ranges[[#This Row],[Range]],"=",""))),0)</f>
        <v>0</v>
      </c>
      <c r="E27" s="399" t="str" cm="1">
        <f t="array" aca="1" ref="E27" ca="1">IF((Named_Ranges[[#This Row],[Columns]]+Named_Ranges[[#This Row],[Rows]])=2,INDIRECT(SUBSTITUTE(Named_Ranges[[#This Row],[Range]],"=","")),IF((Named_Ranges[[#This Row],[Columns]]+Named_Ranges[[#This Row],[Rows]])=0,"","Array"))</f>
        <v/>
      </c>
    </row>
    <row r="28" spans="1:5" x14ac:dyDescent="0.2">
      <c r="A28" s="399" t="s">
        <v>928</v>
      </c>
      <c r="B28" s="399" t="s">
        <v>929</v>
      </c>
      <c r="C28" s="399">
        <f ca="1">IFERROR(COLUMNS(INDIRECT(SUBSTITUTE(Named_Ranges[[#This Row],[Range]],"=",""))),0)</f>
        <v>0</v>
      </c>
      <c r="D28" s="399">
        <f ca="1">IFERROR(ROWS(INDIRECT(SUBSTITUTE(Named_Ranges[[#This Row],[Range]],"=",""))),0)</f>
        <v>0</v>
      </c>
      <c r="E28" s="399" t="str" cm="1">
        <f t="array" aca="1" ref="E28" ca="1">IF((Named_Ranges[[#This Row],[Columns]]+Named_Ranges[[#This Row],[Rows]])=2,INDIRECT(SUBSTITUTE(Named_Ranges[[#This Row],[Range]],"=","")),IF((Named_Ranges[[#This Row],[Columns]]+Named_Ranges[[#This Row],[Rows]])=0,"","Array"))</f>
        <v/>
      </c>
    </row>
    <row r="29" spans="1:5" x14ac:dyDescent="0.2">
      <c r="A29" s="399" t="s">
        <v>306</v>
      </c>
      <c r="B29" s="399" t="s">
        <v>930</v>
      </c>
      <c r="C29" s="399">
        <f ca="1">IFERROR(COLUMNS(INDIRECT(SUBSTITUTE(Named_Ranges[[#This Row],[Range]],"=",""))),0)</f>
        <v>1</v>
      </c>
      <c r="D29" s="399">
        <f ca="1">IFERROR(ROWS(INDIRECT(SUBSTITUTE(Named_Ranges[[#This Row],[Range]],"=",""))),0)</f>
        <v>1</v>
      </c>
      <c r="E29" s="399" cm="1">
        <f t="array" aca="1" ref="E29" ca="1">IF((Named_Ranges[[#This Row],[Columns]]+Named_Ranges[[#This Row],[Rows]])=2,INDIRECT(SUBSTITUTE(Named_Ranges[[#This Row],[Range]],"=","")),IF((Named_Ranges[[#This Row],[Columns]]+Named_Ranges[[#This Row],[Rows]])=0,"","Array"))</f>
        <v>2204.62</v>
      </c>
    </row>
    <row r="30" spans="1:5" x14ac:dyDescent="0.2">
      <c r="A30" s="399" t="s">
        <v>931</v>
      </c>
      <c r="B30" s="399" t="s">
        <v>932</v>
      </c>
      <c r="C30" s="399">
        <f ca="1">IFERROR(COLUMNS(INDIRECT(SUBSTITUTE(Named_Ranges[[#This Row],[Range]],"=",""))),0)</f>
        <v>1</v>
      </c>
      <c r="D30" s="399">
        <f ca="1">IFERROR(ROWS(INDIRECT(SUBSTITUTE(Named_Ranges[[#This Row],[Range]],"=",""))),0)</f>
        <v>40</v>
      </c>
      <c r="E30" s="399" t="str" cm="1">
        <f t="array" aca="1" ref="E30" ca="1">IF((Named_Ranges[[#This Row],[Columns]]+Named_Ranges[[#This Row],[Rows]])=2,INDIRECT(SUBSTITUTE(Named_Ranges[[#This Row],[Range]],"=","")),IF((Named_Ranges[[#This Row],[Columns]]+Named_Ranges[[#This Row],[Rows]])=0,"","Array"))</f>
        <v>Array</v>
      </c>
    </row>
    <row r="31" spans="1:5" x14ac:dyDescent="0.2">
      <c r="A31" s="399" t="s">
        <v>187</v>
      </c>
      <c r="B31" s="399" t="s">
        <v>933</v>
      </c>
      <c r="C31" s="399">
        <f ca="1">IFERROR(COLUMNS(INDIRECT(SUBSTITUTE(Named_Ranges[[#This Row],[Range]],"=",""))),0)</f>
        <v>1</v>
      </c>
      <c r="D31" s="399">
        <f ca="1">IFERROR(ROWS(INDIRECT(SUBSTITUTE(Named_Ranges[[#This Row],[Range]],"=",""))),0)</f>
        <v>40</v>
      </c>
      <c r="E31" s="399" t="str" cm="1">
        <f t="array" aca="1" ref="E31" ca="1">IF((Named_Ranges[[#This Row],[Columns]]+Named_Ranges[[#This Row],[Rows]])=2,INDIRECT(SUBSTITUTE(Named_Ranges[[#This Row],[Range]],"=","")),IF((Named_Ranges[[#This Row],[Columns]]+Named_Ranges[[#This Row],[Rows]])=0,"","Array"))</f>
        <v>Array</v>
      </c>
    </row>
    <row r="32" spans="1:5" x14ac:dyDescent="0.2">
      <c r="A32" s="399" t="s">
        <v>934</v>
      </c>
      <c r="B32" s="399" t="s">
        <v>935</v>
      </c>
      <c r="C32" s="399">
        <f ca="1">IFERROR(COLUMNS(INDIRECT(SUBSTITUTE(Named_Ranges[[#This Row],[Range]],"=",""))),0)</f>
        <v>1</v>
      </c>
      <c r="D32" s="399">
        <f ca="1">IFERROR(ROWS(INDIRECT(SUBSTITUTE(Named_Ranges[[#This Row],[Range]],"=",""))),0)</f>
        <v>155</v>
      </c>
      <c r="E32" s="399" t="str" cm="1">
        <f t="array" aca="1" ref="E32" ca="1">IF((Named_Ranges[[#This Row],[Columns]]+Named_Ranges[[#This Row],[Rows]])=2,INDIRECT(SUBSTITUTE(Named_Ranges[[#This Row],[Range]],"=","")),IF((Named_Ranges[[#This Row],[Columns]]+Named_Ranges[[#This Row],[Rows]])=0,"","Array"))</f>
        <v>Array</v>
      </c>
    </row>
    <row r="33" spans="1:5" x14ac:dyDescent="0.2">
      <c r="A33" s="399" t="s">
        <v>188</v>
      </c>
      <c r="B33" s="399" t="s">
        <v>936</v>
      </c>
      <c r="C33" s="399">
        <f ca="1">IFERROR(COLUMNS(INDIRECT(SUBSTITUTE(Named_Ranges[[#This Row],[Range]],"=",""))),0)</f>
        <v>1</v>
      </c>
      <c r="D33" s="399">
        <f ca="1">IFERROR(ROWS(INDIRECT(SUBSTITUTE(Named_Ranges[[#This Row],[Range]],"=",""))),0)</f>
        <v>40</v>
      </c>
      <c r="E33" s="399" t="str" cm="1">
        <f t="array" aca="1" ref="E33" ca="1">IF((Named_Ranges[[#This Row],[Columns]]+Named_Ranges[[#This Row],[Rows]])=2,INDIRECT(SUBSTITUTE(Named_Ranges[[#This Row],[Range]],"=","")),IF((Named_Ranges[[#This Row],[Columns]]+Named_Ranges[[#This Row],[Rows]])=0,"","Array"))</f>
        <v>Array</v>
      </c>
    </row>
    <row r="34" spans="1:5" x14ac:dyDescent="0.2">
      <c r="A34" s="399" t="s">
        <v>190</v>
      </c>
      <c r="B34" s="399" t="s">
        <v>937</v>
      </c>
      <c r="C34" s="399">
        <f ca="1">IFERROR(COLUMNS(INDIRECT(SUBSTITUTE(Named_Ranges[[#This Row],[Range]],"=",""))),0)</f>
        <v>0</v>
      </c>
      <c r="D34" s="399">
        <f ca="1">IFERROR(ROWS(INDIRECT(SUBSTITUTE(Named_Ranges[[#This Row],[Range]],"=",""))),0)</f>
        <v>0</v>
      </c>
      <c r="E34" s="399" t="str" cm="1">
        <f t="array" aca="1" ref="E34" ca="1">IF((Named_Ranges[[#This Row],[Columns]]+Named_Ranges[[#This Row],[Rows]])=2,INDIRECT(SUBSTITUTE(Named_Ranges[[#This Row],[Range]],"=","")),IF((Named_Ranges[[#This Row],[Columns]]+Named_Ranges[[#This Row],[Rows]])=0,"","Array"))</f>
        <v/>
      </c>
    </row>
    <row r="35" spans="1:5" x14ac:dyDescent="0.2">
      <c r="A35" s="399" t="s">
        <v>938</v>
      </c>
      <c r="B35" s="399" t="s">
        <v>939</v>
      </c>
      <c r="C35" s="399">
        <f ca="1">IFERROR(COLUMNS(INDIRECT(SUBSTITUTE(Named_Ranges[[#This Row],[Range]],"=",""))),0)</f>
        <v>1</v>
      </c>
      <c r="D35" s="399">
        <f ca="1">IFERROR(ROWS(INDIRECT(SUBSTITUTE(Named_Ranges[[#This Row],[Range]],"=",""))),0)</f>
        <v>1</v>
      </c>
      <c r="E35" s="399" t="str" cm="1">
        <f t="array" aca="1" ref="E35" ca="1">IF((Named_Ranges[[#This Row],[Columns]]+Named_Ranges[[#This Row],[Rows]])=2,INDIRECT(SUBSTITUTE(Named_Ranges[[#This Row],[Range]],"=","")),IF((Named_Ranges[[#This Row],[Columns]]+Named_Ranges[[#This Row],[Rows]])=0,"","Array"))</f>
        <v/>
      </c>
    </row>
    <row r="36" spans="1:5" x14ac:dyDescent="0.2">
      <c r="A36" s="399" t="s">
        <v>191</v>
      </c>
      <c r="B36" s="399" t="s">
        <v>940</v>
      </c>
      <c r="C36" s="399">
        <f ca="1">IFERROR(COLUMNS(INDIRECT(SUBSTITUTE(Named_Ranges[[#This Row],[Range]],"=",""))),0)</f>
        <v>1</v>
      </c>
      <c r="D36" s="399">
        <f ca="1">IFERROR(ROWS(INDIRECT(SUBSTITUTE(Named_Ranges[[#This Row],[Range]],"=",""))),0)</f>
        <v>1</v>
      </c>
      <c r="E36" s="399" t="str" cm="1">
        <f t="array" aca="1" ref="E36" ca="1">IF((Named_Ranges[[#This Row],[Columns]]+Named_Ranges[[#This Row],[Rows]])=2,INDIRECT(SUBSTITUTE(Named_Ranges[[#This Row],[Range]],"=","")),IF((Named_Ranges[[#This Row],[Columns]]+Named_Ranges[[#This Row],[Rows]])=0,"","Array"))</f>
        <v/>
      </c>
    </row>
    <row r="37" spans="1:5" x14ac:dyDescent="0.2">
      <c r="A37" s="399" t="s">
        <v>889</v>
      </c>
      <c r="B37" s="399" t="s">
        <v>941</v>
      </c>
      <c r="C37" s="399">
        <f ca="1">IFERROR(COLUMNS(INDIRECT(SUBSTITUTE(Named_Ranges[[#This Row],[Range]],"=",""))),0)</f>
        <v>1</v>
      </c>
      <c r="D37" s="399">
        <f ca="1">IFERROR(ROWS(INDIRECT(SUBSTITUTE(Named_Ranges[[#This Row],[Range]],"=",""))),0)</f>
        <v>1</v>
      </c>
      <c r="E37" s="399" t="str" cm="1">
        <f t="array" aca="1" ref="E37" ca="1">IF((Named_Ranges[[#This Row],[Columns]]+Named_Ranges[[#This Row],[Rows]])=2,INDIRECT(SUBSTITUTE(Named_Ranges[[#This Row],[Range]],"=","")),IF((Named_Ranges[[#This Row],[Columns]]+Named_Ranges[[#This Row],[Rows]])=0,"","Array"))</f>
        <v/>
      </c>
    </row>
    <row r="38" spans="1:5" x14ac:dyDescent="0.2">
      <c r="A38" s="399" t="s">
        <v>189</v>
      </c>
      <c r="B38" s="399" t="s">
        <v>942</v>
      </c>
      <c r="C38" s="399">
        <f ca="1">IFERROR(COLUMNS(INDIRECT(SUBSTITUTE(Named_Ranges[[#This Row],[Range]],"=",""))),0)</f>
        <v>1</v>
      </c>
      <c r="D38" s="399">
        <f ca="1">IFERROR(ROWS(INDIRECT(SUBSTITUTE(Named_Ranges[[#This Row],[Range]],"=",""))),0)</f>
        <v>1</v>
      </c>
      <c r="E38" s="399" cm="1">
        <f t="array" aca="1" ref="E38" ca="1">IF((Named_Ranges[[#This Row],[Columns]]+Named_Ranges[[#This Row],[Rows]])=2,INDIRECT(SUBSTITUTE(Named_Ranges[[#This Row],[Range]],"=","")),IF((Named_Ranges[[#This Row],[Columns]]+Named_Ranges[[#This Row],[Rows]])=0,"","Array"))</f>
        <v>7</v>
      </c>
    </row>
    <row r="39" spans="1:5" x14ac:dyDescent="0.2">
      <c r="A39" s="399" t="s">
        <v>95</v>
      </c>
      <c r="B39" s="399" t="s">
        <v>943</v>
      </c>
      <c r="C39" s="399">
        <f ca="1">IFERROR(COLUMNS(INDIRECT(SUBSTITUTE(Named_Ranges[[#This Row],[Range]],"=",""))),0)</f>
        <v>0</v>
      </c>
      <c r="D39" s="399">
        <f ca="1">IFERROR(ROWS(INDIRECT(SUBSTITUTE(Named_Ranges[[#This Row],[Range]],"=",""))),0)</f>
        <v>0</v>
      </c>
      <c r="E39" s="399" t="str" cm="1">
        <f t="array" aca="1" ref="E39" ca="1">IF((Named_Ranges[[#This Row],[Columns]]+Named_Ranges[[#This Row],[Rows]])=2,INDIRECT(SUBSTITUTE(Named_Ranges[[#This Row],[Range]],"=","")),IF((Named_Ranges[[#This Row],[Columns]]+Named_Ranges[[#This Row],[Rows]])=0,"","Array"))</f>
        <v/>
      </c>
    </row>
    <row r="40" spans="1:5" x14ac:dyDescent="0.2">
      <c r="A40" s="399" t="s">
        <v>944</v>
      </c>
      <c r="B40" s="399" t="s">
        <v>945</v>
      </c>
      <c r="C40" s="399">
        <f ca="1">IFERROR(COLUMNS(INDIRECT(SUBSTITUTE(Named_Ranges[[#This Row],[Range]],"=",""))),0)</f>
        <v>1</v>
      </c>
      <c r="D40" s="399">
        <f ca="1">IFERROR(ROWS(INDIRECT(SUBSTITUTE(Named_Ranges[[#This Row],[Range]],"=",""))),0)</f>
        <v>1</v>
      </c>
      <c r="E40" s="399" cm="1">
        <f t="array" aca="1" ref="E40" ca="1">IF((Named_Ranges[[#This Row],[Columns]]+Named_Ranges[[#This Row],[Rows]])=2,INDIRECT(SUBSTITUTE(Named_Ranges[[#This Row],[Range]],"=","")),IF((Named_Ranges[[#This Row],[Columns]]+Named_Ranges[[#This Row],[Rows]])=0,"","Array"))</f>
        <v>2</v>
      </c>
    </row>
    <row r="41" spans="1:5" x14ac:dyDescent="0.2">
      <c r="A41" s="399" t="s">
        <v>946</v>
      </c>
      <c r="B41" s="399" t="s">
        <v>947</v>
      </c>
      <c r="C41" s="399">
        <f ca="1">IFERROR(COLUMNS(INDIRECT(SUBSTITUTE(Named_Ranges[[#This Row],[Range]],"=",""))),0)</f>
        <v>1</v>
      </c>
      <c r="D41" s="399">
        <f ca="1">IFERROR(ROWS(INDIRECT(SUBSTITUTE(Named_Ranges[[#This Row],[Range]],"=",""))),0)</f>
        <v>1</v>
      </c>
      <c r="E41" s="399" cm="1">
        <f t="array" aca="1" ref="E41" ca="1">IF((Named_Ranges[[#This Row],[Columns]]+Named_Ranges[[#This Row],[Rows]])=2,INDIRECT(SUBSTITUTE(Named_Ranges[[#This Row],[Range]],"=","")),IF((Named_Ranges[[#This Row],[Columns]]+Named_Ranges[[#This Row],[Rows]])=0,"","Array"))</f>
        <v>7.5399999999999995E-2</v>
      </c>
    </row>
  </sheetData>
  <conditionalFormatting sqref="E1:E1048576">
    <cfRule type="cellIs" dxfId="14" priority="2" operator="equal">
      <formula>"""#REF!"""</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29B8-72CC-4BBE-A550-E50DBA17A460}">
  <sheetPr codeName="Sheet15">
    <tabColor theme="7" tint="0.79998168889431442"/>
  </sheetPr>
  <dimension ref="B2:L11"/>
  <sheetViews>
    <sheetView workbookViewId="0">
      <selection activeCell="E28" sqref="E28"/>
    </sheetView>
  </sheetViews>
  <sheetFormatPr defaultRowHeight="15" x14ac:dyDescent="0.25"/>
  <cols>
    <col min="1" max="1" width="9.140625" style="197"/>
    <col min="2" max="2" width="3.7109375" style="197" customWidth="1"/>
    <col min="3" max="11" width="9.140625" style="197"/>
    <col min="12" max="12" width="3.7109375" style="197" customWidth="1"/>
    <col min="13" max="16384" width="9.140625" style="197"/>
  </cols>
  <sheetData>
    <row r="2" spans="2:12" x14ac:dyDescent="0.25">
      <c r="B2" s="198"/>
      <c r="C2" s="123"/>
      <c r="D2" s="123"/>
      <c r="E2" s="123"/>
      <c r="F2" s="123"/>
      <c r="G2" s="123"/>
      <c r="H2" s="123"/>
      <c r="I2" s="123"/>
      <c r="J2" s="123"/>
      <c r="K2" s="123"/>
      <c r="L2" s="199"/>
    </row>
    <row r="3" spans="2:12" ht="15" customHeight="1" x14ac:dyDescent="0.25">
      <c r="B3" s="200"/>
      <c r="C3" s="542" t="s">
        <v>324</v>
      </c>
      <c r="D3" s="542"/>
      <c r="E3" s="542"/>
      <c r="F3" s="542"/>
      <c r="G3" s="542"/>
      <c r="H3" s="542"/>
      <c r="I3" s="542"/>
      <c r="J3" s="542"/>
      <c r="K3" s="542"/>
      <c r="L3" s="201"/>
    </row>
    <row r="4" spans="2:12" ht="15" customHeight="1" x14ac:dyDescent="0.25">
      <c r="B4" s="200"/>
      <c r="C4" s="542"/>
      <c r="D4" s="542"/>
      <c r="E4" s="542"/>
      <c r="F4" s="542"/>
      <c r="G4" s="542"/>
      <c r="H4" s="542"/>
      <c r="I4" s="542"/>
      <c r="J4" s="542"/>
      <c r="K4" s="542"/>
      <c r="L4" s="201"/>
    </row>
    <row r="5" spans="2:12" x14ac:dyDescent="0.25">
      <c r="B5" s="200"/>
      <c r="C5" s="542"/>
      <c r="D5" s="542"/>
      <c r="E5" s="542"/>
      <c r="F5" s="542"/>
      <c r="G5" s="542"/>
      <c r="H5" s="542"/>
      <c r="I5" s="542"/>
      <c r="J5" s="542"/>
      <c r="K5" s="542"/>
      <c r="L5" s="201"/>
    </row>
    <row r="6" spans="2:12" x14ac:dyDescent="0.25">
      <c r="B6" s="200"/>
      <c r="C6" s="205"/>
      <c r="D6" s="205"/>
      <c r="E6" s="205"/>
      <c r="F6" s="205"/>
      <c r="G6" s="205"/>
      <c r="H6" s="205"/>
      <c r="I6" s="205"/>
      <c r="J6" s="205"/>
      <c r="K6" s="205"/>
      <c r="L6" s="201"/>
    </row>
    <row r="7" spans="2:12" x14ac:dyDescent="0.25">
      <c r="B7" s="200"/>
      <c r="C7" s="542" t="s">
        <v>325</v>
      </c>
      <c r="D7" s="542"/>
      <c r="E7" s="542"/>
      <c r="F7" s="542"/>
      <c r="G7" s="542"/>
      <c r="H7" s="542"/>
      <c r="I7" s="542"/>
      <c r="J7" s="542"/>
      <c r="K7" s="542"/>
      <c r="L7" s="201"/>
    </row>
    <row r="8" spans="2:12" x14ac:dyDescent="0.25">
      <c r="B8" s="200"/>
      <c r="C8" s="543" t="s">
        <v>326</v>
      </c>
      <c r="D8" s="543"/>
      <c r="E8" s="543"/>
      <c r="F8" s="543"/>
      <c r="G8" s="543"/>
      <c r="H8" s="543"/>
      <c r="I8" s="543"/>
      <c r="J8" s="543"/>
      <c r="K8" s="543"/>
      <c r="L8" s="201"/>
    </row>
    <row r="9" spans="2:12" x14ac:dyDescent="0.25">
      <c r="B9" s="200"/>
      <c r="C9" s="543"/>
      <c r="D9" s="543"/>
      <c r="E9" s="543"/>
      <c r="F9" s="543"/>
      <c r="G9" s="543"/>
      <c r="H9" s="543"/>
      <c r="I9" s="543"/>
      <c r="J9" s="543"/>
      <c r="K9" s="543"/>
      <c r="L9" s="201"/>
    </row>
    <row r="10" spans="2:12" x14ac:dyDescent="0.25">
      <c r="B10" s="200"/>
      <c r="C10" s="205"/>
      <c r="D10" s="205"/>
      <c r="E10" s="205"/>
      <c r="F10" s="205"/>
      <c r="G10" s="205"/>
      <c r="H10" s="205"/>
      <c r="I10" s="205"/>
      <c r="J10" s="205"/>
      <c r="K10" s="205"/>
      <c r="L10" s="201"/>
    </row>
    <row r="11" spans="2:12" x14ac:dyDescent="0.25">
      <c r="B11" s="202"/>
      <c r="C11" s="203"/>
      <c r="D11" s="203"/>
      <c r="E11" s="203"/>
      <c r="F11" s="203"/>
      <c r="G11" s="203"/>
      <c r="H11" s="203"/>
      <c r="I11" s="203"/>
      <c r="J11" s="203"/>
      <c r="K11" s="203"/>
      <c r="L11" s="204"/>
    </row>
  </sheetData>
  <sheetProtection algorithmName="SHA-512" hashValue="L65I9HOOBqL3YK7v4lwB3Ry7UM91uQCjW7IhwysDHJgYNO+btBEGTdjYaz8HFNKjfUna/L3xioEVWeApHe3XaA==" saltValue="RoOcCsRyqR46V4oPiK6P4Q==" spinCount="100000" sheet="1" objects="1" scenarios="1" formatColumns="0" formatRows="0"/>
  <mergeCells count="3">
    <mergeCell ref="C3:K5"/>
    <mergeCell ref="C7:K7"/>
    <mergeCell ref="C8:K9"/>
  </mergeCells>
  <hyperlinks>
    <hyperlink ref="C8" r:id="rId1" xr:uid="{B1B9680E-39A9-4F0E-8F22-6B43ABA87111}"/>
  </hyperlink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3A43-1FCF-4E52-86E8-578EA7D9ED46}">
  <sheetPr codeName="Sheet8">
    <tabColor theme="7" tint="0.79998168889431442"/>
  </sheetPr>
  <dimension ref="A1:AM132"/>
  <sheetViews>
    <sheetView topLeftCell="C1" zoomScale="60" zoomScaleNormal="60" workbookViewId="0">
      <selection activeCell="H15" sqref="H15"/>
    </sheetView>
  </sheetViews>
  <sheetFormatPr defaultColWidth="10.85546875" defaultRowHeight="15" outlineLevelRow="1" x14ac:dyDescent="0.25"/>
  <cols>
    <col min="1" max="1" width="14" style="1" customWidth="1"/>
    <col min="2" max="2" width="6.85546875" style="1" customWidth="1"/>
    <col min="3" max="3" width="80.85546875" style="1" customWidth="1"/>
    <col min="4" max="5" width="17.85546875" style="1" customWidth="1"/>
    <col min="6" max="6" width="15.42578125" style="1" bestFit="1" customWidth="1"/>
    <col min="7" max="7" width="19" style="1" customWidth="1"/>
    <col min="8" max="8" width="17.85546875" style="1" customWidth="1"/>
    <col min="9" max="9" width="13.5703125" style="1" bestFit="1" customWidth="1"/>
    <col min="10" max="10" width="24.140625" style="1" customWidth="1"/>
    <col min="11" max="11" width="28.140625" style="1" customWidth="1"/>
    <col min="12" max="12" width="12.85546875" style="1" customWidth="1"/>
    <col min="13" max="13" width="19.85546875" style="1" customWidth="1"/>
    <col min="14" max="35" width="12.85546875" style="1" customWidth="1"/>
    <col min="36" max="45" width="11.5703125" style="1" bestFit="1" customWidth="1"/>
    <col min="46" max="16384" width="10.85546875" style="1"/>
  </cols>
  <sheetData>
    <row r="1" spans="2:2" ht="16.5" customHeight="1" x14ac:dyDescent="0.25">
      <c r="B1" s="362" t="s">
        <v>862</v>
      </c>
    </row>
    <row r="2" spans="2:2" outlineLevel="1" x14ac:dyDescent="0.25"/>
    <row r="3" spans="2:2" ht="31.5" x14ac:dyDescent="0.5">
      <c r="B3" s="61" t="s">
        <v>327</v>
      </c>
    </row>
    <row r="4" spans="2:2" x14ac:dyDescent="0.25">
      <c r="B4" s="1" t="s">
        <v>328</v>
      </c>
    </row>
    <row r="5" spans="2:2" outlineLevel="1" x14ac:dyDescent="0.25"/>
    <row r="6" spans="2:2" ht="18.75" outlineLevel="1" x14ac:dyDescent="0.3">
      <c r="B6" s="63" t="s">
        <v>329</v>
      </c>
    </row>
    <row r="7" spans="2:2" outlineLevel="1" x14ac:dyDescent="0.25">
      <c r="B7" s="1" t="s">
        <v>330</v>
      </c>
    </row>
    <row r="8" spans="2:2" outlineLevel="1" x14ac:dyDescent="0.25">
      <c r="B8" s="1" t="s">
        <v>331</v>
      </c>
    </row>
    <row r="9" spans="2:2" outlineLevel="1" x14ac:dyDescent="0.25">
      <c r="B9" s="1" t="s">
        <v>332</v>
      </c>
    </row>
    <row r="10" spans="2:2" outlineLevel="1" x14ac:dyDescent="0.25">
      <c r="B10" s="1" t="s">
        <v>333</v>
      </c>
    </row>
    <row r="11" spans="2:2" outlineLevel="1" x14ac:dyDescent="0.25"/>
    <row r="12" spans="2:2" outlineLevel="1" x14ac:dyDescent="0.25">
      <c r="B12" s="1" t="s">
        <v>334</v>
      </c>
    </row>
    <row r="13" spans="2:2" outlineLevel="1" x14ac:dyDescent="0.25">
      <c r="B13" s="1" t="s">
        <v>335</v>
      </c>
    </row>
    <row r="14" spans="2:2" outlineLevel="1" x14ac:dyDescent="0.25">
      <c r="B14" s="1" t="s">
        <v>336</v>
      </c>
    </row>
    <row r="15" spans="2:2" outlineLevel="1" x14ac:dyDescent="0.25">
      <c r="B15" s="1" t="s">
        <v>337</v>
      </c>
    </row>
    <row r="16" spans="2:2" outlineLevel="1" x14ac:dyDescent="0.25"/>
    <row r="17" spans="2:13" outlineLevel="1" x14ac:dyDescent="0.25">
      <c r="B17" s="62" t="s">
        <v>338</v>
      </c>
    </row>
    <row r="18" spans="2:13" outlineLevel="1" x14ac:dyDescent="0.25">
      <c r="B18" s="1" t="s">
        <v>339</v>
      </c>
    </row>
    <row r="19" spans="2:13" outlineLevel="1" x14ac:dyDescent="0.25">
      <c r="B19" s="1" t="s">
        <v>340</v>
      </c>
    </row>
    <row r="20" spans="2:13" ht="15" customHeight="1" outlineLevel="1" x14ac:dyDescent="0.25"/>
    <row r="21" spans="2:13" ht="27" outlineLevel="1" thickBot="1" x14ac:dyDescent="0.45">
      <c r="C21" s="66" t="s">
        <v>341</v>
      </c>
      <c r="D21" s="66"/>
    </row>
    <row r="22" spans="2:13" ht="12" customHeight="1" x14ac:dyDescent="0.25">
      <c r="B22" s="55"/>
      <c r="C22" s="68"/>
      <c r="D22" s="69"/>
      <c r="E22" s="69"/>
      <c r="F22" s="69"/>
      <c r="G22" s="69"/>
      <c r="H22" s="69"/>
      <c r="I22" s="70"/>
      <c r="J22" s="70"/>
      <c r="K22" s="71"/>
      <c r="M22" s="54" t="s">
        <v>31</v>
      </c>
    </row>
    <row r="23" spans="2:13" ht="21" x14ac:dyDescent="0.25">
      <c r="B23" s="55"/>
      <c r="C23" s="72" t="s">
        <v>342</v>
      </c>
      <c r="D23" s="125"/>
      <c r="E23" s="125"/>
      <c r="F23" s="125"/>
      <c r="G23" s="125"/>
      <c r="H23" s="125"/>
      <c r="J23" s="125" t="s">
        <v>343</v>
      </c>
      <c r="K23" s="73"/>
      <c r="M23" s="107" t="s">
        <v>344</v>
      </c>
    </row>
    <row r="24" spans="2:13" ht="12.95" customHeight="1" x14ac:dyDescent="0.25">
      <c r="B24" s="67"/>
      <c r="C24" s="74"/>
      <c r="E24" s="126"/>
      <c r="F24" s="126"/>
      <c r="H24" s="126"/>
      <c r="K24" s="75"/>
      <c r="M24" s="65" t="s">
        <v>345</v>
      </c>
    </row>
    <row r="25" spans="2:13" ht="15" customHeight="1" x14ac:dyDescent="0.3">
      <c r="B25" s="67"/>
      <c r="C25" s="95"/>
      <c r="D25" s="127"/>
      <c r="E25" s="62"/>
      <c r="F25" s="62"/>
      <c r="G25" s="127"/>
      <c r="H25" s="62"/>
      <c r="J25" s="127" t="str">
        <f>_xlfn.CONCAT("NPV Avoided Costs in Measure Start Year (", 'ACC Inputs'!$G$7, "$)")</f>
        <v>NPV Avoided Costs in Measure Start Year (2022$)</v>
      </c>
      <c r="K25" s="76"/>
      <c r="M25" s="108" t="s">
        <v>346</v>
      </c>
    </row>
    <row r="26" spans="2:13" ht="15" customHeight="1" x14ac:dyDescent="0.25">
      <c r="B26" s="67"/>
      <c r="C26" s="103" t="s">
        <v>347</v>
      </c>
      <c r="D26" s="547" t="s">
        <v>348</v>
      </c>
      <c r="E26" s="548"/>
      <c r="F26" s="548"/>
      <c r="G26" s="548"/>
      <c r="H26" s="549"/>
      <c r="J26" s="568">
        <f>IF(OR(D74="Not Available", G74="Not Available"), "Error: GWP data not available for chosen refrigerant and time horizon combination. See Refrigerant GWPs tab for available refrigerant data.", E132)</f>
        <v>0</v>
      </c>
      <c r="K26" s="569"/>
      <c r="M26" s="109" t="s">
        <v>78</v>
      </c>
    </row>
    <row r="27" spans="2:13" ht="15" customHeight="1" x14ac:dyDescent="0.25">
      <c r="B27" s="67"/>
      <c r="C27" s="104"/>
      <c r="D27" s="128"/>
      <c r="E27" s="62"/>
      <c r="F27" s="62"/>
      <c r="G27" s="128"/>
      <c r="H27" s="62"/>
      <c r="J27" s="123"/>
      <c r="K27" s="129"/>
      <c r="M27" s="110" t="s">
        <v>84</v>
      </c>
    </row>
    <row r="28" spans="2:13" ht="15" customHeight="1" outlineLevel="1" x14ac:dyDescent="0.25">
      <c r="B28" s="67"/>
      <c r="C28" s="104"/>
      <c r="D28" s="128"/>
      <c r="E28" s="62"/>
      <c r="F28" s="62"/>
      <c r="G28" s="128"/>
      <c r="H28" s="62"/>
      <c r="K28" s="75"/>
      <c r="M28" s="544" t="s">
        <v>349</v>
      </c>
    </row>
    <row r="29" spans="2:13" ht="15" customHeight="1" x14ac:dyDescent="0.25">
      <c r="B29" s="67"/>
      <c r="C29" s="104"/>
      <c r="D29" s="546" t="s">
        <v>350</v>
      </c>
      <c r="E29" s="546"/>
      <c r="F29" s="117"/>
      <c r="G29" s="546" t="s">
        <v>351</v>
      </c>
      <c r="H29" s="546"/>
      <c r="K29" s="75"/>
      <c r="M29" s="544"/>
    </row>
    <row r="30" spans="2:13" ht="15" customHeight="1" x14ac:dyDescent="0.3">
      <c r="B30" s="67"/>
      <c r="C30" s="104"/>
      <c r="D30" s="89" t="s">
        <v>352</v>
      </c>
      <c r="E30" s="89" t="s">
        <v>353</v>
      </c>
      <c r="F30" s="62"/>
      <c r="G30" s="89" t="s">
        <v>352</v>
      </c>
      <c r="H30" s="89" t="s">
        <v>353</v>
      </c>
      <c r="J30" s="127"/>
      <c r="K30" s="76"/>
      <c r="M30" s="544"/>
    </row>
    <row r="31" spans="2:13" ht="15" customHeight="1" x14ac:dyDescent="0.3">
      <c r="B31" s="67"/>
      <c r="C31" s="103" t="s">
        <v>354</v>
      </c>
      <c r="D31" s="571"/>
      <c r="E31" s="571"/>
      <c r="F31" s="130"/>
      <c r="G31" s="571"/>
      <c r="H31" s="574">
        <f>E31</f>
        <v>0</v>
      </c>
      <c r="J31" s="127"/>
      <c r="K31" s="76"/>
      <c r="M31" s="544"/>
    </row>
    <row r="32" spans="2:13" ht="15" customHeight="1" x14ac:dyDescent="0.3">
      <c r="B32" s="67"/>
      <c r="C32" s="103"/>
      <c r="D32" s="572"/>
      <c r="E32" s="572"/>
      <c r="F32" s="130"/>
      <c r="G32" s="572"/>
      <c r="H32" s="575"/>
      <c r="J32" s="127"/>
      <c r="K32" s="76"/>
    </row>
    <row r="33" spans="2:15" ht="15.75" x14ac:dyDescent="0.25">
      <c r="B33" s="2"/>
      <c r="C33" s="103"/>
      <c r="D33" s="572"/>
      <c r="E33" s="572"/>
      <c r="F33" s="130"/>
      <c r="G33" s="572"/>
      <c r="H33" s="575"/>
      <c r="J33" s="127"/>
      <c r="K33" s="75"/>
      <c r="N33" s="87" t="s">
        <v>355</v>
      </c>
      <c r="O33" s="87"/>
    </row>
    <row r="34" spans="2:15" ht="15" customHeight="1" x14ac:dyDescent="0.25">
      <c r="B34" s="2"/>
      <c r="C34" s="105"/>
      <c r="D34" s="572"/>
      <c r="E34" s="572"/>
      <c r="F34" s="130"/>
      <c r="G34" s="572"/>
      <c r="H34" s="575"/>
      <c r="K34" s="75"/>
      <c r="N34" s="87" t="s">
        <v>356</v>
      </c>
    </row>
    <row r="35" spans="2:15" ht="15" customHeight="1" x14ac:dyDescent="0.25">
      <c r="B35" s="2"/>
      <c r="C35" s="105"/>
      <c r="D35" s="573"/>
      <c r="E35" s="573"/>
      <c r="F35" s="130"/>
      <c r="G35" s="573"/>
      <c r="H35" s="576"/>
      <c r="K35" s="75"/>
      <c r="M35" s="87"/>
      <c r="N35" s="87" t="s">
        <v>357</v>
      </c>
    </row>
    <row r="36" spans="2:15" ht="15" customHeight="1" outlineLevel="1" x14ac:dyDescent="0.25">
      <c r="B36" s="2"/>
      <c r="C36" s="105"/>
      <c r="D36" s="128"/>
      <c r="G36" s="128"/>
      <c r="K36" s="75"/>
      <c r="M36" s="87"/>
      <c r="N36" s="87"/>
    </row>
    <row r="37" spans="2:15" ht="15.75" x14ac:dyDescent="0.25">
      <c r="B37" s="2"/>
      <c r="C37" s="103" t="s">
        <v>358</v>
      </c>
      <c r="D37" s="166" t="s">
        <v>356</v>
      </c>
      <c r="E37" s="254" t="s">
        <v>356</v>
      </c>
      <c r="G37" s="166" t="s">
        <v>356</v>
      </c>
      <c r="H37" s="115" t="str">
        <f>E37</f>
        <v>User Specified</v>
      </c>
      <c r="J37" s="127"/>
      <c r="K37" s="75"/>
      <c r="M37" s="87"/>
      <c r="N37" s="87"/>
    </row>
    <row r="38" spans="2:15" x14ac:dyDescent="0.25">
      <c r="C38" s="103" t="s">
        <v>359</v>
      </c>
      <c r="D38" s="255"/>
      <c r="E38" s="256"/>
      <c r="G38" s="255"/>
      <c r="H38" s="88">
        <f>E38</f>
        <v>0</v>
      </c>
      <c r="K38" s="75"/>
      <c r="M38" s="87"/>
      <c r="N38" s="87"/>
    </row>
    <row r="39" spans="2:15" x14ac:dyDescent="0.25">
      <c r="C39" s="103" t="s">
        <v>360</v>
      </c>
      <c r="D39" s="88">
        <f>IF(D37="ARB average",INDEX('Refrigerant Leakage'!$C$2:$C$41,MATCH(D31,'Refrigerant Leakage'!$B$2:$B$41,0)),D38)</f>
        <v>0</v>
      </c>
      <c r="E39" s="100">
        <f>IF($D$26='ACC Inputs'!$B$7, 0, IF(E37="ARB average",INDEX('Refrigerant Leakage'!$C$2:$C$41,MATCH(E31,'Refrigerant Leakage'!$B$2:$B$41,0)),E38))</f>
        <v>0</v>
      </c>
      <c r="G39" s="88">
        <f>IF(G37="ARB average",INDEX('Refrigerant Leakage'!$C$2:$C$41,MATCH(G31,'Refrigerant Leakage'!$B$2:$B$41,0)),G38)</f>
        <v>0</v>
      </c>
      <c r="H39" s="100">
        <f>IF($D$26='ACC Inputs'!$B$7, 0, IF(H37="ARB average",INDEX('Refrigerant Leakage'!$C$2:$C$41,MATCH(H31,'Refrigerant Leakage'!$B$2:$B$41,0)),H38))</f>
        <v>0</v>
      </c>
      <c r="K39" s="75"/>
      <c r="M39" s="87"/>
      <c r="N39" s="87"/>
    </row>
    <row r="40" spans="2:15" ht="15" customHeight="1" outlineLevel="1" x14ac:dyDescent="0.25">
      <c r="C40" s="103"/>
      <c r="K40" s="75"/>
      <c r="M40" s="87"/>
      <c r="N40" s="87"/>
    </row>
    <row r="41" spans="2:15" x14ac:dyDescent="0.25">
      <c r="C41" s="103" t="s">
        <v>361</v>
      </c>
      <c r="D41" s="255"/>
      <c r="E41" s="256"/>
      <c r="G41" s="88">
        <f>IF(D26='ACC Inputs'!B7,'E3 Dashboard'!D41,'E3 Dashboard'!H42+1)</f>
        <v>0</v>
      </c>
      <c r="H41" s="88">
        <f>E41</f>
        <v>0</v>
      </c>
      <c r="K41" s="75"/>
      <c r="M41" s="87"/>
      <c r="N41" s="87"/>
    </row>
    <row r="42" spans="2:15" ht="15" customHeight="1" x14ac:dyDescent="0.25">
      <c r="C42" s="106" t="s">
        <v>362</v>
      </c>
      <c r="D42" s="88">
        <f>D41+D39 -1</f>
        <v>-1</v>
      </c>
      <c r="E42" s="88">
        <f>IF(AND($D$26="Accelerated Replacement", D41&lt;(E41+E39-1)), 'E3 Dashboard'!D41-1, E41+E39-1)</f>
        <v>-1</v>
      </c>
      <c r="G42" s="88">
        <f>G41+G39-1</f>
        <v>-1</v>
      </c>
      <c r="H42" s="88">
        <f>H41+H39-1</f>
        <v>-1</v>
      </c>
      <c r="K42" s="75"/>
      <c r="M42" s="87"/>
      <c r="N42" s="87"/>
    </row>
    <row r="43" spans="2:15" ht="15" customHeight="1" x14ac:dyDescent="0.25">
      <c r="C43" s="106" t="s">
        <v>363</v>
      </c>
      <c r="D43" s="88">
        <f>(D41+D39 -1)-D42</f>
        <v>0</v>
      </c>
      <c r="E43" s="100">
        <f>IF(D26='ACC Inputs'!$B$7, 0, (E41+E39 -1)-E42)</f>
        <v>0</v>
      </c>
      <c r="G43" s="88">
        <f>(G41+G39-1)-G42</f>
        <v>0</v>
      </c>
      <c r="H43" s="100">
        <f>IF(D26='ACC Inputs'!$B$7, 0, (H41+H39 -1)-H42)</f>
        <v>0</v>
      </c>
      <c r="K43" s="75"/>
      <c r="M43" s="87"/>
      <c r="N43" s="87"/>
    </row>
    <row r="44" spans="2:15" ht="15" customHeight="1" outlineLevel="1" x14ac:dyDescent="0.25">
      <c r="C44" s="103"/>
      <c r="D44" s="127"/>
      <c r="G44" s="127"/>
      <c r="K44" s="75"/>
      <c r="N44" s="87"/>
      <c r="O44" s="87"/>
    </row>
    <row r="45" spans="2:15" x14ac:dyDescent="0.25">
      <c r="C45" s="103" t="s">
        <v>364</v>
      </c>
      <c r="D45" s="166" t="s">
        <v>356</v>
      </c>
      <c r="E45" s="254" t="s">
        <v>356</v>
      </c>
      <c r="F45" s="91"/>
      <c r="G45" s="166" t="s">
        <v>356</v>
      </c>
      <c r="H45" s="115" t="str">
        <f>E45</f>
        <v>User Specified</v>
      </c>
      <c r="K45" s="75"/>
      <c r="N45" s="87"/>
      <c r="O45" s="87"/>
    </row>
    <row r="46" spans="2:15" x14ac:dyDescent="0.25">
      <c r="C46" s="103" t="s">
        <v>365</v>
      </c>
      <c r="D46" s="255"/>
      <c r="E46" s="255"/>
      <c r="G46" s="255"/>
      <c r="H46" s="88">
        <f>E46</f>
        <v>0</v>
      </c>
      <c r="K46" s="75"/>
      <c r="N46" s="87"/>
      <c r="O46" s="87"/>
    </row>
    <row r="47" spans="2:15" x14ac:dyDescent="0.25">
      <c r="C47" s="103" t="s">
        <v>366</v>
      </c>
      <c r="D47" s="88">
        <f>IF(D45="ARB average",INDEX('Refrigerant Leakage'!$D$2:$D$41,MATCH(D31,'Refrigerant Leakage'!$B$2:$B$41,0)),D46)</f>
        <v>0</v>
      </c>
      <c r="E47" s="100">
        <f>IF(E45="ARB average",INDEX('Refrigerant Leakage'!$D$2:$D$41,MATCH(E31,'Refrigerant Leakage'!$B$2:$B$41,0)),E46)</f>
        <v>0</v>
      </c>
      <c r="G47" s="88">
        <f>IF(G45="ARB average",INDEX('Refrigerant Leakage'!$D$2:$D$41,MATCH(G31,'Refrigerant Leakage'!$B$2:$B$41,0)),G46)</f>
        <v>0</v>
      </c>
      <c r="H47" s="88">
        <f>E47</f>
        <v>0</v>
      </c>
      <c r="K47" s="75"/>
      <c r="N47" s="87"/>
      <c r="O47" s="87" t="s">
        <v>236</v>
      </c>
    </row>
    <row r="48" spans="2:15" ht="15" customHeight="1" outlineLevel="1" x14ac:dyDescent="0.25">
      <c r="C48" s="105"/>
      <c r="D48" s="127"/>
      <c r="G48" s="127"/>
      <c r="K48" s="75"/>
      <c r="N48" s="87"/>
      <c r="O48" s="87" t="s">
        <v>237</v>
      </c>
    </row>
    <row r="49" spans="3:15" x14ac:dyDescent="0.25">
      <c r="C49" s="103" t="s">
        <v>367</v>
      </c>
      <c r="D49" s="257"/>
      <c r="E49" s="257"/>
      <c r="G49" s="257"/>
      <c r="H49" s="88">
        <f>E49</f>
        <v>0</v>
      </c>
      <c r="K49" s="75"/>
      <c r="N49" s="87"/>
      <c r="O49" s="87" t="s">
        <v>238</v>
      </c>
    </row>
    <row r="50" spans="3:15" ht="15" customHeight="1" x14ac:dyDescent="0.25">
      <c r="C50" s="106" t="s">
        <v>368</v>
      </c>
      <c r="D50" s="255">
        <v>675</v>
      </c>
      <c r="E50" s="255">
        <v>1000</v>
      </c>
      <c r="G50" s="255">
        <v>675</v>
      </c>
      <c r="H50" s="88">
        <f>E50</f>
        <v>1000</v>
      </c>
      <c r="K50" s="75"/>
      <c r="N50" s="87"/>
      <c r="O50" s="87" t="s">
        <v>369</v>
      </c>
    </row>
    <row r="51" spans="3:15" ht="15" customHeight="1" outlineLevel="1" x14ac:dyDescent="0.25">
      <c r="C51" s="105"/>
      <c r="D51" s="127"/>
      <c r="G51" s="127"/>
      <c r="K51" s="75"/>
      <c r="N51" s="87"/>
      <c r="O51" s="87"/>
    </row>
    <row r="52" spans="3:15" ht="15" customHeight="1" outlineLevel="1" collapsed="1" x14ac:dyDescent="0.25">
      <c r="C52" s="105"/>
      <c r="D52" s="127"/>
      <c r="G52" s="127"/>
      <c r="K52" s="75"/>
      <c r="N52" s="87"/>
      <c r="O52" s="87"/>
    </row>
    <row r="53" spans="3:15" ht="15" customHeight="1" x14ac:dyDescent="0.25">
      <c r="C53" s="106" t="s">
        <v>370</v>
      </c>
      <c r="D53" s="570">
        <f>D41</f>
        <v>0</v>
      </c>
      <c r="E53" s="570"/>
      <c r="F53" s="570"/>
      <c r="G53" s="570"/>
      <c r="H53" s="570"/>
      <c r="K53" s="75"/>
      <c r="N53" s="87"/>
      <c r="O53" s="87"/>
    </row>
    <row r="54" spans="3:15" ht="15" customHeight="1" x14ac:dyDescent="0.25">
      <c r="C54" s="106" t="s">
        <v>371</v>
      </c>
      <c r="D54" s="570">
        <f>$D$42</f>
        <v>-1</v>
      </c>
      <c r="E54" s="570"/>
      <c r="F54" s="570"/>
      <c r="G54" s="570"/>
      <c r="H54" s="570"/>
      <c r="K54" s="75"/>
      <c r="N54" s="87"/>
      <c r="O54" s="87"/>
    </row>
    <row r="55" spans="3:15" ht="15" customHeight="1" outlineLevel="1" x14ac:dyDescent="0.25">
      <c r="C55" s="105"/>
      <c r="D55" s="128"/>
      <c r="G55" s="128"/>
      <c r="K55" s="75"/>
      <c r="N55" s="87"/>
      <c r="O55" s="87"/>
    </row>
    <row r="56" spans="3:15" x14ac:dyDescent="0.25">
      <c r="C56" s="103" t="s">
        <v>79</v>
      </c>
      <c r="D56" s="547" t="s">
        <v>369</v>
      </c>
      <c r="E56" s="548"/>
      <c r="F56" s="548"/>
      <c r="G56" s="548"/>
      <c r="H56" s="549"/>
      <c r="K56" s="75"/>
      <c r="N56" s="87"/>
      <c r="O56" s="87"/>
    </row>
    <row r="57" spans="3:15" x14ac:dyDescent="0.25">
      <c r="C57" s="103" t="s">
        <v>372</v>
      </c>
      <c r="D57" s="577">
        <f>WACC</f>
        <v>7.5399999999999995E-2</v>
      </c>
      <c r="E57" s="578"/>
      <c r="F57" s="578"/>
      <c r="G57" s="578"/>
      <c r="H57" s="578"/>
      <c r="K57" s="75"/>
      <c r="N57" s="87"/>
      <c r="O57" s="87"/>
    </row>
    <row r="58" spans="3:15" x14ac:dyDescent="0.25">
      <c r="C58" s="103" t="s">
        <v>373</v>
      </c>
      <c r="D58" s="550">
        <f>IF(D56&lt;&gt;"User-specified",INDEX('ACC Inputs'!$E$7:$E$9,MATCH(D56,'ACC Inputs'!$D$7:$D$9,0)),D57)</f>
        <v>7.5399999999999995E-2</v>
      </c>
      <c r="E58" s="551"/>
      <c r="F58" s="551"/>
      <c r="G58" s="551"/>
      <c r="H58" s="552"/>
      <c r="K58" s="75"/>
    </row>
    <row r="59" spans="3:15" ht="15" customHeight="1" outlineLevel="1" x14ac:dyDescent="0.25">
      <c r="C59" s="105"/>
      <c r="D59" s="127"/>
      <c r="G59" s="127"/>
      <c r="K59" s="75"/>
    </row>
    <row r="60" spans="3:15" x14ac:dyDescent="0.25">
      <c r="C60" s="103" t="s">
        <v>374</v>
      </c>
      <c r="D60" s="553" t="s">
        <v>65</v>
      </c>
      <c r="E60" s="554"/>
      <c r="F60" s="554"/>
      <c r="G60" s="554"/>
      <c r="H60" s="555"/>
      <c r="K60" s="75"/>
    </row>
    <row r="61" spans="3:15" ht="15.75" thickBot="1" x14ac:dyDescent="0.3">
      <c r="C61" s="77"/>
      <c r="D61" s="78"/>
      <c r="E61" s="78"/>
      <c r="F61" s="78"/>
      <c r="G61" s="78"/>
      <c r="H61" s="78"/>
      <c r="I61" s="78"/>
      <c r="J61" s="78"/>
      <c r="K61" s="79"/>
    </row>
    <row r="62" spans="3:15" ht="15" customHeight="1" outlineLevel="1" x14ac:dyDescent="0.25"/>
    <row r="63" spans="3:15" ht="15" customHeight="1" outlineLevel="1" x14ac:dyDescent="0.25">
      <c r="F63" s="112"/>
    </row>
    <row r="64" spans="3:15" ht="23.25" outlineLevel="1" x14ac:dyDescent="0.35">
      <c r="C64" s="64" t="s">
        <v>375</v>
      </c>
      <c r="D64" s="64"/>
      <c r="E64"/>
      <c r="F64" s="112"/>
      <c r="O64" s="58"/>
    </row>
    <row r="65" spans="3:39" outlineLevel="1" x14ac:dyDescent="0.25">
      <c r="O65" s="57"/>
    </row>
    <row r="66" spans="3:39" outlineLevel="1" collapsed="1" x14ac:dyDescent="0.25">
      <c r="O66" s="57"/>
    </row>
    <row r="67" spans="3:39" outlineLevel="1" collapsed="1" x14ac:dyDescent="0.25">
      <c r="D67" s="62" t="s">
        <v>350</v>
      </c>
      <c r="E67" s="62"/>
      <c r="G67" s="62" t="s">
        <v>351</v>
      </c>
      <c r="H67" s="62"/>
      <c r="K67" s="94" t="s">
        <v>376</v>
      </c>
      <c r="L67" s="94"/>
      <c r="M67" s="94"/>
      <c r="O67" s="57"/>
    </row>
    <row r="68" spans="3:39" x14ac:dyDescent="0.25">
      <c r="C68" s="93" t="s">
        <v>377</v>
      </c>
      <c r="D68" s="111" t="s">
        <v>352</v>
      </c>
      <c r="E68" s="62" t="s">
        <v>353</v>
      </c>
      <c r="G68" s="111" t="s">
        <v>352</v>
      </c>
      <c r="H68" s="62" t="s">
        <v>353</v>
      </c>
      <c r="L68" s="1">
        <v>2204.62</v>
      </c>
      <c r="M68" s="1" t="s">
        <v>378</v>
      </c>
    </row>
    <row r="69" spans="3:39" x14ac:dyDescent="0.25">
      <c r="C69" s="85" t="s">
        <v>379</v>
      </c>
      <c r="D69" s="80">
        <f>D41</f>
        <v>0</v>
      </c>
      <c r="E69" s="80">
        <f>E41</f>
        <v>0</v>
      </c>
      <c r="G69" s="80">
        <f>G41</f>
        <v>0</v>
      </c>
      <c r="H69" s="80">
        <f>H41</f>
        <v>0</v>
      </c>
      <c r="K69" s="84" t="s">
        <v>380</v>
      </c>
      <c r="L69" s="1">
        <v>1</v>
      </c>
      <c r="M69" s="1" t="s">
        <v>381</v>
      </c>
    </row>
    <row r="70" spans="3:39" x14ac:dyDescent="0.25">
      <c r="C70" s="85" t="s">
        <v>382</v>
      </c>
      <c r="D70" s="80">
        <f>D42</f>
        <v>-1</v>
      </c>
      <c r="E70" s="80">
        <f>E42</f>
        <v>-1</v>
      </c>
      <c r="G70" s="80">
        <f>G42</f>
        <v>-1</v>
      </c>
      <c r="H70" s="80">
        <f>H42</f>
        <v>-1</v>
      </c>
    </row>
    <row r="71" spans="3:39" x14ac:dyDescent="0.25">
      <c r="C71" s="85" t="s">
        <v>383</v>
      </c>
      <c r="D71" s="114">
        <f>MAX((1+ MIN(D42,$D$54) - MAX(D41,$D$53)),0)</f>
        <v>0</v>
      </c>
      <c r="E71" s="114">
        <f>MAX((1+ MIN(E42,$D$54) - MAX(E41,$D$53)),0)</f>
        <v>0</v>
      </c>
      <c r="G71" s="114">
        <f>MAX((1+ MIN(G42,$D$54) - MAX(G41,$D$53)),0)</f>
        <v>0</v>
      </c>
      <c r="H71" s="114">
        <f>MAX((1+ MIN(H42,$D$54) - MAX(H41,$D$53)),0)</f>
        <v>0</v>
      </c>
    </row>
    <row r="72" spans="3:39" x14ac:dyDescent="0.25">
      <c r="C72" s="85" t="s">
        <v>48</v>
      </c>
      <c r="D72" s="98">
        <f xml:space="preserve"> IF(D71=0, 0, D71/D39)</f>
        <v>0</v>
      </c>
      <c r="E72" s="98">
        <f xml:space="preserve"> IF(E71=0, 0, E71/E39)</f>
        <v>0</v>
      </c>
      <c r="G72" s="98">
        <f xml:space="preserve"> IF(G71=0, 0, G71/G39)</f>
        <v>0</v>
      </c>
      <c r="H72" s="98">
        <f xml:space="preserve"> IF(H71=0, 0, H71/H39)</f>
        <v>0</v>
      </c>
    </row>
    <row r="73" spans="3:39" x14ac:dyDescent="0.25">
      <c r="C73" s="85" t="s">
        <v>49</v>
      </c>
      <c r="D73" s="98">
        <f>IF(D39=0, 0, D43/D39)</f>
        <v>0</v>
      </c>
      <c r="E73" s="98">
        <f>IF(E39=0, 0, E43/E39)</f>
        <v>0</v>
      </c>
      <c r="G73" s="98">
        <f>IF(G39=0, 0,G43/G39)</f>
        <v>0</v>
      </c>
      <c r="H73" s="98">
        <f>IF(H39=0, 0,H43/H39)</f>
        <v>0</v>
      </c>
    </row>
    <row r="74" spans="3:39" x14ac:dyDescent="0.25">
      <c r="C74" s="85" t="s">
        <v>40</v>
      </c>
      <c r="D74" s="81" t="str">
        <f>IFERROR(IF(D49="User Specified", D50, INDEX('Refrigerant GWPs'!$G$2:$G$154,MATCH('E3 Dashboard'!D$49,'Refrigerant GWPs'!$A$2:$A$154,0))),"Select option above")</f>
        <v>Select option above</v>
      </c>
      <c r="E74" s="81" t="str">
        <f>IFERROR(IF(E49="User Specified", E50, INDEX('Refrigerant GWPs'!$G$2:$G$154,MATCH('E3 Dashboard'!E$49,'Refrigerant GWPs'!$A$2:$A$154,0))),IF($D$26="Accelerated Replacement","Select option above",""))</f>
        <v>Select option above</v>
      </c>
      <c r="G74" s="81" t="str">
        <f>IFERROR(IF(G49="User Specified", G50, INDEX('Refrigerant GWPs'!$G$2:$G$154,MATCH('E3 Dashboard'!G$49,'Refrigerant GWPs'!$A$2:$A$154,0))),"Select option above")</f>
        <v>Select option above</v>
      </c>
      <c r="H74" s="81" t="str">
        <f>IFERROR(IF(H49="User Specified", H50, INDEX('Refrigerant GWPs'!$G$2:$G$154,MATCH('E3 Dashboard'!H$49,'Refrigerant GWPs'!$A$2:$A$154,0))),IF($D$26="Accelerated Replacement","Select option above",""))</f>
        <v>Select option above</v>
      </c>
    </row>
    <row r="75" spans="3:39" hidden="1" outlineLevel="1" x14ac:dyDescent="0.25">
      <c r="C75" s="86" t="s">
        <v>41</v>
      </c>
      <c r="D75" s="82" t="str">
        <f>IFERROR(INDEX('Refrigerant Leakage'!$E$2:$E$41,MATCH('E3 Dashboard'!$D$31,'Refrigerant Leakage'!$B$2:$B$41,0)),"Select option above")</f>
        <v>Select option above</v>
      </c>
      <c r="E75" s="82" t="str">
        <f>IFERROR(INDEX('Refrigerant Leakage'!$E$2:$E$41,MATCH('E3 Dashboard'!$E$31,'Refrigerant Leakage'!$B$2:$B$41,0)),IF($D$26="Accelerated Replacement","Select option above",""))</f>
        <v>Select option above</v>
      </c>
      <c r="G75" s="82" t="str">
        <f>IFERROR(INDEX('Refrigerant Leakage'!$E$2:$E$41,MATCH('E3 Dashboard'!$G$31,'Refrigerant Leakage'!$B$2:$B$41,0)),"Select option above")</f>
        <v>Select option above</v>
      </c>
      <c r="H75" s="82" t="str">
        <f>IFERROR(INDEX('Refrigerant Leakage'!$E$2:$E$41,MATCH('E3 Dashboard'!$H$31,'Refrigerant Leakage'!$B$2:$B$41,0)),IF($D$26="Accelerated Replacement","Select option above",""))</f>
        <v>Select option above</v>
      </c>
    </row>
    <row r="76" spans="3:39" hidden="1" outlineLevel="1" x14ac:dyDescent="0.25">
      <c r="C76" s="85" t="s">
        <v>384</v>
      </c>
      <c r="D76" s="82" t="str">
        <f>IFERROR(INDEX('Refrigerant Leakage'!$F$2:$F$41,MATCH('E3 Dashboard'!D31,'Refrigerant Leakage'!$B$2:$B$41,0)),"Select option above")</f>
        <v>Select option above</v>
      </c>
      <c r="E76" s="82" t="str">
        <f>IFERROR(INDEX('Refrigerant Leakage'!$F$2:$F$41,MATCH('E3 Dashboard'!E31,'Refrigerant Leakage'!$B$2:$B$41,0)),IF($D$26="Accelerated Replacement","Select option above",""))</f>
        <v>Select option above</v>
      </c>
      <c r="G76" s="82" t="str">
        <f>IFERROR(INDEX('Refrigerant Leakage'!$F$2:$F$41,MATCH('E3 Dashboard'!G31,'Refrigerant Leakage'!$B$2:$B$41,0)),"Select option above")</f>
        <v>Select option above</v>
      </c>
      <c r="H76" s="82" t="str">
        <f>IFERROR(INDEX('Refrigerant Leakage'!$F$2:$F$41,MATCH('E3 Dashboard'!H31,'Refrigerant Leakage'!$B$2:$B$41,0)),IF($D$26="Accelerated Replacement","Select option above",""))</f>
        <v>Select option above</v>
      </c>
    </row>
    <row r="77" spans="3:39" hidden="1" outlineLevel="1" x14ac:dyDescent="0.25">
      <c r="C77" s="85" t="s">
        <v>188</v>
      </c>
      <c r="D77" s="83" t="str">
        <f>IFERROR(INDEX('Refrigerant Leakage'!$G$2:$G$41,MATCH('E3 Dashboard'!D31,'Refrigerant Leakage'!$B$2:$B$41,0)),"Select option above")</f>
        <v>Select option above</v>
      </c>
      <c r="E77" s="83" t="str">
        <f>IFERROR(INDEX('Refrigerant Leakage'!$G$2:$G$41,MATCH('E3 Dashboard'!E31,'Refrigerant Leakage'!$B$2:$B$41,0)),IF($D$26="Accelerated Replacement","Select option above",""))</f>
        <v>Select option above</v>
      </c>
      <c r="G77" s="83" t="str">
        <f>IFERROR(INDEX('Refrigerant Leakage'!$G$2:$G$41,MATCH('E3 Dashboard'!G31,'Refrigerant Leakage'!$B$2:$B$41,0)),"Select option above")</f>
        <v>Select option above</v>
      </c>
      <c r="H77" s="83" t="str">
        <f>IFERROR(INDEX('Refrigerant Leakage'!$G$2:$G$41,MATCH('E3 Dashboard'!H31,'Refrigerant Leakage'!$B$2:$B$41,0)),IF($D$26="Accelerated Replacement","Select option above",""))</f>
        <v>Select option above</v>
      </c>
    </row>
    <row r="78" spans="3:39" hidden="1" outlineLevel="1" x14ac:dyDescent="0.25">
      <c r="C78" s="85" t="s">
        <v>385</v>
      </c>
      <c r="D78" s="353" t="str">
        <f>IFERROR(D47*D75/$L$68*D74,"Select option above")</f>
        <v>Select option above</v>
      </c>
      <c r="E78" s="353" t="str">
        <f>IFERROR(IF($D$26='ACC Inputs'!$B$7, 0, E47*E75/$L$68*E74),IF($D$26="Accelerated Replacement","Select option above",""))</f>
        <v>Select option above</v>
      </c>
      <c r="F78" s="354"/>
      <c r="G78" s="353" t="str">
        <f>IFERROR(G47*G75/$L$68*G74,"Select option above")</f>
        <v>Select option above</v>
      </c>
      <c r="H78" s="353" t="str">
        <f>IFERROR(IF($D$26='ACC Inputs'!$B$7, 0, H47*H75/$L$68*H74),IF($D$26="Accelerated Replacement","Select option above",""))</f>
        <v>Select option above</v>
      </c>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row>
    <row r="79" spans="3:39" ht="15" hidden="1" customHeight="1" outlineLevel="1" x14ac:dyDescent="0.25">
      <c r="C79" s="85" t="s">
        <v>386</v>
      </c>
      <c r="D79" s="353" t="str">
        <f>IFERROR((D47-D47*D75*D77)*D76/$L$68*D74,"Select option above")</f>
        <v>Select option above</v>
      </c>
      <c r="E79" s="353" t="str">
        <f>IFERROR(IF($D$26='ACC Inputs'!$B$7, 0, (E47-E47*E75*E77)*E76/$L$68*E74),IF($D$26="Accelerated Replacement","Select option above",""))</f>
        <v>Select option above</v>
      </c>
      <c r="F79" s="354"/>
      <c r="G79" s="353" t="str">
        <f>IFERROR((G47-G47*G75*G77)*G76/$L$68*G74,"Select option above")</f>
        <v>Select option above</v>
      </c>
      <c r="H79" s="353" t="str">
        <f>IFERROR(IF($D$26='ACC Inputs'!$B$7, 0, (H47-H47*H75*H77)*H76/$L$68*H74),IF($D$26="Accelerated Replacement","Select option above",""))</f>
        <v>Select option above</v>
      </c>
      <c r="U79" s="60"/>
      <c r="W79" s="60"/>
    </row>
    <row r="80" spans="3:39" ht="15" hidden="1" customHeight="1" outlineLevel="1" x14ac:dyDescent="0.25">
      <c r="E80" s="59"/>
      <c r="U80" s="60"/>
      <c r="W80" s="60"/>
    </row>
    <row r="81" spans="1:35" ht="15" hidden="1" customHeight="1" outlineLevel="1" x14ac:dyDescent="0.25">
      <c r="E81" s="59"/>
      <c r="U81" s="60"/>
      <c r="W81" s="60"/>
    </row>
    <row r="82" spans="1:35" ht="21" hidden="1" customHeight="1" outlineLevel="1" x14ac:dyDescent="0.25">
      <c r="A82" s="62"/>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row>
    <row r="83" spans="1:35" hidden="1" outlineLevel="1" x14ac:dyDescent="0.25"/>
    <row r="84" spans="1:35" ht="15" hidden="1" customHeight="1" outlineLevel="1" thickBot="1" x14ac:dyDescent="0.3">
      <c r="E84" s="97">
        <v>2022</v>
      </c>
      <c r="F84" s="97">
        <v>2023</v>
      </c>
      <c r="G84" s="97">
        <v>2024</v>
      </c>
      <c r="H84" s="97">
        <v>2025</v>
      </c>
      <c r="I84" s="97">
        <v>2026</v>
      </c>
      <c r="J84" s="97">
        <v>2027</v>
      </c>
      <c r="K84" s="97">
        <v>2028</v>
      </c>
      <c r="L84" s="97">
        <v>2029</v>
      </c>
      <c r="M84" s="97">
        <v>2030</v>
      </c>
      <c r="N84" s="97">
        <v>2031</v>
      </c>
      <c r="O84" s="97">
        <v>2032</v>
      </c>
      <c r="P84" s="97">
        <v>2033</v>
      </c>
      <c r="Q84" s="97">
        <v>2034</v>
      </c>
      <c r="R84" s="97">
        <v>2035</v>
      </c>
      <c r="S84" s="97">
        <v>2036</v>
      </c>
      <c r="T84" s="97">
        <v>2037</v>
      </c>
      <c r="U84" s="97">
        <v>2038</v>
      </c>
      <c r="V84" s="97">
        <v>2039</v>
      </c>
      <c r="W84" s="97">
        <v>2040</v>
      </c>
      <c r="X84" s="97">
        <v>2041</v>
      </c>
      <c r="Y84" s="97">
        <v>2042</v>
      </c>
      <c r="Z84" s="97">
        <v>2043</v>
      </c>
      <c r="AA84" s="97">
        <v>2044</v>
      </c>
      <c r="AB84" s="97">
        <v>2045</v>
      </c>
      <c r="AC84" s="97">
        <v>2046</v>
      </c>
      <c r="AD84" s="97">
        <v>2047</v>
      </c>
      <c r="AE84" s="97">
        <v>2048</v>
      </c>
      <c r="AF84" s="97">
        <v>2049</v>
      </c>
      <c r="AG84" s="97">
        <v>2050</v>
      </c>
      <c r="AH84" s="97">
        <v>2051</v>
      </c>
      <c r="AI84" s="97">
        <v>2052</v>
      </c>
    </row>
    <row r="85" spans="1:35" ht="15" hidden="1" customHeight="1" outlineLevel="1" x14ac:dyDescent="0.25">
      <c r="B85" s="563" t="s">
        <v>350</v>
      </c>
      <c r="C85" s="567" t="s">
        <v>387</v>
      </c>
      <c r="D85" s="567"/>
      <c r="E85" s="131">
        <f>IF(AND(E$84&gt;=$D$53,E$84&lt;=$D$54, E$84&gt;=$D$69, E$84&lt;=$D$70),$D$78,0)</f>
        <v>0</v>
      </c>
      <c r="F85" s="118">
        <f t="shared" ref="F85:AI85" si="0">IF(AND(F$84&gt;=$D$53,F$84&lt;=$D$54, F$84&gt;=$D$69, F$84&lt;=$D$70),$D$78,0)</f>
        <v>0</v>
      </c>
      <c r="G85" s="118">
        <f t="shared" si="0"/>
        <v>0</v>
      </c>
      <c r="H85" s="118">
        <f t="shared" si="0"/>
        <v>0</v>
      </c>
      <c r="I85" s="118">
        <f t="shared" si="0"/>
        <v>0</v>
      </c>
      <c r="J85" s="118">
        <f t="shared" si="0"/>
        <v>0</v>
      </c>
      <c r="K85" s="118">
        <f t="shared" si="0"/>
        <v>0</v>
      </c>
      <c r="L85" s="118">
        <f t="shared" si="0"/>
        <v>0</v>
      </c>
      <c r="M85" s="118">
        <f t="shared" si="0"/>
        <v>0</v>
      </c>
      <c r="N85" s="118">
        <f t="shared" si="0"/>
        <v>0</v>
      </c>
      <c r="O85" s="118">
        <f t="shared" si="0"/>
        <v>0</v>
      </c>
      <c r="P85" s="118">
        <f t="shared" si="0"/>
        <v>0</v>
      </c>
      <c r="Q85" s="118">
        <f t="shared" si="0"/>
        <v>0</v>
      </c>
      <c r="R85" s="118">
        <f t="shared" si="0"/>
        <v>0</v>
      </c>
      <c r="S85" s="118">
        <f t="shared" si="0"/>
        <v>0</v>
      </c>
      <c r="T85" s="118">
        <f t="shared" si="0"/>
        <v>0</v>
      </c>
      <c r="U85" s="118">
        <f t="shared" si="0"/>
        <v>0</v>
      </c>
      <c r="V85" s="118">
        <f t="shared" si="0"/>
        <v>0</v>
      </c>
      <c r="W85" s="118">
        <f t="shared" si="0"/>
        <v>0</v>
      </c>
      <c r="X85" s="118">
        <f t="shared" si="0"/>
        <v>0</v>
      </c>
      <c r="Y85" s="118">
        <f t="shared" si="0"/>
        <v>0</v>
      </c>
      <c r="Z85" s="118">
        <f t="shared" si="0"/>
        <v>0</v>
      </c>
      <c r="AA85" s="118">
        <f t="shared" si="0"/>
        <v>0</v>
      </c>
      <c r="AB85" s="118">
        <f t="shared" si="0"/>
        <v>0</v>
      </c>
      <c r="AC85" s="118">
        <f t="shared" si="0"/>
        <v>0</v>
      </c>
      <c r="AD85" s="118">
        <f t="shared" si="0"/>
        <v>0</v>
      </c>
      <c r="AE85" s="118">
        <f t="shared" si="0"/>
        <v>0</v>
      </c>
      <c r="AF85" s="118">
        <f t="shared" si="0"/>
        <v>0</v>
      </c>
      <c r="AG85" s="118">
        <f t="shared" si="0"/>
        <v>0</v>
      </c>
      <c r="AH85" s="118">
        <f t="shared" si="0"/>
        <v>0</v>
      </c>
      <c r="AI85" s="119">
        <f t="shared" si="0"/>
        <v>0</v>
      </c>
    </row>
    <row r="86" spans="1:35" ht="15" hidden="1" customHeight="1" outlineLevel="1" x14ac:dyDescent="0.25">
      <c r="B86" s="564"/>
      <c r="C86" s="545" t="s">
        <v>388</v>
      </c>
      <c r="D86" s="545"/>
      <c r="E86" s="132">
        <f t="shared" ref="E86:AI86" si="1">IF(AND(E$84&gt;=$D$53,E$84&lt;=$D$54, E$84&gt;=$E$69, E$84&lt;=$E$70),$E$78,0)</f>
        <v>0</v>
      </c>
      <c r="F86" s="133">
        <f t="shared" si="1"/>
        <v>0</v>
      </c>
      <c r="G86" s="133">
        <f t="shared" si="1"/>
        <v>0</v>
      </c>
      <c r="H86" s="133">
        <f t="shared" si="1"/>
        <v>0</v>
      </c>
      <c r="I86" s="133">
        <f t="shared" si="1"/>
        <v>0</v>
      </c>
      <c r="J86" s="133">
        <f t="shared" si="1"/>
        <v>0</v>
      </c>
      <c r="K86" s="133">
        <f t="shared" si="1"/>
        <v>0</v>
      </c>
      <c r="L86" s="133">
        <f t="shared" si="1"/>
        <v>0</v>
      </c>
      <c r="M86" s="133">
        <f t="shared" si="1"/>
        <v>0</v>
      </c>
      <c r="N86" s="133">
        <f t="shared" si="1"/>
        <v>0</v>
      </c>
      <c r="O86" s="133">
        <f t="shared" si="1"/>
        <v>0</v>
      </c>
      <c r="P86" s="133">
        <f t="shared" si="1"/>
        <v>0</v>
      </c>
      <c r="Q86" s="133">
        <f t="shared" si="1"/>
        <v>0</v>
      </c>
      <c r="R86" s="133">
        <f t="shared" si="1"/>
        <v>0</v>
      </c>
      <c r="S86" s="133">
        <f t="shared" si="1"/>
        <v>0</v>
      </c>
      <c r="T86" s="133">
        <f t="shared" si="1"/>
        <v>0</v>
      </c>
      <c r="U86" s="133">
        <f t="shared" si="1"/>
        <v>0</v>
      </c>
      <c r="V86" s="133">
        <f t="shared" si="1"/>
        <v>0</v>
      </c>
      <c r="W86" s="133">
        <f t="shared" si="1"/>
        <v>0</v>
      </c>
      <c r="X86" s="133">
        <f t="shared" si="1"/>
        <v>0</v>
      </c>
      <c r="Y86" s="133">
        <f t="shared" si="1"/>
        <v>0</v>
      </c>
      <c r="Z86" s="133">
        <f t="shared" si="1"/>
        <v>0</v>
      </c>
      <c r="AA86" s="133">
        <f t="shared" si="1"/>
        <v>0</v>
      </c>
      <c r="AB86" s="133">
        <f t="shared" si="1"/>
        <v>0</v>
      </c>
      <c r="AC86" s="133">
        <f t="shared" si="1"/>
        <v>0</v>
      </c>
      <c r="AD86" s="133">
        <f t="shared" si="1"/>
        <v>0</v>
      </c>
      <c r="AE86" s="133">
        <f t="shared" si="1"/>
        <v>0</v>
      </c>
      <c r="AF86" s="133">
        <f t="shared" si="1"/>
        <v>0</v>
      </c>
      <c r="AG86" s="133">
        <f t="shared" si="1"/>
        <v>0</v>
      </c>
      <c r="AH86" s="133">
        <f t="shared" si="1"/>
        <v>0</v>
      </c>
      <c r="AI86" s="113">
        <f t="shared" si="1"/>
        <v>0</v>
      </c>
    </row>
    <row r="87" spans="1:35" ht="15" hidden="1" customHeight="1" outlineLevel="1" x14ac:dyDescent="0.25">
      <c r="B87" s="564"/>
      <c r="C87" s="545" t="s">
        <v>389</v>
      </c>
      <c r="D87" s="545"/>
      <c r="E87" s="132">
        <f t="shared" ref="E87:AI87" si="2">IF(E$84=$D$70,$D$79,0)</f>
        <v>0</v>
      </c>
      <c r="F87" s="133">
        <f t="shared" si="2"/>
        <v>0</v>
      </c>
      <c r="G87" s="133">
        <f t="shared" si="2"/>
        <v>0</v>
      </c>
      <c r="H87" s="133">
        <f t="shared" si="2"/>
        <v>0</v>
      </c>
      <c r="I87" s="133">
        <f t="shared" si="2"/>
        <v>0</v>
      </c>
      <c r="J87" s="133">
        <f t="shared" si="2"/>
        <v>0</v>
      </c>
      <c r="K87" s="133">
        <f t="shared" si="2"/>
        <v>0</v>
      </c>
      <c r="L87" s="133">
        <f t="shared" si="2"/>
        <v>0</v>
      </c>
      <c r="M87" s="133">
        <f t="shared" si="2"/>
        <v>0</v>
      </c>
      <c r="N87" s="133">
        <f t="shared" si="2"/>
        <v>0</v>
      </c>
      <c r="O87" s="133">
        <f t="shared" si="2"/>
        <v>0</v>
      </c>
      <c r="P87" s="133">
        <f t="shared" si="2"/>
        <v>0</v>
      </c>
      <c r="Q87" s="133">
        <f t="shared" si="2"/>
        <v>0</v>
      </c>
      <c r="R87" s="133">
        <f t="shared" si="2"/>
        <v>0</v>
      </c>
      <c r="S87" s="133">
        <f t="shared" si="2"/>
        <v>0</v>
      </c>
      <c r="T87" s="133">
        <f t="shared" si="2"/>
        <v>0</v>
      </c>
      <c r="U87" s="133">
        <f t="shared" si="2"/>
        <v>0</v>
      </c>
      <c r="V87" s="133">
        <f t="shared" si="2"/>
        <v>0</v>
      </c>
      <c r="W87" s="133">
        <f t="shared" si="2"/>
        <v>0</v>
      </c>
      <c r="X87" s="133">
        <f t="shared" si="2"/>
        <v>0</v>
      </c>
      <c r="Y87" s="133">
        <f t="shared" si="2"/>
        <v>0</v>
      </c>
      <c r="Z87" s="133">
        <f t="shared" si="2"/>
        <v>0</v>
      </c>
      <c r="AA87" s="133">
        <f t="shared" si="2"/>
        <v>0</v>
      </c>
      <c r="AB87" s="133">
        <f t="shared" si="2"/>
        <v>0</v>
      </c>
      <c r="AC87" s="133">
        <f t="shared" si="2"/>
        <v>0</v>
      </c>
      <c r="AD87" s="133">
        <f t="shared" si="2"/>
        <v>0</v>
      </c>
      <c r="AE87" s="133">
        <f t="shared" si="2"/>
        <v>0</v>
      </c>
      <c r="AF87" s="133">
        <f t="shared" si="2"/>
        <v>0</v>
      </c>
      <c r="AG87" s="133">
        <f t="shared" si="2"/>
        <v>0</v>
      </c>
      <c r="AH87" s="133">
        <f t="shared" si="2"/>
        <v>0</v>
      </c>
      <c r="AI87" s="113">
        <f t="shared" si="2"/>
        <v>0</v>
      </c>
    </row>
    <row r="88" spans="1:35" ht="15" hidden="1" customHeight="1" outlineLevel="1" x14ac:dyDescent="0.25">
      <c r="B88" s="564"/>
      <c r="C88" s="545" t="s">
        <v>390</v>
      </c>
      <c r="D88" s="545"/>
      <c r="E88" s="132">
        <f t="shared" ref="E88:AI88" si="3">IF(E$84=$E$70,$E$79,0)</f>
        <v>0</v>
      </c>
      <c r="F88" s="133">
        <f t="shared" si="3"/>
        <v>0</v>
      </c>
      <c r="G88" s="133">
        <f t="shared" si="3"/>
        <v>0</v>
      </c>
      <c r="H88" s="133">
        <f t="shared" si="3"/>
        <v>0</v>
      </c>
      <c r="I88" s="133">
        <f t="shared" si="3"/>
        <v>0</v>
      </c>
      <c r="J88" s="133">
        <f t="shared" si="3"/>
        <v>0</v>
      </c>
      <c r="K88" s="133">
        <f t="shared" si="3"/>
        <v>0</v>
      </c>
      <c r="L88" s="133">
        <f t="shared" si="3"/>
        <v>0</v>
      </c>
      <c r="M88" s="133">
        <f t="shared" si="3"/>
        <v>0</v>
      </c>
      <c r="N88" s="133">
        <f t="shared" si="3"/>
        <v>0</v>
      </c>
      <c r="O88" s="133">
        <f t="shared" si="3"/>
        <v>0</v>
      </c>
      <c r="P88" s="133">
        <f t="shared" si="3"/>
        <v>0</v>
      </c>
      <c r="Q88" s="133">
        <f t="shared" si="3"/>
        <v>0</v>
      </c>
      <c r="R88" s="133">
        <f t="shared" si="3"/>
        <v>0</v>
      </c>
      <c r="S88" s="133">
        <f t="shared" si="3"/>
        <v>0</v>
      </c>
      <c r="T88" s="133">
        <f t="shared" si="3"/>
        <v>0</v>
      </c>
      <c r="U88" s="133">
        <f t="shared" si="3"/>
        <v>0</v>
      </c>
      <c r="V88" s="133">
        <f t="shared" si="3"/>
        <v>0</v>
      </c>
      <c r="W88" s="133">
        <f t="shared" si="3"/>
        <v>0</v>
      </c>
      <c r="X88" s="133">
        <f t="shared" si="3"/>
        <v>0</v>
      </c>
      <c r="Y88" s="133">
        <f t="shared" si="3"/>
        <v>0</v>
      </c>
      <c r="Z88" s="133">
        <f t="shared" si="3"/>
        <v>0</v>
      </c>
      <c r="AA88" s="133">
        <f t="shared" si="3"/>
        <v>0</v>
      </c>
      <c r="AB88" s="133">
        <f t="shared" si="3"/>
        <v>0</v>
      </c>
      <c r="AC88" s="133">
        <f t="shared" si="3"/>
        <v>0</v>
      </c>
      <c r="AD88" s="133">
        <f t="shared" si="3"/>
        <v>0</v>
      </c>
      <c r="AE88" s="133">
        <f t="shared" si="3"/>
        <v>0</v>
      </c>
      <c r="AF88" s="133">
        <f t="shared" si="3"/>
        <v>0</v>
      </c>
      <c r="AG88" s="133">
        <f t="shared" si="3"/>
        <v>0</v>
      </c>
      <c r="AH88" s="133">
        <f t="shared" si="3"/>
        <v>0</v>
      </c>
      <c r="AI88" s="113">
        <f t="shared" si="3"/>
        <v>0</v>
      </c>
    </row>
    <row r="89" spans="1:35" ht="15" hidden="1" customHeight="1" outlineLevel="1" x14ac:dyDescent="0.25">
      <c r="B89" s="564"/>
      <c r="C89" s="545"/>
      <c r="D89" s="545"/>
      <c r="E89" s="132"/>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13"/>
    </row>
    <row r="90" spans="1:35" ht="15" hidden="1" customHeight="1" outlineLevel="1" x14ac:dyDescent="0.25">
      <c r="B90" s="564"/>
      <c r="C90" s="545" t="s">
        <v>391</v>
      </c>
      <c r="D90" s="545"/>
      <c r="E90" s="134">
        <f>'ACC Inputs'!E4</f>
        <v>131.79844620666665</v>
      </c>
      <c r="F90" s="135">
        <f>'ACC Inputs'!F4</f>
        <v>141.7140826429482</v>
      </c>
      <c r="G90" s="135">
        <f>'ACC Inputs'!G4</f>
        <v>152.37570546045268</v>
      </c>
      <c r="H90" s="135">
        <f>'ACC Inputs'!H4</f>
        <v>163.83943770126069</v>
      </c>
      <c r="I90" s="135">
        <f>'ACC Inputs'!I4</f>
        <v>176.16562473098554</v>
      </c>
      <c r="J90" s="135">
        <f>'ACC Inputs'!J4</f>
        <v>189.4191518982467</v>
      </c>
      <c r="K90" s="135">
        <f>'ACC Inputs'!K4</f>
        <v>203.66978609272476</v>
      </c>
      <c r="L90" s="135">
        <f>'ACC Inputs'!L4</f>
        <v>218.99254299976741</v>
      </c>
      <c r="M90" s="135">
        <f>'ACC Inputs'!M4</f>
        <v>235.46808198478325</v>
      </c>
      <c r="N90" s="135">
        <f>'ACC Inputs'!N4</f>
        <v>253.1831306861051</v>
      </c>
      <c r="O90" s="135">
        <f>'ACC Inputs'!O4</f>
        <v>272.23094155138972</v>
      </c>
      <c r="P90" s="135">
        <f>'ACC Inputs'!P4</f>
        <v>292.71178272077259</v>
      </c>
      <c r="Q90" s="135">
        <f>'ACC Inputs'!Q4</f>
        <v>314.73346584079871</v>
      </c>
      <c r="R90" s="135">
        <f>'ACC Inputs'!R4</f>
        <v>338.41191358755475</v>
      </c>
      <c r="S90" s="135">
        <f>'ACC Inputs'!S4</f>
        <v>363.87176988645848</v>
      </c>
      <c r="T90" s="135">
        <f>'ACC Inputs'!T4</f>
        <v>391.24705604091633</v>
      </c>
      <c r="U90" s="135">
        <f>'ACC Inputs'!U4</f>
        <v>420.68187622372795</v>
      </c>
      <c r="V90" s="135">
        <f>'ACC Inputs'!V4</f>
        <v>452.3311760449597</v>
      </c>
      <c r="W90" s="135">
        <f>'ACC Inputs'!W4</f>
        <v>486.36155818940881</v>
      </c>
      <c r="X90" s="135">
        <f>'ACC Inputs'!X4</f>
        <v>522.95215941719187</v>
      </c>
      <c r="Y90" s="135">
        <f>'ACC Inputs'!Y4</f>
        <v>562.29559354401204</v>
      </c>
      <c r="Z90" s="135">
        <f>'ACC Inputs'!Z4</f>
        <v>604.5989653649732</v>
      </c>
      <c r="AA90" s="135">
        <f>'ACC Inputs'!AA4</f>
        <v>650.0849608592647</v>
      </c>
      <c r="AB90" s="135">
        <f>'ACC Inputs'!AB4</f>
        <v>698.99301941457657</v>
      </c>
      <c r="AC90" s="135">
        <f>'ACC Inputs'!AC4</f>
        <v>751.58059424186649</v>
      </c>
      <c r="AD90" s="135">
        <f>'ACC Inputs'!AD4</f>
        <v>808.12450761532966</v>
      </c>
      <c r="AE90" s="135">
        <f>'ACC Inputs'!AE4</f>
        <v>868.92240807158953</v>
      </c>
      <c r="AF90" s="135">
        <f>'ACC Inputs'!AF4</f>
        <v>934.29433723884199</v>
      </c>
      <c r="AG90" s="135">
        <f>'ACC Inputs'!AG4</f>
        <v>1004.5844145437777</v>
      </c>
      <c r="AH90" s="135">
        <f>'ACC Inputs'!AH4</f>
        <v>1080.162648664621</v>
      </c>
      <c r="AI90" s="120">
        <f>'ACC Inputs'!AI4</f>
        <v>1161.4268852658229</v>
      </c>
    </row>
    <row r="91" spans="1:35" ht="15" hidden="1" customHeight="1" outlineLevel="1" x14ac:dyDescent="0.25">
      <c r="B91" s="564"/>
      <c r="C91" s="545" t="s">
        <v>392</v>
      </c>
      <c r="D91" s="545"/>
      <c r="E91" s="134">
        <f>E$90*E85</f>
        <v>0</v>
      </c>
      <c r="F91" s="135">
        <f t="shared" ref="F91:AI91" si="4">F$90*F85</f>
        <v>0</v>
      </c>
      <c r="G91" s="135">
        <f t="shared" si="4"/>
        <v>0</v>
      </c>
      <c r="H91" s="135">
        <f t="shared" si="4"/>
        <v>0</v>
      </c>
      <c r="I91" s="135">
        <f t="shared" si="4"/>
        <v>0</v>
      </c>
      <c r="J91" s="135">
        <f t="shared" si="4"/>
        <v>0</v>
      </c>
      <c r="K91" s="135">
        <f t="shared" si="4"/>
        <v>0</v>
      </c>
      <c r="L91" s="135">
        <f t="shared" si="4"/>
        <v>0</v>
      </c>
      <c r="M91" s="135">
        <f t="shared" si="4"/>
        <v>0</v>
      </c>
      <c r="N91" s="135">
        <f t="shared" si="4"/>
        <v>0</v>
      </c>
      <c r="O91" s="135">
        <f t="shared" si="4"/>
        <v>0</v>
      </c>
      <c r="P91" s="135">
        <f t="shared" si="4"/>
        <v>0</v>
      </c>
      <c r="Q91" s="135">
        <f t="shared" si="4"/>
        <v>0</v>
      </c>
      <c r="R91" s="135">
        <f t="shared" si="4"/>
        <v>0</v>
      </c>
      <c r="S91" s="135">
        <f t="shared" si="4"/>
        <v>0</v>
      </c>
      <c r="T91" s="135">
        <f t="shared" si="4"/>
        <v>0</v>
      </c>
      <c r="U91" s="135">
        <f t="shared" si="4"/>
        <v>0</v>
      </c>
      <c r="V91" s="135">
        <f t="shared" si="4"/>
        <v>0</v>
      </c>
      <c r="W91" s="135">
        <f t="shared" si="4"/>
        <v>0</v>
      </c>
      <c r="X91" s="135">
        <f t="shared" si="4"/>
        <v>0</v>
      </c>
      <c r="Y91" s="135">
        <f t="shared" si="4"/>
        <v>0</v>
      </c>
      <c r="Z91" s="135">
        <f t="shared" si="4"/>
        <v>0</v>
      </c>
      <c r="AA91" s="135">
        <f t="shared" si="4"/>
        <v>0</v>
      </c>
      <c r="AB91" s="135">
        <f t="shared" si="4"/>
        <v>0</v>
      </c>
      <c r="AC91" s="135">
        <f t="shared" si="4"/>
        <v>0</v>
      </c>
      <c r="AD91" s="135">
        <f t="shared" si="4"/>
        <v>0</v>
      </c>
      <c r="AE91" s="135">
        <f t="shared" si="4"/>
        <v>0</v>
      </c>
      <c r="AF91" s="135">
        <f t="shared" si="4"/>
        <v>0</v>
      </c>
      <c r="AG91" s="135">
        <f t="shared" si="4"/>
        <v>0</v>
      </c>
      <c r="AH91" s="135">
        <f t="shared" si="4"/>
        <v>0</v>
      </c>
      <c r="AI91" s="120">
        <f t="shared" si="4"/>
        <v>0</v>
      </c>
    </row>
    <row r="92" spans="1:35" ht="15" hidden="1" customHeight="1" outlineLevel="1" x14ac:dyDescent="0.25">
      <c r="B92" s="564"/>
      <c r="C92" s="545" t="s">
        <v>393</v>
      </c>
      <c r="D92" s="545"/>
      <c r="E92" s="134">
        <f t="shared" ref="E92:AI92" si="5">E$90*E86</f>
        <v>0</v>
      </c>
      <c r="F92" s="135">
        <f t="shared" si="5"/>
        <v>0</v>
      </c>
      <c r="G92" s="135">
        <f t="shared" si="5"/>
        <v>0</v>
      </c>
      <c r="H92" s="135">
        <f t="shared" si="5"/>
        <v>0</v>
      </c>
      <c r="I92" s="135">
        <f t="shared" si="5"/>
        <v>0</v>
      </c>
      <c r="J92" s="135">
        <f t="shared" si="5"/>
        <v>0</v>
      </c>
      <c r="K92" s="135">
        <f t="shared" si="5"/>
        <v>0</v>
      </c>
      <c r="L92" s="135">
        <f t="shared" si="5"/>
        <v>0</v>
      </c>
      <c r="M92" s="135">
        <f t="shared" si="5"/>
        <v>0</v>
      </c>
      <c r="N92" s="135">
        <f t="shared" si="5"/>
        <v>0</v>
      </c>
      <c r="O92" s="135">
        <f t="shared" si="5"/>
        <v>0</v>
      </c>
      <c r="P92" s="135">
        <f t="shared" si="5"/>
        <v>0</v>
      </c>
      <c r="Q92" s="135">
        <f t="shared" si="5"/>
        <v>0</v>
      </c>
      <c r="R92" s="135">
        <f t="shared" si="5"/>
        <v>0</v>
      </c>
      <c r="S92" s="135">
        <f t="shared" si="5"/>
        <v>0</v>
      </c>
      <c r="T92" s="135">
        <f t="shared" si="5"/>
        <v>0</v>
      </c>
      <c r="U92" s="135">
        <f t="shared" si="5"/>
        <v>0</v>
      </c>
      <c r="V92" s="135">
        <f t="shared" si="5"/>
        <v>0</v>
      </c>
      <c r="W92" s="135">
        <f t="shared" si="5"/>
        <v>0</v>
      </c>
      <c r="X92" s="135">
        <f t="shared" si="5"/>
        <v>0</v>
      </c>
      <c r="Y92" s="135">
        <f t="shared" si="5"/>
        <v>0</v>
      </c>
      <c r="Z92" s="135">
        <f t="shared" si="5"/>
        <v>0</v>
      </c>
      <c r="AA92" s="135">
        <f t="shared" si="5"/>
        <v>0</v>
      </c>
      <c r="AB92" s="135">
        <f t="shared" si="5"/>
        <v>0</v>
      </c>
      <c r="AC92" s="135">
        <f t="shared" si="5"/>
        <v>0</v>
      </c>
      <c r="AD92" s="135">
        <f t="shared" si="5"/>
        <v>0</v>
      </c>
      <c r="AE92" s="135">
        <f t="shared" si="5"/>
        <v>0</v>
      </c>
      <c r="AF92" s="135">
        <f t="shared" si="5"/>
        <v>0</v>
      </c>
      <c r="AG92" s="135">
        <f t="shared" si="5"/>
        <v>0</v>
      </c>
      <c r="AH92" s="135">
        <f t="shared" si="5"/>
        <v>0</v>
      </c>
      <c r="AI92" s="120">
        <f t="shared" si="5"/>
        <v>0</v>
      </c>
    </row>
    <row r="93" spans="1:35" ht="15" hidden="1" customHeight="1" outlineLevel="1" x14ac:dyDescent="0.25">
      <c r="B93" s="564"/>
      <c r="C93" s="545" t="s">
        <v>394</v>
      </c>
      <c r="D93" s="545"/>
      <c r="E93" s="134">
        <f t="shared" ref="E93:AI93" si="6">E$90*E87</f>
        <v>0</v>
      </c>
      <c r="F93" s="135">
        <f t="shared" si="6"/>
        <v>0</v>
      </c>
      <c r="G93" s="135">
        <f t="shared" si="6"/>
        <v>0</v>
      </c>
      <c r="H93" s="135">
        <f t="shared" si="6"/>
        <v>0</v>
      </c>
      <c r="I93" s="135">
        <f t="shared" si="6"/>
        <v>0</v>
      </c>
      <c r="J93" s="135">
        <f t="shared" si="6"/>
        <v>0</v>
      </c>
      <c r="K93" s="135">
        <f t="shared" si="6"/>
        <v>0</v>
      </c>
      <c r="L93" s="135">
        <f t="shared" si="6"/>
        <v>0</v>
      </c>
      <c r="M93" s="135">
        <f t="shared" si="6"/>
        <v>0</v>
      </c>
      <c r="N93" s="135">
        <f t="shared" si="6"/>
        <v>0</v>
      </c>
      <c r="O93" s="135">
        <f t="shared" si="6"/>
        <v>0</v>
      </c>
      <c r="P93" s="135">
        <f t="shared" si="6"/>
        <v>0</v>
      </c>
      <c r="Q93" s="135">
        <f t="shared" si="6"/>
        <v>0</v>
      </c>
      <c r="R93" s="135">
        <f t="shared" si="6"/>
        <v>0</v>
      </c>
      <c r="S93" s="135">
        <f t="shared" si="6"/>
        <v>0</v>
      </c>
      <c r="T93" s="135">
        <f t="shared" si="6"/>
        <v>0</v>
      </c>
      <c r="U93" s="135">
        <f t="shared" si="6"/>
        <v>0</v>
      </c>
      <c r="V93" s="135">
        <f t="shared" si="6"/>
        <v>0</v>
      </c>
      <c r="W93" s="135">
        <f t="shared" si="6"/>
        <v>0</v>
      </c>
      <c r="X93" s="135">
        <f t="shared" si="6"/>
        <v>0</v>
      </c>
      <c r="Y93" s="135">
        <f t="shared" si="6"/>
        <v>0</v>
      </c>
      <c r="Z93" s="135">
        <f t="shared" si="6"/>
        <v>0</v>
      </c>
      <c r="AA93" s="135">
        <f t="shared" si="6"/>
        <v>0</v>
      </c>
      <c r="AB93" s="135">
        <f t="shared" si="6"/>
        <v>0</v>
      </c>
      <c r="AC93" s="135">
        <f t="shared" si="6"/>
        <v>0</v>
      </c>
      <c r="AD93" s="135">
        <f t="shared" si="6"/>
        <v>0</v>
      </c>
      <c r="AE93" s="135">
        <f t="shared" si="6"/>
        <v>0</v>
      </c>
      <c r="AF93" s="135">
        <f t="shared" si="6"/>
        <v>0</v>
      </c>
      <c r="AG93" s="135">
        <f t="shared" si="6"/>
        <v>0</v>
      </c>
      <c r="AH93" s="135">
        <f t="shared" si="6"/>
        <v>0</v>
      </c>
      <c r="AI93" s="120">
        <f t="shared" si="6"/>
        <v>0</v>
      </c>
    </row>
    <row r="94" spans="1:35" ht="15" hidden="1" customHeight="1" outlineLevel="1" x14ac:dyDescent="0.25">
      <c r="B94" s="564"/>
      <c r="C94" s="545" t="s">
        <v>395</v>
      </c>
      <c r="D94" s="545"/>
      <c r="E94" s="134">
        <f t="shared" ref="E94:AI94" si="7">E$90*E88</f>
        <v>0</v>
      </c>
      <c r="F94" s="135">
        <f t="shared" si="7"/>
        <v>0</v>
      </c>
      <c r="G94" s="135">
        <f>G$90*G88</f>
        <v>0</v>
      </c>
      <c r="H94" s="135">
        <f t="shared" si="7"/>
        <v>0</v>
      </c>
      <c r="I94" s="135">
        <f t="shared" si="7"/>
        <v>0</v>
      </c>
      <c r="J94" s="135">
        <f t="shared" si="7"/>
        <v>0</v>
      </c>
      <c r="K94" s="135">
        <f t="shared" si="7"/>
        <v>0</v>
      </c>
      <c r="L94" s="135">
        <f t="shared" si="7"/>
        <v>0</v>
      </c>
      <c r="M94" s="135">
        <f t="shared" si="7"/>
        <v>0</v>
      </c>
      <c r="N94" s="135">
        <f t="shared" si="7"/>
        <v>0</v>
      </c>
      <c r="O94" s="135">
        <f t="shared" si="7"/>
        <v>0</v>
      </c>
      <c r="P94" s="135">
        <f t="shared" si="7"/>
        <v>0</v>
      </c>
      <c r="Q94" s="135">
        <f t="shared" si="7"/>
        <v>0</v>
      </c>
      <c r="R94" s="135">
        <f t="shared" si="7"/>
        <v>0</v>
      </c>
      <c r="S94" s="135">
        <f t="shared" si="7"/>
        <v>0</v>
      </c>
      <c r="T94" s="135">
        <f t="shared" si="7"/>
        <v>0</v>
      </c>
      <c r="U94" s="135">
        <f t="shared" si="7"/>
        <v>0</v>
      </c>
      <c r="V94" s="135">
        <f t="shared" si="7"/>
        <v>0</v>
      </c>
      <c r="W94" s="135">
        <f t="shared" si="7"/>
        <v>0</v>
      </c>
      <c r="X94" s="135">
        <f t="shared" si="7"/>
        <v>0</v>
      </c>
      <c r="Y94" s="135">
        <f t="shared" si="7"/>
        <v>0</v>
      </c>
      <c r="Z94" s="135">
        <f t="shared" si="7"/>
        <v>0</v>
      </c>
      <c r="AA94" s="135">
        <f t="shared" si="7"/>
        <v>0</v>
      </c>
      <c r="AB94" s="135">
        <f t="shared" si="7"/>
        <v>0</v>
      </c>
      <c r="AC94" s="135">
        <f t="shared" si="7"/>
        <v>0</v>
      </c>
      <c r="AD94" s="135">
        <f t="shared" si="7"/>
        <v>0</v>
      </c>
      <c r="AE94" s="135">
        <f t="shared" si="7"/>
        <v>0</v>
      </c>
      <c r="AF94" s="135">
        <f t="shared" si="7"/>
        <v>0</v>
      </c>
      <c r="AG94" s="135">
        <f t="shared" si="7"/>
        <v>0</v>
      </c>
      <c r="AH94" s="135">
        <f t="shared" si="7"/>
        <v>0</v>
      </c>
      <c r="AI94" s="120">
        <f t="shared" si="7"/>
        <v>0</v>
      </c>
    </row>
    <row r="95" spans="1:35" customFormat="1" ht="15" hidden="1" customHeight="1" outlineLevel="1" x14ac:dyDescent="0.25">
      <c r="A95" s="1"/>
      <c r="B95" s="564"/>
      <c r="C95" s="117"/>
      <c r="D95" s="117"/>
      <c r="E95" s="74"/>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75"/>
    </row>
    <row r="96" spans="1:35" ht="15" hidden="1" customHeight="1" outlineLevel="1" x14ac:dyDescent="0.25">
      <c r="B96" s="564"/>
      <c r="C96" s="1" t="s">
        <v>396</v>
      </c>
      <c r="D96" s="117"/>
      <c r="E96" s="134">
        <f>(E91/(1+$D$58)^(E$84-$D$69+0.5))</f>
        <v>0</v>
      </c>
      <c r="F96" s="135">
        <f>(F91/(1+$D$58)^(F$84-$D$69+0.5))</f>
        <v>0</v>
      </c>
      <c r="G96" s="135">
        <f>(G91/(1+$D$58)^(G$84-$D$69+0.5))</f>
        <v>0</v>
      </c>
      <c r="H96" s="135">
        <f t="shared" ref="H96:AI96" si="8">(H91/(1+$D$58)^(H$84-$D$69+0.5))</f>
        <v>0</v>
      </c>
      <c r="I96" s="135">
        <f t="shared" si="8"/>
        <v>0</v>
      </c>
      <c r="J96" s="135">
        <f t="shared" si="8"/>
        <v>0</v>
      </c>
      <c r="K96" s="135">
        <f t="shared" si="8"/>
        <v>0</v>
      </c>
      <c r="L96" s="135">
        <f t="shared" si="8"/>
        <v>0</v>
      </c>
      <c r="M96" s="135">
        <f t="shared" si="8"/>
        <v>0</v>
      </c>
      <c r="N96" s="135">
        <f t="shared" si="8"/>
        <v>0</v>
      </c>
      <c r="O96" s="135">
        <f t="shared" si="8"/>
        <v>0</v>
      </c>
      <c r="P96" s="135">
        <f t="shared" si="8"/>
        <v>0</v>
      </c>
      <c r="Q96" s="135">
        <f t="shared" si="8"/>
        <v>0</v>
      </c>
      <c r="R96" s="135">
        <f t="shared" si="8"/>
        <v>0</v>
      </c>
      <c r="S96" s="135">
        <f t="shared" si="8"/>
        <v>0</v>
      </c>
      <c r="T96" s="135">
        <f t="shared" si="8"/>
        <v>0</v>
      </c>
      <c r="U96" s="135">
        <f t="shared" si="8"/>
        <v>0</v>
      </c>
      <c r="V96" s="135">
        <f t="shared" si="8"/>
        <v>0</v>
      </c>
      <c r="W96" s="135">
        <f t="shared" si="8"/>
        <v>0</v>
      </c>
      <c r="X96" s="135">
        <f t="shared" si="8"/>
        <v>0</v>
      </c>
      <c r="Y96" s="135">
        <f t="shared" si="8"/>
        <v>0</v>
      </c>
      <c r="Z96" s="135">
        <f t="shared" si="8"/>
        <v>0</v>
      </c>
      <c r="AA96" s="135">
        <f t="shared" si="8"/>
        <v>0</v>
      </c>
      <c r="AB96" s="135">
        <f t="shared" si="8"/>
        <v>0</v>
      </c>
      <c r="AC96" s="135">
        <f t="shared" si="8"/>
        <v>0</v>
      </c>
      <c r="AD96" s="135">
        <f t="shared" si="8"/>
        <v>0</v>
      </c>
      <c r="AE96" s="135">
        <f t="shared" si="8"/>
        <v>0</v>
      </c>
      <c r="AF96" s="135">
        <f t="shared" si="8"/>
        <v>0</v>
      </c>
      <c r="AG96" s="135">
        <f t="shared" si="8"/>
        <v>0</v>
      </c>
      <c r="AH96" s="135">
        <f t="shared" si="8"/>
        <v>0</v>
      </c>
      <c r="AI96" s="120">
        <f t="shared" si="8"/>
        <v>0</v>
      </c>
    </row>
    <row r="97" spans="2:35" ht="15" hidden="1" customHeight="1" outlineLevel="1" x14ac:dyDescent="0.25">
      <c r="B97" s="564"/>
      <c r="C97" s="545" t="s">
        <v>397</v>
      </c>
      <c r="D97" s="545"/>
      <c r="E97" s="134">
        <f>(E92/(1+$D$58)^(E$84-$D$69+0.5))</f>
        <v>0</v>
      </c>
      <c r="F97" s="135">
        <f t="shared" ref="F97:AI97" si="9">(F92/(1+$D$58)^(F$84-$D$69+0.5))</f>
        <v>0</v>
      </c>
      <c r="G97" s="135">
        <f t="shared" si="9"/>
        <v>0</v>
      </c>
      <c r="H97" s="135">
        <f t="shared" si="9"/>
        <v>0</v>
      </c>
      <c r="I97" s="135">
        <f t="shared" si="9"/>
        <v>0</v>
      </c>
      <c r="J97" s="135">
        <f t="shared" si="9"/>
        <v>0</v>
      </c>
      <c r="K97" s="135">
        <f t="shared" si="9"/>
        <v>0</v>
      </c>
      <c r="L97" s="135">
        <f t="shared" si="9"/>
        <v>0</v>
      </c>
      <c r="M97" s="135">
        <f t="shared" si="9"/>
        <v>0</v>
      </c>
      <c r="N97" s="135">
        <f t="shared" si="9"/>
        <v>0</v>
      </c>
      <c r="O97" s="135">
        <f t="shared" si="9"/>
        <v>0</v>
      </c>
      <c r="P97" s="135">
        <f t="shared" si="9"/>
        <v>0</v>
      </c>
      <c r="Q97" s="135">
        <f t="shared" si="9"/>
        <v>0</v>
      </c>
      <c r="R97" s="135">
        <f t="shared" si="9"/>
        <v>0</v>
      </c>
      <c r="S97" s="135">
        <f t="shared" si="9"/>
        <v>0</v>
      </c>
      <c r="T97" s="135">
        <f t="shared" si="9"/>
        <v>0</v>
      </c>
      <c r="U97" s="135">
        <f t="shared" si="9"/>
        <v>0</v>
      </c>
      <c r="V97" s="135">
        <f t="shared" si="9"/>
        <v>0</v>
      </c>
      <c r="W97" s="135">
        <f t="shared" si="9"/>
        <v>0</v>
      </c>
      <c r="X97" s="135">
        <f t="shared" si="9"/>
        <v>0</v>
      </c>
      <c r="Y97" s="135">
        <f t="shared" si="9"/>
        <v>0</v>
      </c>
      <c r="Z97" s="135">
        <f t="shared" si="9"/>
        <v>0</v>
      </c>
      <c r="AA97" s="135">
        <f t="shared" si="9"/>
        <v>0</v>
      </c>
      <c r="AB97" s="135">
        <f t="shared" si="9"/>
        <v>0</v>
      </c>
      <c r="AC97" s="135">
        <f t="shared" si="9"/>
        <v>0</v>
      </c>
      <c r="AD97" s="135">
        <f t="shared" si="9"/>
        <v>0</v>
      </c>
      <c r="AE97" s="135">
        <f t="shared" si="9"/>
        <v>0</v>
      </c>
      <c r="AF97" s="135">
        <f t="shared" si="9"/>
        <v>0</v>
      </c>
      <c r="AG97" s="135">
        <f t="shared" si="9"/>
        <v>0</v>
      </c>
      <c r="AH97" s="135">
        <f t="shared" si="9"/>
        <v>0</v>
      </c>
      <c r="AI97" s="120">
        <f t="shared" si="9"/>
        <v>0</v>
      </c>
    </row>
    <row r="98" spans="2:35" ht="15" hidden="1" customHeight="1" outlineLevel="1" x14ac:dyDescent="0.25">
      <c r="B98" s="564"/>
      <c r="C98" s="545" t="s">
        <v>398</v>
      </c>
      <c r="D98" s="545"/>
      <c r="E98" s="134">
        <f>(E93/(1+$D$58)^(E$84-$D$69+0.5))</f>
        <v>0</v>
      </c>
      <c r="F98" s="135">
        <f t="shared" ref="F98:AI98" si="10">(F93/(1+$D$58)^(F$84-$D$69+0.5))</f>
        <v>0</v>
      </c>
      <c r="G98" s="135">
        <f t="shared" si="10"/>
        <v>0</v>
      </c>
      <c r="H98" s="135">
        <f t="shared" si="10"/>
        <v>0</v>
      </c>
      <c r="I98" s="135">
        <f t="shared" si="10"/>
        <v>0</v>
      </c>
      <c r="J98" s="135">
        <f t="shared" si="10"/>
        <v>0</v>
      </c>
      <c r="K98" s="135">
        <f t="shared" si="10"/>
        <v>0</v>
      </c>
      <c r="L98" s="135">
        <f t="shared" si="10"/>
        <v>0</v>
      </c>
      <c r="M98" s="135">
        <f t="shared" si="10"/>
        <v>0</v>
      </c>
      <c r="N98" s="135">
        <f t="shared" si="10"/>
        <v>0</v>
      </c>
      <c r="O98" s="135">
        <f t="shared" si="10"/>
        <v>0</v>
      </c>
      <c r="P98" s="135">
        <f t="shared" si="10"/>
        <v>0</v>
      </c>
      <c r="Q98" s="135">
        <f t="shared" si="10"/>
        <v>0</v>
      </c>
      <c r="R98" s="135">
        <f t="shared" si="10"/>
        <v>0</v>
      </c>
      <c r="S98" s="135">
        <f t="shared" si="10"/>
        <v>0</v>
      </c>
      <c r="T98" s="135">
        <f t="shared" si="10"/>
        <v>0</v>
      </c>
      <c r="U98" s="135">
        <f t="shared" si="10"/>
        <v>0</v>
      </c>
      <c r="V98" s="135">
        <f t="shared" si="10"/>
        <v>0</v>
      </c>
      <c r="W98" s="135">
        <f t="shared" si="10"/>
        <v>0</v>
      </c>
      <c r="X98" s="135">
        <f t="shared" si="10"/>
        <v>0</v>
      </c>
      <c r="Y98" s="135">
        <f t="shared" si="10"/>
        <v>0</v>
      </c>
      <c r="Z98" s="135">
        <f t="shared" si="10"/>
        <v>0</v>
      </c>
      <c r="AA98" s="135">
        <f t="shared" si="10"/>
        <v>0</v>
      </c>
      <c r="AB98" s="135">
        <f t="shared" si="10"/>
        <v>0</v>
      </c>
      <c r="AC98" s="135">
        <f t="shared" si="10"/>
        <v>0</v>
      </c>
      <c r="AD98" s="135">
        <f t="shared" si="10"/>
        <v>0</v>
      </c>
      <c r="AE98" s="135">
        <f t="shared" si="10"/>
        <v>0</v>
      </c>
      <c r="AF98" s="135">
        <f t="shared" si="10"/>
        <v>0</v>
      </c>
      <c r="AG98" s="135">
        <f t="shared" si="10"/>
        <v>0</v>
      </c>
      <c r="AH98" s="135">
        <f t="shared" si="10"/>
        <v>0</v>
      </c>
      <c r="AI98" s="120">
        <f t="shared" si="10"/>
        <v>0</v>
      </c>
    </row>
    <row r="99" spans="2:35" ht="15" hidden="1" customHeight="1" outlineLevel="1" thickBot="1" x14ac:dyDescent="0.3">
      <c r="B99" s="565"/>
      <c r="C99" s="566" t="s">
        <v>399</v>
      </c>
      <c r="D99" s="566"/>
      <c r="E99" s="136">
        <f>(E94/(1+$D$58)^(E$84-$D$69+0.5))</f>
        <v>0</v>
      </c>
      <c r="F99" s="121">
        <f t="shared" ref="F99:AI99" si="11">(F94/(1+$D$58)^(F$84-$D$69+0.5))</f>
        <v>0</v>
      </c>
      <c r="G99" s="121">
        <f>(G94/(1+$D$58)^(G$84-$D$69+0.5))</f>
        <v>0</v>
      </c>
      <c r="H99" s="121">
        <f t="shared" si="11"/>
        <v>0</v>
      </c>
      <c r="I99" s="121">
        <f t="shared" si="11"/>
        <v>0</v>
      </c>
      <c r="J99" s="121">
        <f t="shared" si="11"/>
        <v>0</v>
      </c>
      <c r="K99" s="121">
        <f t="shared" si="11"/>
        <v>0</v>
      </c>
      <c r="L99" s="121">
        <f t="shared" si="11"/>
        <v>0</v>
      </c>
      <c r="M99" s="121">
        <f t="shared" si="11"/>
        <v>0</v>
      </c>
      <c r="N99" s="121">
        <f t="shared" si="11"/>
        <v>0</v>
      </c>
      <c r="O99" s="121">
        <f t="shared" si="11"/>
        <v>0</v>
      </c>
      <c r="P99" s="121">
        <f t="shared" si="11"/>
        <v>0</v>
      </c>
      <c r="Q99" s="121">
        <f t="shared" si="11"/>
        <v>0</v>
      </c>
      <c r="R99" s="121">
        <f t="shared" si="11"/>
        <v>0</v>
      </c>
      <c r="S99" s="121">
        <f t="shared" si="11"/>
        <v>0</v>
      </c>
      <c r="T99" s="121">
        <f t="shared" si="11"/>
        <v>0</v>
      </c>
      <c r="U99" s="121">
        <f t="shared" si="11"/>
        <v>0</v>
      </c>
      <c r="V99" s="121">
        <f t="shared" si="11"/>
        <v>0</v>
      </c>
      <c r="W99" s="121">
        <f t="shared" si="11"/>
        <v>0</v>
      </c>
      <c r="X99" s="121">
        <f t="shared" si="11"/>
        <v>0</v>
      </c>
      <c r="Y99" s="121">
        <f t="shared" si="11"/>
        <v>0</v>
      </c>
      <c r="Z99" s="121">
        <f t="shared" si="11"/>
        <v>0</v>
      </c>
      <c r="AA99" s="121">
        <f t="shared" si="11"/>
        <v>0</v>
      </c>
      <c r="AB99" s="121">
        <f t="shared" si="11"/>
        <v>0</v>
      </c>
      <c r="AC99" s="121">
        <f t="shared" si="11"/>
        <v>0</v>
      </c>
      <c r="AD99" s="121">
        <f t="shared" si="11"/>
        <v>0</v>
      </c>
      <c r="AE99" s="121">
        <f t="shared" si="11"/>
        <v>0</v>
      </c>
      <c r="AF99" s="121">
        <f t="shared" si="11"/>
        <v>0</v>
      </c>
      <c r="AG99" s="121">
        <f t="shared" si="11"/>
        <v>0</v>
      </c>
      <c r="AH99" s="121">
        <f t="shared" si="11"/>
        <v>0</v>
      </c>
      <c r="AI99" s="122">
        <f t="shared" si="11"/>
        <v>0</v>
      </c>
    </row>
    <row r="100" spans="2:35" ht="15" hidden="1" customHeight="1" outlineLevel="1" x14ac:dyDescent="0.25">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row>
    <row r="101" spans="2:35" ht="15" hidden="1" customHeight="1" outlineLevel="1" x14ac:dyDescent="0.25">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row>
    <row r="102" spans="2:35" ht="15" hidden="1" customHeight="1" outlineLevel="1" thickBot="1" x14ac:dyDescent="0.3">
      <c r="E102" s="97">
        <v>2022</v>
      </c>
      <c r="F102" s="97">
        <v>2023</v>
      </c>
      <c r="G102" s="97">
        <v>2024</v>
      </c>
      <c r="H102" s="97">
        <v>2025</v>
      </c>
      <c r="I102" s="97">
        <v>2026</v>
      </c>
      <c r="J102" s="97">
        <v>2027</v>
      </c>
      <c r="K102" s="97">
        <v>2028</v>
      </c>
      <c r="L102" s="97">
        <v>2029</v>
      </c>
      <c r="M102" s="97">
        <v>2030</v>
      </c>
      <c r="N102" s="97">
        <v>2031</v>
      </c>
      <c r="O102" s="97">
        <v>2032</v>
      </c>
      <c r="P102" s="97">
        <v>2033</v>
      </c>
      <c r="Q102" s="97">
        <v>2034</v>
      </c>
      <c r="R102" s="97">
        <v>2035</v>
      </c>
      <c r="S102" s="97">
        <v>2036</v>
      </c>
      <c r="T102" s="97">
        <v>2037</v>
      </c>
      <c r="U102" s="97">
        <v>2038</v>
      </c>
      <c r="V102" s="97">
        <v>2039</v>
      </c>
      <c r="W102" s="97">
        <v>2040</v>
      </c>
      <c r="X102" s="97">
        <v>2041</v>
      </c>
      <c r="Y102" s="97">
        <v>2042</v>
      </c>
      <c r="Z102" s="97">
        <v>2043</v>
      </c>
      <c r="AA102" s="97">
        <v>2044</v>
      </c>
      <c r="AB102" s="97">
        <v>2045</v>
      </c>
      <c r="AC102" s="97">
        <v>2046</v>
      </c>
      <c r="AD102" s="97">
        <v>2047</v>
      </c>
      <c r="AE102" s="97">
        <v>2048</v>
      </c>
      <c r="AF102" s="97">
        <v>2049</v>
      </c>
      <c r="AG102" s="97">
        <v>2050</v>
      </c>
      <c r="AH102" s="97">
        <v>2051</v>
      </c>
      <c r="AI102" s="97">
        <v>2052</v>
      </c>
    </row>
    <row r="103" spans="2:35" ht="15" hidden="1" customHeight="1" outlineLevel="1" x14ac:dyDescent="0.25">
      <c r="B103" s="563" t="s">
        <v>351</v>
      </c>
      <c r="C103" s="567" t="s">
        <v>387</v>
      </c>
      <c r="D103" s="567"/>
      <c r="E103" s="131">
        <f t="shared" ref="E103:AI103" si="12">IF(AND(E$102&gt;=$D$53,E$102&lt;=$D$54, E$102&gt;=$G$69, E$102&lt;=$G$70),$G$78,0)</f>
        <v>0</v>
      </c>
      <c r="F103" s="118">
        <f t="shared" si="12"/>
        <v>0</v>
      </c>
      <c r="G103" s="118">
        <f t="shared" si="12"/>
        <v>0</v>
      </c>
      <c r="H103" s="118">
        <f t="shared" si="12"/>
        <v>0</v>
      </c>
      <c r="I103" s="118">
        <f t="shared" si="12"/>
        <v>0</v>
      </c>
      <c r="J103" s="118">
        <f t="shared" si="12"/>
        <v>0</v>
      </c>
      <c r="K103" s="118">
        <f t="shared" si="12"/>
        <v>0</v>
      </c>
      <c r="L103" s="118">
        <f t="shared" si="12"/>
        <v>0</v>
      </c>
      <c r="M103" s="118">
        <f t="shared" si="12"/>
        <v>0</v>
      </c>
      <c r="N103" s="118">
        <f t="shared" si="12"/>
        <v>0</v>
      </c>
      <c r="O103" s="118">
        <f t="shared" si="12"/>
        <v>0</v>
      </c>
      <c r="P103" s="118">
        <f t="shared" si="12"/>
        <v>0</v>
      </c>
      <c r="Q103" s="118">
        <f t="shared" si="12"/>
        <v>0</v>
      </c>
      <c r="R103" s="118">
        <f t="shared" si="12"/>
        <v>0</v>
      </c>
      <c r="S103" s="118">
        <f t="shared" si="12"/>
        <v>0</v>
      </c>
      <c r="T103" s="118">
        <f t="shared" si="12"/>
        <v>0</v>
      </c>
      <c r="U103" s="118">
        <f t="shared" si="12"/>
        <v>0</v>
      </c>
      <c r="V103" s="118">
        <f t="shared" si="12"/>
        <v>0</v>
      </c>
      <c r="W103" s="118">
        <f t="shared" si="12"/>
        <v>0</v>
      </c>
      <c r="X103" s="118">
        <f t="shared" si="12"/>
        <v>0</v>
      </c>
      <c r="Y103" s="118">
        <f t="shared" si="12"/>
        <v>0</v>
      </c>
      <c r="Z103" s="118">
        <f t="shared" si="12"/>
        <v>0</v>
      </c>
      <c r="AA103" s="118">
        <f t="shared" si="12"/>
        <v>0</v>
      </c>
      <c r="AB103" s="118">
        <f t="shared" si="12"/>
        <v>0</v>
      </c>
      <c r="AC103" s="118">
        <f t="shared" si="12"/>
        <v>0</v>
      </c>
      <c r="AD103" s="118">
        <f t="shared" si="12"/>
        <v>0</v>
      </c>
      <c r="AE103" s="118">
        <f t="shared" si="12"/>
        <v>0</v>
      </c>
      <c r="AF103" s="118">
        <f t="shared" si="12"/>
        <v>0</v>
      </c>
      <c r="AG103" s="118">
        <f t="shared" si="12"/>
        <v>0</v>
      </c>
      <c r="AH103" s="118">
        <f t="shared" si="12"/>
        <v>0</v>
      </c>
      <c r="AI103" s="119">
        <f t="shared" si="12"/>
        <v>0</v>
      </c>
    </row>
    <row r="104" spans="2:35" ht="15" hidden="1" customHeight="1" outlineLevel="1" x14ac:dyDescent="0.25">
      <c r="B104" s="564"/>
      <c r="C104" s="545" t="s">
        <v>388</v>
      </c>
      <c r="D104" s="545"/>
      <c r="E104" s="132">
        <f t="shared" ref="E104:AI104" si="13">IF(AND(E$102&gt;=$D$53,E$102&lt;=$D$54, E$102&gt;=$H$69, E$102&lt;=$H$70),$H$78,0)</f>
        <v>0</v>
      </c>
      <c r="F104" s="133">
        <f t="shared" si="13"/>
        <v>0</v>
      </c>
      <c r="G104" s="133">
        <f t="shared" si="13"/>
        <v>0</v>
      </c>
      <c r="H104" s="133">
        <f t="shared" si="13"/>
        <v>0</v>
      </c>
      <c r="I104" s="133">
        <f t="shared" si="13"/>
        <v>0</v>
      </c>
      <c r="J104" s="133">
        <f t="shared" si="13"/>
        <v>0</v>
      </c>
      <c r="K104" s="133">
        <f t="shared" si="13"/>
        <v>0</v>
      </c>
      <c r="L104" s="133">
        <f t="shared" si="13"/>
        <v>0</v>
      </c>
      <c r="M104" s="133">
        <f t="shared" si="13"/>
        <v>0</v>
      </c>
      <c r="N104" s="133">
        <f t="shared" si="13"/>
        <v>0</v>
      </c>
      <c r="O104" s="133">
        <f t="shared" si="13"/>
        <v>0</v>
      </c>
      <c r="P104" s="133">
        <f t="shared" si="13"/>
        <v>0</v>
      </c>
      <c r="Q104" s="133">
        <f t="shared" si="13"/>
        <v>0</v>
      </c>
      <c r="R104" s="133">
        <f t="shared" si="13"/>
        <v>0</v>
      </c>
      <c r="S104" s="133">
        <f t="shared" si="13"/>
        <v>0</v>
      </c>
      <c r="T104" s="133">
        <f t="shared" si="13"/>
        <v>0</v>
      </c>
      <c r="U104" s="133">
        <f t="shared" si="13"/>
        <v>0</v>
      </c>
      <c r="V104" s="133">
        <f t="shared" si="13"/>
        <v>0</v>
      </c>
      <c r="W104" s="133">
        <f t="shared" si="13"/>
        <v>0</v>
      </c>
      <c r="X104" s="133">
        <f t="shared" si="13"/>
        <v>0</v>
      </c>
      <c r="Y104" s="133">
        <f t="shared" si="13"/>
        <v>0</v>
      </c>
      <c r="Z104" s="133">
        <f t="shared" si="13"/>
        <v>0</v>
      </c>
      <c r="AA104" s="133">
        <f t="shared" si="13"/>
        <v>0</v>
      </c>
      <c r="AB104" s="133">
        <f t="shared" si="13"/>
        <v>0</v>
      </c>
      <c r="AC104" s="133">
        <f t="shared" si="13"/>
        <v>0</v>
      </c>
      <c r="AD104" s="133">
        <f t="shared" si="13"/>
        <v>0</v>
      </c>
      <c r="AE104" s="133">
        <f t="shared" si="13"/>
        <v>0</v>
      </c>
      <c r="AF104" s="133">
        <f t="shared" si="13"/>
        <v>0</v>
      </c>
      <c r="AG104" s="133">
        <f t="shared" si="13"/>
        <v>0</v>
      </c>
      <c r="AH104" s="133">
        <f t="shared" si="13"/>
        <v>0</v>
      </c>
      <c r="AI104" s="113">
        <f t="shared" si="13"/>
        <v>0</v>
      </c>
    </row>
    <row r="105" spans="2:35" ht="15" hidden="1" customHeight="1" outlineLevel="1" x14ac:dyDescent="0.25">
      <c r="B105" s="564"/>
      <c r="C105" s="545" t="s">
        <v>389</v>
      </c>
      <c r="D105" s="545"/>
      <c r="E105" s="132">
        <f t="shared" ref="E105:AI105" si="14">IF(E$84=$G$70,$G$79,0)</f>
        <v>0</v>
      </c>
      <c r="F105" s="133">
        <f t="shared" si="14"/>
        <v>0</v>
      </c>
      <c r="G105" s="133">
        <f t="shared" si="14"/>
        <v>0</v>
      </c>
      <c r="H105" s="133">
        <f t="shared" si="14"/>
        <v>0</v>
      </c>
      <c r="I105" s="133">
        <f t="shared" si="14"/>
        <v>0</v>
      </c>
      <c r="J105" s="133">
        <f t="shared" si="14"/>
        <v>0</v>
      </c>
      <c r="K105" s="133">
        <f t="shared" si="14"/>
        <v>0</v>
      </c>
      <c r="L105" s="133">
        <f t="shared" si="14"/>
        <v>0</v>
      </c>
      <c r="M105" s="133">
        <f t="shared" si="14"/>
        <v>0</v>
      </c>
      <c r="N105" s="133">
        <f t="shared" si="14"/>
        <v>0</v>
      </c>
      <c r="O105" s="133">
        <f t="shared" si="14"/>
        <v>0</v>
      </c>
      <c r="P105" s="133">
        <f t="shared" si="14"/>
        <v>0</v>
      </c>
      <c r="Q105" s="133">
        <f t="shared" si="14"/>
        <v>0</v>
      </c>
      <c r="R105" s="133">
        <f t="shared" si="14"/>
        <v>0</v>
      </c>
      <c r="S105" s="133">
        <f t="shared" si="14"/>
        <v>0</v>
      </c>
      <c r="T105" s="133">
        <f t="shared" si="14"/>
        <v>0</v>
      </c>
      <c r="U105" s="133">
        <f t="shared" si="14"/>
        <v>0</v>
      </c>
      <c r="V105" s="133">
        <f t="shared" si="14"/>
        <v>0</v>
      </c>
      <c r="W105" s="133">
        <f t="shared" si="14"/>
        <v>0</v>
      </c>
      <c r="X105" s="133">
        <f t="shared" si="14"/>
        <v>0</v>
      </c>
      <c r="Y105" s="133">
        <f t="shared" si="14"/>
        <v>0</v>
      </c>
      <c r="Z105" s="133">
        <f t="shared" si="14"/>
        <v>0</v>
      </c>
      <c r="AA105" s="133">
        <f t="shared" si="14"/>
        <v>0</v>
      </c>
      <c r="AB105" s="133">
        <f t="shared" si="14"/>
        <v>0</v>
      </c>
      <c r="AC105" s="133">
        <f t="shared" si="14"/>
        <v>0</v>
      </c>
      <c r="AD105" s="133">
        <f t="shared" si="14"/>
        <v>0</v>
      </c>
      <c r="AE105" s="133">
        <f t="shared" si="14"/>
        <v>0</v>
      </c>
      <c r="AF105" s="133">
        <f t="shared" si="14"/>
        <v>0</v>
      </c>
      <c r="AG105" s="133">
        <f t="shared" si="14"/>
        <v>0</v>
      </c>
      <c r="AH105" s="133">
        <f t="shared" si="14"/>
        <v>0</v>
      </c>
      <c r="AI105" s="113">
        <f t="shared" si="14"/>
        <v>0</v>
      </c>
    </row>
    <row r="106" spans="2:35" ht="15" hidden="1" customHeight="1" outlineLevel="1" x14ac:dyDescent="0.25">
      <c r="B106" s="564"/>
      <c r="C106" s="545" t="s">
        <v>390</v>
      </c>
      <c r="D106" s="545"/>
      <c r="E106" s="132">
        <f t="shared" ref="E106:AI106" si="15">IF(E$84=$H$70,$H$79,0)</f>
        <v>0</v>
      </c>
      <c r="F106" s="133">
        <f t="shared" si="15"/>
        <v>0</v>
      </c>
      <c r="G106" s="133">
        <f t="shared" si="15"/>
        <v>0</v>
      </c>
      <c r="H106" s="133">
        <f t="shared" si="15"/>
        <v>0</v>
      </c>
      <c r="I106" s="133">
        <f t="shared" si="15"/>
        <v>0</v>
      </c>
      <c r="J106" s="133">
        <f t="shared" si="15"/>
        <v>0</v>
      </c>
      <c r="K106" s="133">
        <f t="shared" si="15"/>
        <v>0</v>
      </c>
      <c r="L106" s="133">
        <f t="shared" si="15"/>
        <v>0</v>
      </c>
      <c r="M106" s="133">
        <f t="shared" si="15"/>
        <v>0</v>
      </c>
      <c r="N106" s="133">
        <f t="shared" si="15"/>
        <v>0</v>
      </c>
      <c r="O106" s="133">
        <f t="shared" si="15"/>
        <v>0</v>
      </c>
      <c r="P106" s="133">
        <f t="shared" si="15"/>
        <v>0</v>
      </c>
      <c r="Q106" s="133">
        <f t="shared" si="15"/>
        <v>0</v>
      </c>
      <c r="R106" s="133">
        <f t="shared" si="15"/>
        <v>0</v>
      </c>
      <c r="S106" s="133">
        <f t="shared" si="15"/>
        <v>0</v>
      </c>
      <c r="T106" s="133">
        <f t="shared" si="15"/>
        <v>0</v>
      </c>
      <c r="U106" s="133">
        <f t="shared" si="15"/>
        <v>0</v>
      </c>
      <c r="V106" s="133">
        <f t="shared" si="15"/>
        <v>0</v>
      </c>
      <c r="W106" s="133">
        <f t="shared" si="15"/>
        <v>0</v>
      </c>
      <c r="X106" s="133">
        <f t="shared" si="15"/>
        <v>0</v>
      </c>
      <c r="Y106" s="133">
        <f t="shared" si="15"/>
        <v>0</v>
      </c>
      <c r="Z106" s="133">
        <f t="shared" si="15"/>
        <v>0</v>
      </c>
      <c r="AA106" s="133">
        <f t="shared" si="15"/>
        <v>0</v>
      </c>
      <c r="AB106" s="133">
        <f t="shared" si="15"/>
        <v>0</v>
      </c>
      <c r="AC106" s="133">
        <f t="shared" si="15"/>
        <v>0</v>
      </c>
      <c r="AD106" s="133">
        <f t="shared" si="15"/>
        <v>0</v>
      </c>
      <c r="AE106" s="133">
        <f t="shared" si="15"/>
        <v>0</v>
      </c>
      <c r="AF106" s="133">
        <f t="shared" si="15"/>
        <v>0</v>
      </c>
      <c r="AG106" s="133">
        <f t="shared" si="15"/>
        <v>0</v>
      </c>
      <c r="AH106" s="133">
        <f t="shared" si="15"/>
        <v>0</v>
      </c>
      <c r="AI106" s="113">
        <f t="shared" si="15"/>
        <v>0</v>
      </c>
    </row>
    <row r="107" spans="2:35" ht="15" hidden="1" customHeight="1" outlineLevel="1" x14ac:dyDescent="0.25">
      <c r="B107" s="564"/>
      <c r="C107" s="545"/>
      <c r="D107" s="545"/>
      <c r="E107" s="132"/>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13"/>
    </row>
    <row r="108" spans="2:35" ht="15" hidden="1" customHeight="1" outlineLevel="1" x14ac:dyDescent="0.25">
      <c r="B108" s="564"/>
      <c r="C108" s="545" t="s">
        <v>391</v>
      </c>
      <c r="D108" s="545"/>
      <c r="E108" s="134">
        <f>'ACC Inputs'!E4</f>
        <v>131.79844620666665</v>
      </c>
      <c r="F108" s="135">
        <f>'ACC Inputs'!F4</f>
        <v>141.7140826429482</v>
      </c>
      <c r="G108" s="135">
        <f>'ACC Inputs'!G4</f>
        <v>152.37570546045268</v>
      </c>
      <c r="H108" s="135">
        <f>'ACC Inputs'!H4</f>
        <v>163.83943770126069</v>
      </c>
      <c r="I108" s="135">
        <f>'ACC Inputs'!I4</f>
        <v>176.16562473098554</v>
      </c>
      <c r="J108" s="135">
        <f>'ACC Inputs'!J4</f>
        <v>189.4191518982467</v>
      </c>
      <c r="K108" s="135">
        <f>'ACC Inputs'!K4</f>
        <v>203.66978609272476</v>
      </c>
      <c r="L108" s="135">
        <f>'ACC Inputs'!L4</f>
        <v>218.99254299976741</v>
      </c>
      <c r="M108" s="135">
        <f>'ACC Inputs'!M4</f>
        <v>235.46808198478325</v>
      </c>
      <c r="N108" s="135">
        <f>'ACC Inputs'!N4</f>
        <v>253.1831306861051</v>
      </c>
      <c r="O108" s="135">
        <f>'ACC Inputs'!O4</f>
        <v>272.23094155138972</v>
      </c>
      <c r="P108" s="135">
        <f>'ACC Inputs'!P4</f>
        <v>292.71178272077259</v>
      </c>
      <c r="Q108" s="135">
        <f>'ACC Inputs'!Q4</f>
        <v>314.73346584079871</v>
      </c>
      <c r="R108" s="135">
        <f>'ACC Inputs'!R4</f>
        <v>338.41191358755475</v>
      </c>
      <c r="S108" s="135">
        <f>'ACC Inputs'!S4</f>
        <v>363.87176988645848</v>
      </c>
      <c r="T108" s="135">
        <f>'ACC Inputs'!T4</f>
        <v>391.24705604091633</v>
      </c>
      <c r="U108" s="135">
        <f>'ACC Inputs'!U4</f>
        <v>420.68187622372795</v>
      </c>
      <c r="V108" s="135">
        <f>'ACC Inputs'!V4</f>
        <v>452.3311760449597</v>
      </c>
      <c r="W108" s="135">
        <f>'ACC Inputs'!W4</f>
        <v>486.36155818940881</v>
      </c>
      <c r="X108" s="135">
        <f>'ACC Inputs'!X4</f>
        <v>522.95215941719187</v>
      </c>
      <c r="Y108" s="135">
        <f>'ACC Inputs'!Y4</f>
        <v>562.29559354401204</v>
      </c>
      <c r="Z108" s="135">
        <f>'ACC Inputs'!Z4</f>
        <v>604.5989653649732</v>
      </c>
      <c r="AA108" s="135">
        <f>'ACC Inputs'!AA4</f>
        <v>650.0849608592647</v>
      </c>
      <c r="AB108" s="135">
        <f>'ACC Inputs'!AB4</f>
        <v>698.99301941457657</v>
      </c>
      <c r="AC108" s="135">
        <f>'ACC Inputs'!AC4</f>
        <v>751.58059424186649</v>
      </c>
      <c r="AD108" s="135">
        <f>'ACC Inputs'!AD4</f>
        <v>808.12450761532966</v>
      </c>
      <c r="AE108" s="135">
        <f>'ACC Inputs'!AE4</f>
        <v>868.92240807158953</v>
      </c>
      <c r="AF108" s="135">
        <f>'ACC Inputs'!AF4</f>
        <v>934.29433723884199</v>
      </c>
      <c r="AG108" s="135">
        <f>'ACC Inputs'!AG4</f>
        <v>1004.5844145437777</v>
      </c>
      <c r="AH108" s="135">
        <f>'ACC Inputs'!AH4</f>
        <v>1080.162648664621</v>
      </c>
      <c r="AI108" s="120">
        <f>'ACC Inputs'!AI4</f>
        <v>1161.4268852658229</v>
      </c>
    </row>
    <row r="109" spans="2:35" ht="15" hidden="1" customHeight="1" outlineLevel="1" x14ac:dyDescent="0.25">
      <c r="B109" s="564"/>
      <c r="C109" s="545" t="s">
        <v>392</v>
      </c>
      <c r="D109" s="545"/>
      <c r="E109" s="134">
        <f t="shared" ref="E109:AI109" si="16">E$108*E103</f>
        <v>0</v>
      </c>
      <c r="F109" s="135">
        <f t="shared" si="16"/>
        <v>0</v>
      </c>
      <c r="G109" s="135">
        <f t="shared" si="16"/>
        <v>0</v>
      </c>
      <c r="H109" s="135">
        <f t="shared" si="16"/>
        <v>0</v>
      </c>
      <c r="I109" s="135">
        <f t="shared" si="16"/>
        <v>0</v>
      </c>
      <c r="J109" s="135">
        <f t="shared" si="16"/>
        <v>0</v>
      </c>
      <c r="K109" s="135">
        <f t="shared" si="16"/>
        <v>0</v>
      </c>
      <c r="L109" s="135">
        <f t="shared" si="16"/>
        <v>0</v>
      </c>
      <c r="M109" s="135">
        <f t="shared" si="16"/>
        <v>0</v>
      </c>
      <c r="N109" s="135">
        <f t="shared" si="16"/>
        <v>0</v>
      </c>
      <c r="O109" s="135">
        <f t="shared" si="16"/>
        <v>0</v>
      </c>
      <c r="P109" s="135">
        <f t="shared" si="16"/>
        <v>0</v>
      </c>
      <c r="Q109" s="135">
        <f t="shared" si="16"/>
        <v>0</v>
      </c>
      <c r="R109" s="135">
        <f t="shared" si="16"/>
        <v>0</v>
      </c>
      <c r="S109" s="135">
        <f t="shared" si="16"/>
        <v>0</v>
      </c>
      <c r="T109" s="135">
        <f t="shared" si="16"/>
        <v>0</v>
      </c>
      <c r="U109" s="135">
        <f t="shared" si="16"/>
        <v>0</v>
      </c>
      <c r="V109" s="135">
        <f t="shared" si="16"/>
        <v>0</v>
      </c>
      <c r="W109" s="135">
        <f t="shared" si="16"/>
        <v>0</v>
      </c>
      <c r="X109" s="135">
        <f t="shared" si="16"/>
        <v>0</v>
      </c>
      <c r="Y109" s="135">
        <f t="shared" si="16"/>
        <v>0</v>
      </c>
      <c r="Z109" s="135">
        <f t="shared" si="16"/>
        <v>0</v>
      </c>
      <c r="AA109" s="135">
        <f t="shared" si="16"/>
        <v>0</v>
      </c>
      <c r="AB109" s="135">
        <f t="shared" si="16"/>
        <v>0</v>
      </c>
      <c r="AC109" s="135">
        <f t="shared" si="16"/>
        <v>0</v>
      </c>
      <c r="AD109" s="135">
        <f t="shared" si="16"/>
        <v>0</v>
      </c>
      <c r="AE109" s="135">
        <f t="shared" si="16"/>
        <v>0</v>
      </c>
      <c r="AF109" s="135">
        <f t="shared" si="16"/>
        <v>0</v>
      </c>
      <c r="AG109" s="135">
        <f t="shared" si="16"/>
        <v>0</v>
      </c>
      <c r="AH109" s="135">
        <f t="shared" si="16"/>
        <v>0</v>
      </c>
      <c r="AI109" s="120">
        <f t="shared" si="16"/>
        <v>0</v>
      </c>
    </row>
    <row r="110" spans="2:35" ht="15" hidden="1" customHeight="1" outlineLevel="1" x14ac:dyDescent="0.25">
      <c r="B110" s="564"/>
      <c r="C110" s="545" t="s">
        <v>393</v>
      </c>
      <c r="D110" s="545"/>
      <c r="E110" s="134">
        <f t="shared" ref="E110:AI110" si="17">E$108*E104</f>
        <v>0</v>
      </c>
      <c r="F110" s="135">
        <f>F$108*F104</f>
        <v>0</v>
      </c>
      <c r="G110" s="135">
        <f t="shared" si="17"/>
        <v>0</v>
      </c>
      <c r="H110" s="135">
        <f t="shared" si="17"/>
        <v>0</v>
      </c>
      <c r="I110" s="135">
        <f t="shared" si="17"/>
        <v>0</v>
      </c>
      <c r="J110" s="135">
        <f t="shared" si="17"/>
        <v>0</v>
      </c>
      <c r="K110" s="135">
        <f t="shared" si="17"/>
        <v>0</v>
      </c>
      <c r="L110" s="135">
        <f t="shared" si="17"/>
        <v>0</v>
      </c>
      <c r="M110" s="135">
        <f t="shared" si="17"/>
        <v>0</v>
      </c>
      <c r="N110" s="135">
        <f t="shared" si="17"/>
        <v>0</v>
      </c>
      <c r="O110" s="135">
        <f t="shared" si="17"/>
        <v>0</v>
      </c>
      <c r="P110" s="135">
        <f t="shared" si="17"/>
        <v>0</v>
      </c>
      <c r="Q110" s="135">
        <f t="shared" si="17"/>
        <v>0</v>
      </c>
      <c r="R110" s="135">
        <f t="shared" si="17"/>
        <v>0</v>
      </c>
      <c r="S110" s="135">
        <f t="shared" si="17"/>
        <v>0</v>
      </c>
      <c r="T110" s="135">
        <f t="shared" si="17"/>
        <v>0</v>
      </c>
      <c r="U110" s="135">
        <f t="shared" si="17"/>
        <v>0</v>
      </c>
      <c r="V110" s="135">
        <f t="shared" si="17"/>
        <v>0</v>
      </c>
      <c r="W110" s="135">
        <f t="shared" si="17"/>
        <v>0</v>
      </c>
      <c r="X110" s="135">
        <f t="shared" si="17"/>
        <v>0</v>
      </c>
      <c r="Y110" s="135">
        <f t="shared" si="17"/>
        <v>0</v>
      </c>
      <c r="Z110" s="135">
        <f t="shared" si="17"/>
        <v>0</v>
      </c>
      <c r="AA110" s="135">
        <f t="shared" si="17"/>
        <v>0</v>
      </c>
      <c r="AB110" s="135">
        <f t="shared" si="17"/>
        <v>0</v>
      </c>
      <c r="AC110" s="135">
        <f t="shared" si="17"/>
        <v>0</v>
      </c>
      <c r="AD110" s="135">
        <f t="shared" si="17"/>
        <v>0</v>
      </c>
      <c r="AE110" s="135">
        <f t="shared" si="17"/>
        <v>0</v>
      </c>
      <c r="AF110" s="135">
        <f t="shared" si="17"/>
        <v>0</v>
      </c>
      <c r="AG110" s="135">
        <f t="shared" si="17"/>
        <v>0</v>
      </c>
      <c r="AH110" s="135">
        <f t="shared" si="17"/>
        <v>0</v>
      </c>
      <c r="AI110" s="120">
        <f t="shared" si="17"/>
        <v>0</v>
      </c>
    </row>
    <row r="111" spans="2:35" ht="15" hidden="1" customHeight="1" outlineLevel="1" x14ac:dyDescent="0.25">
      <c r="B111" s="564"/>
      <c r="C111" s="545" t="s">
        <v>394</v>
      </c>
      <c r="D111" s="545"/>
      <c r="E111" s="134">
        <f t="shared" ref="E111:AI111" si="18">E$108*E105</f>
        <v>0</v>
      </c>
      <c r="F111" s="135">
        <f t="shared" si="18"/>
        <v>0</v>
      </c>
      <c r="G111" s="135">
        <f t="shared" si="18"/>
        <v>0</v>
      </c>
      <c r="H111" s="135">
        <f t="shared" si="18"/>
        <v>0</v>
      </c>
      <c r="I111" s="135">
        <f t="shared" si="18"/>
        <v>0</v>
      </c>
      <c r="J111" s="135">
        <f t="shared" si="18"/>
        <v>0</v>
      </c>
      <c r="K111" s="135">
        <f t="shared" si="18"/>
        <v>0</v>
      </c>
      <c r="L111" s="135">
        <f t="shared" si="18"/>
        <v>0</v>
      </c>
      <c r="M111" s="135">
        <f t="shared" si="18"/>
        <v>0</v>
      </c>
      <c r="N111" s="135">
        <f t="shared" si="18"/>
        <v>0</v>
      </c>
      <c r="O111" s="135">
        <f t="shared" si="18"/>
        <v>0</v>
      </c>
      <c r="P111" s="135">
        <f t="shared" si="18"/>
        <v>0</v>
      </c>
      <c r="Q111" s="135">
        <f t="shared" si="18"/>
        <v>0</v>
      </c>
      <c r="R111" s="135">
        <f t="shared" si="18"/>
        <v>0</v>
      </c>
      <c r="S111" s="135">
        <f t="shared" si="18"/>
        <v>0</v>
      </c>
      <c r="T111" s="135">
        <f t="shared" si="18"/>
        <v>0</v>
      </c>
      <c r="U111" s="135">
        <f t="shared" si="18"/>
        <v>0</v>
      </c>
      <c r="V111" s="135">
        <f t="shared" si="18"/>
        <v>0</v>
      </c>
      <c r="W111" s="135">
        <f t="shared" si="18"/>
        <v>0</v>
      </c>
      <c r="X111" s="135">
        <f>X$108*X105</f>
        <v>0</v>
      </c>
      <c r="Y111" s="135">
        <f t="shared" si="18"/>
        <v>0</v>
      </c>
      <c r="Z111" s="135">
        <f t="shared" si="18"/>
        <v>0</v>
      </c>
      <c r="AA111" s="135">
        <f t="shared" si="18"/>
        <v>0</v>
      </c>
      <c r="AB111" s="135">
        <f t="shared" si="18"/>
        <v>0</v>
      </c>
      <c r="AC111" s="135">
        <f t="shared" si="18"/>
        <v>0</v>
      </c>
      <c r="AD111" s="135">
        <f t="shared" si="18"/>
        <v>0</v>
      </c>
      <c r="AE111" s="135">
        <f t="shared" si="18"/>
        <v>0</v>
      </c>
      <c r="AF111" s="135">
        <f t="shared" si="18"/>
        <v>0</v>
      </c>
      <c r="AG111" s="135">
        <f t="shared" si="18"/>
        <v>0</v>
      </c>
      <c r="AH111" s="135">
        <f t="shared" si="18"/>
        <v>0</v>
      </c>
      <c r="AI111" s="120">
        <f t="shared" si="18"/>
        <v>0</v>
      </c>
    </row>
    <row r="112" spans="2:35" ht="15" hidden="1" customHeight="1" outlineLevel="1" x14ac:dyDescent="0.25">
      <c r="B112" s="564"/>
      <c r="C112" s="545" t="s">
        <v>395</v>
      </c>
      <c r="D112" s="545"/>
      <c r="E112" s="134">
        <f t="shared" ref="E112:AI112" si="19">E$108*E106</f>
        <v>0</v>
      </c>
      <c r="F112" s="135">
        <f t="shared" si="19"/>
        <v>0</v>
      </c>
      <c r="G112" s="135">
        <f t="shared" si="19"/>
        <v>0</v>
      </c>
      <c r="H112" s="135">
        <f t="shared" si="19"/>
        <v>0</v>
      </c>
      <c r="I112" s="135">
        <f>I$108*I106</f>
        <v>0</v>
      </c>
      <c r="J112" s="135">
        <f t="shared" si="19"/>
        <v>0</v>
      </c>
      <c r="K112" s="135">
        <f t="shared" si="19"/>
        <v>0</v>
      </c>
      <c r="L112" s="135">
        <f t="shared" si="19"/>
        <v>0</v>
      </c>
      <c r="M112" s="135">
        <f t="shared" si="19"/>
        <v>0</v>
      </c>
      <c r="N112" s="135">
        <f t="shared" si="19"/>
        <v>0</v>
      </c>
      <c r="O112" s="135">
        <f t="shared" si="19"/>
        <v>0</v>
      </c>
      <c r="P112" s="135">
        <f t="shared" si="19"/>
        <v>0</v>
      </c>
      <c r="Q112" s="135">
        <f t="shared" si="19"/>
        <v>0</v>
      </c>
      <c r="R112" s="135">
        <f t="shared" si="19"/>
        <v>0</v>
      </c>
      <c r="S112" s="135">
        <f t="shared" si="19"/>
        <v>0</v>
      </c>
      <c r="T112" s="135">
        <f t="shared" si="19"/>
        <v>0</v>
      </c>
      <c r="U112" s="135">
        <f t="shared" si="19"/>
        <v>0</v>
      </c>
      <c r="V112" s="135">
        <f t="shared" si="19"/>
        <v>0</v>
      </c>
      <c r="W112" s="135">
        <f t="shared" si="19"/>
        <v>0</v>
      </c>
      <c r="X112" s="135">
        <f t="shared" si="19"/>
        <v>0</v>
      </c>
      <c r="Y112" s="135">
        <f t="shared" si="19"/>
        <v>0</v>
      </c>
      <c r="Z112" s="135">
        <f t="shared" si="19"/>
        <v>0</v>
      </c>
      <c r="AA112" s="135">
        <f t="shared" si="19"/>
        <v>0</v>
      </c>
      <c r="AB112" s="135">
        <f t="shared" si="19"/>
        <v>0</v>
      </c>
      <c r="AC112" s="135">
        <f t="shared" si="19"/>
        <v>0</v>
      </c>
      <c r="AD112" s="135">
        <f t="shared" si="19"/>
        <v>0</v>
      </c>
      <c r="AE112" s="135">
        <f t="shared" si="19"/>
        <v>0</v>
      </c>
      <c r="AF112" s="135">
        <f t="shared" si="19"/>
        <v>0</v>
      </c>
      <c r="AG112" s="135">
        <f t="shared" si="19"/>
        <v>0</v>
      </c>
      <c r="AH112" s="135">
        <f t="shared" si="19"/>
        <v>0</v>
      </c>
      <c r="AI112" s="120">
        <f t="shared" si="19"/>
        <v>0</v>
      </c>
    </row>
    <row r="113" spans="2:35" ht="15" hidden="1" customHeight="1" outlineLevel="1" x14ac:dyDescent="0.25">
      <c r="B113" s="564"/>
      <c r="C113" s="117"/>
      <c r="D113" s="117"/>
      <c r="E113" s="134"/>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20"/>
    </row>
    <row r="114" spans="2:35" ht="15" hidden="1" customHeight="1" outlineLevel="1" x14ac:dyDescent="0.25">
      <c r="B114" s="564"/>
      <c r="C114" s="1" t="s">
        <v>396</v>
      </c>
      <c r="D114" s="117"/>
      <c r="E114" s="134">
        <f>(E109/(1+$D$58)^(E$102-$D$69+0.5))</f>
        <v>0</v>
      </c>
      <c r="F114" s="135">
        <f>(F109/(1+$D$58)^(F$102-$D$69+0.5))</f>
        <v>0</v>
      </c>
      <c r="G114" s="135">
        <f t="shared" ref="G114:AI114" si="20">(G109/(1+$D$58)^(G$102-$D$69+0.5))</f>
        <v>0</v>
      </c>
      <c r="H114" s="135">
        <f t="shared" si="20"/>
        <v>0</v>
      </c>
      <c r="I114" s="135">
        <f t="shared" si="20"/>
        <v>0</v>
      </c>
      <c r="J114" s="135">
        <f>(J109/(1+$D$58)^(J$102-$D$69+0.5))</f>
        <v>0</v>
      </c>
      <c r="K114" s="135">
        <f t="shared" si="20"/>
        <v>0</v>
      </c>
      <c r="L114" s="135">
        <f t="shared" si="20"/>
        <v>0</v>
      </c>
      <c r="M114" s="135">
        <f t="shared" si="20"/>
        <v>0</v>
      </c>
      <c r="N114" s="135">
        <f t="shared" si="20"/>
        <v>0</v>
      </c>
      <c r="O114" s="135">
        <f t="shared" si="20"/>
        <v>0</v>
      </c>
      <c r="P114" s="135">
        <f t="shared" si="20"/>
        <v>0</v>
      </c>
      <c r="Q114" s="135">
        <f t="shared" si="20"/>
        <v>0</v>
      </c>
      <c r="R114" s="135">
        <f t="shared" si="20"/>
        <v>0</v>
      </c>
      <c r="S114" s="135">
        <f t="shared" si="20"/>
        <v>0</v>
      </c>
      <c r="T114" s="135">
        <f t="shared" si="20"/>
        <v>0</v>
      </c>
      <c r="U114" s="135">
        <f t="shared" si="20"/>
        <v>0</v>
      </c>
      <c r="V114" s="135">
        <f t="shared" si="20"/>
        <v>0</v>
      </c>
      <c r="W114" s="135">
        <f t="shared" si="20"/>
        <v>0</v>
      </c>
      <c r="X114" s="135">
        <f t="shared" si="20"/>
        <v>0</v>
      </c>
      <c r="Y114" s="135">
        <f t="shared" si="20"/>
        <v>0</v>
      </c>
      <c r="Z114" s="135">
        <f t="shared" si="20"/>
        <v>0</v>
      </c>
      <c r="AA114" s="135">
        <f t="shared" si="20"/>
        <v>0</v>
      </c>
      <c r="AB114" s="135">
        <f t="shared" si="20"/>
        <v>0</v>
      </c>
      <c r="AC114" s="135">
        <f t="shared" si="20"/>
        <v>0</v>
      </c>
      <c r="AD114" s="135">
        <f t="shared" si="20"/>
        <v>0</v>
      </c>
      <c r="AE114" s="135">
        <f t="shared" si="20"/>
        <v>0</v>
      </c>
      <c r="AF114" s="135">
        <f t="shared" si="20"/>
        <v>0</v>
      </c>
      <c r="AG114" s="135">
        <f t="shared" si="20"/>
        <v>0</v>
      </c>
      <c r="AH114" s="135">
        <f t="shared" si="20"/>
        <v>0</v>
      </c>
      <c r="AI114" s="120">
        <f t="shared" si="20"/>
        <v>0</v>
      </c>
    </row>
    <row r="115" spans="2:35" ht="15" hidden="1" customHeight="1" outlineLevel="1" x14ac:dyDescent="0.25">
      <c r="B115" s="564"/>
      <c r="C115" s="545" t="s">
        <v>397</v>
      </c>
      <c r="D115" s="545"/>
      <c r="E115" s="134">
        <f>(E110/(1+$D$58)^(E$102-$D$69+0.5))</f>
        <v>0</v>
      </c>
      <c r="F115" s="135">
        <f>(F110/(1+$D$58)^(F$102-$D$69+0.5))</f>
        <v>0</v>
      </c>
      <c r="G115" s="135">
        <f t="shared" ref="G115:AI115" si="21">(G110/(1+$D$58)^(G$102-$D$69+0.5))</f>
        <v>0</v>
      </c>
      <c r="H115" s="135">
        <f>(H110/(1+$D$58)^(H$102-$D$69+0.5))</f>
        <v>0</v>
      </c>
      <c r="I115" s="135">
        <f t="shared" si="21"/>
        <v>0</v>
      </c>
      <c r="J115" s="135">
        <f t="shared" si="21"/>
        <v>0</v>
      </c>
      <c r="K115" s="135">
        <f t="shared" si="21"/>
        <v>0</v>
      </c>
      <c r="L115" s="135">
        <f t="shared" si="21"/>
        <v>0</v>
      </c>
      <c r="M115" s="135">
        <f t="shared" si="21"/>
        <v>0</v>
      </c>
      <c r="N115" s="135">
        <f t="shared" si="21"/>
        <v>0</v>
      </c>
      <c r="O115" s="135">
        <f t="shared" si="21"/>
        <v>0</v>
      </c>
      <c r="P115" s="135">
        <f t="shared" si="21"/>
        <v>0</v>
      </c>
      <c r="Q115" s="135">
        <f t="shared" si="21"/>
        <v>0</v>
      </c>
      <c r="R115" s="135">
        <f t="shared" si="21"/>
        <v>0</v>
      </c>
      <c r="S115" s="135">
        <f t="shared" si="21"/>
        <v>0</v>
      </c>
      <c r="T115" s="135">
        <f t="shared" si="21"/>
        <v>0</v>
      </c>
      <c r="U115" s="135">
        <f t="shared" si="21"/>
        <v>0</v>
      </c>
      <c r="V115" s="135">
        <f t="shared" si="21"/>
        <v>0</v>
      </c>
      <c r="W115" s="135">
        <f t="shared" si="21"/>
        <v>0</v>
      </c>
      <c r="X115" s="135">
        <f t="shared" si="21"/>
        <v>0</v>
      </c>
      <c r="Y115" s="135">
        <f t="shared" si="21"/>
        <v>0</v>
      </c>
      <c r="Z115" s="135">
        <f t="shared" si="21"/>
        <v>0</v>
      </c>
      <c r="AA115" s="135">
        <f t="shared" si="21"/>
        <v>0</v>
      </c>
      <c r="AB115" s="135">
        <f t="shared" si="21"/>
        <v>0</v>
      </c>
      <c r="AC115" s="135">
        <f t="shared" si="21"/>
        <v>0</v>
      </c>
      <c r="AD115" s="135">
        <f t="shared" si="21"/>
        <v>0</v>
      </c>
      <c r="AE115" s="135">
        <f t="shared" si="21"/>
        <v>0</v>
      </c>
      <c r="AF115" s="135">
        <f t="shared" si="21"/>
        <v>0</v>
      </c>
      <c r="AG115" s="135">
        <f t="shared" si="21"/>
        <v>0</v>
      </c>
      <c r="AH115" s="135">
        <f t="shared" si="21"/>
        <v>0</v>
      </c>
      <c r="AI115" s="120">
        <f t="shared" si="21"/>
        <v>0</v>
      </c>
    </row>
    <row r="116" spans="2:35" ht="15" hidden="1" customHeight="1" outlineLevel="1" x14ac:dyDescent="0.25">
      <c r="B116" s="564"/>
      <c r="C116" s="545" t="s">
        <v>398</v>
      </c>
      <c r="D116" s="545"/>
      <c r="E116" s="134">
        <f>(E111/(1+$D$58)^(E$102-$D$69+0.5))</f>
        <v>0</v>
      </c>
      <c r="F116" s="135">
        <f t="shared" ref="F116:AI116" si="22">(F111/(1+$D$58)^(F$102-$D$69+0.5))</f>
        <v>0</v>
      </c>
      <c r="G116" s="135">
        <f t="shared" si="22"/>
        <v>0</v>
      </c>
      <c r="H116" s="135">
        <f t="shared" si="22"/>
        <v>0</v>
      </c>
      <c r="I116" s="135">
        <f t="shared" si="22"/>
        <v>0</v>
      </c>
      <c r="J116" s="135">
        <f t="shared" si="22"/>
        <v>0</v>
      </c>
      <c r="K116" s="135">
        <f t="shared" si="22"/>
        <v>0</v>
      </c>
      <c r="L116" s="135">
        <f t="shared" si="22"/>
        <v>0</v>
      </c>
      <c r="M116" s="135">
        <f t="shared" si="22"/>
        <v>0</v>
      </c>
      <c r="N116" s="135">
        <f t="shared" si="22"/>
        <v>0</v>
      </c>
      <c r="O116" s="135">
        <f t="shared" si="22"/>
        <v>0</v>
      </c>
      <c r="P116" s="135">
        <f t="shared" si="22"/>
        <v>0</v>
      </c>
      <c r="Q116" s="135">
        <f t="shared" si="22"/>
        <v>0</v>
      </c>
      <c r="R116" s="135">
        <f t="shared" si="22"/>
        <v>0</v>
      </c>
      <c r="S116" s="135">
        <f t="shared" si="22"/>
        <v>0</v>
      </c>
      <c r="T116" s="135">
        <f t="shared" si="22"/>
        <v>0</v>
      </c>
      <c r="U116" s="135">
        <f t="shared" si="22"/>
        <v>0</v>
      </c>
      <c r="V116" s="135">
        <f t="shared" si="22"/>
        <v>0</v>
      </c>
      <c r="W116" s="135">
        <f t="shared" si="22"/>
        <v>0</v>
      </c>
      <c r="X116" s="135">
        <f>(X111/(1+$D$58)^(X$102-$D$69+0.5))</f>
        <v>0</v>
      </c>
      <c r="Y116" s="135">
        <f t="shared" si="22"/>
        <v>0</v>
      </c>
      <c r="Z116" s="135">
        <f t="shared" si="22"/>
        <v>0</v>
      </c>
      <c r="AA116" s="135">
        <f t="shared" si="22"/>
        <v>0</v>
      </c>
      <c r="AB116" s="135">
        <f t="shared" si="22"/>
        <v>0</v>
      </c>
      <c r="AC116" s="135">
        <f t="shared" si="22"/>
        <v>0</v>
      </c>
      <c r="AD116" s="135">
        <f t="shared" si="22"/>
        <v>0</v>
      </c>
      <c r="AE116" s="135">
        <f t="shared" si="22"/>
        <v>0</v>
      </c>
      <c r="AF116" s="135">
        <f t="shared" si="22"/>
        <v>0</v>
      </c>
      <c r="AG116" s="135">
        <f t="shared" si="22"/>
        <v>0</v>
      </c>
      <c r="AH116" s="135">
        <f t="shared" si="22"/>
        <v>0</v>
      </c>
      <c r="AI116" s="120">
        <f t="shared" si="22"/>
        <v>0</v>
      </c>
    </row>
    <row r="117" spans="2:35" ht="15" hidden="1" customHeight="1" outlineLevel="1" thickBot="1" x14ac:dyDescent="0.3">
      <c r="B117" s="565"/>
      <c r="C117" s="566" t="s">
        <v>399</v>
      </c>
      <c r="D117" s="566"/>
      <c r="E117" s="136">
        <f>(E112/(1+$D$58)^(E$102-$D$69+0.5))</f>
        <v>0</v>
      </c>
      <c r="F117" s="121">
        <f t="shared" ref="F117:AI117" si="23">(F112/(1+$D$58)^(F$102-$D$69+0.5))</f>
        <v>0</v>
      </c>
      <c r="G117" s="121">
        <f t="shared" si="23"/>
        <v>0</v>
      </c>
      <c r="H117" s="121">
        <f t="shared" si="23"/>
        <v>0</v>
      </c>
      <c r="I117" s="121">
        <f>(I112/(1+$D$58)^(I$102-$D$69+0.5))</f>
        <v>0</v>
      </c>
      <c r="J117" s="121">
        <f t="shared" si="23"/>
        <v>0</v>
      </c>
      <c r="K117" s="121">
        <f t="shared" si="23"/>
        <v>0</v>
      </c>
      <c r="L117" s="121">
        <f t="shared" si="23"/>
        <v>0</v>
      </c>
      <c r="M117" s="121">
        <f t="shared" si="23"/>
        <v>0</v>
      </c>
      <c r="N117" s="121">
        <f t="shared" si="23"/>
        <v>0</v>
      </c>
      <c r="O117" s="121">
        <f t="shared" si="23"/>
        <v>0</v>
      </c>
      <c r="P117" s="121">
        <f t="shared" si="23"/>
        <v>0</v>
      </c>
      <c r="Q117" s="121">
        <f t="shared" si="23"/>
        <v>0</v>
      </c>
      <c r="R117" s="121">
        <f t="shared" si="23"/>
        <v>0</v>
      </c>
      <c r="S117" s="121">
        <f t="shared" si="23"/>
        <v>0</v>
      </c>
      <c r="T117" s="121">
        <f t="shared" si="23"/>
        <v>0</v>
      </c>
      <c r="U117" s="121">
        <f t="shared" si="23"/>
        <v>0</v>
      </c>
      <c r="V117" s="121">
        <f t="shared" si="23"/>
        <v>0</v>
      </c>
      <c r="W117" s="121">
        <f t="shared" si="23"/>
        <v>0</v>
      </c>
      <c r="X117" s="121">
        <f t="shared" si="23"/>
        <v>0</v>
      </c>
      <c r="Y117" s="121">
        <f t="shared" si="23"/>
        <v>0</v>
      </c>
      <c r="Z117" s="121">
        <f t="shared" si="23"/>
        <v>0</v>
      </c>
      <c r="AA117" s="121">
        <f t="shared" si="23"/>
        <v>0</v>
      </c>
      <c r="AB117" s="121">
        <f t="shared" si="23"/>
        <v>0</v>
      </c>
      <c r="AC117" s="121">
        <f t="shared" si="23"/>
        <v>0</v>
      </c>
      <c r="AD117" s="121">
        <f t="shared" si="23"/>
        <v>0</v>
      </c>
      <c r="AE117" s="121">
        <f t="shared" si="23"/>
        <v>0</v>
      </c>
      <c r="AF117" s="121">
        <f t="shared" si="23"/>
        <v>0</v>
      </c>
      <c r="AG117" s="121">
        <f t="shared" si="23"/>
        <v>0</v>
      </c>
      <c r="AH117" s="121">
        <f t="shared" si="23"/>
        <v>0</v>
      </c>
      <c r="AI117" s="122">
        <f t="shared" si="23"/>
        <v>0</v>
      </c>
    </row>
    <row r="118" spans="2:35" ht="15" hidden="1" customHeight="1" outlineLevel="1" x14ac:dyDescent="0.25">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row>
    <row r="119" spans="2:35" ht="15" hidden="1" customHeight="1" outlineLevel="1" x14ac:dyDescent="0.25">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row>
    <row r="120" spans="2:35" ht="15" hidden="1" customHeight="1" outlineLevel="1" collapsed="1" x14ac:dyDescent="0.25">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row>
    <row r="121" spans="2:35" ht="15" customHeight="1" collapsed="1" x14ac:dyDescent="0.25">
      <c r="E121" s="556" t="s">
        <v>400</v>
      </c>
      <c r="F121" s="556"/>
      <c r="G121" s="60"/>
      <c r="H121" s="60"/>
      <c r="I121" s="124"/>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row>
    <row r="122" spans="2:35" x14ac:dyDescent="0.25">
      <c r="E122" s="99" t="s">
        <v>350</v>
      </c>
      <c r="F122" s="99" t="s">
        <v>351</v>
      </c>
      <c r="G122" s="363" t="s">
        <v>863</v>
      </c>
      <c r="H122" s="60"/>
      <c r="I122" s="124"/>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row>
    <row r="123" spans="2:35" ht="15" customHeight="1" outlineLevel="1" x14ac:dyDescent="0.25">
      <c r="C123" s="559" t="str">
        <f>_xlfn.CONCAT("NPV cost from new device annual refrigerant leakage during measure life (",'ACC Inputs'!$G$7,"$)")</f>
        <v>NPV cost from new device annual refrigerant leakage during measure life (2022$)</v>
      </c>
      <c r="D123" s="560"/>
      <c r="E123" s="101">
        <f>SUM(E96:AI96)*(1+'ACC Inputs'!$I$7)^('ACC Inputs'!$G$7 - $D$53)</f>
        <v>0</v>
      </c>
      <c r="F123" s="101">
        <f>SUM(E114:AI114)*(1+'ACC Inputs'!$I$7)^('ACC Inputs'!$G$7 - $D$53)</f>
        <v>0</v>
      </c>
      <c r="G123" s="363" t="s">
        <v>864</v>
      </c>
      <c r="I123" s="116"/>
      <c r="J123" s="116"/>
      <c r="K123" s="116"/>
      <c r="L123" s="116"/>
      <c r="M123" s="116"/>
      <c r="N123" s="60"/>
      <c r="O123" s="60"/>
      <c r="P123" s="60"/>
      <c r="Q123" s="60"/>
      <c r="R123" s="60"/>
      <c r="S123" s="60"/>
      <c r="T123" s="60"/>
      <c r="U123" s="60"/>
      <c r="V123" s="60"/>
      <c r="W123" s="60"/>
      <c r="X123" s="60"/>
      <c r="Y123" s="60"/>
      <c r="Z123" s="60"/>
      <c r="AA123" s="60"/>
      <c r="AB123" s="60"/>
      <c r="AC123" s="60"/>
      <c r="AD123" s="60"/>
      <c r="AE123" s="60"/>
      <c r="AF123" s="60"/>
      <c r="AG123" s="60"/>
      <c r="AH123" s="60"/>
      <c r="AI123" s="60"/>
    </row>
    <row r="124" spans="2:35" ht="15" customHeight="1" outlineLevel="1" x14ac:dyDescent="0.25">
      <c r="C124" s="559" t="str">
        <f>_xlfn.CONCAT("NPV cost from existing device annual refrigerant leakage during measure life (",'ACC Inputs'!$G$7,"$)")</f>
        <v>NPV cost from existing device annual refrigerant leakage during measure life (2022$)</v>
      </c>
      <c r="D124" s="560"/>
      <c r="E124" s="101">
        <f>SUM(E97:AI97)*(1+'ACC Inputs'!$I$7)^('ACC Inputs'!$G$7 - $D$53)</f>
        <v>0</v>
      </c>
      <c r="F124" s="101">
        <f>SUM(E115:AI115)*(1+'ACC Inputs'!$I$7)^('ACC Inputs'!$G$7 - $D$53)</f>
        <v>0</v>
      </c>
      <c r="G124" s="165"/>
      <c r="I124" s="116"/>
      <c r="J124" s="116"/>
      <c r="K124" s="116"/>
      <c r="L124" s="116"/>
      <c r="M124" s="116"/>
      <c r="N124" s="60"/>
      <c r="O124" s="60"/>
      <c r="P124" s="60"/>
      <c r="Q124" s="60"/>
      <c r="R124" s="60"/>
      <c r="S124" s="60"/>
      <c r="T124" s="60"/>
      <c r="U124" s="60"/>
      <c r="V124" s="60"/>
      <c r="W124" s="60"/>
      <c r="X124" s="60"/>
      <c r="Y124" s="60"/>
      <c r="Z124" s="60"/>
      <c r="AA124" s="60"/>
      <c r="AB124" s="60"/>
      <c r="AC124" s="60"/>
      <c r="AD124" s="60"/>
      <c r="AE124" s="60"/>
      <c r="AF124" s="60"/>
      <c r="AG124" s="60"/>
      <c r="AH124" s="60"/>
      <c r="AI124" s="60"/>
    </row>
    <row r="125" spans="2:35" ht="15" customHeight="1" outlineLevel="1" x14ac:dyDescent="0.25">
      <c r="C125" s="559" t="str">
        <f xml:space="preserve"> _xlfn.CONCAT("NPV cost from new device end-of-life refrigerant leakage* (",'ACC Inputs'!$G$7,"$)")</f>
        <v>NPV cost from new device end-of-life refrigerant leakage* (2022$)</v>
      </c>
      <c r="D125" s="560"/>
      <c r="E125" s="101">
        <f>SUM($D$72:$D$73)*SUM(E98:AI98)*(1+'ACC Inputs'!$I$7)^('ACC Inputs'!$G$7 - $D$53)</f>
        <v>0</v>
      </c>
      <c r="F125" s="101">
        <f>SUM($G$72:$G$73)*SUM(E116:AI116)*(1+'ACC Inputs'!$I$7)^('ACC Inputs'!$G$7 - $D$53)</f>
        <v>0</v>
      </c>
      <c r="G125" s="363" t="s">
        <v>865</v>
      </c>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row>
    <row r="126" spans="2:35" ht="15" customHeight="1" outlineLevel="1" x14ac:dyDescent="0.25">
      <c r="C126" s="559" t="str">
        <f xml:space="preserve"> _xlfn.CONCAT("NPV cost from existing device end-of-life refrigerant leakage* (",'ACC Inputs'!$G$7,"$)")</f>
        <v>NPV cost from existing device end-of-life refrigerant leakage* (2022$)</v>
      </c>
      <c r="D126" s="560"/>
      <c r="E126" s="101">
        <f>SUM($E$72:$E$73)*SUM(E99:AI99)*(1+'ACC Inputs'!$I$7)^('ACC Inputs'!$G$7 - $D$53)</f>
        <v>0</v>
      </c>
      <c r="F126" s="101">
        <f>SUM($H$72:$H$73)*SUM(E117:AI117)*(1+'ACC Inputs'!$I$7)^('ACC Inputs'!$G$7 - $D$53)</f>
        <v>0</v>
      </c>
      <c r="G126" s="363" t="s">
        <v>866</v>
      </c>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row>
    <row r="127" spans="2:35" ht="15" customHeight="1" x14ac:dyDescent="0.25">
      <c r="C127" s="559" t="str">
        <f>_xlfn.CONCAT("Total NPV cost with respect to measure start year (",'ACC Inputs'!$G$7, "$)")</f>
        <v>Total NPV cost with respect to measure start year (2022$)</v>
      </c>
      <c r="D127" s="560"/>
      <c r="E127" s="102">
        <f>SUM(E123:E126)</f>
        <v>0</v>
      </c>
      <c r="F127" s="102">
        <f>SUM(F123:F126)</f>
        <v>0</v>
      </c>
      <c r="G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row>
    <row r="128" spans="2:35" ht="15" customHeight="1" x14ac:dyDescent="0.25">
      <c r="C128" s="561" t="s">
        <v>401</v>
      </c>
      <c r="D128" s="561"/>
      <c r="E128" s="561"/>
      <c r="F128" s="561"/>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row>
    <row r="129" spans="3:35" ht="15" customHeight="1" x14ac:dyDescent="0.25">
      <c r="C129" s="562"/>
      <c r="D129" s="562"/>
      <c r="E129" s="562"/>
      <c r="F129" s="562"/>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row>
    <row r="130" spans="3:35" outlineLevel="1" x14ac:dyDescent="0.25"/>
    <row r="131" spans="3:35" x14ac:dyDescent="0.25">
      <c r="E131" s="557" t="str">
        <f>_xlfn.CONCAT("Total NPV Avoided Cost (",'ACC Inputs'!$G$7,"$)")</f>
        <v>Total NPV Avoided Cost (2022$)</v>
      </c>
      <c r="F131" s="557"/>
    </row>
    <row r="132" spans="3:35" x14ac:dyDescent="0.25">
      <c r="E132" s="558">
        <f>F127-E127</f>
        <v>0</v>
      </c>
      <c r="F132" s="558"/>
    </row>
  </sheetData>
  <sheetProtection algorithmName="SHA-512" hashValue="9iLdiaLXnxnY+eucuTSoaXPNN09W1S4vYWknblZ79rzhJzMQSJZ8Xi3d4QxMShoE5R6ozuxCRo7XSLR974KxBQ==" saltValue="2ZqYWA3Jd46YsMBhhn/1Hw==" spinCount="100000" sheet="1" objects="1" scenarios="1" formatColumns="0" formatRows="0"/>
  <mergeCells count="52">
    <mergeCell ref="J26:K26"/>
    <mergeCell ref="C117:D117"/>
    <mergeCell ref="D53:H53"/>
    <mergeCell ref="D54:H54"/>
    <mergeCell ref="G31:G35"/>
    <mergeCell ref="H31:H35"/>
    <mergeCell ref="D57:H57"/>
    <mergeCell ref="D26:H26"/>
    <mergeCell ref="D31:D35"/>
    <mergeCell ref="E31:E35"/>
    <mergeCell ref="C86:D86"/>
    <mergeCell ref="D29:E29"/>
    <mergeCell ref="C103:D103"/>
    <mergeCell ref="C112:D112"/>
    <mergeCell ref="B103:B117"/>
    <mergeCell ref="B85:B99"/>
    <mergeCell ref="C97:D97"/>
    <mergeCell ref="C98:D98"/>
    <mergeCell ref="C99:D99"/>
    <mergeCell ref="C115:D115"/>
    <mergeCell ref="C116:D116"/>
    <mergeCell ref="C87:D87"/>
    <mergeCell ref="C88:D88"/>
    <mergeCell ref="C89:D89"/>
    <mergeCell ref="C90:D90"/>
    <mergeCell ref="C91:D91"/>
    <mergeCell ref="C92:D92"/>
    <mergeCell ref="C106:D106"/>
    <mergeCell ref="C107:D107"/>
    <mergeCell ref="C85:D85"/>
    <mergeCell ref="E121:F121"/>
    <mergeCell ref="E131:F131"/>
    <mergeCell ref="E132:F132"/>
    <mergeCell ref="C127:D127"/>
    <mergeCell ref="C126:D126"/>
    <mergeCell ref="C125:D125"/>
    <mergeCell ref="C124:D124"/>
    <mergeCell ref="C123:D123"/>
    <mergeCell ref="C128:F129"/>
    <mergeCell ref="M28:M31"/>
    <mergeCell ref="C108:D108"/>
    <mergeCell ref="C109:D109"/>
    <mergeCell ref="C110:D110"/>
    <mergeCell ref="C111:D111"/>
    <mergeCell ref="C93:D93"/>
    <mergeCell ref="C94:D94"/>
    <mergeCell ref="G29:H29"/>
    <mergeCell ref="D56:H56"/>
    <mergeCell ref="D58:H58"/>
    <mergeCell ref="D60:H60"/>
    <mergeCell ref="C104:D104"/>
    <mergeCell ref="C105:D105"/>
  </mergeCells>
  <conditionalFormatting sqref="A85:XFD85 A86:A88 C86:XFD88 E90:AI94 E96:AI99 C103:D104 E103:AI106 E108:AI112 E114:AI117">
    <cfRule type="expression" dxfId="13" priority="72">
      <formula>A$84&gt;$D$54</formula>
    </cfRule>
    <cfRule type="expression" dxfId="12" priority="73">
      <formula>A$84&gt;=$D$53</formula>
    </cfRule>
  </conditionalFormatting>
  <conditionalFormatting sqref="C57">
    <cfRule type="expression" dxfId="11" priority="54">
      <formula>$D$56&lt;&gt;"User-specified"</formula>
    </cfRule>
  </conditionalFormatting>
  <conditionalFormatting sqref="D38">
    <cfRule type="expression" dxfId="10" priority="60">
      <formula>$D$37="ARB average"</formula>
    </cfRule>
  </conditionalFormatting>
  <conditionalFormatting sqref="D53:D54">
    <cfRule type="colorScale" priority="41">
      <colorScale>
        <cfvo type="formula" val="($D$37=&quot;ARB average&quot;)"/>
        <cfvo type="formula" val="($D$37=&quot;User-specified&quot;)"/>
        <color theme="0" tint="-0.14999847407452621"/>
        <color theme="5" tint="0.79998168889431442"/>
      </colorScale>
    </cfRule>
  </conditionalFormatting>
  <conditionalFormatting sqref="D57">
    <cfRule type="expression" dxfId="9" priority="56">
      <formula>$D$56&lt;&gt;"User-specified"</formula>
    </cfRule>
  </conditionalFormatting>
  <conditionalFormatting sqref="D58">
    <cfRule type="colorScale" priority="55">
      <colorScale>
        <cfvo type="formula" val="($D$37=&quot;ARB average&quot;)"/>
        <cfvo type="formula" val="($D$37=&quot;User-specified&quot;)"/>
        <color theme="0" tint="-0.14999847407452621"/>
        <color theme="5" tint="0.79998168889431442"/>
      </colorScale>
    </cfRule>
  </conditionalFormatting>
  <conditionalFormatting sqref="D46:E46">
    <cfRule type="expression" dxfId="8" priority="3">
      <formula>D$45="ARB average"</formula>
    </cfRule>
  </conditionalFormatting>
  <conditionalFormatting sqref="D50:E50">
    <cfRule type="expression" dxfId="7" priority="7">
      <formula>D$49 &lt;&gt; "User Specified"</formula>
    </cfRule>
  </conditionalFormatting>
  <conditionalFormatting sqref="E38">
    <cfRule type="expression" dxfId="6" priority="17">
      <formula>$E$37="ARB average"</formula>
    </cfRule>
  </conditionalFormatting>
  <conditionalFormatting sqref="E42">
    <cfRule type="colorScale" priority="11">
      <colorScale>
        <cfvo type="formula" val="($D$37=&quot;ARB average&quot;)"/>
        <cfvo type="formula" val="($D$37=&quot;User-specified&quot;)"/>
        <color theme="0" tint="-0.14999847407452621"/>
        <color theme="5" tint="0.79998168889431442"/>
      </colorScale>
    </cfRule>
  </conditionalFormatting>
  <conditionalFormatting sqref="G38">
    <cfRule type="expression" dxfId="5" priority="49">
      <formula>$G$37="ARB average"</formula>
    </cfRule>
  </conditionalFormatting>
  <conditionalFormatting sqref="G47">
    <cfRule type="colorScale" priority="43">
      <colorScale>
        <cfvo type="formula" val="($D$37=&quot;ARB average&quot;)"/>
        <cfvo type="formula" val="($D$37=&quot;User-specified&quot;)"/>
        <color theme="0" tint="-0.14999847407452621"/>
        <color theme="5" tint="0.79998168889431442"/>
      </colorScale>
    </cfRule>
  </conditionalFormatting>
  <conditionalFormatting sqref="G42:H42">
    <cfRule type="colorScale" priority="38">
      <colorScale>
        <cfvo type="formula" val="($D$37=&quot;ARB average&quot;)"/>
        <cfvo type="formula" val="($D$37=&quot;User-specified&quot;)"/>
        <color theme="0" tint="-0.14999847407452621"/>
        <color theme="5" tint="0.79998168889431442"/>
      </colorScale>
    </cfRule>
  </conditionalFormatting>
  <conditionalFormatting sqref="G43:H43">
    <cfRule type="colorScale" priority="37">
      <colorScale>
        <cfvo type="formula" val="($D$37=&quot;ARB average&quot;)"/>
        <cfvo type="formula" val="($D$37=&quot;User-specified&quot;)"/>
        <color theme="0" tint="-0.14999847407452621"/>
        <color theme="5" tint="0.79998168889431442"/>
      </colorScale>
    </cfRule>
  </conditionalFormatting>
  <conditionalFormatting sqref="G46:H46">
    <cfRule type="expression" dxfId="4" priority="5">
      <formula>G$45="ARB average"</formula>
    </cfRule>
  </conditionalFormatting>
  <conditionalFormatting sqref="G50:H50">
    <cfRule type="expression" dxfId="3" priority="6">
      <formula>G$49 &lt;&gt; "User Specified"</formula>
    </cfRule>
  </conditionalFormatting>
  <conditionalFormatting sqref="H38">
    <cfRule type="expression" dxfId="2" priority="45">
      <formula>$H$37="ARB average"</formula>
    </cfRule>
  </conditionalFormatting>
  <conditionalFormatting sqref="H47">
    <cfRule type="colorScale" priority="42">
      <colorScale>
        <cfvo type="formula" val="($D$37=&quot;ARB average&quot;)"/>
        <cfvo type="formula" val="($D$37=&quot;User-specified&quot;)"/>
        <color theme="0" tint="-0.14999847407452621"/>
        <color theme="5" tint="0.79998168889431442"/>
      </colorScale>
    </cfRule>
  </conditionalFormatting>
  <dataValidations count="3">
    <dataValidation type="list" allowBlank="1" showInputMessage="1" showErrorMessage="1" sqref="D56" xr:uid="{30C8A789-9528-49A2-8254-AE185DEC432B}">
      <formula1>$O$47:$O$50</formula1>
    </dataValidation>
    <dataValidation type="list" allowBlank="1" showInputMessage="1" showErrorMessage="1" sqref="D60" xr:uid="{FA21C730-7E16-499D-9756-4FBCE334E528}">
      <formula1>"20-yr, 100-yr"</formula1>
    </dataValidation>
    <dataValidation type="list" allowBlank="1" showInputMessage="1" showErrorMessage="1" sqref="D37:E37 G37 D45:E45 G45" xr:uid="{BD4CC998-259A-4AE2-8167-A071A7845CF5}">
      <formula1>$N$33:$N$34</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00000000-000E-0000-0100-000008000000}">
            <xm:f>$D$26='ACC Inputs'!$B$7</xm:f>
            <x14:dxf>
              <font>
                <b val="0"/>
                <i/>
                <color theme="0"/>
              </font>
              <fill>
                <patternFill>
                  <bgColor theme="0"/>
                </patternFill>
              </fill>
              <border>
                <left/>
                <right/>
                <top/>
                <bottom/>
              </border>
            </x14:dxf>
          </x14:cfRule>
          <xm:sqref>E30:E50 H30:H50 E68:E79 H68:H79</xm:sqref>
        </x14:conditionalFormatting>
        <x14:conditionalFormatting xmlns:xm="http://schemas.microsoft.com/office/excel/2006/main">
          <x14:cfRule type="expression" priority="2" id="{00000000-000E-0000-0100-000007000000}">
            <xm:f>$D$26='ACC Inputs'!$B$7</xm:f>
            <x14:dxf>
              <font>
                <b val="0"/>
                <i/>
                <color theme="0"/>
              </font>
              <fill>
                <patternFill>
                  <bgColor theme="0"/>
                </patternFill>
              </fill>
              <border>
                <left style="thin">
                  <color auto="1"/>
                </left>
                <right/>
                <top/>
                <bottom/>
              </border>
            </x14:dxf>
          </x14:cfRule>
          <xm:sqref>E31:E35 H31:H35 E37 H37 E39 H39 E41:E43 H41:H43 E45:E47 H45:H47 E49:E50 H49:H50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5C3A25-1B2B-4EE0-AAC1-41CBB4802CBB}">
          <x14:formula1>
            <xm:f>'Refrigerant GWPs'!$A$2:$A$155</xm:f>
          </x14:formula1>
          <xm:sqref>D49:E49 G49</xm:sqref>
        </x14:dataValidation>
        <x14:dataValidation type="list" allowBlank="1" showInputMessage="1" showErrorMessage="1" xr:uid="{0480D1C2-914E-49FB-A80F-CF93F1FF92BF}">
          <x14:formula1>
            <xm:f>'Refrigerant Leakage'!$B$2:$B$41</xm:f>
          </x14:formula1>
          <xm:sqref>D31:D35 G31:G35</xm:sqref>
        </x14:dataValidation>
        <x14:dataValidation type="list" allowBlank="1" showInputMessage="1" showErrorMessage="1" xr:uid="{C47331CC-3636-45B9-B34E-3996D1172895}">
          <x14:formula1>
            <xm:f>'ACC Inputs'!$B$7:$B$8</xm:f>
          </x14:formula1>
          <xm:sqref>D26:H26</xm:sqref>
        </x14:dataValidation>
        <x14:dataValidation type="list" allowBlank="1" showInputMessage="1" showErrorMessage="1" xr:uid="{CDFF0C38-27E9-49AE-B912-4775CC6D30BC}">
          <x14:formula1>
            <xm:f>IF($D$26 &lt;&gt; "Normal Replacement", 'Refrigerant Leakage'!$B$2:$B$41, 'Refrigerant Leakage'!$B$41)</xm:f>
          </x14:formula1>
          <xm:sqref>E31:E35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2442-6A52-4346-8C34-DA99EE1ABA6A}">
  <sheetPr codeName="Sheet9">
    <tabColor theme="7" tint="0.79998168889431442"/>
  </sheetPr>
  <dimension ref="B2:AI12"/>
  <sheetViews>
    <sheetView workbookViewId="0"/>
  </sheetViews>
  <sheetFormatPr defaultColWidth="10.85546875" defaultRowHeight="15" x14ac:dyDescent="0.25"/>
  <cols>
    <col min="1" max="1" width="10.85546875" style="1"/>
    <col min="2" max="2" width="38.85546875" style="1" customWidth="1"/>
    <col min="3" max="3" width="17.5703125" style="1" customWidth="1"/>
    <col min="4" max="4" width="12.42578125" style="1" customWidth="1"/>
    <col min="5" max="5" width="13.5703125" style="1" customWidth="1"/>
    <col min="6" max="16384" width="10.85546875" style="1"/>
  </cols>
  <sheetData>
    <row r="2" spans="2:35" x14ac:dyDescent="0.25">
      <c r="B2" s="62"/>
      <c r="D2" s="62" t="s">
        <v>402</v>
      </c>
    </row>
    <row r="3" spans="2:35" x14ac:dyDescent="0.25">
      <c r="B3" s="62"/>
      <c r="D3" s="49">
        <v>2021</v>
      </c>
      <c r="E3" s="50">
        <v>2022</v>
      </c>
      <c r="F3" s="50">
        <v>2023</v>
      </c>
      <c r="G3" s="50">
        <v>2024</v>
      </c>
      <c r="H3" s="50">
        <v>2025</v>
      </c>
      <c r="I3" s="50">
        <v>2026</v>
      </c>
      <c r="J3" s="50">
        <v>2027</v>
      </c>
      <c r="K3" s="50">
        <v>2028</v>
      </c>
      <c r="L3" s="50">
        <v>2029</v>
      </c>
      <c r="M3" s="50">
        <v>2030</v>
      </c>
      <c r="N3" s="50">
        <v>2031</v>
      </c>
      <c r="O3" s="50">
        <v>2032</v>
      </c>
      <c r="P3" s="50">
        <v>2033</v>
      </c>
      <c r="Q3" s="50">
        <v>2034</v>
      </c>
      <c r="R3" s="50">
        <v>2035</v>
      </c>
      <c r="S3" s="50">
        <v>2036</v>
      </c>
      <c r="T3" s="50">
        <v>2037</v>
      </c>
      <c r="U3" s="50">
        <v>2038</v>
      </c>
      <c r="V3" s="50">
        <v>2039</v>
      </c>
      <c r="W3" s="50">
        <v>2040</v>
      </c>
      <c r="X3" s="50">
        <v>2041</v>
      </c>
      <c r="Y3" s="50">
        <v>2042</v>
      </c>
      <c r="Z3" s="50">
        <v>2043</v>
      </c>
      <c r="AA3" s="50">
        <v>2044</v>
      </c>
      <c r="AB3" s="50">
        <v>2045</v>
      </c>
      <c r="AC3" s="50">
        <v>2046</v>
      </c>
      <c r="AD3" s="50">
        <v>2047</v>
      </c>
      <c r="AE3" s="50">
        <v>2048</v>
      </c>
      <c r="AF3" s="50">
        <v>2049</v>
      </c>
      <c r="AG3" s="50">
        <v>2050</v>
      </c>
      <c r="AH3" s="50">
        <v>2051</v>
      </c>
      <c r="AI3" s="51">
        <v>2052</v>
      </c>
    </row>
    <row r="4" spans="2:35" ht="18" customHeight="1" x14ac:dyDescent="0.25">
      <c r="C4" s="52" t="s">
        <v>403</v>
      </c>
      <c r="D4" s="206">
        <v>122.57659999999998</v>
      </c>
      <c r="E4" s="207">
        <v>131.79844620666665</v>
      </c>
      <c r="F4" s="207">
        <v>141.7140826429482</v>
      </c>
      <c r="G4" s="207">
        <v>152.37570546045268</v>
      </c>
      <c r="H4" s="207">
        <v>163.83943770126069</v>
      </c>
      <c r="I4" s="207">
        <v>176.16562473098554</v>
      </c>
      <c r="J4" s="207">
        <v>189.4191518982467</v>
      </c>
      <c r="K4" s="207">
        <v>203.66978609272476</v>
      </c>
      <c r="L4" s="207">
        <v>218.99254299976741</v>
      </c>
      <c r="M4" s="207">
        <v>235.46808198478325</v>
      </c>
      <c r="N4" s="207">
        <v>253.1831306861051</v>
      </c>
      <c r="O4" s="207">
        <v>272.23094155138972</v>
      </c>
      <c r="P4" s="207">
        <v>292.71178272077259</v>
      </c>
      <c r="Q4" s="207">
        <v>314.73346584079871</v>
      </c>
      <c r="R4" s="207">
        <v>338.41191358755475</v>
      </c>
      <c r="S4" s="207">
        <v>363.87176988645848</v>
      </c>
      <c r="T4" s="207">
        <v>391.24705604091633</v>
      </c>
      <c r="U4" s="207">
        <v>420.68187622372795</v>
      </c>
      <c r="V4" s="207">
        <v>452.3311760449597</v>
      </c>
      <c r="W4" s="207">
        <v>486.36155818940881</v>
      </c>
      <c r="X4" s="207">
        <v>522.95215941719187</v>
      </c>
      <c r="Y4" s="207">
        <v>562.29559354401204</v>
      </c>
      <c r="Z4" s="207">
        <v>604.5989653649732</v>
      </c>
      <c r="AA4" s="207">
        <v>650.0849608592647</v>
      </c>
      <c r="AB4" s="207">
        <v>698.99301941457657</v>
      </c>
      <c r="AC4" s="207">
        <v>751.58059424186649</v>
      </c>
      <c r="AD4" s="207">
        <v>808.12450761532966</v>
      </c>
      <c r="AE4" s="207">
        <v>868.92240807158953</v>
      </c>
      <c r="AF4" s="207">
        <v>934.29433723884199</v>
      </c>
      <c r="AG4" s="208">
        <v>1004.5844145437777</v>
      </c>
      <c r="AH4" s="208">
        <v>1080.162648664621</v>
      </c>
      <c r="AI4" s="209">
        <v>1161.4268852658229</v>
      </c>
    </row>
    <row r="5" spans="2:35" ht="23.1" customHeight="1" x14ac:dyDescent="0.25">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row>
    <row r="6" spans="2:35" ht="45" x14ac:dyDescent="0.25">
      <c r="B6" s="92" t="s">
        <v>404</v>
      </c>
      <c r="E6" s="56" t="s">
        <v>241</v>
      </c>
      <c r="G6" s="137" t="s">
        <v>60</v>
      </c>
      <c r="I6" s="139" t="s">
        <v>405</v>
      </c>
    </row>
    <row r="7" spans="2:35" x14ac:dyDescent="0.25">
      <c r="B7" s="90" t="s">
        <v>406</v>
      </c>
      <c r="D7" s="1" t="s">
        <v>236</v>
      </c>
      <c r="E7" s="53">
        <v>7.3400000000000007E-2</v>
      </c>
      <c r="G7" s="138">
        <v>2022</v>
      </c>
      <c r="I7" s="140">
        <v>0.02</v>
      </c>
    </row>
    <row r="8" spans="2:35" x14ac:dyDescent="0.25">
      <c r="B8" s="91" t="s">
        <v>348</v>
      </c>
      <c r="D8" s="1" t="s">
        <v>237</v>
      </c>
      <c r="E8" s="53">
        <v>7.6799999999999993E-2</v>
      </c>
    </row>
    <row r="9" spans="2:35" x14ac:dyDescent="0.25">
      <c r="B9" s="123"/>
      <c r="D9" s="1" t="s">
        <v>238</v>
      </c>
      <c r="E9" s="53">
        <v>7.5499999999999998E-2</v>
      </c>
    </row>
    <row r="12" spans="2:35" x14ac:dyDescent="0.25">
      <c r="B12" s="62"/>
    </row>
  </sheetData>
  <sheetProtection algorithmName="SHA-512" hashValue="lG1G8o5NXPMiSQ0IZfHxMZKxPXzBSiefYKYaRSp/D0/EMO0yHFjmTyzFTKKUJQLr4jO8Z1FPqucqBAv8LMcyoA==" saltValue="Fp/WiAhzagfnl/UD4L5Fqw=="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F21-17A6-5B4B-98B7-48E2F05EDD4F}">
  <sheetPr codeName="Sheet16">
    <tabColor theme="7" tint="0.79998168889431442"/>
  </sheetPr>
  <dimension ref="A1:I41"/>
  <sheetViews>
    <sheetView topLeftCell="A20" workbookViewId="0">
      <selection activeCell="D28" sqref="D28"/>
    </sheetView>
  </sheetViews>
  <sheetFormatPr defaultColWidth="11.42578125" defaultRowHeight="15" x14ac:dyDescent="0.25"/>
  <cols>
    <col min="1" max="1" width="27.42578125" bestFit="1" customWidth="1"/>
    <col min="2" max="2" width="48.42578125" customWidth="1"/>
    <col min="3" max="3" width="18.42578125" bestFit="1" customWidth="1"/>
    <col min="4" max="4" width="18.42578125" customWidth="1"/>
    <col min="5" max="5" width="19.42578125" customWidth="1"/>
    <col min="6" max="6" width="27.42578125" customWidth="1"/>
    <col min="7" max="7" width="29.42578125" customWidth="1"/>
    <col min="8" max="9" width="14.42578125" customWidth="1"/>
  </cols>
  <sheetData>
    <row r="1" spans="1:9" ht="75" x14ac:dyDescent="0.25">
      <c r="A1" s="3" t="s">
        <v>407</v>
      </c>
      <c r="B1" s="3" t="s">
        <v>408</v>
      </c>
      <c r="C1" s="3" t="s">
        <v>409</v>
      </c>
      <c r="D1" s="3" t="s">
        <v>410</v>
      </c>
      <c r="E1" s="3" t="s">
        <v>411</v>
      </c>
      <c r="F1" s="3" t="s">
        <v>412</v>
      </c>
      <c r="G1" s="3" t="s">
        <v>413</v>
      </c>
      <c r="H1" s="3" t="s">
        <v>414</v>
      </c>
      <c r="I1" s="3" t="s">
        <v>415</v>
      </c>
    </row>
    <row r="2" spans="1:9" x14ac:dyDescent="0.25">
      <c r="A2" s="579" t="s">
        <v>416</v>
      </c>
      <c r="B2" s="4" t="s">
        <v>417</v>
      </c>
      <c r="C2" s="5">
        <v>15</v>
      </c>
      <c r="D2" s="6">
        <v>3352</v>
      </c>
      <c r="E2" s="7">
        <v>0.24199999999999999</v>
      </c>
      <c r="F2" s="7">
        <v>0.2</v>
      </c>
      <c r="G2" s="5">
        <v>0</v>
      </c>
      <c r="H2" s="8">
        <f>(E2*C2+F2*(1-E2*G2))</f>
        <v>3.83</v>
      </c>
      <c r="I2" s="9">
        <f>H2*D2</f>
        <v>12838.16</v>
      </c>
    </row>
    <row r="3" spans="1:9" x14ac:dyDescent="0.25">
      <c r="A3" s="579"/>
      <c r="B3" s="4" t="s">
        <v>418</v>
      </c>
      <c r="C3" s="5">
        <v>15</v>
      </c>
      <c r="D3" s="6">
        <v>684</v>
      </c>
      <c r="E3" s="7">
        <v>0.22900000000000001</v>
      </c>
      <c r="F3" s="7">
        <v>0.2</v>
      </c>
      <c r="G3" s="5">
        <v>0</v>
      </c>
      <c r="H3" s="8">
        <f t="shared" ref="H3:H40" si="0">(E3*C3+F3*(1-E3*G3))</f>
        <v>3.6350000000000002</v>
      </c>
      <c r="I3" s="9">
        <f t="shared" ref="I3:I40" si="1">H3*D3</f>
        <v>2486.34</v>
      </c>
    </row>
    <row r="4" spans="1:9" x14ac:dyDescent="0.25">
      <c r="A4" s="579"/>
      <c r="B4" s="4" t="s">
        <v>419</v>
      </c>
      <c r="C4" s="5">
        <v>20</v>
      </c>
      <c r="D4" s="6">
        <v>103</v>
      </c>
      <c r="E4" s="7">
        <v>0.156</v>
      </c>
      <c r="F4" s="10">
        <v>0.2</v>
      </c>
      <c r="G4" s="5">
        <v>0</v>
      </c>
      <c r="H4" s="8">
        <f t="shared" si="0"/>
        <v>3.3200000000000003</v>
      </c>
      <c r="I4" s="9">
        <f t="shared" si="1"/>
        <v>341.96000000000004</v>
      </c>
    </row>
    <row r="5" spans="1:9" x14ac:dyDescent="0.25">
      <c r="A5" s="579"/>
      <c r="B5" s="4" t="s">
        <v>420</v>
      </c>
      <c r="C5" s="5">
        <v>14</v>
      </c>
      <c r="D5" s="6">
        <v>23</v>
      </c>
      <c r="E5" s="7">
        <v>0.15</v>
      </c>
      <c r="F5" s="7">
        <v>0.34</v>
      </c>
      <c r="G5" s="5">
        <v>0</v>
      </c>
      <c r="H5" s="8">
        <f t="shared" si="0"/>
        <v>2.44</v>
      </c>
      <c r="I5" s="9">
        <f t="shared" si="1"/>
        <v>56.12</v>
      </c>
    </row>
    <row r="6" spans="1:9" x14ac:dyDescent="0.25">
      <c r="A6" s="579"/>
      <c r="B6" s="4" t="s">
        <v>421</v>
      </c>
      <c r="C6" s="5">
        <v>15</v>
      </c>
      <c r="D6" s="6">
        <v>3352</v>
      </c>
      <c r="E6" s="7">
        <v>0.24199999999999999</v>
      </c>
      <c r="F6" s="7">
        <v>0.2</v>
      </c>
      <c r="G6" s="5">
        <v>0</v>
      </c>
      <c r="H6" s="8">
        <f t="shared" si="0"/>
        <v>3.83</v>
      </c>
      <c r="I6" s="9">
        <f t="shared" si="1"/>
        <v>12838.16</v>
      </c>
    </row>
    <row r="7" spans="1:9" x14ac:dyDescent="0.25">
      <c r="A7" s="579"/>
      <c r="B7" s="4" t="s">
        <v>422</v>
      </c>
      <c r="C7" s="5">
        <v>15</v>
      </c>
      <c r="D7" s="6">
        <v>684</v>
      </c>
      <c r="E7" s="7">
        <v>0.22900000000000001</v>
      </c>
      <c r="F7" s="7">
        <v>0.2</v>
      </c>
      <c r="G7" s="5">
        <v>0</v>
      </c>
      <c r="H7" s="8">
        <f t="shared" si="0"/>
        <v>3.6350000000000002</v>
      </c>
      <c r="I7" s="9">
        <f t="shared" si="1"/>
        <v>2486.34</v>
      </c>
    </row>
    <row r="8" spans="1:9" x14ac:dyDescent="0.25">
      <c r="A8" s="579"/>
      <c r="B8" s="4" t="s">
        <v>423</v>
      </c>
      <c r="C8" s="5">
        <v>20</v>
      </c>
      <c r="D8" s="6">
        <v>103</v>
      </c>
      <c r="E8" s="7">
        <v>0.156</v>
      </c>
      <c r="F8" s="7">
        <v>0.2</v>
      </c>
      <c r="G8" s="5">
        <v>0</v>
      </c>
      <c r="H8" s="8">
        <f t="shared" si="0"/>
        <v>3.3200000000000003</v>
      </c>
      <c r="I8" s="9">
        <f t="shared" si="1"/>
        <v>341.96000000000004</v>
      </c>
    </row>
    <row r="9" spans="1:9" x14ac:dyDescent="0.25">
      <c r="A9" s="579"/>
      <c r="B9" s="4" t="s">
        <v>424</v>
      </c>
      <c r="C9" s="5">
        <v>14</v>
      </c>
      <c r="D9" s="6">
        <v>23</v>
      </c>
      <c r="E9" s="7">
        <v>0.15</v>
      </c>
      <c r="F9" s="7">
        <v>0.34</v>
      </c>
      <c r="G9" s="5">
        <v>0</v>
      </c>
      <c r="H9" s="8">
        <f t="shared" si="0"/>
        <v>2.44</v>
      </c>
      <c r="I9" s="9">
        <f t="shared" si="1"/>
        <v>56.12</v>
      </c>
    </row>
    <row r="10" spans="1:9" x14ac:dyDescent="0.25">
      <c r="A10" s="579"/>
      <c r="B10" s="4" t="s">
        <v>425</v>
      </c>
      <c r="C10" s="5">
        <v>20</v>
      </c>
      <c r="D10" s="6">
        <v>7252</v>
      </c>
      <c r="E10" s="7">
        <v>0.14799999999999999</v>
      </c>
      <c r="F10" s="7">
        <v>0.2</v>
      </c>
      <c r="G10" s="5">
        <v>0</v>
      </c>
      <c r="H10" s="8">
        <f t="shared" si="0"/>
        <v>3.16</v>
      </c>
      <c r="I10" s="9">
        <f t="shared" si="1"/>
        <v>22916.32</v>
      </c>
    </row>
    <row r="11" spans="1:9" x14ac:dyDescent="0.25">
      <c r="A11" s="579"/>
      <c r="B11" s="4" t="s">
        <v>426</v>
      </c>
      <c r="C11" s="5">
        <v>20</v>
      </c>
      <c r="D11" s="6">
        <v>552</v>
      </c>
      <c r="E11" s="7">
        <v>0.10299999999999999</v>
      </c>
      <c r="F11" s="7">
        <v>0.2</v>
      </c>
      <c r="G11" s="5">
        <v>0</v>
      </c>
      <c r="H11" s="8">
        <f t="shared" si="0"/>
        <v>2.2600000000000002</v>
      </c>
      <c r="I11" s="9">
        <f t="shared" si="1"/>
        <v>1247.5200000000002</v>
      </c>
    </row>
    <row r="12" spans="1:9" x14ac:dyDescent="0.25">
      <c r="A12" s="579"/>
      <c r="B12" s="4" t="s">
        <v>427</v>
      </c>
      <c r="C12" s="5">
        <v>20</v>
      </c>
      <c r="D12" s="6">
        <v>113</v>
      </c>
      <c r="E12" s="7">
        <v>0.04</v>
      </c>
      <c r="F12" s="7">
        <v>0.2</v>
      </c>
      <c r="G12" s="5">
        <v>0</v>
      </c>
      <c r="H12" s="8">
        <f t="shared" si="0"/>
        <v>1</v>
      </c>
      <c r="I12" s="9">
        <f t="shared" si="1"/>
        <v>113</v>
      </c>
    </row>
    <row r="13" spans="1:9" x14ac:dyDescent="0.25">
      <c r="A13" s="579"/>
      <c r="B13" s="4" t="s">
        <v>428</v>
      </c>
      <c r="C13" s="5">
        <v>20</v>
      </c>
      <c r="D13" s="6">
        <v>5873</v>
      </c>
      <c r="E13" s="7">
        <v>0.123</v>
      </c>
      <c r="F13" s="7">
        <v>0.2</v>
      </c>
      <c r="G13" s="5">
        <v>0</v>
      </c>
      <c r="H13" s="8">
        <f t="shared" si="0"/>
        <v>2.66</v>
      </c>
      <c r="I13" s="9">
        <f t="shared" si="1"/>
        <v>15622.18</v>
      </c>
    </row>
    <row r="14" spans="1:9" x14ac:dyDescent="0.25">
      <c r="A14" s="579"/>
      <c r="B14" s="4" t="s">
        <v>429</v>
      </c>
      <c r="C14" s="5">
        <v>20</v>
      </c>
      <c r="D14" s="6">
        <v>660</v>
      </c>
      <c r="E14" s="7">
        <v>0.125</v>
      </c>
      <c r="F14" s="7">
        <v>0.2</v>
      </c>
      <c r="G14" s="5">
        <v>0</v>
      </c>
      <c r="H14" s="8">
        <f t="shared" si="0"/>
        <v>2.7</v>
      </c>
      <c r="I14" s="9">
        <f t="shared" si="1"/>
        <v>1782.0000000000002</v>
      </c>
    </row>
    <row r="15" spans="1:9" x14ac:dyDescent="0.25">
      <c r="A15" s="579"/>
      <c r="B15" s="4" t="s">
        <v>430</v>
      </c>
      <c r="C15" s="5">
        <v>20</v>
      </c>
      <c r="D15" s="6">
        <v>104</v>
      </c>
      <c r="E15" s="7">
        <v>9.0999999999999998E-2</v>
      </c>
      <c r="F15" s="7">
        <v>0.2</v>
      </c>
      <c r="G15" s="5">
        <v>0</v>
      </c>
      <c r="H15" s="8">
        <f t="shared" si="0"/>
        <v>2.02</v>
      </c>
      <c r="I15" s="9">
        <f t="shared" si="1"/>
        <v>210.08</v>
      </c>
    </row>
    <row r="16" spans="1:9" x14ac:dyDescent="0.25">
      <c r="A16" s="579"/>
      <c r="B16" s="4" t="s">
        <v>431</v>
      </c>
      <c r="C16" s="5">
        <v>20</v>
      </c>
      <c r="D16" s="11">
        <v>1.0229999999999999</v>
      </c>
      <c r="E16" s="7">
        <v>0.01</v>
      </c>
      <c r="F16" s="7">
        <v>0.98499999999999999</v>
      </c>
      <c r="G16" s="5">
        <v>10</v>
      </c>
      <c r="H16" s="8">
        <f t="shared" si="0"/>
        <v>1.0865</v>
      </c>
      <c r="I16" s="9">
        <f t="shared" si="1"/>
        <v>1.1114895</v>
      </c>
    </row>
    <row r="17" spans="1:9" ht="30" x14ac:dyDescent="0.25">
      <c r="A17" s="579"/>
      <c r="B17" s="4" t="s">
        <v>432</v>
      </c>
      <c r="C17" s="5">
        <v>12</v>
      </c>
      <c r="D17" s="12">
        <v>3</v>
      </c>
      <c r="E17" s="7">
        <v>0.01</v>
      </c>
      <c r="F17" s="7">
        <v>0.98499999999999999</v>
      </c>
      <c r="G17" s="5">
        <v>6</v>
      </c>
      <c r="H17" s="8">
        <f t="shared" si="0"/>
        <v>1.0459000000000001</v>
      </c>
      <c r="I17" s="9">
        <f t="shared" si="1"/>
        <v>3.1377000000000002</v>
      </c>
    </row>
    <row r="18" spans="1:9" x14ac:dyDescent="0.25">
      <c r="A18" s="579"/>
      <c r="B18" s="4" t="s">
        <v>433</v>
      </c>
      <c r="C18" s="5">
        <v>5</v>
      </c>
      <c r="D18" s="12">
        <v>3.31</v>
      </c>
      <c r="E18" s="7">
        <v>5.0000000000000001E-3</v>
      </c>
      <c r="F18" s="7">
        <v>0.98499999999999999</v>
      </c>
      <c r="G18" s="5">
        <v>5</v>
      </c>
      <c r="H18" s="8">
        <f t="shared" si="0"/>
        <v>0.985375</v>
      </c>
      <c r="I18" s="9">
        <f t="shared" si="1"/>
        <v>3.2615912499999999</v>
      </c>
    </row>
    <row r="19" spans="1:9" x14ac:dyDescent="0.25">
      <c r="A19" s="579"/>
      <c r="B19" s="4" t="s">
        <v>434</v>
      </c>
      <c r="C19" s="5">
        <v>14</v>
      </c>
      <c r="D19" s="13">
        <v>0.25</v>
      </c>
      <c r="E19" s="7">
        <v>0.01</v>
      </c>
      <c r="F19" s="7">
        <v>0.98499999999999999</v>
      </c>
      <c r="G19" s="5">
        <v>14</v>
      </c>
      <c r="H19" s="8">
        <f t="shared" si="0"/>
        <v>0.98709999999999998</v>
      </c>
      <c r="I19" s="9">
        <f t="shared" si="1"/>
        <v>0.24677499999999999</v>
      </c>
    </row>
    <row r="20" spans="1:9" x14ac:dyDescent="0.25">
      <c r="A20" s="579"/>
      <c r="B20" s="4" t="s">
        <v>435</v>
      </c>
      <c r="C20" s="5">
        <v>15</v>
      </c>
      <c r="D20" s="13">
        <v>0.63</v>
      </c>
      <c r="E20" s="7">
        <v>0.01</v>
      </c>
      <c r="F20" s="7">
        <v>0.98499999999999999</v>
      </c>
      <c r="G20" s="5">
        <v>15</v>
      </c>
      <c r="H20" s="8">
        <f t="shared" si="0"/>
        <v>0.98724999999999996</v>
      </c>
      <c r="I20" s="9">
        <f t="shared" si="1"/>
        <v>0.62196750000000001</v>
      </c>
    </row>
    <row r="21" spans="1:9" x14ac:dyDescent="0.25">
      <c r="A21" s="579"/>
      <c r="B21" s="4" t="s">
        <v>221</v>
      </c>
      <c r="C21" s="5">
        <v>14</v>
      </c>
      <c r="D21" s="13">
        <v>2.4</v>
      </c>
      <c r="E21" s="7">
        <v>0.01</v>
      </c>
      <c r="F21" s="7">
        <v>1</v>
      </c>
      <c r="G21" s="5">
        <v>14</v>
      </c>
      <c r="H21" s="8">
        <f t="shared" si="0"/>
        <v>1</v>
      </c>
      <c r="I21" s="9">
        <f t="shared" si="1"/>
        <v>2.4</v>
      </c>
    </row>
    <row r="22" spans="1:9" x14ac:dyDescent="0.25">
      <c r="A22" s="579"/>
      <c r="B22" s="4" t="s">
        <v>197</v>
      </c>
      <c r="C22" s="5">
        <v>14</v>
      </c>
      <c r="D22" s="11">
        <v>0.88200000000000001</v>
      </c>
      <c r="E22" s="7">
        <v>0.01</v>
      </c>
      <c r="F22" s="7">
        <v>1</v>
      </c>
      <c r="G22" s="5">
        <v>14</v>
      </c>
      <c r="H22" s="8">
        <f t="shared" si="0"/>
        <v>1</v>
      </c>
      <c r="I22" s="9">
        <f t="shared" si="1"/>
        <v>0.88200000000000001</v>
      </c>
    </row>
    <row r="23" spans="1:9" x14ac:dyDescent="0.25">
      <c r="A23" s="579"/>
      <c r="B23" s="4" t="s">
        <v>436</v>
      </c>
      <c r="C23" s="5">
        <v>14</v>
      </c>
      <c r="D23" s="11">
        <v>0.34200000000000003</v>
      </c>
      <c r="E23" s="7">
        <v>0.01</v>
      </c>
      <c r="F23" s="7">
        <v>0.77</v>
      </c>
      <c r="G23" s="5">
        <v>14</v>
      </c>
      <c r="H23" s="8">
        <f t="shared" si="0"/>
        <v>0.80220000000000002</v>
      </c>
      <c r="I23" s="9">
        <f t="shared" si="1"/>
        <v>0.27435240000000005</v>
      </c>
    </row>
    <row r="24" spans="1:9" x14ac:dyDescent="0.25">
      <c r="A24" s="579" t="s">
        <v>437</v>
      </c>
      <c r="B24" s="4" t="s">
        <v>438</v>
      </c>
      <c r="C24" s="5">
        <v>20</v>
      </c>
      <c r="D24" s="6">
        <v>3978</v>
      </c>
      <c r="E24" s="7">
        <v>2.3E-2</v>
      </c>
      <c r="F24" s="7">
        <v>0.2</v>
      </c>
      <c r="G24" s="5">
        <v>0</v>
      </c>
      <c r="H24" s="8">
        <f t="shared" si="0"/>
        <v>0.65999999999999992</v>
      </c>
      <c r="I24" s="9">
        <f t="shared" si="1"/>
        <v>2625.4799999999996</v>
      </c>
    </row>
    <row r="25" spans="1:9" x14ac:dyDescent="0.25">
      <c r="A25" s="579"/>
      <c r="B25" s="4" t="s">
        <v>439</v>
      </c>
      <c r="C25" s="5">
        <v>20</v>
      </c>
      <c r="D25" s="6">
        <v>526</v>
      </c>
      <c r="E25" s="7">
        <v>0.03</v>
      </c>
      <c r="F25" s="7">
        <v>0.2</v>
      </c>
      <c r="G25" s="5">
        <v>0</v>
      </c>
      <c r="H25" s="8">
        <f t="shared" si="0"/>
        <v>0.8</v>
      </c>
      <c r="I25" s="9">
        <f t="shared" si="1"/>
        <v>420.8</v>
      </c>
    </row>
    <row r="26" spans="1:9" ht="30" x14ac:dyDescent="0.25">
      <c r="A26" s="579"/>
      <c r="B26" s="4" t="s">
        <v>217</v>
      </c>
      <c r="C26" s="5">
        <v>20</v>
      </c>
      <c r="D26" s="6">
        <v>70</v>
      </c>
      <c r="E26" s="7">
        <v>7.0000000000000007E-2</v>
      </c>
      <c r="F26" s="7">
        <v>0.2</v>
      </c>
      <c r="G26" s="5">
        <v>0</v>
      </c>
      <c r="H26" s="8">
        <f t="shared" si="0"/>
        <v>1.6</v>
      </c>
      <c r="I26" s="9">
        <f t="shared" si="1"/>
        <v>112</v>
      </c>
    </row>
    <row r="27" spans="1:9" ht="33" customHeight="1" x14ac:dyDescent="0.25">
      <c r="A27" s="579"/>
      <c r="B27" s="4" t="s">
        <v>214</v>
      </c>
      <c r="C27" s="5">
        <v>15</v>
      </c>
      <c r="D27" s="12">
        <v>18.2</v>
      </c>
      <c r="E27" s="7">
        <v>4.7E-2</v>
      </c>
      <c r="F27" s="7">
        <v>0.56000000000000005</v>
      </c>
      <c r="G27" s="5">
        <v>0</v>
      </c>
      <c r="H27" s="8">
        <f t="shared" si="0"/>
        <v>1.2650000000000001</v>
      </c>
      <c r="I27" s="9">
        <f t="shared" si="1"/>
        <v>23.023</v>
      </c>
    </row>
    <row r="28" spans="1:9" x14ac:dyDescent="0.25">
      <c r="A28" s="579"/>
      <c r="B28" s="4" t="s">
        <v>440</v>
      </c>
      <c r="C28" s="5">
        <v>12</v>
      </c>
      <c r="D28" s="13">
        <v>1.54</v>
      </c>
      <c r="E28" s="7">
        <v>0.02</v>
      </c>
      <c r="F28" s="7">
        <v>0.98499999999999999</v>
      </c>
      <c r="G28" s="5">
        <v>12</v>
      </c>
      <c r="H28" s="8">
        <f t="shared" si="0"/>
        <v>0.98860000000000003</v>
      </c>
      <c r="I28" s="9">
        <f t="shared" si="1"/>
        <v>1.5224440000000001</v>
      </c>
    </row>
    <row r="29" spans="1:9" x14ac:dyDescent="0.25">
      <c r="A29" s="579"/>
      <c r="B29" s="4" t="s">
        <v>212</v>
      </c>
      <c r="C29" s="5">
        <v>15</v>
      </c>
      <c r="D29" s="12">
        <v>7.5</v>
      </c>
      <c r="E29" s="7">
        <v>0.05</v>
      </c>
      <c r="F29" s="7">
        <v>0.8</v>
      </c>
      <c r="G29" s="5">
        <v>3</v>
      </c>
      <c r="H29" s="8">
        <f t="shared" si="0"/>
        <v>1.4300000000000002</v>
      </c>
      <c r="I29" s="9">
        <f t="shared" si="1"/>
        <v>10.725000000000001</v>
      </c>
    </row>
    <row r="30" spans="1:9" x14ac:dyDescent="0.25">
      <c r="A30" s="579"/>
      <c r="B30" s="4" t="s">
        <v>205</v>
      </c>
      <c r="C30" s="5">
        <v>15</v>
      </c>
      <c r="D30" s="12">
        <v>8.1999999999999993</v>
      </c>
      <c r="E30" s="7">
        <v>5.2999999999999999E-2</v>
      </c>
      <c r="F30" s="7">
        <v>0.8</v>
      </c>
      <c r="G30" s="5">
        <v>3</v>
      </c>
      <c r="H30" s="8">
        <f t="shared" si="0"/>
        <v>1.4678</v>
      </c>
      <c r="I30" s="9">
        <f t="shared" si="1"/>
        <v>12.035959999999999</v>
      </c>
    </row>
    <row r="31" spans="1:9" ht="30" x14ac:dyDescent="0.25">
      <c r="A31" s="579"/>
      <c r="B31" s="4" t="s">
        <v>203</v>
      </c>
      <c r="C31" s="5">
        <v>12</v>
      </c>
      <c r="D31" s="13">
        <v>1.54</v>
      </c>
      <c r="E31" s="7">
        <v>0.02</v>
      </c>
      <c r="F31" s="7">
        <v>0.98499999999999999</v>
      </c>
      <c r="G31" s="5">
        <v>12</v>
      </c>
      <c r="H31" s="8">
        <f t="shared" si="0"/>
        <v>0.98860000000000003</v>
      </c>
      <c r="I31" s="9">
        <f t="shared" si="1"/>
        <v>1.5224440000000001</v>
      </c>
    </row>
    <row r="32" spans="1:9" x14ac:dyDescent="0.25">
      <c r="A32" s="579"/>
      <c r="B32" s="4" t="s">
        <v>441</v>
      </c>
      <c r="C32" s="5">
        <v>10</v>
      </c>
      <c r="D32" s="13">
        <v>1.54</v>
      </c>
      <c r="E32" s="7">
        <v>0.01</v>
      </c>
      <c r="F32" s="7">
        <v>0.98499999999999999</v>
      </c>
      <c r="G32" s="5">
        <v>10</v>
      </c>
      <c r="H32" s="8">
        <f t="shared" si="0"/>
        <v>0.98649999999999993</v>
      </c>
      <c r="I32" s="9">
        <f t="shared" si="1"/>
        <v>1.5192099999999999</v>
      </c>
    </row>
    <row r="33" spans="1:9" x14ac:dyDescent="0.25">
      <c r="A33" s="579"/>
      <c r="B33" s="4" t="s">
        <v>442</v>
      </c>
      <c r="C33" s="5">
        <v>5</v>
      </c>
      <c r="D33" s="13">
        <v>1</v>
      </c>
      <c r="E33" s="7">
        <v>0.01</v>
      </c>
      <c r="F33" s="7">
        <v>0.98499999999999999</v>
      </c>
      <c r="G33" s="5">
        <v>5</v>
      </c>
      <c r="H33" s="8">
        <f t="shared" si="0"/>
        <v>0.98575000000000002</v>
      </c>
      <c r="I33" s="9">
        <f t="shared" si="1"/>
        <v>0.98575000000000002</v>
      </c>
    </row>
    <row r="34" spans="1:9" x14ac:dyDescent="0.25">
      <c r="A34" s="579" t="s">
        <v>443</v>
      </c>
      <c r="B34" s="4" t="s">
        <v>444</v>
      </c>
      <c r="C34" s="5">
        <v>12</v>
      </c>
      <c r="D34" s="13">
        <v>1.52</v>
      </c>
      <c r="E34" s="7">
        <v>0.08</v>
      </c>
      <c r="F34" s="7">
        <v>0.42499999999999999</v>
      </c>
      <c r="G34" s="5">
        <v>2</v>
      </c>
      <c r="H34" s="8">
        <f t="shared" si="0"/>
        <v>1.3169999999999999</v>
      </c>
      <c r="I34" s="9">
        <f t="shared" si="1"/>
        <v>2.0018400000000001</v>
      </c>
    </row>
    <row r="35" spans="1:9" x14ac:dyDescent="0.25">
      <c r="A35" s="579"/>
      <c r="B35" s="4" t="s">
        <v>445</v>
      </c>
      <c r="C35" s="5">
        <v>10</v>
      </c>
      <c r="D35" s="13">
        <v>2.92</v>
      </c>
      <c r="E35" s="7">
        <v>0.33800000000000002</v>
      </c>
      <c r="F35" s="7">
        <v>0.51339999999999997</v>
      </c>
      <c r="G35" s="5">
        <v>1</v>
      </c>
      <c r="H35" s="8">
        <f t="shared" si="0"/>
        <v>3.7198708000000003</v>
      </c>
      <c r="I35" s="9">
        <f t="shared" si="1"/>
        <v>10.862022736</v>
      </c>
    </row>
    <row r="36" spans="1:9" x14ac:dyDescent="0.25">
      <c r="A36" s="579"/>
      <c r="B36" s="4" t="s">
        <v>446</v>
      </c>
      <c r="C36" s="5">
        <v>12</v>
      </c>
      <c r="D36" s="12">
        <v>21.8</v>
      </c>
      <c r="E36" s="7">
        <v>0.11699999999999999</v>
      </c>
      <c r="F36" s="7">
        <v>0.49</v>
      </c>
      <c r="G36" s="5">
        <v>1</v>
      </c>
      <c r="H36" s="8">
        <f t="shared" si="0"/>
        <v>1.8366699999999998</v>
      </c>
      <c r="I36" s="9">
        <f t="shared" si="1"/>
        <v>40.039406</v>
      </c>
    </row>
    <row r="37" spans="1:9" x14ac:dyDescent="0.25">
      <c r="A37" s="579"/>
      <c r="B37" s="4" t="s">
        <v>447</v>
      </c>
      <c r="C37" s="5">
        <v>10</v>
      </c>
      <c r="D37" s="13">
        <v>2.4300000000000002</v>
      </c>
      <c r="E37" s="7">
        <v>0.33800000000000002</v>
      </c>
      <c r="F37" s="7">
        <v>0.51300000000000001</v>
      </c>
      <c r="G37" s="5">
        <v>1</v>
      </c>
      <c r="H37" s="8">
        <f t="shared" si="0"/>
        <v>3.7196060000000002</v>
      </c>
      <c r="I37" s="9">
        <f t="shared" si="1"/>
        <v>9.0386425800000012</v>
      </c>
    </row>
    <row r="38" spans="1:9" x14ac:dyDescent="0.25">
      <c r="A38" s="579"/>
      <c r="B38" s="4" t="s">
        <v>448</v>
      </c>
      <c r="C38" s="5">
        <v>7</v>
      </c>
      <c r="D38" s="6">
        <v>16</v>
      </c>
      <c r="E38" s="7">
        <v>0.15</v>
      </c>
      <c r="F38" s="7">
        <v>0.49</v>
      </c>
      <c r="G38" s="5">
        <v>1</v>
      </c>
      <c r="H38" s="8">
        <f t="shared" si="0"/>
        <v>1.4664999999999999</v>
      </c>
      <c r="I38" s="9">
        <f t="shared" si="1"/>
        <v>23.463999999999999</v>
      </c>
    </row>
    <row r="39" spans="1:9" x14ac:dyDescent="0.25">
      <c r="A39" s="579"/>
      <c r="B39" s="4" t="s">
        <v>449</v>
      </c>
      <c r="C39" s="5">
        <v>5</v>
      </c>
      <c r="D39" s="12">
        <v>33.1</v>
      </c>
      <c r="E39" s="7">
        <v>0.05</v>
      </c>
      <c r="F39" s="7">
        <v>0.191</v>
      </c>
      <c r="G39" s="5">
        <v>1</v>
      </c>
      <c r="H39" s="8">
        <f t="shared" si="0"/>
        <v>0.43145</v>
      </c>
      <c r="I39" s="9">
        <f t="shared" si="1"/>
        <v>14.280995000000001</v>
      </c>
    </row>
    <row r="40" spans="1:9" x14ac:dyDescent="0.25">
      <c r="A40" s="579"/>
      <c r="B40" s="4" t="s">
        <v>450</v>
      </c>
      <c r="C40" s="5">
        <v>15</v>
      </c>
      <c r="D40" s="6">
        <v>273.2</v>
      </c>
      <c r="E40" s="7">
        <v>0.36599999999999999</v>
      </c>
      <c r="F40" s="7">
        <v>0</v>
      </c>
      <c r="G40" s="5">
        <v>1</v>
      </c>
      <c r="H40" s="8">
        <f t="shared" si="0"/>
        <v>5.49</v>
      </c>
      <c r="I40" s="9">
        <f t="shared" si="1"/>
        <v>1499.8679999999999</v>
      </c>
    </row>
    <row r="41" spans="1:9" x14ac:dyDescent="0.25">
      <c r="A41" s="5" t="s">
        <v>451</v>
      </c>
      <c r="B41" s="4" t="s">
        <v>192</v>
      </c>
      <c r="C41" s="5">
        <v>0</v>
      </c>
      <c r="D41" s="6">
        <v>0</v>
      </c>
      <c r="E41" s="7">
        <v>0</v>
      </c>
      <c r="F41" s="7">
        <v>0</v>
      </c>
      <c r="G41" s="5">
        <v>0</v>
      </c>
      <c r="H41" s="8">
        <f t="shared" ref="H41" si="2">(E41*C41+F41*(1-E41*G41))</f>
        <v>0</v>
      </c>
      <c r="I41" s="9">
        <f t="shared" ref="I41" si="3">H41*D41</f>
        <v>0</v>
      </c>
    </row>
  </sheetData>
  <sheetProtection algorithmName="SHA-512" hashValue="qOGBA8tMaXP9N0vuASSM39/ZecKTNvCbnmN1l2h73pyz9dayhYbkKv58eH9DSHbBsQJZpAgZd61+ZHETtfk9ug==" saltValue="usVNenoEiw201R/xX5PXyw==" spinCount="100000" sheet="1" objects="1" scenarios="1"/>
  <mergeCells count="3">
    <mergeCell ref="A2:A23"/>
    <mergeCell ref="A24:A33"/>
    <mergeCell ref="A34:A40"/>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73B5-D6FC-914E-BB19-E1F37F9777AB}">
  <sheetPr codeName="Sheet17">
    <tabColor theme="7" tint="0.79998168889431442"/>
    <pageSetUpPr fitToPage="1"/>
  </sheetPr>
  <dimension ref="A1:O185"/>
  <sheetViews>
    <sheetView workbookViewId="0"/>
  </sheetViews>
  <sheetFormatPr defaultColWidth="11.42578125" defaultRowHeight="12.75" x14ac:dyDescent="0.2"/>
  <cols>
    <col min="1" max="1" width="27.42578125" style="19" customWidth="1"/>
    <col min="2" max="2" width="40.42578125" style="19" customWidth="1"/>
    <col min="3" max="3" width="14.42578125" style="19" customWidth="1"/>
    <col min="4" max="5" width="18.42578125" style="19" bestFit="1" customWidth="1"/>
    <col min="6" max="6" width="78.42578125" style="19" bestFit="1" customWidth="1"/>
    <col min="7" max="256" width="8.42578125" style="19" customWidth="1"/>
    <col min="257" max="257" width="27.42578125" style="19" customWidth="1"/>
    <col min="258" max="258" width="40.42578125" style="19" customWidth="1"/>
    <col min="259" max="261" width="14.42578125" style="19" customWidth="1"/>
    <col min="262" max="512" width="8.42578125" style="19" customWidth="1"/>
    <col min="513" max="513" width="27.42578125" style="19" customWidth="1"/>
    <col min="514" max="514" width="40.42578125" style="19" customWidth="1"/>
    <col min="515" max="517" width="14.42578125" style="19" customWidth="1"/>
    <col min="518" max="768" width="8.42578125" style="19" customWidth="1"/>
    <col min="769" max="769" width="27.42578125" style="19" customWidth="1"/>
    <col min="770" max="770" width="40.42578125" style="19" customWidth="1"/>
    <col min="771" max="773" width="14.42578125" style="19" customWidth="1"/>
    <col min="774" max="1024" width="8.42578125" style="19" customWidth="1"/>
    <col min="1025" max="1025" width="27.42578125" style="19" customWidth="1"/>
    <col min="1026" max="1026" width="40.42578125" style="19" customWidth="1"/>
    <col min="1027" max="1029" width="14.42578125" style="19" customWidth="1"/>
    <col min="1030" max="1280" width="8.42578125" style="19" customWidth="1"/>
    <col min="1281" max="1281" width="27.42578125" style="19" customWidth="1"/>
    <col min="1282" max="1282" width="40.42578125" style="19" customWidth="1"/>
    <col min="1283" max="1285" width="14.42578125" style="19" customWidth="1"/>
    <col min="1286" max="1536" width="8.42578125" style="19" customWidth="1"/>
    <col min="1537" max="1537" width="27.42578125" style="19" customWidth="1"/>
    <col min="1538" max="1538" width="40.42578125" style="19" customWidth="1"/>
    <col min="1539" max="1541" width="14.42578125" style="19" customWidth="1"/>
    <col min="1542" max="1792" width="8.42578125" style="19" customWidth="1"/>
    <col min="1793" max="1793" width="27.42578125" style="19" customWidth="1"/>
    <col min="1794" max="1794" width="40.42578125" style="19" customWidth="1"/>
    <col min="1795" max="1797" width="14.42578125" style="19" customWidth="1"/>
    <col min="1798" max="2048" width="8.42578125" style="19" customWidth="1"/>
    <col min="2049" max="2049" width="27.42578125" style="19" customWidth="1"/>
    <col min="2050" max="2050" width="40.42578125" style="19" customWidth="1"/>
    <col min="2051" max="2053" width="14.42578125" style="19" customWidth="1"/>
    <col min="2054" max="2304" width="8.42578125" style="19" customWidth="1"/>
    <col min="2305" max="2305" width="27.42578125" style="19" customWidth="1"/>
    <col min="2306" max="2306" width="40.42578125" style="19" customWidth="1"/>
    <col min="2307" max="2309" width="14.42578125" style="19" customWidth="1"/>
    <col min="2310" max="2560" width="8.42578125" style="19" customWidth="1"/>
    <col min="2561" max="2561" width="27.42578125" style="19" customWidth="1"/>
    <col min="2562" max="2562" width="40.42578125" style="19" customWidth="1"/>
    <col min="2563" max="2565" width="14.42578125" style="19" customWidth="1"/>
    <col min="2566" max="2816" width="8.42578125" style="19" customWidth="1"/>
    <col min="2817" max="2817" width="27.42578125" style="19" customWidth="1"/>
    <col min="2818" max="2818" width="40.42578125" style="19" customWidth="1"/>
    <col min="2819" max="2821" width="14.42578125" style="19" customWidth="1"/>
    <col min="2822" max="3072" width="8.42578125" style="19" customWidth="1"/>
    <col min="3073" max="3073" width="27.42578125" style="19" customWidth="1"/>
    <col min="3074" max="3074" width="40.42578125" style="19" customWidth="1"/>
    <col min="3075" max="3077" width="14.42578125" style="19" customWidth="1"/>
    <col min="3078" max="3328" width="8.42578125" style="19" customWidth="1"/>
    <col min="3329" max="3329" width="27.42578125" style="19" customWidth="1"/>
    <col min="3330" max="3330" width="40.42578125" style="19" customWidth="1"/>
    <col min="3331" max="3333" width="14.42578125" style="19" customWidth="1"/>
    <col min="3334" max="3584" width="8.42578125" style="19" customWidth="1"/>
    <col min="3585" max="3585" width="27.42578125" style="19" customWidth="1"/>
    <col min="3586" max="3586" width="40.42578125" style="19" customWidth="1"/>
    <col min="3587" max="3589" width="14.42578125" style="19" customWidth="1"/>
    <col min="3590" max="3840" width="8.42578125" style="19" customWidth="1"/>
    <col min="3841" max="3841" width="27.42578125" style="19" customWidth="1"/>
    <col min="3842" max="3842" width="40.42578125" style="19" customWidth="1"/>
    <col min="3843" max="3845" width="14.42578125" style="19" customWidth="1"/>
    <col min="3846" max="4096" width="8.42578125" style="19" customWidth="1"/>
    <col min="4097" max="4097" width="27.42578125" style="19" customWidth="1"/>
    <col min="4098" max="4098" width="40.42578125" style="19" customWidth="1"/>
    <col min="4099" max="4101" width="14.42578125" style="19" customWidth="1"/>
    <col min="4102" max="4352" width="8.42578125" style="19" customWidth="1"/>
    <col min="4353" max="4353" width="27.42578125" style="19" customWidth="1"/>
    <col min="4354" max="4354" width="40.42578125" style="19" customWidth="1"/>
    <col min="4355" max="4357" width="14.42578125" style="19" customWidth="1"/>
    <col min="4358" max="4608" width="8.42578125" style="19" customWidth="1"/>
    <col min="4609" max="4609" width="27.42578125" style="19" customWidth="1"/>
    <col min="4610" max="4610" width="40.42578125" style="19" customWidth="1"/>
    <col min="4611" max="4613" width="14.42578125" style="19" customWidth="1"/>
    <col min="4614" max="4864" width="8.42578125" style="19" customWidth="1"/>
    <col min="4865" max="4865" width="27.42578125" style="19" customWidth="1"/>
    <col min="4866" max="4866" width="40.42578125" style="19" customWidth="1"/>
    <col min="4867" max="4869" width="14.42578125" style="19" customWidth="1"/>
    <col min="4870" max="5120" width="8.42578125" style="19" customWidth="1"/>
    <col min="5121" max="5121" width="27.42578125" style="19" customWidth="1"/>
    <col min="5122" max="5122" width="40.42578125" style="19" customWidth="1"/>
    <col min="5123" max="5125" width="14.42578125" style="19" customWidth="1"/>
    <col min="5126" max="5376" width="8.42578125" style="19" customWidth="1"/>
    <col min="5377" max="5377" width="27.42578125" style="19" customWidth="1"/>
    <col min="5378" max="5378" width="40.42578125" style="19" customWidth="1"/>
    <col min="5379" max="5381" width="14.42578125" style="19" customWidth="1"/>
    <col min="5382" max="5632" width="8.42578125" style="19" customWidth="1"/>
    <col min="5633" max="5633" width="27.42578125" style="19" customWidth="1"/>
    <col min="5634" max="5634" width="40.42578125" style="19" customWidth="1"/>
    <col min="5635" max="5637" width="14.42578125" style="19" customWidth="1"/>
    <col min="5638" max="5888" width="8.42578125" style="19" customWidth="1"/>
    <col min="5889" max="5889" width="27.42578125" style="19" customWidth="1"/>
    <col min="5890" max="5890" width="40.42578125" style="19" customWidth="1"/>
    <col min="5891" max="5893" width="14.42578125" style="19" customWidth="1"/>
    <col min="5894" max="6144" width="8.42578125" style="19" customWidth="1"/>
    <col min="6145" max="6145" width="27.42578125" style="19" customWidth="1"/>
    <col min="6146" max="6146" width="40.42578125" style="19" customWidth="1"/>
    <col min="6147" max="6149" width="14.42578125" style="19" customWidth="1"/>
    <col min="6150" max="6400" width="8.42578125" style="19" customWidth="1"/>
    <col min="6401" max="6401" width="27.42578125" style="19" customWidth="1"/>
    <col min="6402" max="6402" width="40.42578125" style="19" customWidth="1"/>
    <col min="6403" max="6405" width="14.42578125" style="19" customWidth="1"/>
    <col min="6406" max="6656" width="8.42578125" style="19" customWidth="1"/>
    <col min="6657" max="6657" width="27.42578125" style="19" customWidth="1"/>
    <col min="6658" max="6658" width="40.42578125" style="19" customWidth="1"/>
    <col min="6659" max="6661" width="14.42578125" style="19" customWidth="1"/>
    <col min="6662" max="6912" width="8.42578125" style="19" customWidth="1"/>
    <col min="6913" max="6913" width="27.42578125" style="19" customWidth="1"/>
    <col min="6914" max="6914" width="40.42578125" style="19" customWidth="1"/>
    <col min="6915" max="6917" width="14.42578125" style="19" customWidth="1"/>
    <col min="6918" max="7168" width="8.42578125" style="19" customWidth="1"/>
    <col min="7169" max="7169" width="27.42578125" style="19" customWidth="1"/>
    <col min="7170" max="7170" width="40.42578125" style="19" customWidth="1"/>
    <col min="7171" max="7173" width="14.42578125" style="19" customWidth="1"/>
    <col min="7174" max="7424" width="8.42578125" style="19" customWidth="1"/>
    <col min="7425" max="7425" width="27.42578125" style="19" customWidth="1"/>
    <col min="7426" max="7426" width="40.42578125" style="19" customWidth="1"/>
    <col min="7427" max="7429" width="14.42578125" style="19" customWidth="1"/>
    <col min="7430" max="7680" width="8.42578125" style="19" customWidth="1"/>
    <col min="7681" max="7681" width="27.42578125" style="19" customWidth="1"/>
    <col min="7682" max="7682" width="40.42578125" style="19" customWidth="1"/>
    <col min="7683" max="7685" width="14.42578125" style="19" customWidth="1"/>
    <col min="7686" max="7936" width="8.42578125" style="19" customWidth="1"/>
    <col min="7937" max="7937" width="27.42578125" style="19" customWidth="1"/>
    <col min="7938" max="7938" width="40.42578125" style="19" customWidth="1"/>
    <col min="7939" max="7941" width="14.42578125" style="19" customWidth="1"/>
    <col min="7942" max="8192" width="8.42578125" style="19" customWidth="1"/>
    <col min="8193" max="8193" width="27.42578125" style="19" customWidth="1"/>
    <col min="8194" max="8194" width="40.42578125" style="19" customWidth="1"/>
    <col min="8195" max="8197" width="14.42578125" style="19" customWidth="1"/>
    <col min="8198" max="8448" width="8.42578125" style="19" customWidth="1"/>
    <col min="8449" max="8449" width="27.42578125" style="19" customWidth="1"/>
    <col min="8450" max="8450" width="40.42578125" style="19" customWidth="1"/>
    <col min="8451" max="8453" width="14.42578125" style="19" customWidth="1"/>
    <col min="8454" max="8704" width="8.42578125" style="19" customWidth="1"/>
    <col min="8705" max="8705" width="27.42578125" style="19" customWidth="1"/>
    <col min="8706" max="8706" width="40.42578125" style="19" customWidth="1"/>
    <col min="8707" max="8709" width="14.42578125" style="19" customWidth="1"/>
    <col min="8710" max="8960" width="8.42578125" style="19" customWidth="1"/>
    <col min="8961" max="8961" width="27.42578125" style="19" customWidth="1"/>
    <col min="8962" max="8962" width="40.42578125" style="19" customWidth="1"/>
    <col min="8963" max="8965" width="14.42578125" style="19" customWidth="1"/>
    <col min="8966" max="9216" width="8.42578125" style="19" customWidth="1"/>
    <col min="9217" max="9217" width="27.42578125" style="19" customWidth="1"/>
    <col min="9218" max="9218" width="40.42578125" style="19" customWidth="1"/>
    <col min="9219" max="9221" width="14.42578125" style="19" customWidth="1"/>
    <col min="9222" max="9472" width="8.42578125" style="19" customWidth="1"/>
    <col min="9473" max="9473" width="27.42578125" style="19" customWidth="1"/>
    <col min="9474" max="9474" width="40.42578125" style="19" customWidth="1"/>
    <col min="9475" max="9477" width="14.42578125" style="19" customWidth="1"/>
    <col min="9478" max="9728" width="8.42578125" style="19" customWidth="1"/>
    <col min="9729" max="9729" width="27.42578125" style="19" customWidth="1"/>
    <col min="9730" max="9730" width="40.42578125" style="19" customWidth="1"/>
    <col min="9731" max="9733" width="14.42578125" style="19" customWidth="1"/>
    <col min="9734" max="9984" width="8.42578125" style="19" customWidth="1"/>
    <col min="9985" max="9985" width="27.42578125" style="19" customWidth="1"/>
    <col min="9986" max="9986" width="40.42578125" style="19" customWidth="1"/>
    <col min="9987" max="9989" width="14.42578125" style="19" customWidth="1"/>
    <col min="9990" max="10240" width="8.42578125" style="19" customWidth="1"/>
    <col min="10241" max="10241" width="27.42578125" style="19" customWidth="1"/>
    <col min="10242" max="10242" width="40.42578125" style="19" customWidth="1"/>
    <col min="10243" max="10245" width="14.42578125" style="19" customWidth="1"/>
    <col min="10246" max="10496" width="8.42578125" style="19" customWidth="1"/>
    <col min="10497" max="10497" width="27.42578125" style="19" customWidth="1"/>
    <col min="10498" max="10498" width="40.42578125" style="19" customWidth="1"/>
    <col min="10499" max="10501" width="14.42578125" style="19" customWidth="1"/>
    <col min="10502" max="10752" width="8.42578125" style="19" customWidth="1"/>
    <col min="10753" max="10753" width="27.42578125" style="19" customWidth="1"/>
    <col min="10754" max="10754" width="40.42578125" style="19" customWidth="1"/>
    <col min="10755" max="10757" width="14.42578125" style="19" customWidth="1"/>
    <col min="10758" max="11008" width="8.42578125" style="19" customWidth="1"/>
    <col min="11009" max="11009" width="27.42578125" style="19" customWidth="1"/>
    <col min="11010" max="11010" width="40.42578125" style="19" customWidth="1"/>
    <col min="11011" max="11013" width="14.42578125" style="19" customWidth="1"/>
    <col min="11014" max="11264" width="8.42578125" style="19" customWidth="1"/>
    <col min="11265" max="11265" width="27.42578125" style="19" customWidth="1"/>
    <col min="11266" max="11266" width="40.42578125" style="19" customWidth="1"/>
    <col min="11267" max="11269" width="14.42578125" style="19" customWidth="1"/>
    <col min="11270" max="11520" width="8.42578125" style="19" customWidth="1"/>
    <col min="11521" max="11521" width="27.42578125" style="19" customWidth="1"/>
    <col min="11522" max="11522" width="40.42578125" style="19" customWidth="1"/>
    <col min="11523" max="11525" width="14.42578125" style="19" customWidth="1"/>
    <col min="11526" max="11776" width="8.42578125" style="19" customWidth="1"/>
    <col min="11777" max="11777" width="27.42578125" style="19" customWidth="1"/>
    <col min="11778" max="11778" width="40.42578125" style="19" customWidth="1"/>
    <col min="11779" max="11781" width="14.42578125" style="19" customWidth="1"/>
    <col min="11782" max="12032" width="8.42578125" style="19" customWidth="1"/>
    <col min="12033" max="12033" width="27.42578125" style="19" customWidth="1"/>
    <col min="12034" max="12034" width="40.42578125" style="19" customWidth="1"/>
    <col min="12035" max="12037" width="14.42578125" style="19" customWidth="1"/>
    <col min="12038" max="12288" width="8.42578125" style="19" customWidth="1"/>
    <col min="12289" max="12289" width="27.42578125" style="19" customWidth="1"/>
    <col min="12290" max="12290" width="40.42578125" style="19" customWidth="1"/>
    <col min="12291" max="12293" width="14.42578125" style="19" customWidth="1"/>
    <col min="12294" max="12544" width="8.42578125" style="19" customWidth="1"/>
    <col min="12545" max="12545" width="27.42578125" style="19" customWidth="1"/>
    <col min="12546" max="12546" width="40.42578125" style="19" customWidth="1"/>
    <col min="12547" max="12549" width="14.42578125" style="19" customWidth="1"/>
    <col min="12550" max="12800" width="8.42578125" style="19" customWidth="1"/>
    <col min="12801" max="12801" width="27.42578125" style="19" customWidth="1"/>
    <col min="12802" max="12802" width="40.42578125" style="19" customWidth="1"/>
    <col min="12803" max="12805" width="14.42578125" style="19" customWidth="1"/>
    <col min="12806" max="13056" width="8.42578125" style="19" customWidth="1"/>
    <col min="13057" max="13057" width="27.42578125" style="19" customWidth="1"/>
    <col min="13058" max="13058" width="40.42578125" style="19" customWidth="1"/>
    <col min="13059" max="13061" width="14.42578125" style="19" customWidth="1"/>
    <col min="13062" max="13312" width="8.42578125" style="19" customWidth="1"/>
    <col min="13313" max="13313" width="27.42578125" style="19" customWidth="1"/>
    <col min="13314" max="13314" width="40.42578125" style="19" customWidth="1"/>
    <col min="13315" max="13317" width="14.42578125" style="19" customWidth="1"/>
    <col min="13318" max="13568" width="8.42578125" style="19" customWidth="1"/>
    <col min="13569" max="13569" width="27.42578125" style="19" customWidth="1"/>
    <col min="13570" max="13570" width="40.42578125" style="19" customWidth="1"/>
    <col min="13571" max="13573" width="14.42578125" style="19" customWidth="1"/>
    <col min="13574" max="13824" width="8.42578125" style="19" customWidth="1"/>
    <col min="13825" max="13825" width="27.42578125" style="19" customWidth="1"/>
    <col min="13826" max="13826" width="40.42578125" style="19" customWidth="1"/>
    <col min="13827" max="13829" width="14.42578125" style="19" customWidth="1"/>
    <col min="13830" max="14080" width="8.42578125" style="19" customWidth="1"/>
    <col min="14081" max="14081" width="27.42578125" style="19" customWidth="1"/>
    <col min="14082" max="14082" width="40.42578125" style="19" customWidth="1"/>
    <col min="14083" max="14085" width="14.42578125" style="19" customWidth="1"/>
    <col min="14086" max="14336" width="8.42578125" style="19" customWidth="1"/>
    <col min="14337" max="14337" width="27.42578125" style="19" customWidth="1"/>
    <col min="14338" max="14338" width="40.42578125" style="19" customWidth="1"/>
    <col min="14339" max="14341" width="14.42578125" style="19" customWidth="1"/>
    <col min="14342" max="14592" width="8.42578125" style="19" customWidth="1"/>
    <col min="14593" max="14593" width="27.42578125" style="19" customWidth="1"/>
    <col min="14594" max="14594" width="40.42578125" style="19" customWidth="1"/>
    <col min="14595" max="14597" width="14.42578125" style="19" customWidth="1"/>
    <col min="14598" max="14848" width="8.42578125" style="19" customWidth="1"/>
    <col min="14849" max="14849" width="27.42578125" style="19" customWidth="1"/>
    <col min="14850" max="14850" width="40.42578125" style="19" customWidth="1"/>
    <col min="14851" max="14853" width="14.42578125" style="19" customWidth="1"/>
    <col min="14854" max="15104" width="8.42578125" style="19" customWidth="1"/>
    <col min="15105" max="15105" width="27.42578125" style="19" customWidth="1"/>
    <col min="15106" max="15106" width="40.42578125" style="19" customWidth="1"/>
    <col min="15107" max="15109" width="14.42578125" style="19" customWidth="1"/>
    <col min="15110" max="15360" width="8.42578125" style="19" customWidth="1"/>
    <col min="15361" max="15361" width="27.42578125" style="19" customWidth="1"/>
    <col min="15362" max="15362" width="40.42578125" style="19" customWidth="1"/>
    <col min="15363" max="15365" width="14.42578125" style="19" customWidth="1"/>
    <col min="15366" max="15616" width="8.42578125" style="19" customWidth="1"/>
    <col min="15617" max="15617" width="27.42578125" style="19" customWidth="1"/>
    <col min="15618" max="15618" width="40.42578125" style="19" customWidth="1"/>
    <col min="15619" max="15621" width="14.42578125" style="19" customWidth="1"/>
    <col min="15622" max="15872" width="8.42578125" style="19" customWidth="1"/>
    <col min="15873" max="15873" width="27.42578125" style="19" customWidth="1"/>
    <col min="15874" max="15874" width="40.42578125" style="19" customWidth="1"/>
    <col min="15875" max="15877" width="14.42578125" style="19" customWidth="1"/>
    <col min="15878" max="16128" width="8.42578125" style="19" customWidth="1"/>
    <col min="16129" max="16129" width="27.42578125" style="19" customWidth="1"/>
    <col min="16130" max="16130" width="40.42578125" style="19" customWidth="1"/>
    <col min="16131" max="16133" width="14.42578125" style="19" customWidth="1"/>
    <col min="16134" max="16384" width="8.42578125" style="19" customWidth="1"/>
  </cols>
  <sheetData>
    <row r="1" spans="1:7" s="14" customFormat="1" ht="78" customHeight="1" x14ac:dyDescent="0.2">
      <c r="A1" s="3" t="s">
        <v>452</v>
      </c>
      <c r="B1" s="3" t="s">
        <v>453</v>
      </c>
      <c r="C1" s="3" t="s">
        <v>454</v>
      </c>
      <c r="D1" s="3" t="s">
        <v>455</v>
      </c>
      <c r="E1" s="3" t="s">
        <v>456</v>
      </c>
      <c r="F1" s="3" t="s">
        <v>33</v>
      </c>
      <c r="G1" s="3" t="s">
        <v>457</v>
      </c>
    </row>
    <row r="2" spans="1:7" ht="15.75" x14ac:dyDescent="0.3">
      <c r="A2" s="15" t="s">
        <v>458</v>
      </c>
      <c r="B2" s="16" t="s">
        <v>459</v>
      </c>
      <c r="C2" s="17">
        <v>45</v>
      </c>
      <c r="D2" s="17">
        <v>4750</v>
      </c>
      <c r="E2" s="18">
        <v>6730</v>
      </c>
      <c r="F2" s="580" t="s">
        <v>460</v>
      </c>
      <c r="G2" s="16">
        <v>4750</v>
      </c>
    </row>
    <row r="3" spans="1:7" ht="15.75" x14ac:dyDescent="0.3">
      <c r="A3" s="15" t="s">
        <v>461</v>
      </c>
      <c r="B3" s="16" t="s">
        <v>462</v>
      </c>
      <c r="C3" s="17">
        <v>100</v>
      </c>
      <c r="D3" s="17">
        <v>10900</v>
      </c>
      <c r="E3" s="18">
        <v>11000</v>
      </c>
      <c r="F3" s="580"/>
      <c r="G3" s="16">
        <v>10900</v>
      </c>
    </row>
    <row r="4" spans="1:7" ht="15.75" x14ac:dyDescent="0.3">
      <c r="A4" s="15" t="s">
        <v>463</v>
      </c>
      <c r="B4" s="16" t="s">
        <v>464</v>
      </c>
      <c r="C4" s="17">
        <v>640</v>
      </c>
      <c r="D4" s="17">
        <v>14400</v>
      </c>
      <c r="E4" s="18">
        <v>10800</v>
      </c>
      <c r="F4" s="580"/>
      <c r="G4" s="16">
        <v>14400</v>
      </c>
    </row>
    <row r="5" spans="1:7" ht="15.75" x14ac:dyDescent="0.3">
      <c r="A5" s="15" t="s">
        <v>465</v>
      </c>
      <c r="B5" s="16" t="s">
        <v>466</v>
      </c>
      <c r="C5" s="17">
        <v>85</v>
      </c>
      <c r="D5" s="17">
        <v>6130</v>
      </c>
      <c r="E5" s="18">
        <v>6540</v>
      </c>
      <c r="F5" s="580"/>
      <c r="G5" s="16">
        <v>6130</v>
      </c>
    </row>
    <row r="6" spans="1:7" ht="15.75" x14ac:dyDescent="0.3">
      <c r="A6" s="15" t="s">
        <v>467</v>
      </c>
      <c r="B6" s="16" t="s">
        <v>468</v>
      </c>
      <c r="C6" s="17">
        <v>190</v>
      </c>
      <c r="D6" s="17">
        <v>10000</v>
      </c>
      <c r="E6" s="18">
        <v>8040</v>
      </c>
      <c r="F6" s="580"/>
      <c r="G6" s="16">
        <v>10000</v>
      </c>
    </row>
    <row r="7" spans="1:7" ht="15.75" x14ac:dyDescent="0.3">
      <c r="A7" s="15" t="s">
        <v>469</v>
      </c>
      <c r="B7" s="16" t="s">
        <v>470</v>
      </c>
      <c r="C7" s="17">
        <v>1020</v>
      </c>
      <c r="D7" s="17">
        <v>7370</v>
      </c>
      <c r="E7" s="18">
        <v>5310</v>
      </c>
      <c r="F7" s="580"/>
      <c r="G7" s="16">
        <v>7370</v>
      </c>
    </row>
    <row r="8" spans="1:7" ht="15.75" x14ac:dyDescent="0.3">
      <c r="A8" s="20" t="s">
        <v>471</v>
      </c>
      <c r="B8" s="21" t="s">
        <v>472</v>
      </c>
      <c r="C8" s="17">
        <v>16</v>
      </c>
      <c r="D8" s="22">
        <v>1890</v>
      </c>
      <c r="E8" s="23">
        <v>4750</v>
      </c>
      <c r="F8" s="580"/>
      <c r="G8" s="16">
        <v>1890</v>
      </c>
    </row>
    <row r="9" spans="1:7" ht="15.75" x14ac:dyDescent="0.3">
      <c r="A9" s="24" t="s">
        <v>473</v>
      </c>
      <c r="B9" s="25" t="s">
        <v>474</v>
      </c>
      <c r="C9" s="17">
        <v>65</v>
      </c>
      <c r="D9" s="17">
        <v>7140</v>
      </c>
      <c r="E9" s="18">
        <v>8480</v>
      </c>
      <c r="F9" s="580"/>
      <c r="G9" s="16">
        <v>7140</v>
      </c>
    </row>
    <row r="10" spans="1:7" ht="15.75" x14ac:dyDescent="0.3">
      <c r="A10" s="24" t="s">
        <v>475</v>
      </c>
      <c r="B10" s="25" t="s">
        <v>476</v>
      </c>
      <c r="C10" s="17">
        <v>20</v>
      </c>
      <c r="D10" s="17">
        <v>1640</v>
      </c>
      <c r="E10" s="18">
        <v>3680</v>
      </c>
      <c r="F10" s="580"/>
      <c r="G10" s="16">
        <v>1640</v>
      </c>
    </row>
    <row r="11" spans="1:7" ht="15.75" x14ac:dyDescent="0.3">
      <c r="A11" s="24" t="s">
        <v>477</v>
      </c>
      <c r="B11" s="25" t="s">
        <v>478</v>
      </c>
      <c r="C11" s="17">
        <v>26</v>
      </c>
      <c r="D11" s="17">
        <v>1400</v>
      </c>
      <c r="E11" s="18">
        <v>2700</v>
      </c>
      <c r="F11" s="580"/>
      <c r="G11" s="16">
        <v>1400</v>
      </c>
    </row>
    <row r="12" spans="1:7" ht="15.75" x14ac:dyDescent="0.3">
      <c r="A12" s="24" t="s">
        <v>479</v>
      </c>
      <c r="B12" s="25" t="s">
        <v>480</v>
      </c>
      <c r="C12" s="17">
        <v>0.8</v>
      </c>
      <c r="D12" s="17">
        <v>5</v>
      </c>
      <c r="E12" s="18">
        <v>17</v>
      </c>
      <c r="F12" s="580"/>
      <c r="G12" s="16">
        <v>5</v>
      </c>
    </row>
    <row r="13" spans="1:7" ht="15.75" x14ac:dyDescent="0.3">
      <c r="A13" s="24" t="s">
        <v>481</v>
      </c>
      <c r="B13" s="25" t="s">
        <v>482</v>
      </c>
      <c r="C13" s="17">
        <v>5</v>
      </c>
      <c r="D13" s="17">
        <v>146</v>
      </c>
      <c r="E13" s="18">
        <v>506</v>
      </c>
      <c r="F13" s="580"/>
      <c r="G13" s="16">
        <v>146</v>
      </c>
    </row>
    <row r="14" spans="1:7" ht="15.75" x14ac:dyDescent="0.3">
      <c r="A14" s="26" t="s">
        <v>483</v>
      </c>
      <c r="B14" s="27" t="s">
        <v>484</v>
      </c>
      <c r="C14" s="17">
        <v>0.38</v>
      </c>
      <c r="D14" s="28">
        <v>8.6999999999999993</v>
      </c>
      <c r="E14" s="29">
        <v>31</v>
      </c>
      <c r="F14" s="580"/>
      <c r="G14" s="16">
        <v>8.6999999999999993</v>
      </c>
    </row>
    <row r="15" spans="1:7" ht="15.75" x14ac:dyDescent="0.3">
      <c r="A15" s="24" t="s">
        <v>485</v>
      </c>
      <c r="B15" s="16" t="s">
        <v>486</v>
      </c>
      <c r="C15" s="17">
        <v>1.7</v>
      </c>
      <c r="D15" s="17">
        <v>148</v>
      </c>
      <c r="E15" s="18">
        <v>543</v>
      </c>
      <c r="F15" s="580"/>
      <c r="G15" s="16">
        <v>148</v>
      </c>
    </row>
    <row r="16" spans="1:7" ht="15.75" x14ac:dyDescent="0.3">
      <c r="A16" s="24" t="s">
        <v>487</v>
      </c>
      <c r="B16" s="16" t="s">
        <v>488</v>
      </c>
      <c r="C16" s="17">
        <v>11.9</v>
      </c>
      <c r="D16" s="17">
        <v>1810</v>
      </c>
      <c r="E16" s="18">
        <v>5160</v>
      </c>
      <c r="F16" s="580"/>
      <c r="G16" s="16">
        <v>1810</v>
      </c>
    </row>
    <row r="17" spans="1:15" ht="15.75" x14ac:dyDescent="0.3">
      <c r="A17" s="24" t="s">
        <v>489</v>
      </c>
      <c r="B17" s="16" t="s">
        <v>490</v>
      </c>
      <c r="C17" s="17">
        <v>1.3</v>
      </c>
      <c r="D17" s="17">
        <v>77</v>
      </c>
      <c r="E17" s="18">
        <v>273</v>
      </c>
      <c r="F17" s="580"/>
      <c r="G17" s="16">
        <v>77</v>
      </c>
    </row>
    <row r="18" spans="1:15" ht="15.75" x14ac:dyDescent="0.3">
      <c r="A18" s="24" t="s">
        <v>491</v>
      </c>
      <c r="B18" s="16" t="s">
        <v>492</v>
      </c>
      <c r="C18" s="17">
        <v>5.9</v>
      </c>
      <c r="D18" s="17">
        <v>609</v>
      </c>
      <c r="E18" s="18">
        <v>2070</v>
      </c>
      <c r="F18" s="580"/>
      <c r="G18" s="16">
        <v>609</v>
      </c>
    </row>
    <row r="19" spans="1:15" ht="15.75" x14ac:dyDescent="0.3">
      <c r="A19" s="24" t="s">
        <v>493</v>
      </c>
      <c r="B19" s="16" t="s">
        <v>494</v>
      </c>
      <c r="C19" s="17">
        <v>9.1999999999999993</v>
      </c>
      <c r="D19" s="17">
        <v>725</v>
      </c>
      <c r="E19" s="18">
        <v>2250</v>
      </c>
      <c r="F19" s="580"/>
      <c r="G19" s="16">
        <v>725</v>
      </c>
    </row>
    <row r="20" spans="1:15" ht="15.75" x14ac:dyDescent="0.3">
      <c r="A20" s="24" t="s">
        <v>495</v>
      </c>
      <c r="B20" s="16" t="s">
        <v>496</v>
      </c>
      <c r="C20" s="17">
        <v>17.2</v>
      </c>
      <c r="D20" s="17">
        <v>2310</v>
      </c>
      <c r="E20" s="18">
        <v>5490</v>
      </c>
      <c r="F20" s="580"/>
      <c r="G20" s="16">
        <v>2310</v>
      </c>
    </row>
    <row r="21" spans="1:15" ht="15.75" x14ac:dyDescent="0.3">
      <c r="A21" s="24" t="s">
        <v>497</v>
      </c>
      <c r="B21" s="16" t="s">
        <v>498</v>
      </c>
      <c r="C21" s="17">
        <v>1.9</v>
      </c>
      <c r="D21" s="17">
        <v>122</v>
      </c>
      <c r="E21" s="18">
        <v>429</v>
      </c>
      <c r="F21" s="580"/>
      <c r="G21" s="16">
        <v>122</v>
      </c>
    </row>
    <row r="22" spans="1:15" ht="15.75" x14ac:dyDescent="0.3">
      <c r="A22" s="24" t="s">
        <v>499</v>
      </c>
      <c r="B22" s="16" t="s">
        <v>500</v>
      </c>
      <c r="C22" s="17">
        <v>5.9</v>
      </c>
      <c r="D22" s="17">
        <v>595</v>
      </c>
      <c r="E22" s="18">
        <v>2030</v>
      </c>
      <c r="F22" s="580"/>
      <c r="G22" s="16">
        <v>595</v>
      </c>
    </row>
    <row r="23" spans="1:15" ht="15.75" x14ac:dyDescent="0.3">
      <c r="A23" s="30" t="s">
        <v>501</v>
      </c>
      <c r="B23" s="16" t="s">
        <v>502</v>
      </c>
      <c r="C23" s="17" t="s">
        <v>503</v>
      </c>
      <c r="D23" s="17">
        <v>1</v>
      </c>
      <c r="E23" s="18">
        <v>1</v>
      </c>
      <c r="F23" s="16"/>
      <c r="G23" s="16">
        <v>1</v>
      </c>
    </row>
    <row r="24" spans="1:15" ht="15.75" x14ac:dyDescent="0.3">
      <c r="A24" s="30" t="s">
        <v>504</v>
      </c>
      <c r="B24" s="16" t="s">
        <v>505</v>
      </c>
      <c r="C24" s="17">
        <v>12</v>
      </c>
      <c r="D24" s="17">
        <v>25</v>
      </c>
      <c r="E24" s="18">
        <v>72</v>
      </c>
      <c r="F24" s="16"/>
      <c r="G24" s="16">
        <v>25</v>
      </c>
    </row>
    <row r="25" spans="1:15" ht="15.75" x14ac:dyDescent="0.3">
      <c r="A25" s="30" t="s">
        <v>506</v>
      </c>
      <c r="B25" s="16" t="s">
        <v>507</v>
      </c>
      <c r="C25" s="17">
        <v>114</v>
      </c>
      <c r="D25" s="17">
        <v>298</v>
      </c>
      <c r="E25" s="18">
        <v>289</v>
      </c>
      <c r="F25" s="16"/>
      <c r="G25" s="16">
        <v>298</v>
      </c>
    </row>
    <row r="26" spans="1:15" ht="15.75" x14ac:dyDescent="0.3">
      <c r="A26" s="24" t="s">
        <v>508</v>
      </c>
      <c r="B26" s="31" t="s">
        <v>509</v>
      </c>
      <c r="C26" s="17">
        <v>260</v>
      </c>
      <c r="D26" s="17">
        <v>14800</v>
      </c>
      <c r="E26" s="18">
        <v>12000</v>
      </c>
      <c r="F26" s="16"/>
      <c r="G26" s="16">
        <v>14800</v>
      </c>
    </row>
    <row r="27" spans="1:15" customFormat="1" ht="15.75" x14ac:dyDescent="0.3">
      <c r="A27" s="24" t="s">
        <v>510</v>
      </c>
      <c r="B27" s="31" t="s">
        <v>511</v>
      </c>
      <c r="C27" s="17">
        <v>5</v>
      </c>
      <c r="D27" s="17">
        <v>675</v>
      </c>
      <c r="E27" s="18">
        <v>2330</v>
      </c>
      <c r="F27" s="16"/>
      <c r="G27" s="16">
        <v>675</v>
      </c>
      <c r="I27" s="19"/>
      <c r="J27" s="19"/>
      <c r="K27" s="19"/>
      <c r="L27" s="19"/>
      <c r="M27" s="19"/>
      <c r="N27" s="19"/>
      <c r="O27" s="19"/>
    </row>
    <row r="28" spans="1:15" ht="15.75" x14ac:dyDescent="0.3">
      <c r="A28" s="24" t="s">
        <v>512</v>
      </c>
      <c r="B28" s="31" t="s">
        <v>513</v>
      </c>
      <c r="C28" s="17">
        <v>29</v>
      </c>
      <c r="D28" s="17">
        <v>3500</v>
      </c>
      <c r="E28" s="18">
        <v>6350</v>
      </c>
      <c r="F28" s="16"/>
      <c r="G28" s="16">
        <v>3500</v>
      </c>
    </row>
    <row r="29" spans="1:15" ht="15.75" x14ac:dyDescent="0.3">
      <c r="A29" s="24" t="s">
        <v>196</v>
      </c>
      <c r="B29" s="31" t="s">
        <v>514</v>
      </c>
      <c r="C29" s="17">
        <v>13.8</v>
      </c>
      <c r="D29" s="17">
        <v>1430</v>
      </c>
      <c r="E29" s="18">
        <v>3830</v>
      </c>
      <c r="F29" s="16"/>
      <c r="G29" s="16">
        <v>1430</v>
      </c>
    </row>
    <row r="30" spans="1:15" ht="15.75" x14ac:dyDescent="0.3">
      <c r="A30" s="24" t="s">
        <v>515</v>
      </c>
      <c r="B30" s="31" t="s">
        <v>516</v>
      </c>
      <c r="C30" s="17">
        <v>52</v>
      </c>
      <c r="D30" s="17">
        <v>4470</v>
      </c>
      <c r="E30" s="18">
        <v>5890</v>
      </c>
      <c r="F30" s="16"/>
      <c r="G30" s="16">
        <v>4470</v>
      </c>
    </row>
    <row r="31" spans="1:15" ht="15.75" x14ac:dyDescent="0.3">
      <c r="A31" s="24" t="s">
        <v>517</v>
      </c>
      <c r="B31" s="31" t="s">
        <v>518</v>
      </c>
      <c r="C31" s="17">
        <v>1.4</v>
      </c>
      <c r="D31" s="17">
        <v>124</v>
      </c>
      <c r="E31" s="18">
        <v>437</v>
      </c>
      <c r="F31" s="16"/>
      <c r="G31" s="16">
        <v>124</v>
      </c>
    </row>
    <row r="32" spans="1:15" ht="15.75" x14ac:dyDescent="0.3">
      <c r="A32" s="24" t="s">
        <v>519</v>
      </c>
      <c r="B32" s="32" t="s">
        <v>520</v>
      </c>
      <c r="C32" s="17">
        <v>0.25</v>
      </c>
      <c r="D32" s="17"/>
      <c r="E32" s="18"/>
      <c r="F32" s="16"/>
      <c r="G32" s="16">
        <v>0</v>
      </c>
    </row>
    <row r="33" spans="1:7" ht="15.75" x14ac:dyDescent="0.3">
      <c r="A33" s="24" t="s">
        <v>521</v>
      </c>
      <c r="B33" s="19" t="s">
        <v>522</v>
      </c>
      <c r="C33" s="17">
        <v>33</v>
      </c>
      <c r="D33" s="17">
        <v>3220</v>
      </c>
      <c r="E33" s="18">
        <v>5310</v>
      </c>
      <c r="F33" s="16"/>
      <c r="G33" s="16">
        <v>3220</v>
      </c>
    </row>
    <row r="34" spans="1:7" ht="15.75" x14ac:dyDescent="0.3">
      <c r="A34" s="24" t="s">
        <v>523</v>
      </c>
      <c r="B34" s="25" t="s">
        <v>524</v>
      </c>
      <c r="C34" s="17">
        <v>220</v>
      </c>
      <c r="D34" s="17">
        <v>9810</v>
      </c>
      <c r="E34" s="18">
        <v>8100</v>
      </c>
      <c r="F34" s="16"/>
      <c r="G34" s="16">
        <v>9810</v>
      </c>
    </row>
    <row r="35" spans="1:7" ht="15.75" x14ac:dyDescent="0.3">
      <c r="A35" s="24" t="s">
        <v>525</v>
      </c>
      <c r="B35" s="19" t="s">
        <v>526</v>
      </c>
      <c r="C35" s="17">
        <v>7.2</v>
      </c>
      <c r="D35" s="17">
        <v>1030</v>
      </c>
      <c r="E35" s="18">
        <v>3380</v>
      </c>
      <c r="F35" s="16"/>
      <c r="G35" s="16">
        <v>1030</v>
      </c>
    </row>
    <row r="36" spans="1:7" ht="15.75" x14ac:dyDescent="0.3">
      <c r="A36" s="24" t="s">
        <v>527</v>
      </c>
      <c r="B36" s="19" t="s">
        <v>528</v>
      </c>
      <c r="C36" s="17">
        <v>9.9</v>
      </c>
      <c r="D36" s="17">
        <v>794</v>
      </c>
      <c r="E36" s="18">
        <v>2520</v>
      </c>
      <c r="F36" s="16"/>
      <c r="G36" s="16">
        <v>794</v>
      </c>
    </row>
    <row r="37" spans="1:7" ht="15.75" x14ac:dyDescent="0.3">
      <c r="A37" s="24" t="s">
        <v>529</v>
      </c>
      <c r="B37" s="19" t="s">
        <v>530</v>
      </c>
      <c r="C37" s="17">
        <v>15</v>
      </c>
      <c r="D37" s="17">
        <v>1640</v>
      </c>
      <c r="E37" s="18">
        <v>4140</v>
      </c>
      <c r="F37" s="16"/>
      <c r="G37" s="16">
        <v>1640</v>
      </c>
    </row>
    <row r="38" spans="1:7" ht="15.75" x14ac:dyDescent="0.3">
      <c r="A38" s="24" t="s">
        <v>531</v>
      </c>
      <c r="B38" s="19" t="s">
        <v>532</v>
      </c>
      <c r="C38" s="17">
        <v>5</v>
      </c>
      <c r="D38" s="17">
        <v>390</v>
      </c>
      <c r="E38" s="18">
        <v>1040</v>
      </c>
      <c r="F38" s="16"/>
      <c r="G38" s="16">
        <v>390</v>
      </c>
    </row>
    <row r="39" spans="1:7" ht="15.75" x14ac:dyDescent="0.3">
      <c r="A39" s="24" t="s">
        <v>533</v>
      </c>
      <c r="B39" s="19" t="s">
        <v>534</v>
      </c>
      <c r="C39" s="17">
        <v>0.77</v>
      </c>
      <c r="D39" s="17">
        <v>55</v>
      </c>
      <c r="E39" s="18">
        <v>207</v>
      </c>
      <c r="F39" s="16"/>
      <c r="G39" s="16">
        <v>55</v>
      </c>
    </row>
    <row r="40" spans="1:7" x14ac:dyDescent="0.2">
      <c r="A40" s="24" t="s">
        <v>535</v>
      </c>
      <c r="B40" s="19" t="s">
        <v>536</v>
      </c>
      <c r="C40" s="17">
        <v>0.77</v>
      </c>
      <c r="D40" s="17">
        <v>55</v>
      </c>
      <c r="E40" s="18"/>
      <c r="F40" s="16"/>
      <c r="G40" s="16">
        <v>55</v>
      </c>
    </row>
    <row r="41" spans="1:7" ht="15.75" x14ac:dyDescent="0.3">
      <c r="A41" s="24" t="s">
        <v>537</v>
      </c>
      <c r="B41" s="25" t="s">
        <v>538</v>
      </c>
      <c r="C41" s="17">
        <v>50000</v>
      </c>
      <c r="D41" s="33">
        <v>7390</v>
      </c>
      <c r="E41" s="34">
        <v>5210</v>
      </c>
      <c r="F41" s="16"/>
      <c r="G41" s="16">
        <v>7390</v>
      </c>
    </row>
    <row r="42" spans="1:7" ht="15.75" x14ac:dyDescent="0.3">
      <c r="A42" s="24" t="s">
        <v>539</v>
      </c>
      <c r="B42" s="25" t="s">
        <v>540</v>
      </c>
      <c r="C42" s="17">
        <v>10000</v>
      </c>
      <c r="D42" s="33">
        <v>12200</v>
      </c>
      <c r="E42" s="34">
        <v>8630</v>
      </c>
      <c r="F42" s="16"/>
      <c r="G42" s="16">
        <v>12200</v>
      </c>
    </row>
    <row r="43" spans="1:7" ht="15.75" x14ac:dyDescent="0.3">
      <c r="A43" s="24" t="s">
        <v>541</v>
      </c>
      <c r="B43" s="25" t="s">
        <v>542</v>
      </c>
      <c r="C43" s="17">
        <v>2600</v>
      </c>
      <c r="D43" s="17">
        <v>8830</v>
      </c>
      <c r="E43" s="18">
        <v>6310</v>
      </c>
      <c r="F43" s="16"/>
      <c r="G43" s="16">
        <v>8830</v>
      </c>
    </row>
    <row r="44" spans="1:7" ht="15.75" x14ac:dyDescent="0.3">
      <c r="A44" s="24" t="s">
        <v>543</v>
      </c>
      <c r="B44" s="25" t="s">
        <v>544</v>
      </c>
      <c r="C44" s="17">
        <v>3200</v>
      </c>
      <c r="D44" s="17">
        <v>10300</v>
      </c>
      <c r="E44" s="18">
        <v>7310</v>
      </c>
      <c r="F44" s="16"/>
      <c r="G44" s="16">
        <v>10300</v>
      </c>
    </row>
    <row r="45" spans="1:7" ht="15.75" x14ac:dyDescent="0.3">
      <c r="A45" s="24" t="s">
        <v>545</v>
      </c>
      <c r="B45" s="25" t="s">
        <v>546</v>
      </c>
      <c r="C45" s="17">
        <v>2600</v>
      </c>
      <c r="D45" s="17">
        <v>8860</v>
      </c>
      <c r="E45" s="18">
        <v>6330</v>
      </c>
      <c r="F45" s="16"/>
      <c r="G45" s="16">
        <v>8860</v>
      </c>
    </row>
    <row r="46" spans="1:7" ht="15.75" x14ac:dyDescent="0.3">
      <c r="A46" s="24" t="s">
        <v>547</v>
      </c>
      <c r="B46" s="25" t="s">
        <v>548</v>
      </c>
      <c r="C46" s="17">
        <v>4100</v>
      </c>
      <c r="D46" s="17">
        <v>9160</v>
      </c>
      <c r="E46" s="18">
        <v>6510</v>
      </c>
      <c r="F46" s="16"/>
      <c r="G46" s="16">
        <v>9160</v>
      </c>
    </row>
    <row r="47" spans="1:7" ht="15.75" x14ac:dyDescent="0.3">
      <c r="A47" s="24" t="s">
        <v>549</v>
      </c>
      <c r="B47" s="25" t="s">
        <v>550</v>
      </c>
      <c r="C47" s="17">
        <v>3200</v>
      </c>
      <c r="D47" s="17">
        <v>9300</v>
      </c>
      <c r="E47" s="18">
        <v>6600</v>
      </c>
      <c r="F47" s="16"/>
      <c r="G47" s="16">
        <v>9300</v>
      </c>
    </row>
    <row r="48" spans="1:7" ht="15.75" x14ac:dyDescent="0.3">
      <c r="A48" s="24" t="s">
        <v>551</v>
      </c>
      <c r="B48" s="25" t="s">
        <v>552</v>
      </c>
      <c r="C48" s="17" t="s">
        <v>553</v>
      </c>
      <c r="D48" s="17" t="s">
        <v>554</v>
      </c>
      <c r="E48" s="18" t="s">
        <v>555</v>
      </c>
      <c r="F48" s="16"/>
      <c r="G48" s="16" t="s">
        <v>554</v>
      </c>
    </row>
    <row r="49" spans="1:7" ht="15.75" x14ac:dyDescent="0.3">
      <c r="A49" s="24" t="s">
        <v>556</v>
      </c>
      <c r="B49" s="25" t="s">
        <v>557</v>
      </c>
      <c r="C49" s="17">
        <v>3200</v>
      </c>
      <c r="D49" s="17">
        <v>22800</v>
      </c>
      <c r="E49" s="18">
        <v>16300</v>
      </c>
      <c r="F49" s="16"/>
      <c r="G49" s="16">
        <v>22800</v>
      </c>
    </row>
    <row r="50" spans="1:7" ht="15.75" x14ac:dyDescent="0.3">
      <c r="A50" s="24" t="s">
        <v>558</v>
      </c>
      <c r="B50" s="16" t="s">
        <v>559</v>
      </c>
      <c r="C50" s="17">
        <v>740</v>
      </c>
      <c r="D50" s="17">
        <v>17200</v>
      </c>
      <c r="E50" s="18">
        <v>12300</v>
      </c>
      <c r="F50" s="16"/>
      <c r="G50" s="16">
        <v>17200</v>
      </c>
    </row>
    <row r="51" spans="1:7" ht="23.1" customHeight="1" x14ac:dyDescent="0.3">
      <c r="A51" s="26" t="s">
        <v>560</v>
      </c>
      <c r="B51" s="27" t="s">
        <v>561</v>
      </c>
      <c r="C51" s="17">
        <v>36</v>
      </c>
      <c r="D51" s="28"/>
      <c r="E51" s="29"/>
      <c r="F51" s="16"/>
      <c r="G51" s="16">
        <v>0</v>
      </c>
    </row>
    <row r="52" spans="1:7" ht="28.5" x14ac:dyDescent="0.3">
      <c r="A52" s="26" t="s">
        <v>562</v>
      </c>
      <c r="B52" s="35" t="s">
        <v>563</v>
      </c>
      <c r="C52" s="17">
        <v>800</v>
      </c>
      <c r="D52" s="28">
        <v>17700</v>
      </c>
      <c r="E52" s="29"/>
      <c r="F52" s="16"/>
      <c r="G52" s="16">
        <v>17700</v>
      </c>
    </row>
    <row r="53" spans="1:7" ht="15" x14ac:dyDescent="0.25">
      <c r="A53" s="15" t="s">
        <v>564</v>
      </c>
      <c r="B53" s="32" t="s">
        <v>565</v>
      </c>
      <c r="C53" s="17">
        <v>5.0000000000000001E-3</v>
      </c>
      <c r="D53" s="17">
        <v>1</v>
      </c>
      <c r="E53" s="18">
        <v>1</v>
      </c>
      <c r="F53" s="16"/>
      <c r="G53" s="16">
        <v>1</v>
      </c>
    </row>
    <row r="54" spans="1:7" ht="15.75" x14ac:dyDescent="0.3">
      <c r="A54" s="15" t="s">
        <v>566</v>
      </c>
      <c r="B54" s="32" t="s">
        <v>567</v>
      </c>
      <c r="C54" s="17">
        <v>5.0000000000000001E-3</v>
      </c>
      <c r="D54" s="17">
        <v>1</v>
      </c>
      <c r="E54" s="18">
        <v>1</v>
      </c>
      <c r="F54" s="16"/>
      <c r="G54" s="16">
        <v>1</v>
      </c>
    </row>
    <row r="55" spans="1:7" ht="41.25" x14ac:dyDescent="0.3">
      <c r="A55" s="15" t="s">
        <v>568</v>
      </c>
      <c r="B55" s="36" t="s">
        <v>569</v>
      </c>
      <c r="C55" s="37"/>
      <c r="D55" s="17">
        <v>1221</v>
      </c>
      <c r="E55" s="18"/>
      <c r="F55" s="16"/>
      <c r="G55" s="16">
        <v>1221</v>
      </c>
    </row>
    <row r="56" spans="1:7" ht="44.25" x14ac:dyDescent="0.3">
      <c r="A56" s="15" t="s">
        <v>570</v>
      </c>
      <c r="B56" s="38" t="s">
        <v>571</v>
      </c>
      <c r="C56" s="37"/>
      <c r="D56" s="17">
        <v>1101</v>
      </c>
      <c r="E56" s="18"/>
      <c r="F56" s="16"/>
      <c r="G56" s="16">
        <v>1101</v>
      </c>
    </row>
    <row r="57" spans="1:7" ht="25.5" x14ac:dyDescent="0.2">
      <c r="A57" s="15" t="s">
        <v>572</v>
      </c>
      <c r="B57" s="38" t="s">
        <v>573</v>
      </c>
      <c r="C57" s="37"/>
      <c r="D57" s="39">
        <v>1606</v>
      </c>
      <c r="E57" s="40"/>
      <c r="F57" s="16"/>
      <c r="G57" s="16">
        <v>1606</v>
      </c>
    </row>
    <row r="58" spans="1:7" ht="50.1" customHeight="1" x14ac:dyDescent="0.2">
      <c r="A58" s="15" t="s">
        <v>574</v>
      </c>
      <c r="B58" s="38" t="s">
        <v>575</v>
      </c>
      <c r="C58" s="37"/>
      <c r="D58" s="39">
        <v>1568.6</v>
      </c>
      <c r="E58" s="40"/>
      <c r="F58" s="16"/>
      <c r="G58" s="16">
        <v>1568.6</v>
      </c>
    </row>
    <row r="59" spans="1:7" ht="57" customHeight="1" x14ac:dyDescent="0.2">
      <c r="A59" s="15" t="s">
        <v>576</v>
      </c>
      <c r="B59" s="38" t="s">
        <v>577</v>
      </c>
      <c r="C59" s="37"/>
      <c r="D59" s="39">
        <v>1081.29</v>
      </c>
      <c r="E59" s="40"/>
      <c r="F59" s="16"/>
      <c r="G59" s="16">
        <v>1081.29</v>
      </c>
    </row>
    <row r="60" spans="1:7" ht="52.35" customHeight="1" x14ac:dyDescent="0.2">
      <c r="A60" s="41" t="s">
        <v>578</v>
      </c>
      <c r="B60" s="38" t="s">
        <v>579</v>
      </c>
      <c r="C60" s="37"/>
      <c r="D60" s="37">
        <v>1730.4999999999998</v>
      </c>
      <c r="E60" s="42"/>
      <c r="F60" s="16"/>
      <c r="G60" s="16">
        <v>1730.4999999999998</v>
      </c>
    </row>
    <row r="61" spans="1:7" ht="57" customHeight="1" x14ac:dyDescent="0.2">
      <c r="A61" s="15" t="s">
        <v>580</v>
      </c>
      <c r="B61" s="38" t="s">
        <v>581</v>
      </c>
      <c r="C61" s="37"/>
      <c r="D61" s="37">
        <v>1892.7199999999998</v>
      </c>
      <c r="E61" s="42"/>
      <c r="F61" s="16"/>
      <c r="G61" s="16">
        <v>1892.7199999999998</v>
      </c>
    </row>
    <row r="62" spans="1:7" ht="67.349999999999994" customHeight="1" x14ac:dyDescent="0.2">
      <c r="A62" s="15" t="s">
        <v>582</v>
      </c>
      <c r="B62" s="38" t="s">
        <v>583</v>
      </c>
      <c r="C62" s="37"/>
      <c r="D62" s="37">
        <v>2376.7199999999998</v>
      </c>
      <c r="E62" s="42"/>
      <c r="F62" s="16"/>
      <c r="G62" s="16">
        <v>2376.7199999999998</v>
      </c>
    </row>
    <row r="63" spans="1:7" ht="59.85" customHeight="1" x14ac:dyDescent="0.2">
      <c r="A63" s="15" t="s">
        <v>584</v>
      </c>
      <c r="B63" s="38" t="s">
        <v>585</v>
      </c>
      <c r="C63" s="37"/>
      <c r="D63" s="39">
        <v>1809.4250000000002</v>
      </c>
      <c r="E63" s="40">
        <v>4256.3410000000003</v>
      </c>
      <c r="F63" s="16"/>
      <c r="G63" s="16">
        <v>1809.4250000000002</v>
      </c>
    </row>
    <row r="64" spans="1:7" ht="59.85" customHeight="1" x14ac:dyDescent="0.2">
      <c r="A64" s="15" t="s">
        <v>586</v>
      </c>
      <c r="B64" s="38" t="s">
        <v>587</v>
      </c>
      <c r="C64" s="37"/>
      <c r="D64" s="39">
        <v>124</v>
      </c>
      <c r="E64" s="40">
        <v>437</v>
      </c>
      <c r="F64" s="16"/>
      <c r="G64" s="16">
        <v>124</v>
      </c>
    </row>
    <row r="65" spans="1:7" ht="59.85" customHeight="1" x14ac:dyDescent="0.2">
      <c r="A65" s="15" t="s">
        <v>588</v>
      </c>
      <c r="B65" s="38" t="s">
        <v>589</v>
      </c>
      <c r="C65" s="37"/>
      <c r="D65" s="39"/>
      <c r="E65" s="40"/>
      <c r="F65" s="16"/>
      <c r="G65" s="16">
        <v>0</v>
      </c>
    </row>
    <row r="66" spans="1:7" ht="38.25" x14ac:dyDescent="0.2">
      <c r="A66" s="15" t="s">
        <v>590</v>
      </c>
      <c r="B66" s="38" t="s">
        <v>591</v>
      </c>
      <c r="C66" s="37"/>
      <c r="D66" s="39">
        <v>3141.1255000000001</v>
      </c>
      <c r="E66" s="40">
        <v>6029.0649999999996</v>
      </c>
      <c r="F66" s="16"/>
      <c r="G66" s="16">
        <v>3141.1255000000001</v>
      </c>
    </row>
    <row r="67" spans="1:7" ht="38.25" x14ac:dyDescent="0.2">
      <c r="A67" s="15" t="s">
        <v>592</v>
      </c>
      <c r="B67" s="38" t="s">
        <v>593</v>
      </c>
      <c r="C67" s="37"/>
      <c r="D67" s="39">
        <v>2375.1999999999998</v>
      </c>
      <c r="E67" s="40">
        <v>5265.85</v>
      </c>
      <c r="F67" s="16"/>
      <c r="G67" s="16">
        <v>2375.1999999999998</v>
      </c>
    </row>
    <row r="68" spans="1:7" ht="51.6" customHeight="1" x14ac:dyDescent="0.2">
      <c r="A68" s="15" t="s">
        <v>594</v>
      </c>
      <c r="B68" s="38" t="s">
        <v>595</v>
      </c>
      <c r="C68" s="37"/>
      <c r="D68" s="17">
        <v>1182.48</v>
      </c>
      <c r="E68" s="18">
        <v>3495.4100000000003</v>
      </c>
      <c r="F68" s="16"/>
      <c r="G68" s="16">
        <v>1182.48</v>
      </c>
    </row>
    <row r="69" spans="1:7" ht="51" x14ac:dyDescent="0.2">
      <c r="A69" s="15" t="s">
        <v>596</v>
      </c>
      <c r="B69" s="38" t="s">
        <v>597</v>
      </c>
      <c r="C69" s="37"/>
      <c r="D69" s="17">
        <v>1288.26</v>
      </c>
      <c r="E69" s="18">
        <v>3775.27</v>
      </c>
      <c r="F69" s="16"/>
      <c r="G69" s="16">
        <v>1288.26</v>
      </c>
    </row>
    <row r="70" spans="1:7" ht="55.5" customHeight="1" x14ac:dyDescent="0.2">
      <c r="A70" s="15" t="s">
        <v>598</v>
      </c>
      <c r="B70" s="38" t="s">
        <v>599</v>
      </c>
      <c r="C70" s="37"/>
      <c r="D70" s="17">
        <v>932.58</v>
      </c>
      <c r="E70" s="18">
        <v>2844.7500000000005</v>
      </c>
      <c r="F70" s="16"/>
      <c r="G70" s="16">
        <v>932.58</v>
      </c>
    </row>
    <row r="71" spans="1:7" ht="38.25" x14ac:dyDescent="0.2">
      <c r="A71" s="15" t="s">
        <v>600</v>
      </c>
      <c r="B71" s="38" t="s">
        <v>601</v>
      </c>
      <c r="C71" s="37"/>
      <c r="D71" s="17">
        <v>2788</v>
      </c>
      <c r="E71" s="18">
        <v>5770.866</v>
      </c>
      <c r="F71" s="16"/>
      <c r="G71" s="16">
        <v>2788</v>
      </c>
    </row>
    <row r="72" spans="1:7" ht="38.25" x14ac:dyDescent="0.2">
      <c r="A72" s="15" t="s">
        <v>602</v>
      </c>
      <c r="B72" s="38" t="s">
        <v>603</v>
      </c>
      <c r="C72" s="37"/>
      <c r="D72" s="17">
        <v>2416</v>
      </c>
      <c r="E72" s="18">
        <v>5509.0659999999998</v>
      </c>
      <c r="F72" s="16"/>
      <c r="G72" s="16">
        <v>2416</v>
      </c>
    </row>
    <row r="73" spans="1:7" ht="38.25" x14ac:dyDescent="0.2">
      <c r="A73" s="15" t="s">
        <v>604</v>
      </c>
      <c r="B73" s="38" t="s">
        <v>605</v>
      </c>
      <c r="C73" s="37"/>
      <c r="D73" s="17">
        <v>4458</v>
      </c>
      <c r="E73" s="18">
        <v>5350.665</v>
      </c>
      <c r="F73" s="16"/>
      <c r="G73" s="16">
        <v>4458</v>
      </c>
    </row>
    <row r="74" spans="1:7" ht="63.75" x14ac:dyDescent="0.2">
      <c r="A74" s="15" t="s">
        <v>606</v>
      </c>
      <c r="B74" s="38" t="s">
        <v>607</v>
      </c>
      <c r="C74" s="37" t="s">
        <v>608</v>
      </c>
      <c r="D74" s="37">
        <v>3921.6000000000004</v>
      </c>
      <c r="E74" s="42">
        <v>6010</v>
      </c>
      <c r="F74" s="16"/>
      <c r="G74" s="16">
        <v>3921.6000000000004</v>
      </c>
    </row>
    <row r="75" spans="1:7" ht="38.25" x14ac:dyDescent="0.2">
      <c r="A75" s="15" t="s">
        <v>609</v>
      </c>
      <c r="B75" s="38" t="s">
        <v>610</v>
      </c>
      <c r="C75" s="37"/>
      <c r="D75" s="37">
        <v>1942.7199999999998</v>
      </c>
      <c r="E75" s="42">
        <v>5089.0200000000004</v>
      </c>
      <c r="F75" s="16"/>
      <c r="G75" s="16">
        <v>1942.7199999999998</v>
      </c>
    </row>
    <row r="76" spans="1:7" ht="38.25" x14ac:dyDescent="0.2">
      <c r="A76" s="15" t="s">
        <v>611</v>
      </c>
      <c r="B76" s="38" t="s">
        <v>612</v>
      </c>
      <c r="C76" s="37" t="s">
        <v>613</v>
      </c>
      <c r="D76" s="37">
        <v>2107</v>
      </c>
      <c r="E76" s="42">
        <v>4538</v>
      </c>
      <c r="F76" s="16"/>
      <c r="G76" s="16">
        <v>2107</v>
      </c>
    </row>
    <row r="77" spans="1:7" ht="38.25" x14ac:dyDescent="0.2">
      <c r="A77" s="15" t="s">
        <v>614</v>
      </c>
      <c r="B77" s="38" t="s">
        <v>615</v>
      </c>
      <c r="C77" s="37"/>
      <c r="D77" s="37">
        <v>2245</v>
      </c>
      <c r="E77" s="42">
        <v>4494</v>
      </c>
      <c r="F77" s="16"/>
      <c r="G77" s="16">
        <v>2245</v>
      </c>
    </row>
    <row r="78" spans="1:7" ht="38.25" x14ac:dyDescent="0.2">
      <c r="A78" s="15" t="s">
        <v>616</v>
      </c>
      <c r="B78" s="38" t="s">
        <v>617</v>
      </c>
      <c r="C78" s="37"/>
      <c r="D78" s="17">
        <v>1773.85</v>
      </c>
      <c r="E78" s="18">
        <v>4115</v>
      </c>
      <c r="F78" s="16"/>
      <c r="G78" s="16">
        <v>1773.85</v>
      </c>
    </row>
    <row r="79" spans="1:7" ht="38.25" x14ac:dyDescent="0.2">
      <c r="A79" s="15" t="s">
        <v>618</v>
      </c>
      <c r="B79" s="38" t="s">
        <v>619</v>
      </c>
      <c r="C79" s="37"/>
      <c r="D79" s="43">
        <v>1627.25</v>
      </c>
      <c r="E79" s="44">
        <v>3983</v>
      </c>
      <c r="F79" s="16"/>
      <c r="G79" s="16">
        <v>1627.25</v>
      </c>
    </row>
    <row r="80" spans="1:7" ht="38.25" x14ac:dyDescent="0.2">
      <c r="A80" s="15" t="s">
        <v>620</v>
      </c>
      <c r="B80" s="38" t="s">
        <v>621</v>
      </c>
      <c r="C80" s="37"/>
      <c r="D80" s="17">
        <v>1824.5</v>
      </c>
      <c r="E80" s="18">
        <v>4136</v>
      </c>
      <c r="F80" s="16"/>
      <c r="G80" s="16">
        <v>1824.5</v>
      </c>
    </row>
    <row r="81" spans="1:7" ht="38.25" x14ac:dyDescent="0.2">
      <c r="A81" s="15" t="s">
        <v>622</v>
      </c>
      <c r="B81" s="38" t="s">
        <v>623</v>
      </c>
      <c r="C81" s="37"/>
      <c r="D81" s="17">
        <v>1495.125</v>
      </c>
      <c r="E81" s="18">
        <v>3720.5</v>
      </c>
      <c r="F81" s="16"/>
      <c r="G81" s="16">
        <v>1495.125</v>
      </c>
    </row>
    <row r="82" spans="1:7" ht="38.25" x14ac:dyDescent="0.2">
      <c r="A82" s="15" t="s">
        <v>624</v>
      </c>
      <c r="B82" s="38" t="s">
        <v>625</v>
      </c>
      <c r="C82" s="37"/>
      <c r="D82" s="17">
        <v>3151.9000000000005</v>
      </c>
      <c r="E82" s="18">
        <v>5579.1</v>
      </c>
      <c r="F82" s="16"/>
      <c r="G82" s="16">
        <v>3151.9000000000005</v>
      </c>
    </row>
    <row r="83" spans="1:7" ht="55.35" customHeight="1" x14ac:dyDescent="0.2">
      <c r="A83" s="15" t="s">
        <v>626</v>
      </c>
      <c r="B83" s="38" t="s">
        <v>627</v>
      </c>
      <c r="C83" s="37"/>
      <c r="D83" s="39">
        <v>1585</v>
      </c>
      <c r="E83" s="40">
        <v>4437</v>
      </c>
      <c r="F83" s="16"/>
      <c r="G83" s="16">
        <v>1585</v>
      </c>
    </row>
    <row r="84" spans="1:7" customFormat="1" ht="39" x14ac:dyDescent="0.25">
      <c r="A84" s="15" t="s">
        <v>202</v>
      </c>
      <c r="B84" s="38" t="s">
        <v>628</v>
      </c>
      <c r="C84" s="37" t="s">
        <v>613</v>
      </c>
      <c r="D84" s="37">
        <v>2087.5</v>
      </c>
      <c r="E84" s="42">
        <v>4340</v>
      </c>
      <c r="F84" s="16"/>
      <c r="G84" s="16">
        <v>2087.5</v>
      </c>
    </row>
    <row r="85" spans="1:7" ht="38.25" x14ac:dyDescent="0.2">
      <c r="A85" s="15" t="s">
        <v>629</v>
      </c>
      <c r="B85" s="38" t="s">
        <v>630</v>
      </c>
      <c r="C85" s="37" t="s">
        <v>613</v>
      </c>
      <c r="D85" s="37">
        <v>2228.75</v>
      </c>
      <c r="E85" s="42">
        <v>4541</v>
      </c>
      <c r="F85" s="16"/>
      <c r="G85" s="16">
        <v>2228.75</v>
      </c>
    </row>
    <row r="86" spans="1:7" ht="38.25" x14ac:dyDescent="0.2">
      <c r="A86" s="41" t="s">
        <v>631</v>
      </c>
      <c r="B86" s="38" t="s">
        <v>632</v>
      </c>
      <c r="C86" s="37"/>
      <c r="D86" s="37">
        <v>1597.4350000000002</v>
      </c>
      <c r="E86" s="42">
        <v>4563.1149999999998</v>
      </c>
      <c r="F86" s="16"/>
      <c r="G86" s="16">
        <v>1597.4350000000002</v>
      </c>
    </row>
    <row r="87" spans="1:7" ht="38.25" x14ac:dyDescent="0.2">
      <c r="A87" s="41" t="s">
        <v>633</v>
      </c>
      <c r="B87" s="38" t="s">
        <v>634</v>
      </c>
      <c r="C87" s="37"/>
      <c r="D87" s="37">
        <v>1705.2099999999998</v>
      </c>
      <c r="E87" s="42">
        <v>4863.5999999999995</v>
      </c>
      <c r="F87" s="16"/>
      <c r="G87" s="16">
        <v>1705.2099999999998</v>
      </c>
    </row>
    <row r="88" spans="1:7" ht="38.25" x14ac:dyDescent="0.2">
      <c r="A88" s="15" t="s">
        <v>635</v>
      </c>
      <c r="B88" s="38" t="s">
        <v>636</v>
      </c>
      <c r="C88" s="37"/>
      <c r="D88" s="39">
        <v>2053</v>
      </c>
      <c r="E88" s="40">
        <v>3938.4500000000003</v>
      </c>
      <c r="F88" s="16"/>
      <c r="G88" s="16">
        <v>2053</v>
      </c>
    </row>
    <row r="89" spans="1:7" ht="51" x14ac:dyDescent="0.2">
      <c r="A89" s="41" t="s">
        <v>637</v>
      </c>
      <c r="B89" s="38" t="s">
        <v>638</v>
      </c>
      <c r="C89" s="37"/>
      <c r="D89" s="39">
        <v>1478</v>
      </c>
      <c r="E89" s="40">
        <v>3768.42</v>
      </c>
      <c r="F89" s="16"/>
      <c r="G89" s="16">
        <v>1478</v>
      </c>
    </row>
    <row r="90" spans="1:7" ht="51" x14ac:dyDescent="0.2">
      <c r="A90" s="15" t="s">
        <v>639</v>
      </c>
      <c r="B90" s="38" t="s">
        <v>640</v>
      </c>
      <c r="C90" s="37"/>
      <c r="D90" s="39">
        <v>1362</v>
      </c>
      <c r="E90" s="40">
        <v>3898.5450000000001</v>
      </c>
      <c r="F90" s="16"/>
      <c r="G90" s="16">
        <v>1362</v>
      </c>
    </row>
    <row r="91" spans="1:7" ht="51" x14ac:dyDescent="0.2">
      <c r="A91" s="15" t="s">
        <v>641</v>
      </c>
      <c r="B91" s="38" t="s">
        <v>642</v>
      </c>
      <c r="C91" s="37"/>
      <c r="D91" s="39">
        <v>1084.3</v>
      </c>
      <c r="E91" s="40">
        <v>3077.395</v>
      </c>
      <c r="F91" s="16"/>
      <c r="G91" s="16">
        <v>1084.3</v>
      </c>
    </row>
    <row r="92" spans="1:7" ht="38.25" x14ac:dyDescent="0.2">
      <c r="A92" s="15" t="s">
        <v>643</v>
      </c>
      <c r="B92" s="38" t="s">
        <v>644</v>
      </c>
      <c r="C92" s="37"/>
      <c r="D92" s="39">
        <v>2346.1019999999999</v>
      </c>
      <c r="E92" s="40">
        <v>4874.2020000000002</v>
      </c>
      <c r="F92" s="16"/>
      <c r="G92" s="16">
        <v>2346.1019999999999</v>
      </c>
    </row>
    <row r="93" spans="1:7" ht="38.25" x14ac:dyDescent="0.2">
      <c r="A93" s="15" t="s">
        <v>645</v>
      </c>
      <c r="B93" s="38" t="s">
        <v>646</v>
      </c>
      <c r="C93" s="37"/>
      <c r="D93" s="39">
        <v>3026.0574999999999</v>
      </c>
      <c r="E93" s="40">
        <v>5715.5575000000008</v>
      </c>
      <c r="F93" s="16"/>
      <c r="G93" s="16">
        <v>3026.0574999999999</v>
      </c>
    </row>
    <row r="94" spans="1:7" ht="38.25" x14ac:dyDescent="0.2">
      <c r="A94" s="15" t="s">
        <v>647</v>
      </c>
      <c r="B94" s="38" t="s">
        <v>585</v>
      </c>
      <c r="C94" s="37"/>
      <c r="D94" s="39">
        <v>1809.4080000000001</v>
      </c>
      <c r="E94" s="40">
        <v>4256.375</v>
      </c>
      <c r="F94" s="16"/>
      <c r="G94" s="16">
        <v>1809.4080000000001</v>
      </c>
    </row>
    <row r="95" spans="1:7" ht="25.5" x14ac:dyDescent="0.2">
      <c r="A95" s="15" t="s">
        <v>648</v>
      </c>
      <c r="B95" s="38" t="s">
        <v>649</v>
      </c>
      <c r="C95" s="37"/>
      <c r="D95" s="39">
        <v>1535.6000000000001</v>
      </c>
      <c r="E95" s="40">
        <v>4029.2</v>
      </c>
      <c r="F95" s="16"/>
      <c r="G95" s="16">
        <v>1535.6000000000001</v>
      </c>
    </row>
    <row r="96" spans="1:7" ht="25.5" x14ac:dyDescent="0.2">
      <c r="A96" s="41" t="s">
        <v>650</v>
      </c>
      <c r="B96" s="38" t="s">
        <v>651</v>
      </c>
      <c r="C96" s="37"/>
      <c r="D96" s="39">
        <v>2630.6</v>
      </c>
      <c r="E96" s="40">
        <v>5291.5999999999995</v>
      </c>
      <c r="F96" s="16"/>
      <c r="G96" s="16">
        <v>2630.6</v>
      </c>
    </row>
    <row r="97" spans="1:7" ht="25.5" x14ac:dyDescent="0.2">
      <c r="A97" s="41" t="s">
        <v>652</v>
      </c>
      <c r="B97" s="38" t="s">
        <v>653</v>
      </c>
      <c r="C97" s="37"/>
      <c r="D97" s="39">
        <v>3189.5</v>
      </c>
      <c r="E97" s="40">
        <v>5972</v>
      </c>
      <c r="F97" s="16"/>
      <c r="G97" s="16">
        <v>3189.5</v>
      </c>
    </row>
    <row r="98" spans="1:7" ht="38.25" x14ac:dyDescent="0.2">
      <c r="A98" s="15" t="s">
        <v>654</v>
      </c>
      <c r="B98" s="38" t="s">
        <v>655</v>
      </c>
      <c r="C98" s="37"/>
      <c r="D98" s="39">
        <v>3143.0519999999997</v>
      </c>
      <c r="E98" s="40">
        <v>5844.4019999999991</v>
      </c>
      <c r="F98" s="16"/>
      <c r="G98" s="16">
        <v>3143.0519999999997</v>
      </c>
    </row>
    <row r="99" spans="1:7" ht="38.25" x14ac:dyDescent="0.2">
      <c r="A99" s="15" t="s">
        <v>656</v>
      </c>
      <c r="B99" s="38" t="s">
        <v>657</v>
      </c>
      <c r="C99" s="37"/>
      <c r="D99" s="39">
        <v>2525.6900000000005</v>
      </c>
      <c r="E99" s="40">
        <v>5101.1900000000005</v>
      </c>
      <c r="F99" s="16"/>
      <c r="G99" s="16">
        <v>2525.6900000000005</v>
      </c>
    </row>
    <row r="100" spans="1:7" ht="38.25" x14ac:dyDescent="0.2">
      <c r="A100" s="15" t="s">
        <v>658</v>
      </c>
      <c r="B100" s="38" t="s">
        <v>659</v>
      </c>
      <c r="C100" s="37"/>
      <c r="D100" s="39">
        <v>3084.59</v>
      </c>
      <c r="E100" s="40">
        <v>5781.59</v>
      </c>
      <c r="F100" s="16"/>
      <c r="G100" s="16">
        <v>3084.59</v>
      </c>
    </row>
    <row r="101" spans="1:7" ht="38.25" x14ac:dyDescent="0.2">
      <c r="A101" s="15" t="s">
        <v>660</v>
      </c>
      <c r="B101" s="38" t="s">
        <v>661</v>
      </c>
      <c r="C101" s="37"/>
      <c r="D101" s="39">
        <v>2729.0519999999997</v>
      </c>
      <c r="E101" s="40">
        <v>5340.402</v>
      </c>
      <c r="F101" s="16"/>
      <c r="G101" s="16">
        <v>2729.0519999999997</v>
      </c>
    </row>
    <row r="102" spans="1:7" ht="38.25" x14ac:dyDescent="0.2">
      <c r="A102" s="15" t="s">
        <v>662</v>
      </c>
      <c r="B102" s="38" t="s">
        <v>663</v>
      </c>
      <c r="C102" s="37"/>
      <c r="D102" s="39">
        <v>2280.25</v>
      </c>
      <c r="E102" s="40">
        <v>4533</v>
      </c>
      <c r="F102" s="16"/>
      <c r="G102" s="16">
        <v>2280.25</v>
      </c>
    </row>
    <row r="103" spans="1:7" ht="63.75" x14ac:dyDescent="0.2">
      <c r="A103" s="15" t="s">
        <v>664</v>
      </c>
      <c r="B103" s="38" t="s">
        <v>665</v>
      </c>
      <c r="C103" s="37"/>
      <c r="D103" s="39">
        <v>2439.6161000000002</v>
      </c>
      <c r="E103" s="40">
        <v>5006.8661000000002</v>
      </c>
      <c r="F103" s="16"/>
      <c r="G103" s="16">
        <v>2439.6161000000002</v>
      </c>
    </row>
    <row r="104" spans="1:7" ht="51" x14ac:dyDescent="0.2">
      <c r="A104" s="15" t="s">
        <v>666</v>
      </c>
      <c r="B104" s="38" t="s">
        <v>667</v>
      </c>
      <c r="C104" s="37"/>
      <c r="D104" s="39">
        <v>1508.47</v>
      </c>
      <c r="E104" s="40">
        <v>3885.82</v>
      </c>
      <c r="F104" s="16"/>
      <c r="G104" s="16">
        <v>1508.47</v>
      </c>
    </row>
    <row r="105" spans="1:7" ht="51" x14ac:dyDescent="0.2">
      <c r="A105" s="15" t="s">
        <v>668</v>
      </c>
      <c r="B105" s="38" t="s">
        <v>669</v>
      </c>
      <c r="C105" s="37"/>
      <c r="D105" s="39">
        <v>2138.25</v>
      </c>
      <c r="E105" s="40">
        <v>4441</v>
      </c>
      <c r="F105" s="16"/>
      <c r="G105" s="16">
        <v>2138.25</v>
      </c>
    </row>
    <row r="106" spans="1:7" ht="51" x14ac:dyDescent="0.2">
      <c r="A106" s="15" t="s">
        <v>670</v>
      </c>
      <c r="B106" s="38" t="s">
        <v>671</v>
      </c>
      <c r="C106" s="37"/>
      <c r="D106" s="39">
        <v>3607.3598000000002</v>
      </c>
      <c r="E106" s="40">
        <v>6100.1098000000002</v>
      </c>
      <c r="F106" s="16"/>
      <c r="G106" s="16">
        <v>3607.3598000000002</v>
      </c>
    </row>
    <row r="107" spans="1:7" ht="51" x14ac:dyDescent="0.2">
      <c r="A107" s="15" t="s">
        <v>672</v>
      </c>
      <c r="B107" s="38" t="s">
        <v>673</v>
      </c>
      <c r="C107" s="37"/>
      <c r="D107" s="39">
        <v>3245.4839999999999</v>
      </c>
      <c r="E107" s="40">
        <v>5686.2839999999997</v>
      </c>
      <c r="F107" s="16"/>
      <c r="G107" s="16">
        <v>3245.4839999999999</v>
      </c>
    </row>
    <row r="108" spans="1:7" ht="25.5" x14ac:dyDescent="0.2">
      <c r="A108" s="15" t="s">
        <v>674</v>
      </c>
      <c r="B108" s="38" t="s">
        <v>675</v>
      </c>
      <c r="C108" s="37"/>
      <c r="D108" s="39">
        <v>5</v>
      </c>
      <c r="E108" s="40">
        <v>5</v>
      </c>
      <c r="F108" s="16"/>
      <c r="G108" s="16">
        <v>5</v>
      </c>
    </row>
    <row r="109" spans="1:7" ht="51" x14ac:dyDescent="0.2">
      <c r="A109" s="15" t="s">
        <v>676</v>
      </c>
      <c r="B109" s="38" t="s">
        <v>677</v>
      </c>
      <c r="C109" s="37"/>
      <c r="D109" s="39">
        <v>1805.164</v>
      </c>
      <c r="E109" s="40">
        <v>4244.9139999999998</v>
      </c>
      <c r="F109" s="16"/>
      <c r="G109" s="16">
        <v>1805.164</v>
      </c>
    </row>
    <row r="110" spans="1:7" ht="79.349999999999994" customHeight="1" x14ac:dyDescent="0.2">
      <c r="A110" s="15" t="s">
        <v>678</v>
      </c>
      <c r="B110" s="38" t="s">
        <v>679</v>
      </c>
      <c r="C110" s="37"/>
      <c r="D110" s="39">
        <v>2237.98</v>
      </c>
      <c r="E110" s="40">
        <v>4659.2299999999996</v>
      </c>
      <c r="F110" s="16"/>
      <c r="G110" s="16">
        <v>2237.98</v>
      </c>
    </row>
    <row r="111" spans="1:7" ht="51" x14ac:dyDescent="0.2">
      <c r="A111" s="15" t="s">
        <v>680</v>
      </c>
      <c r="B111" s="38" t="s">
        <v>681</v>
      </c>
      <c r="C111" s="37"/>
      <c r="D111" s="39">
        <v>5</v>
      </c>
      <c r="E111" s="40">
        <v>5</v>
      </c>
      <c r="F111" s="16"/>
      <c r="G111" s="16">
        <v>5</v>
      </c>
    </row>
    <row r="112" spans="1:7" ht="76.5" x14ac:dyDescent="0.2">
      <c r="A112" s="15" t="s">
        <v>682</v>
      </c>
      <c r="B112" s="38" t="s">
        <v>683</v>
      </c>
      <c r="C112" s="37"/>
      <c r="D112" s="39">
        <v>1887.97</v>
      </c>
      <c r="E112" s="40">
        <v>4118.41</v>
      </c>
      <c r="F112" s="16"/>
      <c r="G112" s="16">
        <v>1887.97</v>
      </c>
    </row>
    <row r="113" spans="1:7" ht="38.25" x14ac:dyDescent="0.2">
      <c r="A113" s="15" t="s">
        <v>684</v>
      </c>
      <c r="B113" s="38" t="s">
        <v>685</v>
      </c>
      <c r="C113" s="37"/>
      <c r="D113" s="39"/>
      <c r="E113" s="40"/>
      <c r="F113" s="16"/>
      <c r="G113" s="16">
        <v>0</v>
      </c>
    </row>
    <row r="114" spans="1:7" ht="38.25" x14ac:dyDescent="0.2">
      <c r="A114" s="15" t="s">
        <v>686</v>
      </c>
      <c r="B114" s="38" t="s">
        <v>687</v>
      </c>
      <c r="C114" s="37" t="s">
        <v>688</v>
      </c>
      <c r="D114" s="39">
        <v>88.03</v>
      </c>
      <c r="E114" s="40">
        <v>302.27999999999997</v>
      </c>
      <c r="F114" s="16"/>
      <c r="G114" s="16">
        <v>88.03</v>
      </c>
    </row>
    <row r="115" spans="1:7" ht="45.6" customHeight="1" x14ac:dyDescent="0.2">
      <c r="A115" s="15" t="s">
        <v>689</v>
      </c>
      <c r="B115" s="38" t="s">
        <v>690</v>
      </c>
      <c r="C115" s="37" t="s">
        <v>688</v>
      </c>
      <c r="D115" s="39">
        <v>293.01</v>
      </c>
      <c r="E115" s="40">
        <v>1011.135</v>
      </c>
      <c r="F115" s="16"/>
      <c r="G115" s="16">
        <v>293.01</v>
      </c>
    </row>
    <row r="116" spans="1:7" ht="49.5" customHeight="1" x14ac:dyDescent="0.2">
      <c r="A116" s="15" t="s">
        <v>691</v>
      </c>
      <c r="B116" s="38" t="s">
        <v>692</v>
      </c>
      <c r="C116" s="37" t="s">
        <v>688</v>
      </c>
      <c r="D116" s="39">
        <v>129.60999999999999</v>
      </c>
      <c r="E116" s="40">
        <v>345.61</v>
      </c>
      <c r="F116" s="16"/>
      <c r="G116" s="16">
        <v>129.60999999999999</v>
      </c>
    </row>
    <row r="117" spans="1:7" ht="49.5" customHeight="1" x14ac:dyDescent="0.2">
      <c r="A117" s="15" t="s">
        <v>693</v>
      </c>
      <c r="B117" s="38" t="s">
        <v>694</v>
      </c>
      <c r="C117" s="37" t="s">
        <v>688</v>
      </c>
      <c r="D117" s="39">
        <v>459.38000000000005</v>
      </c>
      <c r="E117" s="40">
        <v>1584.78</v>
      </c>
      <c r="F117" s="16"/>
      <c r="G117" s="16">
        <v>459.38000000000005</v>
      </c>
    </row>
    <row r="118" spans="1:7" ht="38.25" x14ac:dyDescent="0.2">
      <c r="A118" s="15" t="s">
        <v>695</v>
      </c>
      <c r="B118" s="38" t="s">
        <v>696</v>
      </c>
      <c r="C118" s="37" t="s">
        <v>688</v>
      </c>
      <c r="D118" s="39">
        <v>600</v>
      </c>
      <c r="E118" s="40"/>
      <c r="F118" s="16"/>
      <c r="G118" s="16">
        <v>600</v>
      </c>
    </row>
    <row r="119" spans="1:7" ht="38.25" x14ac:dyDescent="0.2">
      <c r="A119" s="15" t="s">
        <v>697</v>
      </c>
      <c r="B119" s="38" t="s">
        <v>698</v>
      </c>
      <c r="C119" s="37"/>
      <c r="D119" s="39">
        <v>739.24</v>
      </c>
      <c r="E119" s="40">
        <v>2092.6400000000003</v>
      </c>
      <c r="F119" s="16"/>
      <c r="G119" s="16">
        <v>739.24</v>
      </c>
    </row>
    <row r="120" spans="1:7" ht="76.5" x14ac:dyDescent="0.2">
      <c r="A120" s="15" t="s">
        <v>699</v>
      </c>
      <c r="B120" s="38" t="s">
        <v>700</v>
      </c>
      <c r="C120" s="37"/>
      <c r="D120" s="39">
        <v>1386.07</v>
      </c>
      <c r="E120" s="40">
        <v>3061.3700000000003</v>
      </c>
      <c r="F120" s="16"/>
      <c r="G120" s="16">
        <v>1386.07</v>
      </c>
    </row>
    <row r="121" spans="1:7" ht="63.75" x14ac:dyDescent="0.2">
      <c r="A121" s="15" t="s">
        <v>701</v>
      </c>
      <c r="B121" s="38" t="s">
        <v>702</v>
      </c>
      <c r="C121" s="37"/>
      <c r="D121" s="39">
        <v>1396.288</v>
      </c>
      <c r="E121" s="40">
        <v>3119.203</v>
      </c>
      <c r="F121" s="16"/>
      <c r="G121" s="16">
        <v>1396.288</v>
      </c>
    </row>
    <row r="122" spans="1:7" ht="63.75" x14ac:dyDescent="0.2">
      <c r="A122" s="15" t="s">
        <v>703</v>
      </c>
      <c r="B122" s="38" t="s">
        <v>704</v>
      </c>
      <c r="C122" s="37"/>
      <c r="D122" s="39">
        <v>1411.222</v>
      </c>
      <c r="E122" s="40">
        <v>3176.0320000000002</v>
      </c>
      <c r="F122" s="16"/>
      <c r="G122" s="16">
        <v>1411.222</v>
      </c>
    </row>
    <row r="123" spans="1:7" ht="25.5" x14ac:dyDescent="0.2">
      <c r="A123" s="15" t="s">
        <v>705</v>
      </c>
      <c r="B123" s="38" t="s">
        <v>706</v>
      </c>
      <c r="C123" s="37"/>
      <c r="D123" s="39">
        <v>601.18000000000006</v>
      </c>
      <c r="E123" s="40"/>
      <c r="F123" s="16"/>
      <c r="G123" s="16">
        <v>601.18000000000006</v>
      </c>
    </row>
    <row r="124" spans="1:7" ht="25.5" x14ac:dyDescent="0.2">
      <c r="A124" s="15" t="s">
        <v>707</v>
      </c>
      <c r="B124" s="38" t="s">
        <v>708</v>
      </c>
      <c r="C124" s="37"/>
      <c r="D124" s="39">
        <v>146.75799999999998</v>
      </c>
      <c r="E124" s="40"/>
      <c r="F124" s="16"/>
      <c r="G124" s="16">
        <v>146.75799999999998</v>
      </c>
    </row>
    <row r="125" spans="1:7" ht="25.5" x14ac:dyDescent="0.2">
      <c r="A125" s="15" t="s">
        <v>709</v>
      </c>
      <c r="B125" s="38" t="s">
        <v>710</v>
      </c>
      <c r="C125" s="37"/>
      <c r="D125" s="39">
        <v>161.048</v>
      </c>
      <c r="E125" s="40"/>
      <c r="F125" s="16"/>
      <c r="G125" s="16">
        <v>161.048</v>
      </c>
    </row>
    <row r="126" spans="1:7" ht="44.1" customHeight="1" x14ac:dyDescent="0.2">
      <c r="A126" s="15" t="s">
        <v>711</v>
      </c>
      <c r="B126" s="38" t="s">
        <v>712</v>
      </c>
      <c r="C126" s="37"/>
      <c r="D126" s="39">
        <v>2139.5500000000002</v>
      </c>
      <c r="E126" s="40">
        <v>4003.1000000000004</v>
      </c>
      <c r="F126" s="16"/>
      <c r="G126" s="16">
        <v>2139.5500000000002</v>
      </c>
    </row>
    <row r="127" spans="1:7" ht="47.1" customHeight="1" x14ac:dyDescent="0.2">
      <c r="A127" s="15" t="s">
        <v>713</v>
      </c>
      <c r="B127" s="38" t="s">
        <v>714</v>
      </c>
      <c r="C127" s="37"/>
      <c r="D127" s="39">
        <v>697.51</v>
      </c>
      <c r="E127" s="40">
        <v>2005.8600000000001</v>
      </c>
      <c r="F127" s="16"/>
      <c r="G127" s="16">
        <v>697.51</v>
      </c>
    </row>
    <row r="128" spans="1:7" ht="77.849999999999994" customHeight="1" x14ac:dyDescent="0.2">
      <c r="A128" s="15" t="s">
        <v>715</v>
      </c>
      <c r="B128" s="38" t="s">
        <v>716</v>
      </c>
      <c r="C128" s="37"/>
      <c r="D128" s="39">
        <v>2219.64</v>
      </c>
      <c r="E128" s="40">
        <v>4165.0150000000003</v>
      </c>
      <c r="F128" s="16"/>
      <c r="G128" s="16">
        <v>2219.64</v>
      </c>
    </row>
    <row r="129" spans="1:7" ht="102" x14ac:dyDescent="0.2">
      <c r="A129" s="15" t="s">
        <v>717</v>
      </c>
      <c r="B129" s="38" t="s">
        <v>718</v>
      </c>
      <c r="C129" s="37"/>
      <c r="D129" s="39">
        <v>1765.3879999999999</v>
      </c>
      <c r="E129" s="40">
        <v>4062.0880000000002</v>
      </c>
      <c r="F129" s="16"/>
      <c r="G129" s="16">
        <v>1765.3879999999999</v>
      </c>
    </row>
    <row r="130" spans="1:7" ht="25.5" x14ac:dyDescent="0.2">
      <c r="A130" s="15" t="s">
        <v>719</v>
      </c>
      <c r="B130" s="38" t="s">
        <v>720</v>
      </c>
      <c r="C130" s="37"/>
      <c r="D130" s="39">
        <v>239</v>
      </c>
      <c r="E130" s="40">
        <v>816.15</v>
      </c>
      <c r="F130" s="16"/>
      <c r="G130" s="16">
        <v>239</v>
      </c>
    </row>
    <row r="131" spans="1:7" ht="25.5" x14ac:dyDescent="0.2">
      <c r="A131" s="15" t="s">
        <v>721</v>
      </c>
      <c r="B131" s="38" t="s">
        <v>722</v>
      </c>
      <c r="C131" s="37"/>
      <c r="D131" s="39">
        <v>465.99999999999994</v>
      </c>
      <c r="E131" s="40">
        <v>1605.6809999999998</v>
      </c>
      <c r="F131" s="16"/>
      <c r="G131" s="16">
        <v>465.99999999999994</v>
      </c>
    </row>
    <row r="132" spans="1:7" ht="38.25" x14ac:dyDescent="0.2">
      <c r="A132" s="15" t="s">
        <v>723</v>
      </c>
      <c r="B132" s="38" t="s">
        <v>724</v>
      </c>
      <c r="C132" s="37"/>
      <c r="D132" s="17">
        <v>145.91</v>
      </c>
      <c r="E132" s="18">
        <v>501.73500000000001</v>
      </c>
      <c r="F132" s="16"/>
      <c r="G132" s="16">
        <v>145.91</v>
      </c>
    </row>
    <row r="133" spans="1:7" ht="41.25" x14ac:dyDescent="0.3">
      <c r="A133" s="15" t="s">
        <v>725</v>
      </c>
      <c r="B133" s="38" t="s">
        <v>726</v>
      </c>
      <c r="C133" s="37"/>
      <c r="D133" s="39">
        <v>145.91</v>
      </c>
      <c r="E133" s="40">
        <v>501.73499999999996</v>
      </c>
      <c r="F133" s="16"/>
      <c r="G133" s="16">
        <v>145.91</v>
      </c>
    </row>
    <row r="134" spans="1:7" ht="38.1" customHeight="1" x14ac:dyDescent="0.2">
      <c r="A134" s="15" t="s">
        <v>727</v>
      </c>
      <c r="B134" s="38" t="s">
        <v>728</v>
      </c>
      <c r="C134" s="37"/>
      <c r="D134" s="45">
        <v>684.49</v>
      </c>
      <c r="E134" s="45">
        <v>1863.79</v>
      </c>
      <c r="F134" s="16"/>
      <c r="G134" s="16">
        <v>684.49</v>
      </c>
    </row>
    <row r="135" spans="1:7" ht="38.25" x14ac:dyDescent="0.2">
      <c r="A135" s="15" t="s">
        <v>729</v>
      </c>
      <c r="B135" s="38" t="s">
        <v>730</v>
      </c>
      <c r="C135" s="37"/>
      <c r="D135" s="17">
        <v>137.08000000000001</v>
      </c>
      <c r="E135" s="18">
        <v>472.53999999999996</v>
      </c>
      <c r="F135" s="16"/>
      <c r="G135" s="16">
        <v>137.08000000000001</v>
      </c>
    </row>
    <row r="136" spans="1:7" ht="76.5" x14ac:dyDescent="0.2">
      <c r="A136" s="15" t="s">
        <v>731</v>
      </c>
      <c r="B136" s="38" t="s">
        <v>732</v>
      </c>
      <c r="C136" s="37"/>
      <c r="D136" s="17">
        <v>1649.9549999999999</v>
      </c>
      <c r="E136" s="18">
        <v>3848.72</v>
      </c>
      <c r="F136" s="16"/>
      <c r="G136" s="16">
        <v>1649.9549999999999</v>
      </c>
    </row>
    <row r="137" spans="1:7" ht="78.599999999999994" customHeight="1" x14ac:dyDescent="0.2">
      <c r="A137" s="15" t="s">
        <v>733</v>
      </c>
      <c r="B137" s="38" t="s">
        <v>734</v>
      </c>
      <c r="C137" s="37"/>
      <c r="D137" s="17">
        <v>2767.1900000000005</v>
      </c>
      <c r="E137" s="18">
        <v>5278.1900000000005</v>
      </c>
      <c r="F137" s="16"/>
      <c r="G137" s="16">
        <v>2767.1900000000005</v>
      </c>
    </row>
    <row r="138" spans="1:7" ht="63.75" x14ac:dyDescent="0.2">
      <c r="A138" s="15" t="s">
        <v>735</v>
      </c>
      <c r="B138" s="38" t="s">
        <v>736</v>
      </c>
      <c r="C138" s="37"/>
      <c r="D138" s="17">
        <v>2249.44</v>
      </c>
      <c r="E138" s="18">
        <v>4679.79</v>
      </c>
      <c r="F138" s="16"/>
      <c r="G138" s="16">
        <v>2249.44</v>
      </c>
    </row>
    <row r="139" spans="1:7" ht="44.85" customHeight="1" x14ac:dyDescent="0.2">
      <c r="A139" s="15" t="s">
        <v>737</v>
      </c>
      <c r="B139" s="38" t="s">
        <v>738</v>
      </c>
      <c r="C139" s="37">
        <f>(0.49*C$27)+(0.115*C$28)+(0.395*C$53)</f>
        <v>5.786975</v>
      </c>
      <c r="D139" s="17">
        <v>733</v>
      </c>
      <c r="E139" s="18">
        <v>1872.345</v>
      </c>
      <c r="F139" s="16"/>
      <c r="G139" s="16">
        <v>733</v>
      </c>
    </row>
    <row r="140" spans="1:7" ht="32.1" customHeight="1" x14ac:dyDescent="0.2">
      <c r="A140" s="15" t="s">
        <v>739</v>
      </c>
      <c r="B140" s="38" t="s">
        <v>740</v>
      </c>
      <c r="C140" s="37"/>
      <c r="D140" s="39">
        <v>8076.6880000000001</v>
      </c>
      <c r="E140" s="40">
        <v>8232.4940000000006</v>
      </c>
      <c r="F140" s="16"/>
      <c r="G140" s="16">
        <v>8076.6880000000001</v>
      </c>
    </row>
    <row r="141" spans="1:7" ht="38.25" x14ac:dyDescent="0.2">
      <c r="A141" s="15" t="s">
        <v>741</v>
      </c>
      <c r="B141" s="38" t="s">
        <v>742</v>
      </c>
      <c r="C141" s="37" t="s">
        <v>743</v>
      </c>
      <c r="D141" s="17">
        <v>4656.72</v>
      </c>
      <c r="E141" s="18">
        <v>5236.8</v>
      </c>
      <c r="F141" s="16"/>
      <c r="G141" s="16">
        <v>4656.72</v>
      </c>
    </row>
    <row r="142" spans="1:7" ht="32.85" customHeight="1" x14ac:dyDescent="0.2">
      <c r="A142" s="15" t="s">
        <v>744</v>
      </c>
      <c r="B142" s="38" t="s">
        <v>745</v>
      </c>
      <c r="C142" s="37"/>
      <c r="D142" s="17">
        <v>14560</v>
      </c>
      <c r="E142" s="18">
        <v>11280</v>
      </c>
      <c r="F142" s="16"/>
      <c r="G142" s="16">
        <v>14560</v>
      </c>
    </row>
    <row r="143" spans="1:7" ht="51" x14ac:dyDescent="0.2">
      <c r="A143" s="15" t="s">
        <v>746</v>
      </c>
      <c r="B143" s="38" t="s">
        <v>747</v>
      </c>
      <c r="C143" s="37" t="s">
        <v>748</v>
      </c>
      <c r="D143" s="17">
        <v>3985</v>
      </c>
      <c r="E143" s="18">
        <v>6120</v>
      </c>
      <c r="F143" s="16"/>
      <c r="G143" s="16">
        <v>3985</v>
      </c>
    </row>
    <row r="144" spans="1:7" ht="25.5" x14ac:dyDescent="0.2">
      <c r="A144" s="15" t="s">
        <v>749</v>
      </c>
      <c r="B144" s="38" t="s">
        <v>750</v>
      </c>
      <c r="C144" s="37"/>
      <c r="D144" s="17">
        <v>13214</v>
      </c>
      <c r="E144" s="18">
        <v>9944.2999999999993</v>
      </c>
      <c r="F144" s="16"/>
      <c r="G144" s="16">
        <v>13214</v>
      </c>
    </row>
    <row r="145" spans="1:15" ht="25.5" x14ac:dyDescent="0.2">
      <c r="A145" s="15" t="s">
        <v>751</v>
      </c>
      <c r="B145" s="38" t="s">
        <v>752</v>
      </c>
      <c r="C145" s="37"/>
      <c r="D145" s="17">
        <v>13396</v>
      </c>
      <c r="E145" s="18">
        <v>10180.200000000001</v>
      </c>
      <c r="F145" s="16"/>
      <c r="G145" s="16">
        <v>13396</v>
      </c>
    </row>
    <row r="146" spans="1:15" ht="42.6" customHeight="1" x14ac:dyDescent="0.2">
      <c r="A146" s="15" t="s">
        <v>753</v>
      </c>
      <c r="B146" s="38" t="s">
        <v>754</v>
      </c>
      <c r="C146" s="37"/>
      <c r="D146" s="39">
        <v>629.76</v>
      </c>
      <c r="E146" s="40">
        <v>1685.76</v>
      </c>
      <c r="F146" s="16"/>
      <c r="G146" s="16">
        <v>629.76</v>
      </c>
    </row>
    <row r="147" spans="1:15" ht="42.6" customHeight="1" x14ac:dyDescent="0.2">
      <c r="A147" s="15" t="s">
        <v>755</v>
      </c>
      <c r="B147" s="38" t="s">
        <v>756</v>
      </c>
      <c r="C147" s="37"/>
      <c r="D147" s="39">
        <v>2</v>
      </c>
      <c r="E147" s="40">
        <v>2</v>
      </c>
      <c r="F147" s="16"/>
      <c r="G147" s="16">
        <v>2</v>
      </c>
    </row>
    <row r="148" spans="1:15" ht="36" customHeight="1" x14ac:dyDescent="0.2">
      <c r="A148" s="15" t="s">
        <v>757</v>
      </c>
      <c r="B148" s="38" t="s">
        <v>758</v>
      </c>
      <c r="C148" s="37"/>
      <c r="D148" s="39">
        <v>387.28</v>
      </c>
      <c r="E148" s="40">
        <v>638.07999999999993</v>
      </c>
      <c r="F148" s="16"/>
      <c r="G148" s="16">
        <v>387.28</v>
      </c>
    </row>
    <row r="149" spans="1:15" ht="42.6" customHeight="1" x14ac:dyDescent="0.2">
      <c r="A149" s="15" t="s">
        <v>759</v>
      </c>
      <c r="B149" s="38" t="s">
        <v>760</v>
      </c>
      <c r="C149" s="37"/>
      <c r="D149" s="17">
        <v>139.685</v>
      </c>
      <c r="E149" s="18">
        <v>387.505</v>
      </c>
      <c r="F149" s="16"/>
      <c r="G149" s="16">
        <v>139.685</v>
      </c>
    </row>
    <row r="150" spans="1:15" ht="41.25" x14ac:dyDescent="0.2">
      <c r="A150" s="15" t="s">
        <v>761</v>
      </c>
      <c r="B150" s="38" t="s">
        <v>762</v>
      </c>
      <c r="C150" s="37"/>
      <c r="D150" s="39">
        <v>1372.96</v>
      </c>
      <c r="E150" s="40">
        <v>3676.9599999999996</v>
      </c>
      <c r="F150" s="16"/>
      <c r="G150" s="16">
        <v>1372.96</v>
      </c>
    </row>
    <row r="151" spans="1:15" ht="23.1" customHeight="1" x14ac:dyDescent="0.2">
      <c r="A151" s="15" t="s">
        <v>763</v>
      </c>
      <c r="B151" s="46" t="s">
        <v>764</v>
      </c>
      <c r="C151" s="37"/>
      <c r="D151" s="39">
        <v>1650</v>
      </c>
      <c r="E151" s="40"/>
      <c r="F151" s="16"/>
      <c r="G151" s="16">
        <v>1650</v>
      </c>
    </row>
    <row r="152" spans="1:15" ht="23.1" customHeight="1" x14ac:dyDescent="0.2">
      <c r="A152" s="15" t="s">
        <v>765</v>
      </c>
      <c r="B152" s="46" t="s">
        <v>766</v>
      </c>
      <c r="C152" s="37"/>
      <c r="D152" s="39">
        <v>954</v>
      </c>
      <c r="E152" s="40"/>
      <c r="F152" s="16"/>
      <c r="G152" s="16">
        <v>954</v>
      </c>
    </row>
    <row r="153" spans="1:15" ht="27" customHeight="1" x14ac:dyDescent="0.2">
      <c r="A153" s="15" t="s">
        <v>767</v>
      </c>
      <c r="B153" s="36" t="s">
        <v>768</v>
      </c>
      <c r="C153" s="37"/>
      <c r="D153" s="39">
        <v>148</v>
      </c>
      <c r="E153" s="40"/>
      <c r="F153" s="16"/>
      <c r="G153" s="16">
        <v>148</v>
      </c>
    </row>
    <row r="154" spans="1:15" ht="31.5" customHeight="1" thickBot="1" x14ac:dyDescent="0.25">
      <c r="A154" s="239" t="s">
        <v>769</v>
      </c>
      <c r="B154" s="240" t="s">
        <v>770</v>
      </c>
      <c r="C154" s="241">
        <v>0.02</v>
      </c>
      <c r="D154" s="242">
        <v>5.0000000000000001E-3</v>
      </c>
      <c r="E154" s="243">
        <v>5.0000000000000001E-3</v>
      </c>
      <c r="F154" s="244"/>
      <c r="G154" s="244">
        <v>5.0000000000000001E-3</v>
      </c>
    </row>
    <row r="155" spans="1:15" customFormat="1" ht="31.5" customHeight="1" thickTop="1" x14ac:dyDescent="0.25">
      <c r="A155" s="245" t="s">
        <v>771</v>
      </c>
      <c r="B155" s="234" t="str" cm="1">
        <f t="array" ref="B155:G155">B23:G23</f>
        <v>Carbon Dioxide (CO2)</v>
      </c>
      <c r="C155" s="235" t="str">
        <v>50-200</v>
      </c>
      <c r="D155" s="236">
        <v>1</v>
      </c>
      <c r="E155" s="237">
        <v>1</v>
      </c>
      <c r="F155" s="238">
        <v>0</v>
      </c>
      <c r="G155" s="238">
        <v>1</v>
      </c>
      <c r="I155" s="19"/>
      <c r="J155" s="19"/>
      <c r="K155" s="19"/>
      <c r="L155" s="19"/>
      <c r="M155" s="19"/>
      <c r="N155" s="19"/>
      <c r="O155" s="19"/>
    </row>
    <row r="156" spans="1:15" customFormat="1" ht="31.5" customHeight="1" x14ac:dyDescent="0.25">
      <c r="A156" s="163" t="s">
        <v>192</v>
      </c>
      <c r="B156" s="5" t="s">
        <v>772</v>
      </c>
      <c r="C156" s="5"/>
      <c r="D156" s="39">
        <v>0</v>
      </c>
      <c r="E156" s="5">
        <v>0</v>
      </c>
      <c r="F156" s="5" t="s">
        <v>773</v>
      </c>
      <c r="G156" s="5">
        <v>0</v>
      </c>
      <c r="I156" s="19"/>
      <c r="J156" s="19"/>
      <c r="K156" s="19"/>
      <c r="L156" s="19"/>
      <c r="M156" s="19"/>
      <c r="N156" s="19"/>
      <c r="O156" s="19"/>
    </row>
    <row r="157" spans="1:15" customFormat="1" ht="31.5" customHeight="1" x14ac:dyDescent="0.25"/>
    <row r="158" spans="1:15" customFormat="1" ht="31.5" customHeight="1" x14ac:dyDescent="0.25"/>
    <row r="159" spans="1:15" x14ac:dyDescent="0.2">
      <c r="A159" s="19" t="s">
        <v>774</v>
      </c>
      <c r="C159" s="45"/>
      <c r="D159" s="45"/>
      <c r="E159" s="45"/>
    </row>
    <row r="160" spans="1:15" x14ac:dyDescent="0.2">
      <c r="A160" s="19" t="s">
        <v>775</v>
      </c>
      <c r="C160" s="47"/>
      <c r="D160" s="47"/>
      <c r="E160" s="47"/>
    </row>
    <row r="161" spans="1:6" x14ac:dyDescent="0.2">
      <c r="A161" s="19" t="s">
        <v>776</v>
      </c>
      <c r="C161" s="47"/>
      <c r="D161" s="47"/>
      <c r="E161" s="47"/>
    </row>
    <row r="162" spans="1:6" x14ac:dyDescent="0.2">
      <c r="A162" s="19" t="s">
        <v>777</v>
      </c>
      <c r="C162" s="47"/>
      <c r="D162" s="47"/>
      <c r="E162" s="47"/>
    </row>
    <row r="163" spans="1:6" x14ac:dyDescent="0.2">
      <c r="B163" s="246" t="s">
        <v>778</v>
      </c>
      <c r="C163" s="247"/>
      <c r="D163" s="247"/>
      <c r="E163" s="47"/>
    </row>
    <row r="164" spans="1:6" x14ac:dyDescent="0.2">
      <c r="C164" s="47"/>
      <c r="D164" s="47"/>
      <c r="E164" s="47"/>
    </row>
    <row r="165" spans="1:6" ht="15" x14ac:dyDescent="0.25">
      <c r="A165" s="230" t="s">
        <v>779</v>
      </c>
      <c r="B165" s="231"/>
      <c r="C165" s="232"/>
      <c r="D165" s="232"/>
      <c r="E165" s="232"/>
      <c r="F165" s="231"/>
    </row>
    <row r="166" spans="1:6" ht="15" x14ac:dyDescent="0.25">
      <c r="A166" s="230" t="s">
        <v>780</v>
      </c>
      <c r="B166" s="233" t="s">
        <v>326</v>
      </c>
      <c r="C166" s="232"/>
      <c r="D166" s="232"/>
      <c r="E166" s="232"/>
      <c r="F166" s="231"/>
    </row>
    <row r="167" spans="1:6" ht="15" x14ac:dyDescent="0.25">
      <c r="A167" s="230"/>
      <c r="B167" s="230" t="s">
        <v>781</v>
      </c>
      <c r="C167" s="232"/>
      <c r="D167" s="232"/>
      <c r="E167" s="232"/>
      <c r="F167" s="231"/>
    </row>
    <row r="168" spans="1:6" ht="15" x14ac:dyDescent="0.25">
      <c r="A168" s="230" t="s">
        <v>782</v>
      </c>
      <c r="B168" s="230" t="s">
        <v>783</v>
      </c>
      <c r="C168" s="232"/>
      <c r="D168" s="232"/>
      <c r="E168" s="232"/>
      <c r="F168" s="231"/>
    </row>
    <row r="169" spans="1:6" ht="15" x14ac:dyDescent="0.25">
      <c r="A169"/>
      <c r="B169"/>
      <c r="C169" s="47"/>
      <c r="D169" s="47"/>
      <c r="E169" s="47"/>
    </row>
    <row r="170" spans="1:6" x14ac:dyDescent="0.2">
      <c r="C170" s="47"/>
      <c r="D170" s="47"/>
      <c r="E170" s="47"/>
    </row>
    <row r="171" spans="1:6" x14ac:dyDescent="0.2">
      <c r="C171" s="47"/>
      <c r="D171" s="47"/>
      <c r="E171" s="47"/>
    </row>
    <row r="172" spans="1:6" x14ac:dyDescent="0.2">
      <c r="C172" s="47"/>
      <c r="D172" s="47"/>
      <c r="E172" s="47"/>
    </row>
    <row r="173" spans="1:6" x14ac:dyDescent="0.2">
      <c r="C173" s="47"/>
      <c r="D173" s="47"/>
      <c r="E173" s="47"/>
    </row>
    <row r="174" spans="1:6" x14ac:dyDescent="0.2">
      <c r="C174" s="47"/>
      <c r="D174" s="47"/>
      <c r="E174" s="47"/>
    </row>
    <row r="175" spans="1:6" x14ac:dyDescent="0.2">
      <c r="C175" s="47"/>
      <c r="D175" s="47"/>
      <c r="E175" s="47"/>
    </row>
    <row r="176" spans="1:6" x14ac:dyDescent="0.2">
      <c r="C176" s="47"/>
      <c r="D176" s="47"/>
      <c r="E176" s="47"/>
    </row>
    <row r="177" spans="1:5" x14ac:dyDescent="0.2">
      <c r="D177" s="47"/>
      <c r="E177" s="47"/>
    </row>
    <row r="178" spans="1:5" x14ac:dyDescent="0.2">
      <c r="D178" s="47"/>
      <c r="E178" s="47"/>
    </row>
    <row r="179" spans="1:5" x14ac:dyDescent="0.2">
      <c r="D179" s="47"/>
      <c r="E179" s="47"/>
    </row>
    <row r="180" spans="1:5" x14ac:dyDescent="0.2">
      <c r="D180" s="47"/>
      <c r="E180" s="47"/>
    </row>
    <row r="181" spans="1:5" x14ac:dyDescent="0.2">
      <c r="D181" s="47"/>
      <c r="E181" s="47"/>
    </row>
    <row r="185" spans="1:5" x14ac:dyDescent="0.2">
      <c r="A185" s="48"/>
    </row>
  </sheetData>
  <sheetProtection algorithmName="SHA-512" hashValue="0oP2HiPy3sAxzaJCDyg0NRfygsmQ6ej1f7wJZvwPKBK3YJHYxtuToNPIwQpW2Ioke0OOX2dqvsYbXrTlvx+EOw==" saltValue="a3AMRqbvdONuhh3xw6WYlQ==" spinCount="100000" sheet="1" objects="1" scenarios="1"/>
  <mergeCells count="1">
    <mergeCell ref="F2:F22"/>
  </mergeCells>
  <hyperlinks>
    <hyperlink ref="B166" r:id="rId1" xr:uid="{02712020-F296-45F6-B950-5FAF230EE940}"/>
  </hyperlinks>
  <pageMargins left="0.75" right="0.75" top="0.75" bottom="0.75" header="0.5" footer="0.5"/>
  <pageSetup scale="25" fitToHeight="2" orientation="portrait" r:id="rId2"/>
  <headerFooter alignWithMargins="0"/>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5E053-F2A2-4B80-8655-0C000CC26FED}">
  <sheetPr codeName="Sheet10">
    <tabColor theme="7" tint="0.79998168889431442"/>
  </sheetPr>
  <dimension ref="B2:F28"/>
  <sheetViews>
    <sheetView workbookViewId="0"/>
  </sheetViews>
  <sheetFormatPr defaultRowHeight="15" x14ac:dyDescent="0.25"/>
  <cols>
    <col min="1" max="1" width="3.7109375" style="259" customWidth="1"/>
    <col min="2" max="2" width="25.85546875" style="259" bestFit="1" customWidth="1"/>
    <col min="3" max="3" width="10.42578125" style="361" bestFit="1" customWidth="1"/>
    <col min="4" max="4" width="18.85546875" style="259" bestFit="1" customWidth="1"/>
    <col min="5" max="5" width="8.85546875" style="259" bestFit="1" customWidth="1"/>
    <col min="6" max="6" width="180.7109375" style="260" customWidth="1"/>
    <col min="7" max="16384" width="9.140625" style="259"/>
  </cols>
  <sheetData>
    <row r="2" spans="2:6" x14ac:dyDescent="0.25">
      <c r="B2" s="359" t="s">
        <v>784</v>
      </c>
      <c r="C2" s="360" t="s">
        <v>3</v>
      </c>
      <c r="D2" s="359" t="s">
        <v>785</v>
      </c>
      <c r="E2" s="359" t="s">
        <v>786</v>
      </c>
      <c r="F2" s="358" t="s">
        <v>861</v>
      </c>
    </row>
    <row r="3" spans="2:6" x14ac:dyDescent="0.25">
      <c r="B3" s="355" t="s">
        <v>787</v>
      </c>
      <c r="C3" s="357">
        <v>44698</v>
      </c>
      <c r="D3" s="355" t="s">
        <v>788</v>
      </c>
      <c r="E3" s="355" t="s">
        <v>789</v>
      </c>
      <c r="F3" s="356" t="s">
        <v>790</v>
      </c>
    </row>
    <row r="4" spans="2:6" x14ac:dyDescent="0.25">
      <c r="B4" s="355"/>
      <c r="C4" s="357"/>
      <c r="D4" s="355"/>
      <c r="E4" s="355"/>
      <c r="F4" s="356" t="s">
        <v>791</v>
      </c>
    </row>
    <row r="5" spans="2:6" x14ac:dyDescent="0.25">
      <c r="B5" s="355"/>
      <c r="C5" s="357"/>
      <c r="D5" s="355"/>
      <c r="E5" s="355" t="s">
        <v>792</v>
      </c>
      <c r="F5" s="356" t="s">
        <v>793</v>
      </c>
    </row>
    <row r="6" spans="2:6" x14ac:dyDescent="0.25">
      <c r="B6" s="355"/>
      <c r="C6" s="357"/>
      <c r="D6" s="355"/>
      <c r="E6" s="355" t="s">
        <v>794</v>
      </c>
      <c r="F6" s="356" t="s">
        <v>795</v>
      </c>
    </row>
    <row r="7" spans="2:6" x14ac:dyDescent="0.25">
      <c r="B7" s="355"/>
      <c r="C7" s="357"/>
      <c r="D7" s="355"/>
      <c r="E7" s="355"/>
      <c r="F7" s="356" t="s">
        <v>796</v>
      </c>
    </row>
    <row r="8" spans="2:6" x14ac:dyDescent="0.25">
      <c r="B8" s="355"/>
      <c r="C8" s="357"/>
      <c r="D8" s="355"/>
      <c r="E8" s="355" t="s">
        <v>797</v>
      </c>
      <c r="F8" s="356" t="s">
        <v>798</v>
      </c>
    </row>
    <row r="9" spans="2:6" x14ac:dyDescent="0.25">
      <c r="B9" s="355"/>
      <c r="C9" s="357"/>
      <c r="D9" s="355"/>
      <c r="E9" s="355" t="s">
        <v>799</v>
      </c>
      <c r="F9" s="356" t="s">
        <v>800</v>
      </c>
    </row>
    <row r="10" spans="2:6" x14ac:dyDescent="0.25">
      <c r="B10" s="355"/>
      <c r="C10" s="357"/>
      <c r="D10" s="355"/>
      <c r="E10" s="355" t="s">
        <v>801</v>
      </c>
      <c r="F10" s="356" t="s">
        <v>802</v>
      </c>
    </row>
    <row r="11" spans="2:6" x14ac:dyDescent="0.25">
      <c r="B11" s="355"/>
      <c r="C11" s="357"/>
      <c r="D11" s="355"/>
      <c r="E11" s="355" t="s">
        <v>803</v>
      </c>
      <c r="F11" s="356" t="s">
        <v>804</v>
      </c>
    </row>
    <row r="12" spans="2:6" x14ac:dyDescent="0.25">
      <c r="B12" s="355"/>
      <c r="C12" s="357"/>
      <c r="D12" s="355"/>
      <c r="E12" s="355"/>
      <c r="F12" s="356" t="s">
        <v>805</v>
      </c>
    </row>
    <row r="13" spans="2:6" x14ac:dyDescent="0.25">
      <c r="B13" s="355"/>
      <c r="C13" s="357"/>
      <c r="D13" s="355"/>
      <c r="E13" s="355" t="s">
        <v>806</v>
      </c>
      <c r="F13" s="356" t="s">
        <v>807</v>
      </c>
    </row>
    <row r="14" spans="2:6" x14ac:dyDescent="0.25">
      <c r="B14" s="355"/>
      <c r="C14" s="357"/>
      <c r="D14" s="355" t="s">
        <v>808</v>
      </c>
      <c r="E14" s="355" t="s">
        <v>809</v>
      </c>
      <c r="F14" s="356" t="s">
        <v>810</v>
      </c>
    </row>
    <row r="15" spans="2:6" x14ac:dyDescent="0.25">
      <c r="B15" s="355"/>
      <c r="C15" s="357"/>
      <c r="D15" s="355" t="s">
        <v>811</v>
      </c>
      <c r="E15" s="355" t="s">
        <v>812</v>
      </c>
      <c r="F15" s="356" t="s">
        <v>813</v>
      </c>
    </row>
    <row r="16" spans="2:6" x14ac:dyDescent="0.25">
      <c r="B16" s="355"/>
      <c r="C16" s="357"/>
      <c r="D16" s="355" t="s">
        <v>40</v>
      </c>
      <c r="E16" s="355" t="s">
        <v>814</v>
      </c>
      <c r="F16" s="356" t="s">
        <v>815</v>
      </c>
    </row>
    <row r="17" spans="2:6" x14ac:dyDescent="0.25">
      <c r="B17" s="355"/>
      <c r="C17" s="357"/>
      <c r="D17" s="355" t="s">
        <v>788</v>
      </c>
      <c r="E17" s="355" t="s">
        <v>809</v>
      </c>
      <c r="F17" s="356" t="s">
        <v>816</v>
      </c>
    </row>
    <row r="18" spans="2:6" x14ac:dyDescent="0.25">
      <c r="B18" s="355"/>
      <c r="C18" s="357">
        <v>44714</v>
      </c>
      <c r="D18" s="355" t="s">
        <v>808</v>
      </c>
      <c r="E18" s="355" t="s">
        <v>817</v>
      </c>
      <c r="F18" s="356" t="s">
        <v>818</v>
      </c>
    </row>
    <row r="19" spans="2:6" x14ac:dyDescent="0.25">
      <c r="B19" s="355"/>
      <c r="C19" s="357"/>
      <c r="D19" s="355" t="s">
        <v>808</v>
      </c>
      <c r="E19" s="355" t="s">
        <v>819</v>
      </c>
      <c r="F19" s="356" t="s">
        <v>820</v>
      </c>
    </row>
    <row r="20" spans="2:6" x14ac:dyDescent="0.25">
      <c r="B20" s="355"/>
      <c r="C20" s="357"/>
      <c r="D20" s="355" t="s">
        <v>821</v>
      </c>
      <c r="E20" s="355" t="s">
        <v>822</v>
      </c>
      <c r="F20" s="356" t="s">
        <v>823</v>
      </c>
    </row>
    <row r="21" spans="2:6" x14ac:dyDescent="0.25">
      <c r="B21" s="355"/>
      <c r="C21" s="357"/>
      <c r="D21" s="355" t="s">
        <v>821</v>
      </c>
      <c r="E21" s="355"/>
      <c r="F21" s="356" t="s">
        <v>824</v>
      </c>
    </row>
    <row r="22" spans="2:6" x14ac:dyDescent="0.25">
      <c r="B22" s="355" t="s">
        <v>825</v>
      </c>
      <c r="C22" s="357">
        <v>44760</v>
      </c>
      <c r="D22" s="355" t="s">
        <v>788</v>
      </c>
      <c r="E22" s="355" t="s">
        <v>826</v>
      </c>
      <c r="F22" s="356" t="s">
        <v>827</v>
      </c>
    </row>
    <row r="23" spans="2:6" x14ac:dyDescent="0.25">
      <c r="B23" s="355"/>
      <c r="C23" s="357"/>
      <c r="D23" s="355" t="s">
        <v>828</v>
      </c>
      <c r="E23" s="355" t="s">
        <v>819</v>
      </c>
      <c r="F23" s="356" t="s">
        <v>829</v>
      </c>
    </row>
    <row r="24" spans="2:6" x14ac:dyDescent="0.25">
      <c r="B24" s="355" t="s">
        <v>830</v>
      </c>
      <c r="C24" s="357">
        <v>44812</v>
      </c>
      <c r="D24" s="355" t="s">
        <v>808</v>
      </c>
      <c r="E24" s="355" t="s">
        <v>831</v>
      </c>
      <c r="F24" s="356" t="s">
        <v>832</v>
      </c>
    </row>
    <row r="25" spans="2:6" ht="30" x14ac:dyDescent="0.25">
      <c r="B25" s="355"/>
      <c r="C25" s="357"/>
      <c r="D25" s="355" t="s">
        <v>788</v>
      </c>
      <c r="E25" s="355" t="s">
        <v>833</v>
      </c>
      <c r="F25" s="356" t="s">
        <v>834</v>
      </c>
    </row>
    <row r="26" spans="2:6" ht="30" x14ac:dyDescent="0.25">
      <c r="B26" s="355" t="s">
        <v>857</v>
      </c>
      <c r="C26" s="357">
        <v>45124</v>
      </c>
      <c r="D26" s="355" t="s">
        <v>788</v>
      </c>
      <c r="E26" s="355" t="s">
        <v>852</v>
      </c>
      <c r="F26" s="356" t="s">
        <v>858</v>
      </c>
    </row>
    <row r="27" spans="2:6" ht="30" x14ac:dyDescent="0.25">
      <c r="B27" s="355"/>
      <c r="C27" s="357"/>
      <c r="D27" s="355" t="s">
        <v>788</v>
      </c>
      <c r="E27" s="355" t="s">
        <v>853</v>
      </c>
      <c r="F27" s="356" t="s">
        <v>859</v>
      </c>
    </row>
    <row r="28" spans="2:6" ht="45" x14ac:dyDescent="0.25">
      <c r="B28" s="355"/>
      <c r="C28" s="357"/>
      <c r="D28" s="355" t="s">
        <v>788</v>
      </c>
      <c r="E28" s="355" t="s">
        <v>854</v>
      </c>
      <c r="F28" s="356" t="s">
        <v>860</v>
      </c>
    </row>
  </sheetData>
  <sheetProtection algorithmName="SHA-512" hashValue="gIeLd2db/704/FaQKteDjwWd8xO5YHpAlz7G93Sj4XBfdVnfrGQEkK5s1nAiJGJgtXrZZd4ook++tbVYcAqB0w==" saltValue="lve7rnFOuFRD1+evI9zvZ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6185-6598-476E-A2B1-ADD3AFEEF098}">
  <sheetPr codeName="Sheet2">
    <tabColor theme="3" tint="0.39997558519241921"/>
  </sheetPr>
  <dimension ref="A1:I101"/>
  <sheetViews>
    <sheetView zoomScale="90" zoomScaleNormal="90"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2" max="2" width="4.42578125" customWidth="1"/>
    <col min="3" max="3" width="124.85546875" customWidth="1"/>
    <col min="4" max="9" width="23.42578125" customWidth="1"/>
  </cols>
  <sheetData>
    <row r="1" spans="1:9" ht="45" x14ac:dyDescent="0.25">
      <c r="A1" s="212" t="s">
        <v>23</v>
      </c>
      <c r="C1" s="213" t="s">
        <v>24</v>
      </c>
      <c r="D1" s="213" t="s">
        <v>25</v>
      </c>
      <c r="E1" s="213" t="s">
        <v>26</v>
      </c>
      <c r="F1" s="213" t="s">
        <v>27</v>
      </c>
      <c r="G1" s="213" t="s">
        <v>28</v>
      </c>
      <c r="H1" s="213" t="s">
        <v>29</v>
      </c>
      <c r="I1" s="213" t="s">
        <v>30</v>
      </c>
    </row>
    <row r="2" spans="1:9" x14ac:dyDescent="0.25">
      <c r="A2" s="141">
        <f>ROW(A2)-ROW($A$1)</f>
        <v>1</v>
      </c>
      <c r="C2" s="5" t="str" cm="1">
        <f t="array" ref="C2:C101">IF(ISBLANK(DeemedDashboard[Measure description]),"",DeemedDashboard[Measure description])</f>
        <v/>
      </c>
      <c r="D2" s="158" t="str" cm="1">
        <f t="array" aca="1" ref="D2:D101" ca="1">IF(ISNA(DeemedDashboard[Refrigerant
NPVCosts
Mea per NormUnit]),"",DeemedDashboard[Refrigerant
NPVCosts
Mea per NormUnit])</f>
        <v/>
      </c>
      <c r="E2" s="158" t="str" cm="1">
        <f t="array" ref="E2:E101">IF(ISNA(DeemedDashboard[Refrigerant
NPVCosts
Pre per NormUnit]),"",DeemedDashboard[Refrigerant
NPVCosts
Pre per NormUnit])</f>
        <v/>
      </c>
      <c r="F2" s="158" t="str" cm="1">
        <f t="array" aca="1" ref="F2:F101" ca="1">IF(ISNA(DeemedDashboard[Refrigerant
NPVCosts
StdBaseline per NormUnit]),"",DeemedDashboard[Refrigerant
NPVCosts
StdBaseline per NormUnit])</f>
        <v/>
      </c>
      <c r="G2" s="158" t="str" cm="1">
        <f t="array" ref="G2:G101">IF(ISNA(DeemedDashboard[Unit Refrigerant
NPVCosts
ExtBaseline per NormUnit]),"",DeemedDashboard[Unit Refrigerant
NPVCosts
ExtBaseline per NormUnit])</f>
        <v/>
      </c>
      <c r="H2" s="158" t="str" cm="1">
        <f t="array" ref="H2:H101">IF(ISNA(DeemedDashboard[UnitRefrig
Costs]),"",DeemedDashboard[UnitRefrig
Costs])</f>
        <v/>
      </c>
      <c r="I2" s="158" t="str" cm="1">
        <f t="array" ref="I2:I101">IF(ISNA(DeemedDashboard[UnitRefrig
Bens]),"",DeemedDashboard[UnitRefrig
Bens])</f>
        <v/>
      </c>
    </row>
    <row r="3" spans="1:9" x14ac:dyDescent="0.25">
      <c r="A3" s="141">
        <f t="shared" ref="A3:A66" si="0">ROW(A3)-ROW($A$1)</f>
        <v>2</v>
      </c>
      <c r="C3" s="5" t="str">
        <v/>
      </c>
      <c r="D3" s="158" t="str">
        <f ca="1"/>
        <v/>
      </c>
      <c r="E3" s="158" t="str">
        <v/>
      </c>
      <c r="F3" s="158" t="str">
        <f ca="1"/>
        <v/>
      </c>
      <c r="G3" s="158" t="str">
        <v/>
      </c>
      <c r="H3" s="158" t="str">
        <v/>
      </c>
      <c r="I3" s="158" t="str">
        <v/>
      </c>
    </row>
    <row r="4" spans="1:9" x14ac:dyDescent="0.25">
      <c r="A4" s="141">
        <f t="shared" si="0"/>
        <v>3</v>
      </c>
      <c r="C4" s="5" t="str">
        <v/>
      </c>
      <c r="D4" s="158" t="str">
        <f ca="1"/>
        <v/>
      </c>
      <c r="E4" s="158" t="str">
        <v/>
      </c>
      <c r="F4" s="158" t="str">
        <f ca="1"/>
        <v/>
      </c>
      <c r="G4" s="158" t="str">
        <v/>
      </c>
      <c r="H4" s="158" t="str">
        <v/>
      </c>
      <c r="I4" s="158" t="str">
        <v/>
      </c>
    </row>
    <row r="5" spans="1:9" x14ac:dyDescent="0.25">
      <c r="A5" s="141">
        <f t="shared" si="0"/>
        <v>4</v>
      </c>
      <c r="C5" s="5" t="str">
        <v/>
      </c>
      <c r="D5" s="158" t="str">
        <f ca="1"/>
        <v/>
      </c>
      <c r="E5" s="158" t="str">
        <v/>
      </c>
      <c r="F5" s="158" t="str">
        <f ca="1"/>
        <v/>
      </c>
      <c r="G5" s="158" t="str">
        <v/>
      </c>
      <c r="H5" s="158" t="str">
        <v/>
      </c>
      <c r="I5" s="158" t="str">
        <v/>
      </c>
    </row>
    <row r="6" spans="1:9" x14ac:dyDescent="0.25">
      <c r="A6" s="141">
        <f t="shared" si="0"/>
        <v>5</v>
      </c>
      <c r="C6" s="5" t="str">
        <v/>
      </c>
      <c r="D6" s="158" t="str">
        <f ca="1"/>
        <v/>
      </c>
      <c r="E6" s="158" t="str">
        <v/>
      </c>
      <c r="F6" s="158" t="str">
        <f ca="1"/>
        <v/>
      </c>
      <c r="G6" s="158" t="str">
        <v/>
      </c>
      <c r="H6" s="158" t="str">
        <v/>
      </c>
      <c r="I6" s="158" t="str">
        <v/>
      </c>
    </row>
    <row r="7" spans="1:9" x14ac:dyDescent="0.25">
      <c r="A7" s="141">
        <f t="shared" si="0"/>
        <v>6</v>
      </c>
      <c r="C7" s="5" t="str">
        <v/>
      </c>
      <c r="D7" s="158" t="str">
        <f ca="1"/>
        <v/>
      </c>
      <c r="E7" s="158" t="str">
        <v/>
      </c>
      <c r="F7" s="158" t="str">
        <f ca="1"/>
        <v/>
      </c>
      <c r="G7" s="158" t="str">
        <v/>
      </c>
      <c r="H7" s="158" t="str">
        <v/>
      </c>
      <c r="I7" s="158" t="str">
        <v/>
      </c>
    </row>
    <row r="8" spans="1:9" x14ac:dyDescent="0.25">
      <c r="A8" s="141">
        <f t="shared" si="0"/>
        <v>7</v>
      </c>
      <c r="C8" s="5" t="str">
        <v/>
      </c>
      <c r="D8" s="158" t="str">
        <f ca="1"/>
        <v/>
      </c>
      <c r="E8" s="158" t="str">
        <v/>
      </c>
      <c r="F8" s="158" t="str">
        <f ca="1"/>
        <v/>
      </c>
      <c r="G8" s="158" t="str">
        <v/>
      </c>
      <c r="H8" s="158" t="str">
        <v/>
      </c>
      <c r="I8" s="158" t="str">
        <v/>
      </c>
    </row>
    <row r="9" spans="1:9" x14ac:dyDescent="0.25">
      <c r="A9" s="141">
        <f t="shared" si="0"/>
        <v>8</v>
      </c>
      <c r="C9" s="5" t="str">
        <v/>
      </c>
      <c r="D9" s="158" t="str">
        <f ca="1"/>
        <v/>
      </c>
      <c r="E9" s="158" t="str">
        <v/>
      </c>
      <c r="F9" s="158" t="str">
        <f ca="1"/>
        <v/>
      </c>
      <c r="G9" s="158" t="str">
        <v/>
      </c>
      <c r="H9" s="158" t="str">
        <v/>
      </c>
      <c r="I9" s="158" t="str">
        <v/>
      </c>
    </row>
    <row r="10" spans="1:9" x14ac:dyDescent="0.25">
      <c r="A10" s="141">
        <f t="shared" si="0"/>
        <v>9</v>
      </c>
      <c r="C10" s="5" t="str">
        <v/>
      </c>
      <c r="D10" s="158" t="str">
        <f ca="1"/>
        <v/>
      </c>
      <c r="E10" s="158" t="str">
        <v/>
      </c>
      <c r="F10" s="158" t="str">
        <f ca="1"/>
        <v/>
      </c>
      <c r="G10" s="158" t="str">
        <v/>
      </c>
      <c r="H10" s="158" t="str">
        <v/>
      </c>
      <c r="I10" s="158" t="str">
        <v/>
      </c>
    </row>
    <row r="11" spans="1:9" x14ac:dyDescent="0.25">
      <c r="A11" s="141">
        <f t="shared" si="0"/>
        <v>10</v>
      </c>
      <c r="C11" s="5" t="str">
        <v/>
      </c>
      <c r="D11" s="158" t="str">
        <f ca="1"/>
        <v/>
      </c>
      <c r="E11" s="158" t="str">
        <v/>
      </c>
      <c r="F11" s="158" t="str">
        <f ca="1"/>
        <v/>
      </c>
      <c r="G11" s="158" t="str">
        <v/>
      </c>
      <c r="H11" s="158" t="str">
        <v/>
      </c>
      <c r="I11" s="158" t="str">
        <v/>
      </c>
    </row>
    <row r="12" spans="1:9" x14ac:dyDescent="0.25">
      <c r="A12" s="141">
        <f t="shared" si="0"/>
        <v>11</v>
      </c>
      <c r="C12" s="5" t="str">
        <v/>
      </c>
      <c r="D12" s="158" t="str">
        <f ca="1"/>
        <v/>
      </c>
      <c r="E12" s="158" t="str">
        <v/>
      </c>
      <c r="F12" s="158" t="str">
        <f ca="1"/>
        <v/>
      </c>
      <c r="G12" s="158" t="str">
        <v/>
      </c>
      <c r="H12" s="158" t="str">
        <v/>
      </c>
      <c r="I12" s="158" t="str">
        <v/>
      </c>
    </row>
    <row r="13" spans="1:9" x14ac:dyDescent="0.25">
      <c r="A13" s="141">
        <f t="shared" si="0"/>
        <v>12</v>
      </c>
      <c r="C13" s="5" t="str">
        <v/>
      </c>
      <c r="D13" s="158" t="str">
        <f ca="1"/>
        <v/>
      </c>
      <c r="E13" s="158" t="str">
        <v/>
      </c>
      <c r="F13" s="158" t="str">
        <f ca="1"/>
        <v/>
      </c>
      <c r="G13" s="158" t="str">
        <v/>
      </c>
      <c r="H13" s="158" t="str">
        <v/>
      </c>
      <c r="I13" s="158" t="str">
        <v/>
      </c>
    </row>
    <row r="14" spans="1:9" x14ac:dyDescent="0.25">
      <c r="A14" s="141">
        <f t="shared" si="0"/>
        <v>13</v>
      </c>
      <c r="C14" s="5" t="str">
        <v/>
      </c>
      <c r="D14" s="158" t="str">
        <f ca="1"/>
        <v/>
      </c>
      <c r="E14" s="158" t="str">
        <v/>
      </c>
      <c r="F14" s="158" t="str">
        <f ca="1"/>
        <v/>
      </c>
      <c r="G14" s="158" t="str">
        <v/>
      </c>
      <c r="H14" s="158" t="str">
        <v/>
      </c>
      <c r="I14" s="158" t="str">
        <v/>
      </c>
    </row>
    <row r="15" spans="1:9" x14ac:dyDescent="0.25">
      <c r="A15" s="141">
        <f t="shared" si="0"/>
        <v>14</v>
      </c>
      <c r="C15" s="5" t="str">
        <v/>
      </c>
      <c r="D15" s="158" t="str">
        <f ca="1"/>
        <v/>
      </c>
      <c r="E15" s="158" t="str">
        <v/>
      </c>
      <c r="F15" s="158" t="str">
        <f ca="1"/>
        <v/>
      </c>
      <c r="G15" s="158" t="str">
        <v/>
      </c>
      <c r="H15" s="158" t="str">
        <v/>
      </c>
      <c r="I15" s="158" t="str">
        <v/>
      </c>
    </row>
    <row r="16" spans="1:9" x14ac:dyDescent="0.25">
      <c r="A16" s="141">
        <f t="shared" si="0"/>
        <v>15</v>
      </c>
      <c r="C16" s="5" t="str">
        <v/>
      </c>
      <c r="D16" s="158" t="str">
        <f ca="1"/>
        <v/>
      </c>
      <c r="E16" s="158" t="str">
        <v/>
      </c>
      <c r="F16" s="158" t="str">
        <f ca="1"/>
        <v/>
      </c>
      <c r="G16" s="158" t="str">
        <v/>
      </c>
      <c r="H16" s="158" t="str">
        <v/>
      </c>
      <c r="I16" s="158" t="str">
        <v/>
      </c>
    </row>
    <row r="17" spans="1:9" x14ac:dyDescent="0.25">
      <c r="A17" s="141">
        <f t="shared" si="0"/>
        <v>16</v>
      </c>
      <c r="C17" s="5" t="str">
        <v/>
      </c>
      <c r="D17" s="158" t="str">
        <f ca="1"/>
        <v/>
      </c>
      <c r="E17" s="158" t="str">
        <v/>
      </c>
      <c r="F17" s="158" t="str">
        <f ca="1"/>
        <v/>
      </c>
      <c r="G17" s="158" t="str">
        <v/>
      </c>
      <c r="H17" s="158" t="str">
        <v/>
      </c>
      <c r="I17" s="158" t="str">
        <v/>
      </c>
    </row>
    <row r="18" spans="1:9" x14ac:dyDescent="0.25">
      <c r="A18" s="141">
        <f t="shared" si="0"/>
        <v>17</v>
      </c>
      <c r="C18" s="5" t="str">
        <v/>
      </c>
      <c r="D18" s="158" t="str">
        <f ca="1"/>
        <v/>
      </c>
      <c r="E18" s="158" t="str">
        <v/>
      </c>
      <c r="F18" s="158" t="str">
        <f ca="1"/>
        <v/>
      </c>
      <c r="G18" s="158" t="str">
        <v/>
      </c>
      <c r="H18" s="158" t="str">
        <v/>
      </c>
      <c r="I18" s="158" t="str">
        <v/>
      </c>
    </row>
    <row r="19" spans="1:9" x14ac:dyDescent="0.25">
      <c r="A19" s="141">
        <f t="shared" si="0"/>
        <v>18</v>
      </c>
      <c r="C19" s="5" t="str">
        <v/>
      </c>
      <c r="D19" s="158" t="str">
        <f ca="1"/>
        <v/>
      </c>
      <c r="E19" s="158" t="str">
        <v/>
      </c>
      <c r="F19" s="158" t="str">
        <f ca="1"/>
        <v/>
      </c>
      <c r="G19" s="158" t="str">
        <v/>
      </c>
      <c r="H19" s="158" t="str">
        <v/>
      </c>
      <c r="I19" s="158" t="str">
        <v/>
      </c>
    </row>
    <row r="20" spans="1:9" x14ac:dyDescent="0.25">
      <c r="A20" s="141">
        <f t="shared" si="0"/>
        <v>19</v>
      </c>
      <c r="C20" s="5" t="str">
        <v/>
      </c>
      <c r="D20" s="158" t="str">
        <f ca="1"/>
        <v/>
      </c>
      <c r="E20" s="158" t="str">
        <v/>
      </c>
      <c r="F20" s="158" t="str">
        <f ca="1"/>
        <v/>
      </c>
      <c r="G20" s="158" t="str">
        <v/>
      </c>
      <c r="H20" s="158" t="str">
        <v/>
      </c>
      <c r="I20" s="158" t="str">
        <v/>
      </c>
    </row>
    <row r="21" spans="1:9" x14ac:dyDescent="0.25">
      <c r="A21" s="141">
        <f t="shared" si="0"/>
        <v>20</v>
      </c>
      <c r="C21" s="5" t="str">
        <v/>
      </c>
      <c r="D21" s="158" t="str">
        <f ca="1"/>
        <v/>
      </c>
      <c r="E21" s="158" t="str">
        <v/>
      </c>
      <c r="F21" s="158" t="str">
        <f ca="1"/>
        <v/>
      </c>
      <c r="G21" s="158" t="str">
        <v/>
      </c>
      <c r="H21" s="158" t="str">
        <v/>
      </c>
      <c r="I21" s="158" t="str">
        <v/>
      </c>
    </row>
    <row r="22" spans="1:9" x14ac:dyDescent="0.25">
      <c r="A22" s="141">
        <f t="shared" si="0"/>
        <v>21</v>
      </c>
      <c r="C22" s="5" t="str">
        <v/>
      </c>
      <c r="D22" s="158" t="str">
        <f ca="1"/>
        <v/>
      </c>
      <c r="E22" s="158" t="str">
        <v/>
      </c>
      <c r="F22" s="158" t="str">
        <f ca="1"/>
        <v/>
      </c>
      <c r="G22" s="158" t="str">
        <v/>
      </c>
      <c r="H22" s="158" t="str">
        <v/>
      </c>
      <c r="I22" s="158" t="str">
        <v/>
      </c>
    </row>
    <row r="23" spans="1:9" x14ac:dyDescent="0.25">
      <c r="A23" s="141">
        <f t="shared" si="0"/>
        <v>22</v>
      </c>
      <c r="C23" s="5" t="str">
        <v/>
      </c>
      <c r="D23" s="158" t="str">
        <f ca="1"/>
        <v/>
      </c>
      <c r="E23" s="158" t="str">
        <v/>
      </c>
      <c r="F23" s="158" t="str">
        <f ca="1"/>
        <v/>
      </c>
      <c r="G23" s="158" t="str">
        <v/>
      </c>
      <c r="H23" s="158" t="str">
        <v/>
      </c>
      <c r="I23" s="158" t="str">
        <v/>
      </c>
    </row>
    <row r="24" spans="1:9" x14ac:dyDescent="0.25">
      <c r="A24" s="141">
        <f t="shared" si="0"/>
        <v>23</v>
      </c>
      <c r="C24" s="5" t="str">
        <v/>
      </c>
      <c r="D24" s="158" t="str">
        <f ca="1"/>
        <v/>
      </c>
      <c r="E24" s="158" t="str">
        <v/>
      </c>
      <c r="F24" s="158" t="str">
        <f ca="1"/>
        <v/>
      </c>
      <c r="G24" s="158" t="str">
        <v/>
      </c>
      <c r="H24" s="158" t="str">
        <v/>
      </c>
      <c r="I24" s="158" t="str">
        <v/>
      </c>
    </row>
    <row r="25" spans="1:9" x14ac:dyDescent="0.25">
      <c r="A25" s="141">
        <f t="shared" si="0"/>
        <v>24</v>
      </c>
      <c r="C25" s="5" t="str">
        <v/>
      </c>
      <c r="D25" s="158" t="str">
        <f ca="1"/>
        <v/>
      </c>
      <c r="E25" s="158" t="str">
        <v/>
      </c>
      <c r="F25" s="158" t="str">
        <f ca="1"/>
        <v/>
      </c>
      <c r="G25" s="158" t="str">
        <v/>
      </c>
      <c r="H25" s="158" t="str">
        <v/>
      </c>
      <c r="I25" s="158" t="str">
        <v/>
      </c>
    </row>
    <row r="26" spans="1:9" x14ac:dyDescent="0.25">
      <c r="A26" s="141">
        <f t="shared" si="0"/>
        <v>25</v>
      </c>
      <c r="C26" s="5" t="str">
        <v/>
      </c>
      <c r="D26" s="158" t="str">
        <f ca="1"/>
        <v/>
      </c>
      <c r="E26" s="158" t="str">
        <v/>
      </c>
      <c r="F26" s="158" t="str">
        <f ca="1"/>
        <v/>
      </c>
      <c r="G26" s="158" t="str">
        <v/>
      </c>
      <c r="H26" s="158" t="str">
        <v/>
      </c>
      <c r="I26" s="158" t="str">
        <v/>
      </c>
    </row>
    <row r="27" spans="1:9" x14ac:dyDescent="0.25">
      <c r="A27" s="141">
        <f t="shared" si="0"/>
        <v>26</v>
      </c>
      <c r="C27" s="5" t="str">
        <v/>
      </c>
      <c r="D27" s="158" t="str">
        <f ca="1"/>
        <v/>
      </c>
      <c r="E27" s="158" t="str">
        <v/>
      </c>
      <c r="F27" s="158" t="str">
        <f ca="1"/>
        <v/>
      </c>
      <c r="G27" s="158" t="str">
        <v/>
      </c>
      <c r="H27" s="158" t="str">
        <v/>
      </c>
      <c r="I27" s="158" t="str">
        <v/>
      </c>
    </row>
    <row r="28" spans="1:9" x14ac:dyDescent="0.25">
      <c r="A28" s="141">
        <f t="shared" si="0"/>
        <v>27</v>
      </c>
      <c r="C28" s="5" t="str">
        <v/>
      </c>
      <c r="D28" s="158" t="str">
        <f ca="1"/>
        <v/>
      </c>
      <c r="E28" s="158" t="str">
        <v/>
      </c>
      <c r="F28" s="158" t="str">
        <f ca="1"/>
        <v/>
      </c>
      <c r="G28" s="158" t="str">
        <v/>
      </c>
      <c r="H28" s="158" t="str">
        <v/>
      </c>
      <c r="I28" s="158" t="str">
        <v/>
      </c>
    </row>
    <row r="29" spans="1:9" x14ac:dyDescent="0.25">
      <c r="A29" s="141">
        <f t="shared" si="0"/>
        <v>28</v>
      </c>
      <c r="C29" s="5" t="str">
        <v/>
      </c>
      <c r="D29" s="158" t="str">
        <f ca="1"/>
        <v/>
      </c>
      <c r="E29" s="158" t="str">
        <v/>
      </c>
      <c r="F29" s="158" t="str">
        <f ca="1"/>
        <v/>
      </c>
      <c r="G29" s="158" t="str">
        <v/>
      </c>
      <c r="H29" s="158" t="str">
        <v/>
      </c>
      <c r="I29" s="158" t="str">
        <v/>
      </c>
    </row>
    <row r="30" spans="1:9" x14ac:dyDescent="0.25">
      <c r="A30" s="141">
        <f t="shared" si="0"/>
        <v>29</v>
      </c>
      <c r="C30" s="5" t="str">
        <v/>
      </c>
      <c r="D30" s="158" t="str">
        <f ca="1"/>
        <v/>
      </c>
      <c r="E30" s="158" t="str">
        <v/>
      </c>
      <c r="F30" s="158" t="str">
        <f ca="1"/>
        <v/>
      </c>
      <c r="G30" s="158" t="str">
        <v/>
      </c>
      <c r="H30" s="158" t="str">
        <v/>
      </c>
      <c r="I30" s="158" t="str">
        <v/>
      </c>
    </row>
    <row r="31" spans="1:9" x14ac:dyDescent="0.25">
      <c r="A31" s="141">
        <f t="shared" si="0"/>
        <v>30</v>
      </c>
      <c r="C31" s="5" t="str">
        <v/>
      </c>
      <c r="D31" s="158" t="str">
        <f ca="1"/>
        <v/>
      </c>
      <c r="E31" s="158" t="str">
        <v/>
      </c>
      <c r="F31" s="158" t="str">
        <f ca="1"/>
        <v/>
      </c>
      <c r="G31" s="158" t="str">
        <v/>
      </c>
      <c r="H31" s="158" t="str">
        <v/>
      </c>
      <c r="I31" s="158" t="str">
        <v/>
      </c>
    </row>
    <row r="32" spans="1:9" x14ac:dyDescent="0.25">
      <c r="A32" s="141">
        <f t="shared" si="0"/>
        <v>31</v>
      </c>
      <c r="C32" s="5" t="str">
        <v/>
      </c>
      <c r="D32" s="158" t="str">
        <f ca="1"/>
        <v/>
      </c>
      <c r="E32" s="158" t="str">
        <v/>
      </c>
      <c r="F32" s="158" t="str">
        <f ca="1"/>
        <v/>
      </c>
      <c r="G32" s="158" t="str">
        <v/>
      </c>
      <c r="H32" s="158" t="str">
        <v/>
      </c>
      <c r="I32" s="158" t="str">
        <v/>
      </c>
    </row>
    <row r="33" spans="1:9" x14ac:dyDescent="0.25">
      <c r="A33" s="141">
        <f t="shared" si="0"/>
        <v>32</v>
      </c>
      <c r="C33" s="5" t="str">
        <v/>
      </c>
      <c r="D33" s="158" t="str">
        <f ca="1"/>
        <v/>
      </c>
      <c r="E33" s="158" t="str">
        <v/>
      </c>
      <c r="F33" s="158" t="str">
        <f ca="1"/>
        <v/>
      </c>
      <c r="G33" s="158" t="str">
        <v/>
      </c>
      <c r="H33" s="158" t="str">
        <v/>
      </c>
      <c r="I33" s="158" t="str">
        <v/>
      </c>
    </row>
    <row r="34" spans="1:9" x14ac:dyDescent="0.25">
      <c r="A34" s="141">
        <f t="shared" si="0"/>
        <v>33</v>
      </c>
      <c r="C34" s="5" t="str">
        <v/>
      </c>
      <c r="D34" s="158" t="str">
        <f ca="1"/>
        <v/>
      </c>
      <c r="E34" s="158" t="str">
        <v/>
      </c>
      <c r="F34" s="158" t="str">
        <f ca="1"/>
        <v/>
      </c>
      <c r="G34" s="158" t="str">
        <v/>
      </c>
      <c r="H34" s="158" t="str">
        <v/>
      </c>
      <c r="I34" s="158" t="str">
        <v/>
      </c>
    </row>
    <row r="35" spans="1:9" x14ac:dyDescent="0.25">
      <c r="A35" s="141">
        <f t="shared" si="0"/>
        <v>34</v>
      </c>
      <c r="C35" s="5" t="str">
        <v/>
      </c>
      <c r="D35" s="158" t="str">
        <f ca="1"/>
        <v/>
      </c>
      <c r="E35" s="158" t="str">
        <v/>
      </c>
      <c r="F35" s="158" t="str">
        <f ca="1"/>
        <v/>
      </c>
      <c r="G35" s="158" t="str">
        <v/>
      </c>
      <c r="H35" s="158" t="str">
        <v/>
      </c>
      <c r="I35" s="158" t="str">
        <v/>
      </c>
    </row>
    <row r="36" spans="1:9" x14ac:dyDescent="0.25">
      <c r="A36" s="141">
        <f t="shared" si="0"/>
        <v>35</v>
      </c>
      <c r="C36" s="5" t="str">
        <v/>
      </c>
      <c r="D36" s="158" t="str">
        <f ca="1"/>
        <v/>
      </c>
      <c r="E36" s="158" t="str">
        <v/>
      </c>
      <c r="F36" s="158" t="str">
        <f ca="1"/>
        <v/>
      </c>
      <c r="G36" s="158" t="str">
        <v/>
      </c>
      <c r="H36" s="158" t="str">
        <v/>
      </c>
      <c r="I36" s="158" t="str">
        <v/>
      </c>
    </row>
    <row r="37" spans="1:9" x14ac:dyDescent="0.25">
      <c r="A37" s="141">
        <f t="shared" si="0"/>
        <v>36</v>
      </c>
      <c r="C37" s="5" t="str">
        <v/>
      </c>
      <c r="D37" s="158" t="str">
        <f ca="1"/>
        <v/>
      </c>
      <c r="E37" s="158" t="str">
        <v/>
      </c>
      <c r="F37" s="158" t="str">
        <f ca="1"/>
        <v/>
      </c>
      <c r="G37" s="158" t="str">
        <v/>
      </c>
      <c r="H37" s="158" t="str">
        <v/>
      </c>
      <c r="I37" s="158" t="str">
        <v/>
      </c>
    </row>
    <row r="38" spans="1:9" x14ac:dyDescent="0.25">
      <c r="A38" s="141">
        <f t="shared" si="0"/>
        <v>37</v>
      </c>
      <c r="C38" s="5" t="str">
        <v/>
      </c>
      <c r="D38" s="158" t="str">
        <f ca="1"/>
        <v/>
      </c>
      <c r="E38" s="158" t="str">
        <v/>
      </c>
      <c r="F38" s="158" t="str">
        <f ca="1"/>
        <v/>
      </c>
      <c r="G38" s="158" t="str">
        <v/>
      </c>
      <c r="H38" s="158" t="str">
        <v/>
      </c>
      <c r="I38" s="158" t="str">
        <v/>
      </c>
    </row>
    <row r="39" spans="1:9" x14ac:dyDescent="0.25">
      <c r="A39" s="141">
        <f t="shared" si="0"/>
        <v>38</v>
      </c>
      <c r="C39" s="5" t="str">
        <v/>
      </c>
      <c r="D39" s="158" t="str">
        <f ca="1"/>
        <v/>
      </c>
      <c r="E39" s="158" t="str">
        <v/>
      </c>
      <c r="F39" s="158" t="str">
        <f ca="1"/>
        <v/>
      </c>
      <c r="G39" s="158" t="str">
        <v/>
      </c>
      <c r="H39" s="158" t="str">
        <v/>
      </c>
      <c r="I39" s="158" t="str">
        <v/>
      </c>
    </row>
    <row r="40" spans="1:9" x14ac:dyDescent="0.25">
      <c r="A40" s="141">
        <f t="shared" si="0"/>
        <v>39</v>
      </c>
      <c r="C40" s="5" t="str">
        <v/>
      </c>
      <c r="D40" s="158" t="str">
        <f ca="1"/>
        <v/>
      </c>
      <c r="E40" s="158" t="str">
        <v/>
      </c>
      <c r="F40" s="158" t="str">
        <f ca="1"/>
        <v/>
      </c>
      <c r="G40" s="158" t="str">
        <v/>
      </c>
      <c r="H40" s="158" t="str">
        <v/>
      </c>
      <c r="I40" s="158" t="str">
        <v/>
      </c>
    </row>
    <row r="41" spans="1:9" x14ac:dyDescent="0.25">
      <c r="A41" s="141">
        <f t="shared" si="0"/>
        <v>40</v>
      </c>
      <c r="C41" s="5" t="str">
        <v/>
      </c>
      <c r="D41" s="158" t="str">
        <f ca="1"/>
        <v/>
      </c>
      <c r="E41" s="158" t="str">
        <v/>
      </c>
      <c r="F41" s="158" t="str">
        <f ca="1"/>
        <v/>
      </c>
      <c r="G41" s="158" t="str">
        <v/>
      </c>
      <c r="H41" s="158" t="str">
        <v/>
      </c>
      <c r="I41" s="158" t="str">
        <v/>
      </c>
    </row>
    <row r="42" spans="1:9" x14ac:dyDescent="0.25">
      <c r="A42" s="141">
        <f t="shared" si="0"/>
        <v>41</v>
      </c>
      <c r="C42" s="5" t="str">
        <v/>
      </c>
      <c r="D42" s="158" t="str">
        <f ca="1"/>
        <v/>
      </c>
      <c r="E42" s="158" t="str">
        <v/>
      </c>
      <c r="F42" s="158" t="str">
        <f ca="1"/>
        <v/>
      </c>
      <c r="G42" s="158" t="str">
        <v/>
      </c>
      <c r="H42" s="158" t="str">
        <v/>
      </c>
      <c r="I42" s="158" t="str">
        <v/>
      </c>
    </row>
    <row r="43" spans="1:9" x14ac:dyDescent="0.25">
      <c r="A43" s="141">
        <f t="shared" si="0"/>
        <v>42</v>
      </c>
      <c r="C43" s="5" t="str">
        <v/>
      </c>
      <c r="D43" s="158" t="str">
        <f ca="1"/>
        <v/>
      </c>
      <c r="E43" s="158" t="str">
        <v/>
      </c>
      <c r="F43" s="158" t="str">
        <f ca="1"/>
        <v/>
      </c>
      <c r="G43" s="158" t="str">
        <v/>
      </c>
      <c r="H43" s="158" t="str">
        <v/>
      </c>
      <c r="I43" s="158" t="str">
        <v/>
      </c>
    </row>
    <row r="44" spans="1:9" x14ac:dyDescent="0.25">
      <c r="A44" s="141">
        <f t="shared" si="0"/>
        <v>43</v>
      </c>
      <c r="C44" s="5" t="str">
        <v/>
      </c>
      <c r="D44" s="158" t="str">
        <f ca="1"/>
        <v/>
      </c>
      <c r="E44" s="158" t="str">
        <v/>
      </c>
      <c r="F44" s="158" t="str">
        <f ca="1"/>
        <v/>
      </c>
      <c r="G44" s="158" t="str">
        <v/>
      </c>
      <c r="H44" s="158" t="str">
        <v/>
      </c>
      <c r="I44" s="158" t="str">
        <v/>
      </c>
    </row>
    <row r="45" spans="1:9" x14ac:dyDescent="0.25">
      <c r="A45" s="141">
        <f t="shared" si="0"/>
        <v>44</v>
      </c>
      <c r="C45" s="5" t="str">
        <v/>
      </c>
      <c r="D45" s="158" t="str">
        <f ca="1"/>
        <v/>
      </c>
      <c r="E45" s="158" t="str">
        <v/>
      </c>
      <c r="F45" s="158" t="str">
        <f ca="1"/>
        <v/>
      </c>
      <c r="G45" s="158" t="str">
        <v/>
      </c>
      <c r="H45" s="158" t="str">
        <v/>
      </c>
      <c r="I45" s="158" t="str">
        <v/>
      </c>
    </row>
    <row r="46" spans="1:9" x14ac:dyDescent="0.25">
      <c r="A46" s="141">
        <f t="shared" si="0"/>
        <v>45</v>
      </c>
      <c r="C46" s="5" t="str">
        <v/>
      </c>
      <c r="D46" s="158" t="str">
        <f ca="1"/>
        <v/>
      </c>
      <c r="E46" s="158" t="str">
        <v/>
      </c>
      <c r="F46" s="158" t="str">
        <f ca="1"/>
        <v/>
      </c>
      <c r="G46" s="158" t="str">
        <v/>
      </c>
      <c r="H46" s="158" t="str">
        <v/>
      </c>
      <c r="I46" s="158" t="str">
        <v/>
      </c>
    </row>
    <row r="47" spans="1:9" x14ac:dyDescent="0.25">
      <c r="A47" s="141">
        <f t="shared" si="0"/>
        <v>46</v>
      </c>
      <c r="C47" s="5" t="str">
        <v/>
      </c>
      <c r="D47" s="158" t="str">
        <f ca="1"/>
        <v/>
      </c>
      <c r="E47" s="158" t="str">
        <v/>
      </c>
      <c r="F47" s="158" t="str">
        <f ca="1"/>
        <v/>
      </c>
      <c r="G47" s="158" t="str">
        <v/>
      </c>
      <c r="H47" s="158" t="str">
        <v/>
      </c>
      <c r="I47" s="158" t="str">
        <v/>
      </c>
    </row>
    <row r="48" spans="1:9" x14ac:dyDescent="0.25">
      <c r="A48" s="141">
        <f t="shared" si="0"/>
        <v>47</v>
      </c>
      <c r="C48" s="5" t="str">
        <v/>
      </c>
      <c r="D48" s="158" t="str">
        <f ca="1"/>
        <v/>
      </c>
      <c r="E48" s="158" t="str">
        <v/>
      </c>
      <c r="F48" s="158" t="str">
        <f ca="1"/>
        <v/>
      </c>
      <c r="G48" s="158" t="str">
        <v/>
      </c>
      <c r="H48" s="158" t="str">
        <v/>
      </c>
      <c r="I48" s="158" t="str">
        <v/>
      </c>
    </row>
    <row r="49" spans="1:9" x14ac:dyDescent="0.25">
      <c r="A49" s="141">
        <f t="shared" si="0"/>
        <v>48</v>
      </c>
      <c r="C49" s="5" t="str">
        <v/>
      </c>
      <c r="D49" s="158" t="str">
        <f ca="1"/>
        <v/>
      </c>
      <c r="E49" s="158" t="str">
        <v/>
      </c>
      <c r="F49" s="158" t="str">
        <f ca="1"/>
        <v/>
      </c>
      <c r="G49" s="158" t="str">
        <v/>
      </c>
      <c r="H49" s="158" t="str">
        <v/>
      </c>
      <c r="I49" s="158" t="str">
        <v/>
      </c>
    </row>
    <row r="50" spans="1:9" x14ac:dyDescent="0.25">
      <c r="A50" s="141">
        <f t="shared" si="0"/>
        <v>49</v>
      </c>
      <c r="C50" s="5" t="str">
        <v/>
      </c>
      <c r="D50" s="158" t="str">
        <f ca="1"/>
        <v/>
      </c>
      <c r="E50" s="158" t="str">
        <v/>
      </c>
      <c r="F50" s="158" t="str">
        <f ca="1"/>
        <v/>
      </c>
      <c r="G50" s="158" t="str">
        <v/>
      </c>
      <c r="H50" s="158" t="str">
        <v/>
      </c>
      <c r="I50" s="158" t="str">
        <v/>
      </c>
    </row>
    <row r="51" spans="1:9" x14ac:dyDescent="0.25">
      <c r="A51" s="141">
        <f t="shared" si="0"/>
        <v>50</v>
      </c>
      <c r="C51" s="5" t="str">
        <v/>
      </c>
      <c r="D51" s="158" t="str">
        <f ca="1"/>
        <v/>
      </c>
      <c r="E51" s="158" t="str">
        <v/>
      </c>
      <c r="F51" s="158" t="str">
        <f ca="1"/>
        <v/>
      </c>
      <c r="G51" s="158" t="str">
        <v/>
      </c>
      <c r="H51" s="158" t="str">
        <v/>
      </c>
      <c r="I51" s="158" t="str">
        <v/>
      </c>
    </row>
    <row r="52" spans="1:9" x14ac:dyDescent="0.25">
      <c r="A52" s="141">
        <f t="shared" si="0"/>
        <v>51</v>
      </c>
      <c r="C52" s="5" t="str">
        <v/>
      </c>
      <c r="D52" s="158" t="str">
        <f ca="1"/>
        <v/>
      </c>
      <c r="E52" s="158" t="str">
        <v/>
      </c>
      <c r="F52" s="158" t="str">
        <f ca="1"/>
        <v/>
      </c>
      <c r="G52" s="158" t="str">
        <v/>
      </c>
      <c r="H52" s="158" t="str">
        <v/>
      </c>
      <c r="I52" s="158" t="str">
        <v/>
      </c>
    </row>
    <row r="53" spans="1:9" x14ac:dyDescent="0.25">
      <c r="A53" s="141">
        <f t="shared" si="0"/>
        <v>52</v>
      </c>
      <c r="C53" s="5" t="str">
        <v/>
      </c>
      <c r="D53" s="158" t="str">
        <f ca="1"/>
        <v/>
      </c>
      <c r="E53" s="158" t="str">
        <v/>
      </c>
      <c r="F53" s="158" t="str">
        <f ca="1"/>
        <v/>
      </c>
      <c r="G53" s="158" t="str">
        <v/>
      </c>
      <c r="H53" s="158" t="str">
        <v/>
      </c>
      <c r="I53" s="158" t="str">
        <v/>
      </c>
    </row>
    <row r="54" spans="1:9" x14ac:dyDescent="0.25">
      <c r="A54" s="141">
        <f t="shared" si="0"/>
        <v>53</v>
      </c>
      <c r="C54" s="5" t="str">
        <v/>
      </c>
      <c r="D54" s="158" t="str">
        <f ca="1"/>
        <v/>
      </c>
      <c r="E54" s="158" t="str">
        <v/>
      </c>
      <c r="F54" s="158" t="str">
        <f ca="1"/>
        <v/>
      </c>
      <c r="G54" s="158" t="str">
        <v/>
      </c>
      <c r="H54" s="158" t="str">
        <v/>
      </c>
      <c r="I54" s="158" t="str">
        <v/>
      </c>
    </row>
    <row r="55" spans="1:9" x14ac:dyDescent="0.25">
      <c r="A55" s="141">
        <f t="shared" si="0"/>
        <v>54</v>
      </c>
      <c r="C55" s="5" t="str">
        <v/>
      </c>
      <c r="D55" s="158" t="str">
        <f ca="1"/>
        <v/>
      </c>
      <c r="E55" s="158" t="str">
        <v/>
      </c>
      <c r="F55" s="158" t="str">
        <f ca="1"/>
        <v/>
      </c>
      <c r="G55" s="158" t="str">
        <v/>
      </c>
      <c r="H55" s="158" t="str">
        <v/>
      </c>
      <c r="I55" s="158" t="str">
        <v/>
      </c>
    </row>
    <row r="56" spans="1:9" x14ac:dyDescent="0.25">
      <c r="A56" s="141">
        <f t="shared" si="0"/>
        <v>55</v>
      </c>
      <c r="C56" s="5" t="str">
        <v/>
      </c>
      <c r="D56" s="158" t="str">
        <f ca="1"/>
        <v/>
      </c>
      <c r="E56" s="158" t="str">
        <v/>
      </c>
      <c r="F56" s="158" t="str">
        <f ca="1"/>
        <v/>
      </c>
      <c r="G56" s="158" t="str">
        <v/>
      </c>
      <c r="H56" s="158" t="str">
        <v/>
      </c>
      <c r="I56" s="158" t="str">
        <v/>
      </c>
    </row>
    <row r="57" spans="1:9" x14ac:dyDescent="0.25">
      <c r="A57" s="141">
        <f t="shared" si="0"/>
        <v>56</v>
      </c>
      <c r="C57" s="5" t="str">
        <v/>
      </c>
      <c r="D57" s="158" t="str">
        <f ca="1"/>
        <v/>
      </c>
      <c r="E57" s="158" t="str">
        <v/>
      </c>
      <c r="F57" s="158" t="str">
        <f ca="1"/>
        <v/>
      </c>
      <c r="G57" s="158" t="str">
        <v/>
      </c>
      <c r="H57" s="158" t="str">
        <v/>
      </c>
      <c r="I57" s="158" t="str">
        <v/>
      </c>
    </row>
    <row r="58" spans="1:9" x14ac:dyDescent="0.25">
      <c r="A58" s="141">
        <f t="shared" si="0"/>
        <v>57</v>
      </c>
      <c r="C58" s="5" t="str">
        <v/>
      </c>
      <c r="D58" s="158" t="str">
        <f ca="1"/>
        <v/>
      </c>
      <c r="E58" s="158" t="str">
        <v/>
      </c>
      <c r="F58" s="158" t="str">
        <f ca="1"/>
        <v/>
      </c>
      <c r="G58" s="158" t="str">
        <v/>
      </c>
      <c r="H58" s="158" t="str">
        <v/>
      </c>
      <c r="I58" s="158" t="str">
        <v/>
      </c>
    </row>
    <row r="59" spans="1:9" x14ac:dyDescent="0.25">
      <c r="A59" s="141">
        <f t="shared" si="0"/>
        <v>58</v>
      </c>
      <c r="C59" s="5" t="str">
        <v/>
      </c>
      <c r="D59" s="158" t="str">
        <f ca="1"/>
        <v/>
      </c>
      <c r="E59" s="158" t="str">
        <v/>
      </c>
      <c r="F59" s="158" t="str">
        <f ca="1"/>
        <v/>
      </c>
      <c r="G59" s="158" t="str">
        <v/>
      </c>
      <c r="H59" s="158" t="str">
        <v/>
      </c>
      <c r="I59" s="158" t="str">
        <v/>
      </c>
    </row>
    <row r="60" spans="1:9" x14ac:dyDescent="0.25">
      <c r="A60" s="141">
        <f t="shared" si="0"/>
        <v>59</v>
      </c>
      <c r="C60" s="5" t="str">
        <v/>
      </c>
      <c r="D60" s="158" t="str">
        <f ca="1"/>
        <v/>
      </c>
      <c r="E60" s="158" t="str">
        <v/>
      </c>
      <c r="F60" s="158" t="str">
        <f ca="1"/>
        <v/>
      </c>
      <c r="G60" s="158" t="str">
        <v/>
      </c>
      <c r="H60" s="158" t="str">
        <v/>
      </c>
      <c r="I60" s="158" t="str">
        <v/>
      </c>
    </row>
    <row r="61" spans="1:9" x14ac:dyDescent="0.25">
      <c r="A61" s="141">
        <f t="shared" si="0"/>
        <v>60</v>
      </c>
      <c r="C61" s="5" t="str">
        <v/>
      </c>
      <c r="D61" s="158" t="str">
        <f ca="1"/>
        <v/>
      </c>
      <c r="E61" s="158" t="str">
        <v/>
      </c>
      <c r="F61" s="158" t="str">
        <f ca="1"/>
        <v/>
      </c>
      <c r="G61" s="158" t="str">
        <v/>
      </c>
      <c r="H61" s="158" t="str">
        <v/>
      </c>
      <c r="I61" s="158" t="str">
        <v/>
      </c>
    </row>
    <row r="62" spans="1:9" x14ac:dyDescent="0.25">
      <c r="A62" s="141">
        <f t="shared" si="0"/>
        <v>61</v>
      </c>
      <c r="C62" s="5" t="str">
        <v/>
      </c>
      <c r="D62" s="158" t="str">
        <f ca="1"/>
        <v/>
      </c>
      <c r="E62" s="158" t="str">
        <v/>
      </c>
      <c r="F62" s="158" t="str">
        <f ca="1"/>
        <v/>
      </c>
      <c r="G62" s="158" t="str">
        <v/>
      </c>
      <c r="H62" s="158" t="str">
        <v/>
      </c>
      <c r="I62" s="158" t="str">
        <v/>
      </c>
    </row>
    <row r="63" spans="1:9" x14ac:dyDescent="0.25">
      <c r="A63" s="141">
        <f t="shared" si="0"/>
        <v>62</v>
      </c>
      <c r="C63" s="5" t="str">
        <v/>
      </c>
      <c r="D63" s="158" t="str">
        <f ca="1"/>
        <v/>
      </c>
      <c r="E63" s="158" t="str">
        <v/>
      </c>
      <c r="F63" s="158" t="str">
        <f ca="1"/>
        <v/>
      </c>
      <c r="G63" s="158" t="str">
        <v/>
      </c>
      <c r="H63" s="158" t="str">
        <v/>
      </c>
      <c r="I63" s="158" t="str">
        <v/>
      </c>
    </row>
    <row r="64" spans="1:9" x14ac:dyDescent="0.25">
      <c r="A64" s="141">
        <f t="shared" si="0"/>
        <v>63</v>
      </c>
      <c r="C64" s="5" t="str">
        <v/>
      </c>
      <c r="D64" s="158" t="str">
        <f ca="1"/>
        <v/>
      </c>
      <c r="E64" s="158" t="str">
        <v/>
      </c>
      <c r="F64" s="158" t="str">
        <f ca="1"/>
        <v/>
      </c>
      <c r="G64" s="158" t="str">
        <v/>
      </c>
      <c r="H64" s="158" t="str">
        <v/>
      </c>
      <c r="I64" s="158" t="str">
        <v/>
      </c>
    </row>
    <row r="65" spans="1:9" x14ac:dyDescent="0.25">
      <c r="A65" s="141">
        <f t="shared" si="0"/>
        <v>64</v>
      </c>
      <c r="C65" s="5" t="str">
        <v/>
      </c>
      <c r="D65" s="158" t="str">
        <f ca="1"/>
        <v/>
      </c>
      <c r="E65" s="158" t="str">
        <v/>
      </c>
      <c r="F65" s="158" t="str">
        <f ca="1"/>
        <v/>
      </c>
      <c r="G65" s="158" t="str">
        <v/>
      </c>
      <c r="H65" s="158" t="str">
        <v/>
      </c>
      <c r="I65" s="158" t="str">
        <v/>
      </c>
    </row>
    <row r="66" spans="1:9" x14ac:dyDescent="0.25">
      <c r="A66" s="141">
        <f t="shared" si="0"/>
        <v>65</v>
      </c>
      <c r="C66" s="5" t="str">
        <v/>
      </c>
      <c r="D66" s="158" t="str">
        <f ca="1"/>
        <v/>
      </c>
      <c r="E66" s="158" t="str">
        <v/>
      </c>
      <c r="F66" s="158" t="str">
        <f ca="1"/>
        <v/>
      </c>
      <c r="G66" s="158" t="str">
        <v/>
      </c>
      <c r="H66" s="158" t="str">
        <v/>
      </c>
      <c r="I66" s="158" t="str">
        <v/>
      </c>
    </row>
    <row r="67" spans="1:9" x14ac:dyDescent="0.25">
      <c r="A67" s="141">
        <f t="shared" ref="A67:A101" si="1">ROW(A67)-ROW($A$1)</f>
        <v>66</v>
      </c>
      <c r="C67" s="5" t="str">
        <v/>
      </c>
      <c r="D67" s="158" t="str">
        <f ca="1"/>
        <v/>
      </c>
      <c r="E67" s="158" t="str">
        <v/>
      </c>
      <c r="F67" s="158" t="str">
        <f ca="1"/>
        <v/>
      </c>
      <c r="G67" s="158" t="str">
        <v/>
      </c>
      <c r="H67" s="158" t="str">
        <v/>
      </c>
      <c r="I67" s="158" t="str">
        <v/>
      </c>
    </row>
    <row r="68" spans="1:9" x14ac:dyDescent="0.25">
      <c r="A68" s="141">
        <f t="shared" si="1"/>
        <v>67</v>
      </c>
      <c r="C68" s="5" t="str">
        <v/>
      </c>
      <c r="D68" s="158" t="str">
        <f ca="1"/>
        <v/>
      </c>
      <c r="E68" s="158" t="str">
        <v/>
      </c>
      <c r="F68" s="158" t="str">
        <f ca="1"/>
        <v/>
      </c>
      <c r="G68" s="158" t="str">
        <v/>
      </c>
      <c r="H68" s="158" t="str">
        <v/>
      </c>
      <c r="I68" s="158" t="str">
        <v/>
      </c>
    </row>
    <row r="69" spans="1:9" x14ac:dyDescent="0.25">
      <c r="A69" s="141">
        <f t="shared" si="1"/>
        <v>68</v>
      </c>
      <c r="C69" s="5" t="str">
        <v/>
      </c>
      <c r="D69" s="158" t="str">
        <f ca="1"/>
        <v/>
      </c>
      <c r="E69" s="158" t="str">
        <v/>
      </c>
      <c r="F69" s="158" t="str">
        <f ca="1"/>
        <v/>
      </c>
      <c r="G69" s="158" t="str">
        <v/>
      </c>
      <c r="H69" s="158" t="str">
        <v/>
      </c>
      <c r="I69" s="158" t="str">
        <v/>
      </c>
    </row>
    <row r="70" spans="1:9" x14ac:dyDescent="0.25">
      <c r="A70" s="141">
        <f t="shared" si="1"/>
        <v>69</v>
      </c>
      <c r="C70" s="5" t="str">
        <v/>
      </c>
      <c r="D70" s="158" t="str">
        <f ca="1"/>
        <v/>
      </c>
      <c r="E70" s="158" t="str">
        <v/>
      </c>
      <c r="F70" s="158" t="str">
        <f ca="1"/>
        <v/>
      </c>
      <c r="G70" s="158" t="str">
        <v/>
      </c>
      <c r="H70" s="158" t="str">
        <v/>
      </c>
      <c r="I70" s="158" t="str">
        <v/>
      </c>
    </row>
    <row r="71" spans="1:9" x14ac:dyDescent="0.25">
      <c r="A71" s="141">
        <f t="shared" si="1"/>
        <v>70</v>
      </c>
      <c r="C71" s="5" t="str">
        <v/>
      </c>
      <c r="D71" s="158" t="str">
        <f ca="1"/>
        <v/>
      </c>
      <c r="E71" s="158" t="str">
        <v/>
      </c>
      <c r="F71" s="158" t="str">
        <f ca="1"/>
        <v/>
      </c>
      <c r="G71" s="158" t="str">
        <v/>
      </c>
      <c r="H71" s="158" t="str">
        <v/>
      </c>
      <c r="I71" s="158" t="str">
        <v/>
      </c>
    </row>
    <row r="72" spans="1:9" x14ac:dyDescent="0.25">
      <c r="A72" s="141">
        <f t="shared" si="1"/>
        <v>71</v>
      </c>
      <c r="C72" s="5" t="str">
        <v/>
      </c>
      <c r="D72" s="158" t="str">
        <f ca="1"/>
        <v/>
      </c>
      <c r="E72" s="158" t="str">
        <v/>
      </c>
      <c r="F72" s="158" t="str">
        <f ca="1"/>
        <v/>
      </c>
      <c r="G72" s="158" t="str">
        <v/>
      </c>
      <c r="H72" s="158" t="str">
        <v/>
      </c>
      <c r="I72" s="158" t="str">
        <v/>
      </c>
    </row>
    <row r="73" spans="1:9" x14ac:dyDescent="0.25">
      <c r="A73" s="141">
        <f t="shared" si="1"/>
        <v>72</v>
      </c>
      <c r="C73" s="5" t="str">
        <v/>
      </c>
      <c r="D73" s="158" t="str">
        <f ca="1"/>
        <v/>
      </c>
      <c r="E73" s="158" t="str">
        <v/>
      </c>
      <c r="F73" s="158" t="str">
        <f ca="1"/>
        <v/>
      </c>
      <c r="G73" s="158" t="str">
        <v/>
      </c>
      <c r="H73" s="158" t="str">
        <v/>
      </c>
      <c r="I73" s="158" t="str">
        <v/>
      </c>
    </row>
    <row r="74" spans="1:9" x14ac:dyDescent="0.25">
      <c r="A74" s="141">
        <f t="shared" si="1"/>
        <v>73</v>
      </c>
      <c r="C74" s="5" t="str">
        <v/>
      </c>
      <c r="D74" s="158" t="str">
        <f ca="1"/>
        <v/>
      </c>
      <c r="E74" s="158" t="str">
        <v/>
      </c>
      <c r="F74" s="158" t="str">
        <f ca="1"/>
        <v/>
      </c>
      <c r="G74" s="158" t="str">
        <v/>
      </c>
      <c r="H74" s="158" t="str">
        <v/>
      </c>
      <c r="I74" s="158" t="str">
        <v/>
      </c>
    </row>
    <row r="75" spans="1:9" x14ac:dyDescent="0.25">
      <c r="A75" s="141">
        <f t="shared" si="1"/>
        <v>74</v>
      </c>
      <c r="C75" s="5" t="str">
        <v/>
      </c>
      <c r="D75" s="158" t="str">
        <f ca="1"/>
        <v/>
      </c>
      <c r="E75" s="158" t="str">
        <v/>
      </c>
      <c r="F75" s="158" t="str">
        <f ca="1"/>
        <v/>
      </c>
      <c r="G75" s="158" t="str">
        <v/>
      </c>
      <c r="H75" s="158" t="str">
        <v/>
      </c>
      <c r="I75" s="158" t="str">
        <v/>
      </c>
    </row>
    <row r="76" spans="1:9" x14ac:dyDescent="0.25">
      <c r="A76" s="141">
        <f t="shared" si="1"/>
        <v>75</v>
      </c>
      <c r="C76" s="5" t="str">
        <v/>
      </c>
      <c r="D76" s="158" t="str">
        <f ca="1"/>
        <v/>
      </c>
      <c r="E76" s="158" t="str">
        <v/>
      </c>
      <c r="F76" s="158" t="str">
        <f ca="1"/>
        <v/>
      </c>
      <c r="G76" s="158" t="str">
        <v/>
      </c>
      <c r="H76" s="158" t="str">
        <v/>
      </c>
      <c r="I76" s="158" t="str">
        <v/>
      </c>
    </row>
    <row r="77" spans="1:9" x14ac:dyDescent="0.25">
      <c r="A77" s="141">
        <f t="shared" si="1"/>
        <v>76</v>
      </c>
      <c r="C77" s="5" t="str">
        <v/>
      </c>
      <c r="D77" s="158" t="str">
        <f ca="1"/>
        <v/>
      </c>
      <c r="E77" s="158" t="str">
        <v/>
      </c>
      <c r="F77" s="158" t="str">
        <f ca="1"/>
        <v/>
      </c>
      <c r="G77" s="158" t="str">
        <v/>
      </c>
      <c r="H77" s="158" t="str">
        <v/>
      </c>
      <c r="I77" s="158" t="str">
        <v/>
      </c>
    </row>
    <row r="78" spans="1:9" x14ac:dyDescent="0.25">
      <c r="A78" s="141">
        <f t="shared" si="1"/>
        <v>77</v>
      </c>
      <c r="C78" s="5" t="str">
        <v/>
      </c>
      <c r="D78" s="158" t="str">
        <f ca="1"/>
        <v/>
      </c>
      <c r="E78" s="158" t="str">
        <v/>
      </c>
      <c r="F78" s="158" t="str">
        <f ca="1"/>
        <v/>
      </c>
      <c r="G78" s="158" t="str">
        <v/>
      </c>
      <c r="H78" s="158" t="str">
        <v/>
      </c>
      <c r="I78" s="158" t="str">
        <v/>
      </c>
    </row>
    <row r="79" spans="1:9" x14ac:dyDescent="0.25">
      <c r="A79" s="141">
        <f t="shared" si="1"/>
        <v>78</v>
      </c>
      <c r="C79" s="5" t="str">
        <v/>
      </c>
      <c r="D79" s="158" t="str">
        <f ca="1"/>
        <v/>
      </c>
      <c r="E79" s="158" t="str">
        <v/>
      </c>
      <c r="F79" s="158" t="str">
        <f ca="1"/>
        <v/>
      </c>
      <c r="G79" s="158" t="str">
        <v/>
      </c>
      <c r="H79" s="158" t="str">
        <v/>
      </c>
      <c r="I79" s="158" t="str">
        <v/>
      </c>
    </row>
    <row r="80" spans="1:9" x14ac:dyDescent="0.25">
      <c r="A80" s="141">
        <f t="shared" si="1"/>
        <v>79</v>
      </c>
      <c r="C80" s="5" t="str">
        <v/>
      </c>
      <c r="D80" s="158" t="str">
        <f ca="1"/>
        <v/>
      </c>
      <c r="E80" s="158" t="str">
        <v/>
      </c>
      <c r="F80" s="158" t="str">
        <f ca="1"/>
        <v/>
      </c>
      <c r="G80" s="158" t="str">
        <v/>
      </c>
      <c r="H80" s="158" t="str">
        <v/>
      </c>
      <c r="I80" s="158" t="str">
        <v/>
      </c>
    </row>
    <row r="81" spans="1:9" x14ac:dyDescent="0.25">
      <c r="A81" s="141">
        <f t="shared" si="1"/>
        <v>80</v>
      </c>
      <c r="C81" s="5" t="str">
        <v/>
      </c>
      <c r="D81" s="158" t="str">
        <f ca="1"/>
        <v/>
      </c>
      <c r="E81" s="158" t="str">
        <v/>
      </c>
      <c r="F81" s="158" t="str">
        <f ca="1"/>
        <v/>
      </c>
      <c r="G81" s="158" t="str">
        <v/>
      </c>
      <c r="H81" s="158" t="str">
        <v/>
      </c>
      <c r="I81" s="158" t="str">
        <v/>
      </c>
    </row>
    <row r="82" spans="1:9" x14ac:dyDescent="0.25">
      <c r="A82" s="141">
        <f t="shared" si="1"/>
        <v>81</v>
      </c>
      <c r="C82" s="5" t="str">
        <v/>
      </c>
      <c r="D82" s="158" t="str">
        <f ca="1"/>
        <v/>
      </c>
      <c r="E82" s="158" t="str">
        <v/>
      </c>
      <c r="F82" s="158" t="str">
        <f ca="1"/>
        <v/>
      </c>
      <c r="G82" s="158" t="str">
        <v/>
      </c>
      <c r="H82" s="158" t="str">
        <v/>
      </c>
      <c r="I82" s="158" t="str">
        <v/>
      </c>
    </row>
    <row r="83" spans="1:9" x14ac:dyDescent="0.25">
      <c r="A83" s="141">
        <f t="shared" si="1"/>
        <v>82</v>
      </c>
      <c r="C83" s="5" t="str">
        <v/>
      </c>
      <c r="D83" s="158" t="str">
        <f ca="1"/>
        <v/>
      </c>
      <c r="E83" s="158" t="str">
        <v/>
      </c>
      <c r="F83" s="158" t="str">
        <f ca="1"/>
        <v/>
      </c>
      <c r="G83" s="158" t="str">
        <v/>
      </c>
      <c r="H83" s="158" t="str">
        <v/>
      </c>
      <c r="I83" s="158" t="str">
        <v/>
      </c>
    </row>
    <row r="84" spans="1:9" x14ac:dyDescent="0.25">
      <c r="A84" s="141">
        <f t="shared" si="1"/>
        <v>83</v>
      </c>
      <c r="C84" s="5" t="str">
        <v/>
      </c>
      <c r="D84" s="158" t="str">
        <f ca="1"/>
        <v/>
      </c>
      <c r="E84" s="158" t="str">
        <v/>
      </c>
      <c r="F84" s="158" t="str">
        <f ca="1"/>
        <v/>
      </c>
      <c r="G84" s="158" t="str">
        <v/>
      </c>
      <c r="H84" s="158" t="str">
        <v/>
      </c>
      <c r="I84" s="158" t="str">
        <v/>
      </c>
    </row>
    <row r="85" spans="1:9" x14ac:dyDescent="0.25">
      <c r="A85" s="141">
        <f t="shared" si="1"/>
        <v>84</v>
      </c>
      <c r="C85" s="5" t="str">
        <v/>
      </c>
      <c r="D85" s="158" t="str">
        <f ca="1"/>
        <v/>
      </c>
      <c r="E85" s="158" t="str">
        <v/>
      </c>
      <c r="F85" s="158" t="str">
        <f ca="1"/>
        <v/>
      </c>
      <c r="G85" s="158" t="str">
        <v/>
      </c>
      <c r="H85" s="158" t="str">
        <v/>
      </c>
      <c r="I85" s="158" t="str">
        <v/>
      </c>
    </row>
    <row r="86" spans="1:9" x14ac:dyDescent="0.25">
      <c r="A86" s="141">
        <f t="shared" si="1"/>
        <v>85</v>
      </c>
      <c r="C86" s="5" t="str">
        <v/>
      </c>
      <c r="D86" s="158" t="str">
        <f ca="1"/>
        <v/>
      </c>
      <c r="E86" s="158" t="str">
        <v/>
      </c>
      <c r="F86" s="158" t="str">
        <f ca="1"/>
        <v/>
      </c>
      <c r="G86" s="158" t="str">
        <v/>
      </c>
      <c r="H86" s="158" t="str">
        <v/>
      </c>
      <c r="I86" s="158" t="str">
        <v/>
      </c>
    </row>
    <row r="87" spans="1:9" x14ac:dyDescent="0.25">
      <c r="A87" s="141">
        <f t="shared" si="1"/>
        <v>86</v>
      </c>
      <c r="C87" s="5" t="str">
        <v/>
      </c>
      <c r="D87" s="158" t="str">
        <f ca="1"/>
        <v/>
      </c>
      <c r="E87" s="158" t="str">
        <v/>
      </c>
      <c r="F87" s="158" t="str">
        <f ca="1"/>
        <v/>
      </c>
      <c r="G87" s="158" t="str">
        <v/>
      </c>
      <c r="H87" s="158" t="str">
        <v/>
      </c>
      <c r="I87" s="158" t="str">
        <v/>
      </c>
    </row>
    <row r="88" spans="1:9" x14ac:dyDescent="0.25">
      <c r="A88" s="141">
        <f t="shared" si="1"/>
        <v>87</v>
      </c>
      <c r="C88" s="5" t="str">
        <v/>
      </c>
      <c r="D88" s="158" t="str">
        <f ca="1"/>
        <v/>
      </c>
      <c r="E88" s="158" t="str">
        <v/>
      </c>
      <c r="F88" s="158" t="str">
        <f ca="1"/>
        <v/>
      </c>
      <c r="G88" s="158" t="str">
        <v/>
      </c>
      <c r="H88" s="158" t="str">
        <v/>
      </c>
      <c r="I88" s="158" t="str">
        <v/>
      </c>
    </row>
    <row r="89" spans="1:9" x14ac:dyDescent="0.25">
      <c r="A89" s="141">
        <f t="shared" si="1"/>
        <v>88</v>
      </c>
      <c r="C89" s="5" t="str">
        <v/>
      </c>
      <c r="D89" s="158" t="str">
        <f ca="1"/>
        <v/>
      </c>
      <c r="E89" s="158" t="str">
        <v/>
      </c>
      <c r="F89" s="158" t="str">
        <f ca="1"/>
        <v/>
      </c>
      <c r="G89" s="158" t="str">
        <v/>
      </c>
      <c r="H89" s="158" t="str">
        <v/>
      </c>
      <c r="I89" s="158" t="str">
        <v/>
      </c>
    </row>
    <row r="90" spans="1:9" x14ac:dyDescent="0.25">
      <c r="A90" s="141">
        <f t="shared" si="1"/>
        <v>89</v>
      </c>
      <c r="C90" s="5" t="str">
        <v/>
      </c>
      <c r="D90" s="158" t="str">
        <f ca="1"/>
        <v/>
      </c>
      <c r="E90" s="158" t="str">
        <v/>
      </c>
      <c r="F90" s="158" t="str">
        <f ca="1"/>
        <v/>
      </c>
      <c r="G90" s="158" t="str">
        <v/>
      </c>
      <c r="H90" s="158" t="str">
        <v/>
      </c>
      <c r="I90" s="158" t="str">
        <v/>
      </c>
    </row>
    <row r="91" spans="1:9" x14ac:dyDescent="0.25">
      <c r="A91" s="141">
        <f t="shared" si="1"/>
        <v>90</v>
      </c>
      <c r="C91" s="5" t="str">
        <v/>
      </c>
      <c r="D91" s="158" t="str">
        <f ca="1"/>
        <v/>
      </c>
      <c r="E91" s="158" t="str">
        <v/>
      </c>
      <c r="F91" s="158" t="str">
        <f ca="1"/>
        <v/>
      </c>
      <c r="G91" s="158" t="str">
        <v/>
      </c>
      <c r="H91" s="158" t="str">
        <v/>
      </c>
      <c r="I91" s="158" t="str">
        <v/>
      </c>
    </row>
    <row r="92" spans="1:9" x14ac:dyDescent="0.25">
      <c r="A92" s="141">
        <f t="shared" si="1"/>
        <v>91</v>
      </c>
      <c r="C92" s="5" t="str">
        <v/>
      </c>
      <c r="D92" s="158" t="str">
        <f ca="1"/>
        <v/>
      </c>
      <c r="E92" s="158" t="str">
        <v/>
      </c>
      <c r="F92" s="158" t="str">
        <f ca="1"/>
        <v/>
      </c>
      <c r="G92" s="158" t="str">
        <v/>
      </c>
      <c r="H92" s="158" t="str">
        <v/>
      </c>
      <c r="I92" s="158" t="str">
        <v/>
      </c>
    </row>
    <row r="93" spans="1:9" x14ac:dyDescent="0.25">
      <c r="A93" s="141">
        <f t="shared" si="1"/>
        <v>92</v>
      </c>
      <c r="C93" s="5" t="str">
        <v/>
      </c>
      <c r="D93" s="158" t="str">
        <f ca="1"/>
        <v/>
      </c>
      <c r="E93" s="158" t="str">
        <v/>
      </c>
      <c r="F93" s="158" t="str">
        <f ca="1"/>
        <v/>
      </c>
      <c r="G93" s="158" t="str">
        <v/>
      </c>
      <c r="H93" s="158" t="str">
        <v/>
      </c>
      <c r="I93" s="158" t="str">
        <v/>
      </c>
    </row>
    <row r="94" spans="1:9" x14ac:dyDescent="0.25">
      <c r="A94" s="141">
        <f t="shared" si="1"/>
        <v>93</v>
      </c>
      <c r="C94" s="5" t="str">
        <v/>
      </c>
      <c r="D94" s="158" t="str">
        <f ca="1"/>
        <v/>
      </c>
      <c r="E94" s="158" t="str">
        <v/>
      </c>
      <c r="F94" s="158" t="str">
        <f ca="1"/>
        <v/>
      </c>
      <c r="G94" s="158" t="str">
        <v/>
      </c>
      <c r="H94" s="158" t="str">
        <v/>
      </c>
      <c r="I94" s="158" t="str">
        <v/>
      </c>
    </row>
    <row r="95" spans="1:9" x14ac:dyDescent="0.25">
      <c r="A95" s="141">
        <f t="shared" si="1"/>
        <v>94</v>
      </c>
      <c r="C95" s="5" t="str">
        <v/>
      </c>
      <c r="D95" s="158" t="str">
        <f ca="1"/>
        <v/>
      </c>
      <c r="E95" s="158" t="str">
        <v/>
      </c>
      <c r="F95" s="158" t="str">
        <f ca="1"/>
        <v/>
      </c>
      <c r="G95" s="158" t="str">
        <v/>
      </c>
      <c r="H95" s="158" t="str">
        <v/>
      </c>
      <c r="I95" s="158" t="str">
        <v/>
      </c>
    </row>
    <row r="96" spans="1:9" x14ac:dyDescent="0.25">
      <c r="A96" s="141">
        <f t="shared" si="1"/>
        <v>95</v>
      </c>
      <c r="C96" s="5" t="str">
        <v/>
      </c>
      <c r="D96" s="158" t="str">
        <f ca="1"/>
        <v/>
      </c>
      <c r="E96" s="158" t="str">
        <v/>
      </c>
      <c r="F96" s="158" t="str">
        <f ca="1"/>
        <v/>
      </c>
      <c r="G96" s="158" t="str">
        <v/>
      </c>
      <c r="H96" s="158" t="str">
        <v/>
      </c>
      <c r="I96" s="158" t="str">
        <v/>
      </c>
    </row>
    <row r="97" spans="1:9" x14ac:dyDescent="0.25">
      <c r="A97" s="141">
        <f t="shared" si="1"/>
        <v>96</v>
      </c>
      <c r="C97" s="5" t="str">
        <v/>
      </c>
      <c r="D97" s="158" t="str">
        <f ca="1"/>
        <v/>
      </c>
      <c r="E97" s="158" t="str">
        <v/>
      </c>
      <c r="F97" s="158" t="str">
        <f ca="1"/>
        <v/>
      </c>
      <c r="G97" s="158" t="str">
        <v/>
      </c>
      <c r="H97" s="158" t="str">
        <v/>
      </c>
      <c r="I97" s="158" t="str">
        <v/>
      </c>
    </row>
    <row r="98" spans="1:9" x14ac:dyDescent="0.25">
      <c r="A98" s="141">
        <f t="shared" si="1"/>
        <v>97</v>
      </c>
      <c r="C98" s="5" t="str">
        <v/>
      </c>
      <c r="D98" s="158" t="str">
        <f ca="1"/>
        <v/>
      </c>
      <c r="E98" s="158" t="str">
        <v/>
      </c>
      <c r="F98" s="158" t="str">
        <f ca="1"/>
        <v/>
      </c>
      <c r="G98" s="158" t="str">
        <v/>
      </c>
      <c r="H98" s="158" t="str">
        <v/>
      </c>
      <c r="I98" s="158" t="str">
        <v/>
      </c>
    </row>
    <row r="99" spans="1:9" x14ac:dyDescent="0.25">
      <c r="A99" s="141">
        <f t="shared" si="1"/>
        <v>98</v>
      </c>
      <c r="C99" s="5" t="str">
        <v/>
      </c>
      <c r="D99" s="158" t="str">
        <f ca="1"/>
        <v/>
      </c>
      <c r="E99" s="158" t="str">
        <v/>
      </c>
      <c r="F99" s="158" t="str">
        <f ca="1"/>
        <v/>
      </c>
      <c r="G99" s="158" t="str">
        <v/>
      </c>
      <c r="H99" s="158" t="str">
        <v/>
      </c>
      <c r="I99" s="158" t="str">
        <v/>
      </c>
    </row>
    <row r="100" spans="1:9" x14ac:dyDescent="0.25">
      <c r="A100" s="141">
        <f t="shared" si="1"/>
        <v>99</v>
      </c>
      <c r="C100" s="5" t="str">
        <v/>
      </c>
      <c r="D100" s="158" t="str">
        <f ca="1"/>
        <v/>
      </c>
      <c r="E100" s="158" t="str">
        <v/>
      </c>
      <c r="F100" s="158" t="str">
        <f ca="1"/>
        <v/>
      </c>
      <c r="G100" s="158" t="str">
        <v/>
      </c>
      <c r="H100" s="158" t="str">
        <v/>
      </c>
      <c r="I100" s="158" t="str">
        <v/>
      </c>
    </row>
    <row r="101" spans="1:9" x14ac:dyDescent="0.25">
      <c r="A101" s="141">
        <f t="shared" si="1"/>
        <v>100</v>
      </c>
      <c r="C101" s="5" t="str">
        <v/>
      </c>
      <c r="D101" s="158" t="str">
        <f ca="1"/>
        <v/>
      </c>
      <c r="E101" s="158" t="str">
        <v/>
      </c>
      <c r="F101" s="158" t="str">
        <f ca="1"/>
        <v/>
      </c>
      <c r="G101" s="158" t="str">
        <v/>
      </c>
      <c r="H101" s="158" t="str">
        <v/>
      </c>
      <c r="I101" s="158" t="str">
        <v/>
      </c>
    </row>
  </sheetData>
  <sheetProtection algorithmName="SHA-512" hashValue="XcRss+dXTa3kyn2sdY1kssGdnHs/+A5922IPnDrX9oimV2o3qCUftkpc9/JNXbvLAEAeQpxOQVtswbRgmpUgGg==" saltValue="FOWteIuxOzptoqjNeadBhw==" spinCount="100000" sheet="1" objects="1" scenarios="1" formatColumns="0" formatRows="0"/>
  <conditionalFormatting sqref="C1:I1">
    <cfRule type="expression" dxfId="28" priority="1">
      <formula>ISERROR(C1)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ACAF-B0FB-446C-91E2-A5C102E80B56}">
  <sheetPr codeName="Sheet12">
    <tabColor theme="3" tint="0.59999389629810485"/>
  </sheetPr>
  <dimension ref="A1"/>
  <sheetViews>
    <sheetView workbookViewId="0"/>
  </sheetViews>
  <sheetFormatPr defaultRowHeight="15" x14ac:dyDescent="0.25"/>
  <cols>
    <col min="1" max="16384" width="9.140625" style="197"/>
  </cols>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BE335-286D-463E-8907-0F45F8277538}">
  <sheetPr codeName="Sheet3">
    <tabColor theme="3" tint="-0.249977111117893"/>
  </sheetPr>
  <dimension ref="A1:DB110"/>
  <sheetViews>
    <sheetView zoomScale="80" zoomScaleNormal="80" workbookViewId="0">
      <pane xSplit="3" ySplit="9" topLeftCell="D10" activePane="bottomRight" state="frozen"/>
      <selection pane="topRight" activeCell="D1" sqref="D1"/>
      <selection pane="bottomLeft" activeCell="A10" sqref="A10"/>
      <selection pane="bottomRight" activeCell="B10" sqref="B10"/>
    </sheetView>
  </sheetViews>
  <sheetFormatPr defaultRowHeight="15" outlineLevelCol="1" x14ac:dyDescent="0.25"/>
  <cols>
    <col min="1" max="1" width="5.85546875" style="145" customWidth="1"/>
    <col min="2" max="2" width="32.5703125" style="142" customWidth="1"/>
    <col min="3" max="3" width="9.5703125" style="145" customWidth="1"/>
    <col min="4" max="7" width="14.28515625" style="145" customWidth="1"/>
    <col min="8" max="8" width="13.5703125" style="142" customWidth="1"/>
    <col min="9" max="11" width="28.28515625" style="142" customWidth="1"/>
    <col min="12" max="12" width="10.7109375" style="142" customWidth="1"/>
    <col min="13" max="20" width="10.7109375" style="145" customWidth="1"/>
    <col min="21" max="28" width="10.7109375" style="145" hidden="1" customWidth="1" outlineLevel="1"/>
    <col min="29" max="29" width="8.7109375" style="145" hidden="1" customWidth="1" outlineLevel="1"/>
    <col min="30" max="30" width="8.7109375" style="145" customWidth="1" collapsed="1"/>
    <col min="31" max="31" width="8.7109375" style="145" customWidth="1"/>
    <col min="32" max="59" width="8.7109375" style="145" hidden="1" customWidth="1" outlineLevel="1"/>
    <col min="60" max="63" width="10.28515625" style="145" hidden="1" customWidth="1" outlineLevel="1"/>
    <col min="64" max="67" width="10.7109375" style="145" hidden="1" customWidth="1" outlineLevel="1"/>
    <col min="68" max="75" width="8.7109375" style="145" hidden="1" customWidth="1" outlineLevel="1"/>
    <col min="76" max="93" width="9.7109375" style="145" hidden="1" customWidth="1" outlineLevel="1"/>
    <col min="94" max="94" width="10.85546875" style="145" hidden="1" customWidth="1" outlineLevel="1"/>
    <col min="95" max="95" width="9" style="145" hidden="1" customWidth="1" outlineLevel="1"/>
    <col min="96" max="96" width="11.7109375" style="145" customWidth="1" collapsed="1"/>
    <col min="97" max="99" width="11.7109375" style="145" customWidth="1"/>
    <col min="100" max="100" width="10.28515625" style="145" customWidth="1"/>
    <col min="101" max="101" width="10.140625" style="145" customWidth="1"/>
    <col min="102" max="103" width="5.42578125" style="145" hidden="1" customWidth="1" outlineLevel="1"/>
    <col min="104" max="105" width="5.42578125" style="388" hidden="1" customWidth="1" outlineLevel="1"/>
    <col min="106" max="106" width="6.5703125" style="388" customWidth="1" collapsed="1"/>
    <col min="107" max="107" width="6.5703125" style="145" customWidth="1"/>
    <col min="108" max="112" width="11.5703125" style="145" customWidth="1"/>
    <col min="113" max="116" width="9.140625" style="145"/>
    <col min="117" max="117" width="11.140625" style="145" customWidth="1"/>
    <col min="118" max="120" width="15.42578125" style="145" customWidth="1"/>
    <col min="121" max="124" width="9.140625" style="145"/>
    <col min="125" max="128" width="9.140625" style="145" customWidth="1"/>
    <col min="129" max="129" width="11.28515625" style="145" customWidth="1"/>
    <col min="130" max="130" width="10.42578125" style="145" customWidth="1"/>
    <col min="131" max="132" width="9.140625" style="145" customWidth="1"/>
    <col min="133" max="136" width="9.140625" style="145"/>
    <col min="137" max="138" width="11.42578125" style="145" customWidth="1"/>
    <col min="139" max="139" width="11.5703125" style="145" customWidth="1"/>
    <col min="140" max="141" width="11.28515625" style="145" customWidth="1"/>
    <col min="142" max="143" width="11.42578125" style="145" customWidth="1"/>
    <col min="144" max="144" width="12.28515625" style="145" customWidth="1"/>
    <col min="145" max="146" width="11.28515625" style="145" customWidth="1"/>
    <col min="147" max="147" width="10.5703125" style="145" customWidth="1"/>
    <col min="148" max="148" width="10.28515625" style="145" customWidth="1"/>
    <col min="149" max="150" width="9" style="145" customWidth="1"/>
    <col min="151" max="151" width="11.5703125" style="145" customWidth="1"/>
    <col min="152" max="152" width="11.28515625" style="145" customWidth="1"/>
    <col min="153" max="153" width="11.7109375" style="145" customWidth="1"/>
    <col min="154" max="164" width="12" style="145" customWidth="1"/>
    <col min="165" max="169" width="11.28515625" style="145" customWidth="1"/>
    <col min="170" max="171" width="10.7109375" style="145" customWidth="1"/>
    <col min="172" max="172" width="9.140625" style="145"/>
    <col min="173" max="173" width="11.28515625" style="145" customWidth="1"/>
    <col min="174" max="174" width="10.5703125" style="145" customWidth="1"/>
    <col min="175" max="176" width="11.28515625" style="145" customWidth="1"/>
    <col min="177" max="177" width="11.42578125" style="145" bestFit="1" customWidth="1"/>
    <col min="178" max="185" width="11.28515625" style="145" customWidth="1"/>
    <col min="186" max="198" width="12.28515625" style="145" customWidth="1"/>
    <col min="199" max="199" width="14.7109375" style="145" customWidth="1"/>
    <col min="200" max="200" width="15.28515625" style="145" customWidth="1"/>
    <col min="201" max="201" width="14.7109375" style="145" customWidth="1"/>
    <col min="202" max="202" width="15.42578125" style="145" customWidth="1"/>
    <col min="203" max="204" width="14.5703125" style="145" customWidth="1"/>
    <col min="205" max="205" width="15" style="145" customWidth="1"/>
    <col min="206" max="206" width="14.5703125" style="145" customWidth="1"/>
    <col min="207" max="16384" width="9.140625" style="145"/>
  </cols>
  <sheetData>
    <row r="1" spans="1:106" ht="15" customHeight="1" x14ac:dyDescent="0.25">
      <c r="B1" s="342" t="s">
        <v>31</v>
      </c>
      <c r="D1" s="495" t="s">
        <v>32</v>
      </c>
      <c r="E1" s="495"/>
      <c r="F1" s="499" t="s">
        <v>33</v>
      </c>
      <c r="G1" s="499"/>
      <c r="L1" s="145"/>
      <c r="AD1" s="500" t="s">
        <v>34</v>
      </c>
      <c r="AE1" s="502" t="s">
        <v>35</v>
      </c>
      <c r="AF1" s="371"/>
      <c r="AG1" s="371"/>
      <c r="AH1" s="371"/>
      <c r="CK1"/>
      <c r="CP1"/>
      <c r="CV1"/>
      <c r="CW1"/>
      <c r="CX1" s="388"/>
      <c r="CY1" s="388"/>
      <c r="DA1" s="145"/>
      <c r="DB1" s="145"/>
    </row>
    <row r="2" spans="1:106" ht="15" customHeight="1" x14ac:dyDescent="0.25">
      <c r="B2" s="343" t="s">
        <v>36</v>
      </c>
      <c r="D2" s="585" t="s">
        <v>894</v>
      </c>
      <c r="E2" s="306">
        <v>2024</v>
      </c>
      <c r="F2" s="496" t="s">
        <v>867</v>
      </c>
      <c r="G2" s="496"/>
      <c r="I2" s="470" t="s">
        <v>37</v>
      </c>
      <c r="J2" s="471"/>
      <c r="K2" s="471"/>
      <c r="L2" s="470" t="s">
        <v>38</v>
      </c>
      <c r="M2" s="471"/>
      <c r="N2" s="471"/>
      <c r="O2" s="470" t="s">
        <v>39</v>
      </c>
      <c r="P2" s="471"/>
      <c r="Q2" s="471"/>
      <c r="R2" s="470" t="s">
        <v>40</v>
      </c>
      <c r="S2" s="471"/>
      <c r="T2" s="471"/>
      <c r="U2" s="470" t="s">
        <v>41</v>
      </c>
      <c r="V2" s="471"/>
      <c r="W2" s="471"/>
      <c r="X2" s="470" t="s">
        <v>42</v>
      </c>
      <c r="Y2" s="471"/>
      <c r="Z2" s="471"/>
      <c r="AA2" s="470" t="s">
        <v>43</v>
      </c>
      <c r="AB2" s="471"/>
      <c r="AC2" s="471"/>
      <c r="AD2" s="477"/>
      <c r="AE2" s="503"/>
      <c r="AF2" s="470" t="s">
        <v>977</v>
      </c>
      <c r="AG2" s="471"/>
      <c r="AH2" s="471"/>
      <c r="AI2" s="472"/>
      <c r="AJ2" s="470" t="s">
        <v>44</v>
      </c>
      <c r="AK2" s="471"/>
      <c r="AL2" s="471"/>
      <c r="AM2" s="472"/>
      <c r="AN2" s="470" t="s">
        <v>45</v>
      </c>
      <c r="AO2" s="471"/>
      <c r="AP2" s="471"/>
      <c r="AQ2" s="472"/>
      <c r="AR2" s="470" t="s">
        <v>46</v>
      </c>
      <c r="AS2" s="471"/>
      <c r="AT2" s="471"/>
      <c r="AU2" s="472"/>
      <c r="AV2" s="470" t="s">
        <v>47</v>
      </c>
      <c r="AW2" s="471"/>
      <c r="AX2" s="471"/>
      <c r="AY2" s="472"/>
      <c r="AZ2" s="470" t="s">
        <v>48</v>
      </c>
      <c r="BA2" s="471"/>
      <c r="BB2" s="471"/>
      <c r="BC2" s="472"/>
      <c r="BD2" s="470" t="s">
        <v>49</v>
      </c>
      <c r="BE2" s="471"/>
      <c r="BF2" s="471"/>
      <c r="BG2" s="472"/>
      <c r="BH2" s="470" t="s">
        <v>50</v>
      </c>
      <c r="BI2" s="471"/>
      <c r="BJ2" s="471"/>
      <c r="BK2" s="472"/>
      <c r="BL2" s="470" t="s">
        <v>51</v>
      </c>
      <c r="BM2" s="471"/>
      <c r="BN2" s="471"/>
      <c r="BO2" s="472"/>
      <c r="BP2" s="470" t="s">
        <v>52</v>
      </c>
      <c r="BQ2" s="471"/>
      <c r="BR2" s="471"/>
      <c r="BS2" s="472"/>
      <c r="BT2" s="470" t="s">
        <v>53</v>
      </c>
      <c r="BU2" s="471"/>
      <c r="BV2" s="471"/>
      <c r="BW2" s="472"/>
      <c r="BX2" s="470" t="s">
        <v>978</v>
      </c>
      <c r="BY2" s="471"/>
      <c r="BZ2" s="471"/>
      <c r="CA2" s="472"/>
      <c r="CB2" s="470" t="s">
        <v>975</v>
      </c>
      <c r="CC2" s="471"/>
      <c r="CD2" s="471"/>
      <c r="CE2" s="472"/>
      <c r="CF2" s="470" t="s">
        <v>54</v>
      </c>
      <c r="CG2" s="471"/>
      <c r="CH2" s="471"/>
      <c r="CI2" s="472"/>
      <c r="CJ2" s="470" t="s">
        <v>55</v>
      </c>
      <c r="CK2" s="471"/>
      <c r="CL2" s="471"/>
      <c r="CM2" s="472"/>
      <c r="CN2" s="470" t="s">
        <v>56</v>
      </c>
      <c r="CO2" s="471"/>
      <c r="CP2" s="471"/>
      <c r="CQ2" s="472"/>
      <c r="CR2" s="470" t="s">
        <v>57</v>
      </c>
      <c r="CS2" s="471"/>
      <c r="CT2" s="471"/>
      <c r="CU2" s="472"/>
      <c r="CV2" s="470" t="s">
        <v>58</v>
      </c>
      <c r="CW2" s="471"/>
      <c r="CX2" s="388"/>
      <c r="CY2" s="388"/>
      <c r="DA2" s="145"/>
      <c r="DB2" s="145"/>
    </row>
    <row r="3" spans="1:106" ht="15" customHeight="1" x14ac:dyDescent="0.25">
      <c r="B3" s="344" t="s">
        <v>59</v>
      </c>
      <c r="D3" s="585" t="s">
        <v>60</v>
      </c>
      <c r="E3" s="307">
        <f>ACC_Dollar_Year</f>
        <v>2022</v>
      </c>
      <c r="F3" s="496" t="s">
        <v>61</v>
      </c>
      <c r="G3" s="496"/>
      <c r="I3" s="473"/>
      <c r="J3" s="474"/>
      <c r="K3" s="474"/>
      <c r="L3" s="473"/>
      <c r="M3" s="474"/>
      <c r="N3" s="474"/>
      <c r="O3" s="473"/>
      <c r="P3" s="474"/>
      <c r="Q3" s="474"/>
      <c r="R3" s="473"/>
      <c r="S3" s="474"/>
      <c r="T3" s="474"/>
      <c r="U3" s="473"/>
      <c r="V3" s="474"/>
      <c r="W3" s="474"/>
      <c r="X3" s="473"/>
      <c r="Y3" s="474"/>
      <c r="Z3" s="474"/>
      <c r="AA3" s="473"/>
      <c r="AB3" s="474"/>
      <c r="AC3" s="474"/>
      <c r="AD3" s="477"/>
      <c r="AE3" s="503"/>
      <c r="AF3" s="473"/>
      <c r="AG3" s="474"/>
      <c r="AH3" s="474"/>
      <c r="AI3" s="475"/>
      <c r="AJ3" s="473"/>
      <c r="AK3" s="474"/>
      <c r="AL3" s="474"/>
      <c r="AM3" s="475"/>
      <c r="AN3" s="473"/>
      <c r="AO3" s="474"/>
      <c r="AP3" s="474"/>
      <c r="AQ3" s="475"/>
      <c r="AR3" s="473"/>
      <c r="AS3" s="474"/>
      <c r="AT3" s="474"/>
      <c r="AU3" s="475"/>
      <c r="AV3" s="473"/>
      <c r="AW3" s="474"/>
      <c r="AX3" s="474"/>
      <c r="AY3" s="475"/>
      <c r="AZ3" s="473"/>
      <c r="BA3" s="474"/>
      <c r="BB3" s="474"/>
      <c r="BC3" s="475"/>
      <c r="BD3" s="473"/>
      <c r="BE3" s="474"/>
      <c r="BF3" s="474"/>
      <c r="BG3" s="475"/>
      <c r="BH3" s="473"/>
      <c r="BI3" s="474"/>
      <c r="BJ3" s="474"/>
      <c r="BK3" s="475"/>
      <c r="BL3" s="473"/>
      <c r="BM3" s="474"/>
      <c r="BN3" s="474"/>
      <c r="BO3" s="475"/>
      <c r="BP3" s="473"/>
      <c r="BQ3" s="474"/>
      <c r="BR3" s="474"/>
      <c r="BS3" s="475"/>
      <c r="BT3" s="473"/>
      <c r="BU3" s="474"/>
      <c r="BV3" s="474"/>
      <c r="BW3" s="475"/>
      <c r="BX3" s="473"/>
      <c r="BY3" s="474"/>
      <c r="BZ3" s="474"/>
      <c r="CA3" s="475"/>
      <c r="CB3" s="473"/>
      <c r="CC3" s="474"/>
      <c r="CD3" s="474"/>
      <c r="CE3" s="475"/>
      <c r="CF3" s="473"/>
      <c r="CG3" s="474"/>
      <c r="CH3" s="474"/>
      <c r="CI3" s="475"/>
      <c r="CJ3" s="473"/>
      <c r="CK3" s="474"/>
      <c r="CL3" s="474"/>
      <c r="CM3" s="475"/>
      <c r="CN3" s="473"/>
      <c r="CO3" s="474"/>
      <c r="CP3" s="474"/>
      <c r="CQ3" s="475"/>
      <c r="CR3" s="473"/>
      <c r="CS3" s="474"/>
      <c r="CT3" s="474"/>
      <c r="CU3" s="475"/>
      <c r="CV3" s="473"/>
      <c r="CW3" s="474"/>
      <c r="CX3" s="388"/>
      <c r="CY3" s="388"/>
      <c r="DA3" s="145"/>
      <c r="DB3" s="145"/>
    </row>
    <row r="4" spans="1:106" s="142" customFormat="1" ht="15" customHeight="1" x14ac:dyDescent="0.25">
      <c r="B4" s="345" t="s">
        <v>63</v>
      </c>
      <c r="D4" s="585" t="s">
        <v>64</v>
      </c>
      <c r="E4" s="307" t="s">
        <v>65</v>
      </c>
      <c r="F4" s="496" t="s">
        <v>66</v>
      </c>
      <c r="G4" s="496"/>
      <c r="I4" s="407" t="s">
        <v>67</v>
      </c>
      <c r="J4" s="408" t="s">
        <v>68</v>
      </c>
      <c r="K4" s="409" t="s">
        <v>69</v>
      </c>
      <c r="L4" s="407" t="s">
        <v>71</v>
      </c>
      <c r="M4" s="408" t="s">
        <v>72</v>
      </c>
      <c r="N4" s="409" t="s">
        <v>73</v>
      </c>
      <c r="O4" s="407" t="s">
        <v>71</v>
      </c>
      <c r="P4" s="408" t="s">
        <v>72</v>
      </c>
      <c r="Q4" s="409" t="s">
        <v>73</v>
      </c>
      <c r="R4" s="407" t="s">
        <v>71</v>
      </c>
      <c r="S4" s="408" t="s">
        <v>72</v>
      </c>
      <c r="T4" s="409" t="s">
        <v>73</v>
      </c>
      <c r="U4" s="407" t="s">
        <v>71</v>
      </c>
      <c r="V4" s="408" t="s">
        <v>72</v>
      </c>
      <c r="W4" s="409" t="s">
        <v>73</v>
      </c>
      <c r="X4" s="407" t="s">
        <v>71</v>
      </c>
      <c r="Y4" s="408" t="s">
        <v>72</v>
      </c>
      <c r="Z4" s="409" t="s">
        <v>73</v>
      </c>
      <c r="AA4" s="407" t="s">
        <v>71</v>
      </c>
      <c r="AB4" s="408" t="s">
        <v>72</v>
      </c>
      <c r="AC4" s="409" t="s">
        <v>73</v>
      </c>
      <c r="AD4" s="477"/>
      <c r="AE4" s="503"/>
      <c r="AF4" s="407" t="s">
        <v>71</v>
      </c>
      <c r="AG4" s="408" t="s">
        <v>72</v>
      </c>
      <c r="AH4" s="425" t="s">
        <v>73</v>
      </c>
      <c r="AI4" s="411" t="s">
        <v>74</v>
      </c>
      <c r="AJ4" s="407" t="s">
        <v>71</v>
      </c>
      <c r="AK4" s="408" t="s">
        <v>72</v>
      </c>
      <c r="AL4" s="425" t="s">
        <v>73</v>
      </c>
      <c r="AM4" s="411" t="s">
        <v>74</v>
      </c>
      <c r="AN4" s="407" t="s">
        <v>71</v>
      </c>
      <c r="AO4" s="408" t="s">
        <v>72</v>
      </c>
      <c r="AP4" s="425" t="s">
        <v>73</v>
      </c>
      <c r="AQ4" s="411" t="s">
        <v>74</v>
      </c>
      <c r="AR4" s="407" t="s">
        <v>71</v>
      </c>
      <c r="AS4" s="408" t="s">
        <v>72</v>
      </c>
      <c r="AT4" s="425" t="s">
        <v>73</v>
      </c>
      <c r="AU4" s="411" t="s">
        <v>74</v>
      </c>
      <c r="AV4" s="407" t="s">
        <v>71</v>
      </c>
      <c r="AW4" s="408" t="s">
        <v>72</v>
      </c>
      <c r="AX4" s="425" t="s">
        <v>73</v>
      </c>
      <c r="AY4" s="411" t="s">
        <v>74</v>
      </c>
      <c r="AZ4" s="407" t="s">
        <v>71</v>
      </c>
      <c r="BA4" s="408" t="s">
        <v>72</v>
      </c>
      <c r="BB4" s="425" t="s">
        <v>73</v>
      </c>
      <c r="BC4" s="411" t="s">
        <v>74</v>
      </c>
      <c r="BD4" s="407" t="s">
        <v>71</v>
      </c>
      <c r="BE4" s="408" t="s">
        <v>72</v>
      </c>
      <c r="BF4" s="425" t="s">
        <v>73</v>
      </c>
      <c r="BG4" s="411" t="s">
        <v>74</v>
      </c>
      <c r="BH4" s="407" t="s">
        <v>71</v>
      </c>
      <c r="BI4" s="408" t="s">
        <v>72</v>
      </c>
      <c r="BJ4" s="425" t="s">
        <v>73</v>
      </c>
      <c r="BK4" s="411" t="s">
        <v>74</v>
      </c>
      <c r="BL4" s="407" t="s">
        <v>71</v>
      </c>
      <c r="BM4" s="408" t="s">
        <v>72</v>
      </c>
      <c r="BN4" s="425" t="s">
        <v>73</v>
      </c>
      <c r="BO4" s="411" t="s">
        <v>74</v>
      </c>
      <c r="BP4" s="407" t="s">
        <v>71</v>
      </c>
      <c r="BQ4" s="408" t="s">
        <v>72</v>
      </c>
      <c r="BR4" s="425" t="s">
        <v>73</v>
      </c>
      <c r="BS4" s="411" t="s">
        <v>74</v>
      </c>
      <c r="BT4" s="407" t="s">
        <v>71</v>
      </c>
      <c r="BU4" s="408" t="s">
        <v>72</v>
      </c>
      <c r="BV4" s="425" t="s">
        <v>73</v>
      </c>
      <c r="BW4" s="411" t="s">
        <v>74</v>
      </c>
      <c r="BX4" s="407" t="s">
        <v>71</v>
      </c>
      <c r="BY4" s="408" t="s">
        <v>72</v>
      </c>
      <c r="BZ4" s="425" t="s">
        <v>73</v>
      </c>
      <c r="CA4" s="411" t="s">
        <v>74</v>
      </c>
      <c r="CB4" s="407" t="s">
        <v>71</v>
      </c>
      <c r="CC4" s="408" t="s">
        <v>72</v>
      </c>
      <c r="CD4" s="425" t="s">
        <v>73</v>
      </c>
      <c r="CE4" s="411" t="s">
        <v>74</v>
      </c>
      <c r="CF4" s="407" t="s">
        <v>71</v>
      </c>
      <c r="CG4" s="408" t="s">
        <v>72</v>
      </c>
      <c r="CH4" s="425" t="s">
        <v>73</v>
      </c>
      <c r="CI4" s="411" t="s">
        <v>74</v>
      </c>
      <c r="CJ4" s="407" t="s">
        <v>71</v>
      </c>
      <c r="CK4" s="408" t="s">
        <v>72</v>
      </c>
      <c r="CL4" s="425" t="s">
        <v>73</v>
      </c>
      <c r="CM4" s="411" t="s">
        <v>74</v>
      </c>
      <c r="CN4" s="476" t="s">
        <v>62</v>
      </c>
      <c r="CO4" s="477"/>
      <c r="CP4" s="477"/>
      <c r="CQ4" s="478"/>
      <c r="CR4" s="407" t="s">
        <v>75</v>
      </c>
      <c r="CS4" s="408" t="s">
        <v>72</v>
      </c>
      <c r="CT4" s="425" t="s">
        <v>73</v>
      </c>
      <c r="CU4" s="411" t="s">
        <v>74</v>
      </c>
      <c r="CV4" s="437" t="s">
        <v>76</v>
      </c>
      <c r="CW4" s="438" t="s">
        <v>77</v>
      </c>
      <c r="CX4" s="389"/>
      <c r="CY4" s="389"/>
      <c r="CZ4" s="389"/>
    </row>
    <row r="5" spans="1:106" x14ac:dyDescent="0.25">
      <c r="B5" s="346" t="s">
        <v>78</v>
      </c>
      <c r="D5" s="585" t="s">
        <v>79</v>
      </c>
      <c r="E5" s="308" t="s">
        <v>80</v>
      </c>
      <c r="F5" s="496" t="s">
        <v>81</v>
      </c>
      <c r="G5" s="496"/>
      <c r="I5" s="410"/>
      <c r="J5" s="394"/>
      <c r="K5" s="411" t="s">
        <v>70</v>
      </c>
      <c r="L5" s="417"/>
      <c r="M5" s="418"/>
      <c r="N5" s="411" t="s">
        <v>74</v>
      </c>
      <c r="O5" s="417"/>
      <c r="P5" s="418"/>
      <c r="Q5" s="411" t="s">
        <v>74</v>
      </c>
      <c r="R5" s="417"/>
      <c r="S5" s="418"/>
      <c r="T5" s="411" t="s">
        <v>74</v>
      </c>
      <c r="U5" s="417"/>
      <c r="V5" s="418"/>
      <c r="W5" s="411" t="s">
        <v>74</v>
      </c>
      <c r="X5" s="417"/>
      <c r="Y5" s="418"/>
      <c r="Z5" s="411" t="s">
        <v>74</v>
      </c>
      <c r="AA5" s="417"/>
      <c r="AB5" s="418"/>
      <c r="AC5" s="411" t="s">
        <v>74</v>
      </c>
      <c r="AD5" s="501"/>
      <c r="AE5" s="504"/>
      <c r="AF5" s="417"/>
      <c r="AG5" s="418"/>
      <c r="AH5" s="418"/>
      <c r="AI5" s="419"/>
      <c r="AJ5" s="417"/>
      <c r="AK5" s="418"/>
      <c r="AL5" s="418"/>
      <c r="AM5" s="419"/>
      <c r="AN5" s="417"/>
      <c r="AO5" s="418"/>
      <c r="AP5" s="418"/>
      <c r="AQ5" s="419"/>
      <c r="AR5" s="417"/>
      <c r="AS5" s="418"/>
      <c r="AT5" s="418"/>
      <c r="AU5" s="419"/>
      <c r="AV5" s="417"/>
      <c r="AW5" s="418"/>
      <c r="AX5" s="418"/>
      <c r="AY5" s="419"/>
      <c r="AZ5" s="417"/>
      <c r="BA5" s="418"/>
      <c r="BB5" s="418"/>
      <c r="BC5" s="419"/>
      <c r="BD5" s="417"/>
      <c r="BE5" s="418"/>
      <c r="BF5" s="418"/>
      <c r="BG5" s="419"/>
      <c r="BH5" s="417"/>
      <c r="BI5" s="418"/>
      <c r="BJ5" s="418"/>
      <c r="BK5" s="419"/>
      <c r="BL5" s="417"/>
      <c r="BM5" s="418"/>
      <c r="BN5" s="418"/>
      <c r="BO5" s="419"/>
      <c r="BP5" s="417"/>
      <c r="BQ5" s="418"/>
      <c r="BR5" s="418"/>
      <c r="BS5" s="419"/>
      <c r="BT5" s="417"/>
      <c r="BU5" s="418"/>
      <c r="BV5" s="418"/>
      <c r="BW5" s="419"/>
      <c r="BX5" s="417"/>
      <c r="BY5" s="418"/>
      <c r="BZ5" s="418"/>
      <c r="CA5" s="419"/>
      <c r="CB5" s="417"/>
      <c r="CC5" s="418"/>
      <c r="CD5" s="418"/>
      <c r="CE5" s="419"/>
      <c r="CF5" s="507" t="s">
        <v>83</v>
      </c>
      <c r="CG5" s="508"/>
      <c r="CH5" s="508"/>
      <c r="CI5" s="509"/>
      <c r="CJ5" s="417"/>
      <c r="CK5" s="432"/>
      <c r="CL5" s="418"/>
      <c r="CM5" s="419"/>
      <c r="CN5" s="476"/>
      <c r="CO5" s="477"/>
      <c r="CP5" s="477"/>
      <c r="CQ5" s="478"/>
      <c r="CR5" s="417"/>
      <c r="CS5" s="418"/>
      <c r="CT5" s="418"/>
      <c r="CU5" s="419"/>
      <c r="CV5" s="164"/>
      <c r="CW5" s="436"/>
      <c r="CX5" s="388"/>
      <c r="CY5" s="388"/>
      <c r="DA5" s="145"/>
      <c r="DB5" s="145"/>
    </row>
    <row r="6" spans="1:106" ht="15" customHeight="1" x14ac:dyDescent="0.25">
      <c r="B6" s="347" t="s">
        <v>84</v>
      </c>
      <c r="D6" s="585" t="s">
        <v>85</v>
      </c>
      <c r="E6" s="309">
        <f>INDEX('Statewide WACC'!C5:C8,MATCH(E5,'Statewide WACC'!B5:B8,0))</f>
        <v>7.5399999999999995E-2</v>
      </c>
      <c r="F6" s="496"/>
      <c r="G6" s="496"/>
      <c r="H6" s="487" t="s">
        <v>88</v>
      </c>
      <c r="I6" s="488" t="s">
        <v>82</v>
      </c>
      <c r="J6" s="489"/>
      <c r="L6" s="417"/>
      <c r="M6" s="418"/>
      <c r="N6" s="419"/>
      <c r="O6" s="492" t="s">
        <v>880</v>
      </c>
      <c r="P6" s="493"/>
      <c r="Q6" s="494"/>
      <c r="R6" s="492" t="s">
        <v>880</v>
      </c>
      <c r="S6" s="493"/>
      <c r="T6" s="494"/>
      <c r="U6" s="492" t="s">
        <v>880</v>
      </c>
      <c r="V6" s="493"/>
      <c r="W6" s="494"/>
      <c r="X6" s="492" t="s">
        <v>880</v>
      </c>
      <c r="Y6" s="493"/>
      <c r="Z6" s="494"/>
      <c r="AA6" s="492" t="s">
        <v>880</v>
      </c>
      <c r="AB6" s="493"/>
      <c r="AC6" s="494"/>
      <c r="AD6" s="310"/>
      <c r="AE6" s="310"/>
      <c r="AF6" s="417"/>
      <c r="AG6" s="418"/>
      <c r="AH6" s="418"/>
      <c r="AI6" s="419"/>
      <c r="AJ6" s="417"/>
      <c r="AK6" s="418"/>
      <c r="AL6" s="418"/>
      <c r="AM6" s="419"/>
      <c r="AN6" s="417"/>
      <c r="AO6" s="418"/>
      <c r="AP6" s="418"/>
      <c r="AQ6" s="419"/>
      <c r="AR6" s="417"/>
      <c r="AS6" s="418"/>
      <c r="AT6" s="418"/>
      <c r="AU6" s="419"/>
      <c r="AV6" s="417"/>
      <c r="AW6" s="418"/>
      <c r="AX6" s="418"/>
      <c r="AY6" s="419"/>
      <c r="AZ6" s="417"/>
      <c r="BA6" s="418"/>
      <c r="BB6" s="418"/>
      <c r="BC6" s="419"/>
      <c r="BD6" s="417"/>
      <c r="BE6" s="418"/>
      <c r="BF6" s="418"/>
      <c r="BG6" s="419"/>
      <c r="BH6" s="417"/>
      <c r="BI6" s="418"/>
      <c r="BJ6" s="418"/>
      <c r="BK6" s="419"/>
      <c r="BL6" s="417"/>
      <c r="BM6" s="418"/>
      <c r="BN6" s="418"/>
      <c r="BO6" s="419"/>
      <c r="BP6" s="417"/>
      <c r="BQ6" s="418"/>
      <c r="BR6" s="418"/>
      <c r="BS6" s="419"/>
      <c r="BT6" s="417"/>
      <c r="BU6" s="418"/>
      <c r="BV6" s="418"/>
      <c r="BW6" s="419"/>
      <c r="BX6" s="417"/>
      <c r="BY6" s="418"/>
      <c r="BZ6" s="418"/>
      <c r="CA6" s="419"/>
      <c r="CB6" s="417"/>
      <c r="CC6" s="418"/>
      <c r="CD6" s="418"/>
      <c r="CE6" s="419"/>
      <c r="CF6" s="510"/>
      <c r="CG6" s="511"/>
      <c r="CH6" s="511"/>
      <c r="CI6" s="512"/>
      <c r="CJ6" s="417"/>
      <c r="CK6" s="432"/>
      <c r="CL6" s="418"/>
      <c r="CM6" s="419"/>
      <c r="CN6" s="476"/>
      <c r="CO6" s="477"/>
      <c r="CP6" s="477"/>
      <c r="CQ6" s="478"/>
      <c r="CR6" s="417"/>
      <c r="CS6" s="418"/>
      <c r="CT6" s="418"/>
      <c r="CU6" s="419"/>
      <c r="CV6" s="164"/>
      <c r="CW6" s="436"/>
      <c r="CX6" s="388"/>
      <c r="CY6" s="388"/>
      <c r="DA6" s="145"/>
      <c r="DB6" s="145"/>
    </row>
    <row r="7" spans="1:106" x14ac:dyDescent="0.25">
      <c r="D7" s="485" t="s">
        <v>887</v>
      </c>
      <c r="E7" s="485"/>
      <c r="H7" s="487"/>
      <c r="I7" s="488"/>
      <c r="J7" s="489"/>
      <c r="K7" s="412"/>
      <c r="L7" s="417"/>
      <c r="M7" s="418"/>
      <c r="N7" s="419"/>
      <c r="O7" s="479" t="s">
        <v>879</v>
      </c>
      <c r="P7" s="480"/>
      <c r="Q7" s="481"/>
      <c r="R7" s="479" t="s">
        <v>879</v>
      </c>
      <c r="S7" s="480"/>
      <c r="T7" s="481"/>
      <c r="U7" s="479" t="s">
        <v>879</v>
      </c>
      <c r="V7" s="480"/>
      <c r="W7" s="481"/>
      <c r="X7" s="479" t="s">
        <v>879</v>
      </c>
      <c r="Y7" s="480"/>
      <c r="Z7" s="481"/>
      <c r="AA7" s="479" t="s">
        <v>879</v>
      </c>
      <c r="AB7" s="480"/>
      <c r="AC7" s="481"/>
      <c r="AD7" s="310"/>
      <c r="AE7" s="310"/>
      <c r="AF7" s="417"/>
      <c r="AG7" s="418"/>
      <c r="AH7" s="418"/>
      <c r="AI7" s="419"/>
      <c r="AJ7" s="417"/>
      <c r="AK7" s="418"/>
      <c r="AL7" s="418"/>
      <c r="AM7" s="419"/>
      <c r="AN7" s="417"/>
      <c r="AO7" s="418"/>
      <c r="AP7" s="418"/>
      <c r="AQ7" s="419"/>
      <c r="AR7" s="417"/>
      <c r="AS7" s="418"/>
      <c r="AT7" s="418"/>
      <c r="AU7" s="419"/>
      <c r="AV7" s="417"/>
      <c r="AW7" s="418"/>
      <c r="AX7" s="418"/>
      <c r="AY7" s="419"/>
      <c r="AZ7" s="417"/>
      <c r="BA7" s="418"/>
      <c r="BB7" s="418"/>
      <c r="BC7" s="419"/>
      <c r="BD7" s="417"/>
      <c r="BE7" s="418"/>
      <c r="BF7" s="418"/>
      <c r="BG7" s="419"/>
      <c r="BH7" s="417"/>
      <c r="BI7" s="418"/>
      <c r="BJ7" s="418"/>
      <c r="BK7" s="419"/>
      <c r="BL7" s="417"/>
      <c r="BM7" s="418"/>
      <c r="BN7" s="418"/>
      <c r="BO7" s="419"/>
      <c r="BP7" s="417"/>
      <c r="BQ7" s="418"/>
      <c r="BR7" s="418"/>
      <c r="BS7" s="419"/>
      <c r="BT7" s="417"/>
      <c r="BU7" s="418"/>
      <c r="BV7" s="418"/>
      <c r="BW7" s="419"/>
      <c r="BX7" s="417"/>
      <c r="BY7" s="428"/>
      <c r="BZ7" s="428"/>
      <c r="CA7" s="419"/>
      <c r="CB7" s="417"/>
      <c r="CC7" s="418"/>
      <c r="CD7" s="418"/>
      <c r="CE7" s="419"/>
      <c r="CF7" s="417"/>
      <c r="CG7" s="418"/>
      <c r="CH7" s="418"/>
      <c r="CI7" s="419"/>
      <c r="CJ7" s="417"/>
      <c r="CK7" s="432"/>
      <c r="CL7" s="418"/>
      <c r="CM7" s="419"/>
      <c r="CN7" s="476"/>
      <c r="CO7" s="477"/>
      <c r="CP7" s="477"/>
      <c r="CQ7" s="478"/>
      <c r="CR7" s="417"/>
      <c r="CS7" s="418"/>
      <c r="CT7" s="418"/>
      <c r="CU7" s="419"/>
      <c r="CV7" s="164"/>
      <c r="CW7" s="436"/>
      <c r="CX7" s="505" t="s">
        <v>86</v>
      </c>
      <c r="CY7" s="506"/>
      <c r="CZ7" s="506"/>
      <c r="DA7" s="145"/>
      <c r="DB7" s="145"/>
    </row>
    <row r="8" spans="1:106" s="142" customFormat="1" x14ac:dyDescent="0.25">
      <c r="D8" s="486"/>
      <c r="E8" s="486"/>
      <c r="F8" s="497" t="s">
        <v>87</v>
      </c>
      <c r="G8" s="498"/>
      <c r="H8" s="486"/>
      <c r="I8" s="490"/>
      <c r="J8" s="491"/>
      <c r="K8" s="413" t="s">
        <v>950</v>
      </c>
      <c r="L8" s="410"/>
      <c r="M8" s="398"/>
      <c r="N8" s="420" t="s">
        <v>951</v>
      </c>
      <c r="O8" s="482" t="s">
        <v>959</v>
      </c>
      <c r="P8" s="483"/>
      <c r="Q8" s="484"/>
      <c r="R8" s="482" t="s">
        <v>959</v>
      </c>
      <c r="S8" s="483"/>
      <c r="T8" s="484"/>
      <c r="U8" s="482" t="s">
        <v>959</v>
      </c>
      <c r="V8" s="483"/>
      <c r="W8" s="484"/>
      <c r="X8" s="482" t="s">
        <v>959</v>
      </c>
      <c r="Y8" s="483"/>
      <c r="Z8" s="484"/>
      <c r="AA8" s="482" t="s">
        <v>959</v>
      </c>
      <c r="AB8" s="483"/>
      <c r="AC8" s="484"/>
      <c r="AF8" s="410"/>
      <c r="AG8" s="398"/>
      <c r="AH8" s="398"/>
      <c r="AI8" s="412"/>
      <c r="AJ8" s="410"/>
      <c r="AK8" s="398"/>
      <c r="AL8" s="398"/>
      <c r="AM8" s="412"/>
      <c r="AN8" s="410"/>
      <c r="AO8" s="398"/>
      <c r="AP8" s="398"/>
      <c r="AQ8" s="412"/>
      <c r="AR8" s="410"/>
      <c r="AS8" s="398"/>
      <c r="AT8" s="398"/>
      <c r="AU8" s="412"/>
      <c r="AV8" s="410"/>
      <c r="AW8" s="398"/>
      <c r="AX8" s="398"/>
      <c r="AY8" s="412"/>
      <c r="AZ8" s="410"/>
      <c r="BA8" s="398"/>
      <c r="BB8" s="398"/>
      <c r="BC8" s="412"/>
      <c r="BD8" s="410"/>
      <c r="BE8" s="398"/>
      <c r="BF8" s="398"/>
      <c r="BG8" s="412"/>
      <c r="BH8" s="410"/>
      <c r="BI8" s="398"/>
      <c r="BJ8" s="398"/>
      <c r="BK8" s="412"/>
      <c r="BL8" s="410"/>
      <c r="BM8" s="398"/>
      <c r="BN8" s="398"/>
      <c r="BO8" s="412"/>
      <c r="BP8" s="410"/>
      <c r="BQ8" s="398"/>
      <c r="BR8" s="398"/>
      <c r="BS8" s="412"/>
      <c r="BT8" s="410"/>
      <c r="BU8" s="398"/>
      <c r="BV8" s="398"/>
      <c r="BW8" s="412"/>
      <c r="BX8" s="410"/>
      <c r="BY8" s="429"/>
      <c r="BZ8" s="429"/>
      <c r="CA8" s="412"/>
      <c r="CB8" s="410"/>
      <c r="CC8" s="398"/>
      <c r="CD8" s="398"/>
      <c r="CE8" s="412"/>
      <c r="CF8" s="410"/>
      <c r="CG8" s="398"/>
      <c r="CH8" s="398"/>
      <c r="CI8" s="412"/>
      <c r="CJ8" s="410"/>
      <c r="CK8" s="432"/>
      <c r="CL8" s="398"/>
      <c r="CM8" s="412"/>
      <c r="CN8" s="410"/>
      <c r="CO8" s="398"/>
      <c r="CP8" s="432"/>
      <c r="CQ8" s="412"/>
      <c r="CR8" s="410"/>
      <c r="CS8" s="398"/>
      <c r="CT8" s="398"/>
      <c r="CU8" s="412"/>
      <c r="CV8" s="164"/>
      <c r="CW8" s="436"/>
      <c r="CX8" s="505"/>
      <c r="CY8" s="506"/>
      <c r="CZ8" s="506"/>
      <c r="DA8" s="398"/>
    </row>
    <row r="9" spans="1:106" s="290" customFormat="1" ht="126" x14ac:dyDescent="0.25">
      <c r="A9" s="291" t="s">
        <v>23</v>
      </c>
      <c r="B9" s="289" t="s">
        <v>24</v>
      </c>
      <c r="C9" s="286" t="s">
        <v>855</v>
      </c>
      <c r="D9" s="289" t="s">
        <v>89</v>
      </c>
      <c r="E9" s="289" t="s">
        <v>90</v>
      </c>
      <c r="F9" s="289" t="s">
        <v>91</v>
      </c>
      <c r="G9" s="289" t="s">
        <v>92</v>
      </c>
      <c r="H9" s="414" t="s">
        <v>93</v>
      </c>
      <c r="I9" s="415" t="s">
        <v>96</v>
      </c>
      <c r="J9" s="286" t="s">
        <v>97</v>
      </c>
      <c r="K9" s="416" t="s">
        <v>952</v>
      </c>
      <c r="L9" s="415" t="s">
        <v>835</v>
      </c>
      <c r="M9" s="286" t="s">
        <v>836</v>
      </c>
      <c r="N9" s="421" t="s">
        <v>953</v>
      </c>
      <c r="O9" s="422" t="s">
        <v>849</v>
      </c>
      <c r="P9" s="301" t="s">
        <v>850</v>
      </c>
      <c r="Q9" s="423" t="s">
        <v>954</v>
      </c>
      <c r="R9" s="422" t="s">
        <v>102</v>
      </c>
      <c r="S9" s="301" t="s">
        <v>103</v>
      </c>
      <c r="T9" s="423" t="s">
        <v>955</v>
      </c>
      <c r="U9" s="422" t="s">
        <v>104</v>
      </c>
      <c r="V9" s="301" t="s">
        <v>105</v>
      </c>
      <c r="W9" s="423" t="s">
        <v>956</v>
      </c>
      <c r="X9" s="422" t="s">
        <v>108</v>
      </c>
      <c r="Y9" s="301" t="s">
        <v>109</v>
      </c>
      <c r="Z9" s="423" t="s">
        <v>957</v>
      </c>
      <c r="AA9" s="422" t="s">
        <v>112</v>
      </c>
      <c r="AB9" s="301" t="s">
        <v>113</v>
      </c>
      <c r="AC9" s="423" t="s">
        <v>958</v>
      </c>
      <c r="AD9" s="424" t="s">
        <v>116</v>
      </c>
      <c r="AE9" s="439" t="s">
        <v>851</v>
      </c>
      <c r="AF9" s="440" t="s">
        <v>881</v>
      </c>
      <c r="AG9" s="302" t="s">
        <v>882</v>
      </c>
      <c r="AH9" s="302" t="s">
        <v>883</v>
      </c>
      <c r="AI9" s="441" t="s">
        <v>976</v>
      </c>
      <c r="AJ9" s="426" t="s">
        <v>117</v>
      </c>
      <c r="AK9" s="285" t="s">
        <v>118</v>
      </c>
      <c r="AL9" s="285" t="s">
        <v>119</v>
      </c>
      <c r="AM9" s="427" t="s">
        <v>120</v>
      </c>
      <c r="AN9" s="426" t="s">
        <v>837</v>
      </c>
      <c r="AO9" s="285" t="s">
        <v>838</v>
      </c>
      <c r="AP9" s="285" t="s">
        <v>839</v>
      </c>
      <c r="AQ9" s="427" t="s">
        <v>840</v>
      </c>
      <c r="AR9" s="426" t="s">
        <v>121</v>
      </c>
      <c r="AS9" s="285" t="s">
        <v>122</v>
      </c>
      <c r="AT9" s="285" t="s">
        <v>123</v>
      </c>
      <c r="AU9" s="427" t="s">
        <v>124</v>
      </c>
      <c r="AV9" s="426" t="s">
        <v>841</v>
      </c>
      <c r="AW9" s="285" t="s">
        <v>842</v>
      </c>
      <c r="AX9" s="285" t="s">
        <v>843</v>
      </c>
      <c r="AY9" s="427" t="s">
        <v>844</v>
      </c>
      <c r="AZ9" s="426" t="s">
        <v>125</v>
      </c>
      <c r="BA9" s="285" t="s">
        <v>126</v>
      </c>
      <c r="BB9" s="285" t="s">
        <v>127</v>
      </c>
      <c r="BC9" s="427" t="s">
        <v>128</v>
      </c>
      <c r="BD9" s="426" t="s">
        <v>129</v>
      </c>
      <c r="BE9" s="285" t="s">
        <v>130</v>
      </c>
      <c r="BF9" s="285" t="s">
        <v>131</v>
      </c>
      <c r="BG9" s="427" t="s">
        <v>132</v>
      </c>
      <c r="BH9" s="426" t="s">
        <v>133</v>
      </c>
      <c r="BI9" s="285" t="s">
        <v>134</v>
      </c>
      <c r="BJ9" s="285" t="s">
        <v>974</v>
      </c>
      <c r="BK9" s="427" t="s">
        <v>135</v>
      </c>
      <c r="BL9" s="426" t="s">
        <v>136</v>
      </c>
      <c r="BM9" s="285" t="s">
        <v>137</v>
      </c>
      <c r="BN9" s="285" t="s">
        <v>138</v>
      </c>
      <c r="BO9" s="427" t="s">
        <v>139</v>
      </c>
      <c r="BP9" s="426" t="s">
        <v>140</v>
      </c>
      <c r="BQ9" s="285" t="s">
        <v>141</v>
      </c>
      <c r="BR9" s="285" t="s">
        <v>142</v>
      </c>
      <c r="BS9" s="427" t="s">
        <v>143</v>
      </c>
      <c r="BT9" s="426" t="s">
        <v>144</v>
      </c>
      <c r="BU9" s="285" t="s">
        <v>145</v>
      </c>
      <c r="BV9" s="285" t="s">
        <v>146</v>
      </c>
      <c r="BW9" s="427" t="s">
        <v>147</v>
      </c>
      <c r="BX9" s="430" t="s">
        <v>148</v>
      </c>
      <c r="BY9" s="287" t="s">
        <v>149</v>
      </c>
      <c r="BZ9" s="287" t="s">
        <v>150</v>
      </c>
      <c r="CA9" s="431" t="s">
        <v>151</v>
      </c>
      <c r="CB9" s="430" t="s">
        <v>152</v>
      </c>
      <c r="CC9" s="287" t="s">
        <v>153</v>
      </c>
      <c r="CD9" s="287" t="s">
        <v>154</v>
      </c>
      <c r="CE9" s="431" t="s">
        <v>155</v>
      </c>
      <c r="CF9" s="430" t="s">
        <v>156</v>
      </c>
      <c r="CG9" s="287" t="s">
        <v>157</v>
      </c>
      <c r="CH9" s="287" t="s">
        <v>158</v>
      </c>
      <c r="CI9" s="431" t="s">
        <v>159</v>
      </c>
      <c r="CJ9" s="430" t="s">
        <v>160</v>
      </c>
      <c r="CK9" s="287" t="s">
        <v>161</v>
      </c>
      <c r="CL9" s="287" t="s">
        <v>162</v>
      </c>
      <c r="CM9" s="431" t="s">
        <v>163</v>
      </c>
      <c r="CN9" s="430" t="s">
        <v>848</v>
      </c>
      <c r="CO9" s="287" t="s">
        <v>847</v>
      </c>
      <c r="CP9" s="287" t="s">
        <v>856</v>
      </c>
      <c r="CQ9" s="431" t="s">
        <v>878</v>
      </c>
      <c r="CR9" s="433" t="s">
        <v>868</v>
      </c>
      <c r="CS9" s="288" t="s">
        <v>869</v>
      </c>
      <c r="CT9" s="288" t="s">
        <v>870</v>
      </c>
      <c r="CU9" s="434" t="s">
        <v>871</v>
      </c>
      <c r="CV9" s="433" t="s">
        <v>845</v>
      </c>
      <c r="CW9" s="434" t="s">
        <v>846</v>
      </c>
      <c r="CX9" s="435" t="s">
        <v>94</v>
      </c>
      <c r="CY9" s="393" t="s">
        <v>95</v>
      </c>
      <c r="CZ9" s="393" t="s">
        <v>888</v>
      </c>
      <c r="DA9" s="393" t="s">
        <v>164</v>
      </c>
    </row>
    <row r="10" spans="1:106" s="320" customFormat="1" x14ac:dyDescent="0.25">
      <c r="A10" s="292">
        <f>ROW(DeemedDashboard[[#This Row],[Index]])-ROW(DeemedDashboard[[#Headers],[Index]])</f>
        <v>1</v>
      </c>
      <c r="B10" s="293"/>
      <c r="C10" s="311"/>
      <c r="D10" s="402"/>
      <c r="E10" s="402"/>
      <c r="F10" s="402"/>
      <c r="G10" s="402"/>
      <c r="H10" s="364"/>
      <c r="I10" s="339"/>
      <c r="J10" s="339"/>
      <c r="K10" s="341"/>
      <c r="L10" s="312"/>
      <c r="M10" s="322"/>
      <c r="N10" s="312"/>
      <c r="O1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 s="582" t="str" cm="1">
        <f t="array" ref="R10">IFERROR(IF(DeemedDashboard[[#This Row],[Msr device type]]=const_device_nonrefrig,0,INDEX(_xlfn.SWITCH($E$4,const_20_yr,GWP_Values_20_year_AR4,const_100_yr,GWP_Values_100_year_AR4),MATCH(DeemedDashboard[[#This Row],[Msr refrigerant Type]],RefrigDropdownList,0))),"")</f>
        <v/>
      </c>
      <c r="S10" s="582" t="str" cm="1">
        <f t="array" ref="S10">IFERROR(IF(DeemedDashboard[[#This Row],[Std device type]]=const_device_nonrefrig,0,INDEX(_xlfn.SWITCH($E$4,const_20_yr,GWP_Values_20_year_AR4,const_100_yr,GWP_Values_100_year_AR4),MATCH(DeemedDashboard[[#This Row],[Std refrigerant Type]],RefrigDropdownList,0))),"")</f>
        <v/>
      </c>
      <c r="T10" s="582" t="str" cm="1">
        <f t="array" ref="T10">IFERROR(IF(DeemedDashboard[[#This Row],[Pre/Ext device type]]=const_device_nonrefrig,0,INDEX(_xlfn.SWITCH($E$4,const_20_yr,GWP_Values_20_year_AR4,const_100_yr,GWP_Values_100_year_AR4),MATCH(DeemedDashboard[[#This Row],[Pre/Ext refrigerant Type]],RefrigDropdownList,0))),"")</f>
        <v/>
      </c>
      <c r="U10" s="314"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 s="314"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 s="314"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 s="314"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 s="314"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 s="314"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 s="315" t="str">
        <f>IFERROR(IF(DeemedDashboard[[#This Row],[Msr device type]]=const_userspec,IF(ISBLANK(User_Specified_Refrigerant[[#This Row],[Msr t_EOL]]),"",User_Specified_Refrigerant[[#This Row],[Msr t_EOL]]),INDEX(TechGroup_NormUnit_Table[t_EOL],MATCH(DeemedDashboard[[#This Row],[Msr device type]],DropdownRefrigTech,0))),"")</f>
        <v/>
      </c>
      <c r="AB10" s="315" t="str">
        <f>IFERROR(IF(DeemedDashboard[[#This Row],[Std device type]]=const_userspec,IF(ISBLANK(User_Specified_Refrigerant[[#This Row],[Std t_EOL]]),"",User_Specified_Refrigerant[[#This Row],[Std t_EOL]]),INDEX(TechGroup_NormUnit_Table[t_EOL],MATCH(DeemedDashboard[[#This Row],[Std device type]],DropdownRefrigTech,0))),"")</f>
        <v/>
      </c>
      <c r="AC10" s="315" t="str">
        <f>IFERROR(IF(DeemedDashboard[[#This Row],[Pre/Ext device type]]=const_userspec,IF(ISBLANK(User_Specified_Refrigerant[[#This Row],[Pre t_EOL]]),"",User_Specified_Refrigerant[[#This Row],[Pre t_EOL]]),INDEX(TechGroup_NormUnit_Table[t_EOL],MATCH(DeemedDashboard[[#This Row],[Pre/Ext device type]],DropdownRefrigTech,0))),"")</f>
        <v/>
      </c>
      <c r="AD10" s="396" t="str">
        <f>IF(ISBLANK(DeemedDashboard[[#This Row],[MeasAppType]]),"",$E$2)</f>
        <v/>
      </c>
      <c r="AE10" s="396" t="str">
        <f>IFERROR(IF(ISBLANK(DeemedDashboard[[#This Row],[MeasAppType]]),NA(),DeemedDashboard[[#This Row],[Measure Start Year]]+DeemedDashboard[[#This Row],[Msr EUL rounded]]-1),"")</f>
        <v/>
      </c>
      <c r="AF10" s="313" t="str">
        <f>IF(ISBLANK(DeemedDashboard[[#This Row],[Measure New Device EUL]]),"",ROUND(DeemedDashboard[[#This Row],[Measure New Device EUL]],0))</f>
        <v/>
      </c>
      <c r="AG10" s="313" t="str">
        <f>IF(ISBLANK(DeemedDashboard[[#This Row],[Counterfactual New Device EUL]]),"",ROUND(DeemedDashboard[[#This Row],[Counterfactual New Device EUL]],0))</f>
        <v/>
      </c>
      <c r="AH10" s="313" t="str">
        <f>IF(ISBLANK(DeemedDashboard[[#This Row],[Existing Device EUL]]),"",ROUND(DeemedDashboard[[#This Row],[Existing Device EUL]],0))</f>
        <v/>
      </c>
      <c r="AI10" s="313" t="str">
        <f>IF(ISBLANK(DeemedDashboard[[#This Row],[Existing Device RUL or AR First Baseline Life]]),"",ROUND(DeemedDashboard[[#This Row],[Existing Device RUL or AR First Baseline Life]],0))</f>
        <v/>
      </c>
      <c r="AJ10" s="316" t="str">
        <f>DeemedDashboard[[#This Row],[Measure Start Year]]</f>
        <v/>
      </c>
      <c r="AK10" s="316" t="str">
        <f>IF(DeemedDashboard[[#This Row],[MeasAppType]]&lt;&gt;const_AR,DeemedDashboard[[#This Row],[Measure Start Year]],DeemedDashboard[[#This Row],[Ext Device Retire-ment Year]]+1)</f>
        <v/>
      </c>
      <c r="AL10" s="316" t="str">
        <f>IFERROR(IF(DeemedDashboard[[#This Row],[MeasAppType]]=const_AR,DeemedDashboard[[#This Row],[Measure Start Year]]-(DeemedDashboard[[#This Row],[Existing Device EUL]]-DeemedDashboard[[#This Row],[Existing Device RUL or AR First Baseline Life]]),NA()),"")</f>
        <v/>
      </c>
      <c r="AM10" s="316" t="str">
        <f>DeemedDashboard[[#This Row],[Pre Device Install Year]]</f>
        <v/>
      </c>
      <c r="AN10" s="316" t="str">
        <f>IFERROR(IF(ISBLANK(DeemedDashboard[[#This Row],[MeasAppType]]),NA(),DeemedDashboard[[#This Row],[Measure Start Year]]+DeemedDashboard[[#This Row],[Msr EUL rounded]]-1),"")</f>
        <v/>
      </c>
      <c r="AO10" s="316" t="str">
        <f>IFERROR(DeemedDashboard[[#This Row],[Std Device Install Year]]+DeemedDashboard[[#This Row],[Counterfactual New Device EUL]]-1,"")</f>
        <v/>
      </c>
      <c r="AP10" s="316" t="str">
        <f>IFERROR(IF(AND(DeemedDashboard[[#This Row],[MeasAppType]]=const_AR,DeemedDashboard[[#This Row],[Measure Start Year]]&lt;(DeemedDashboard[[#This Row],[Pre Device Install Year]]+DeemedDashboard[[#This Row],[Existing Device EUL]]-1)),DeemedDashboard[[#This Row],[Measure Start Year]]-1,NA()),"")</f>
        <v/>
      </c>
      <c r="AQ10" s="316" t="str">
        <f>IFERROR(IF(DeemedDashboard[[#This Row],[MeasAppType]]=const_AR,DeemedDashboard[[#This Row],[Ext Device Install Year]]+DeemedDashboard[[#This Row],[Existing Device EUL]]-1,NA()),"")</f>
        <v/>
      </c>
      <c r="AR10" s="316" t="str">
        <f>IFERROR(IF(ISBLANK(DeemedDashboard[[#This Row],[MeasAppType]]),NA(),0),"")</f>
        <v/>
      </c>
      <c r="AS10" s="316" t="str">
        <f>IFERROR(IF(ISBLANK(DeemedDashboard[[#This Row],[MeasAppType]]),NA(),0),"")</f>
        <v/>
      </c>
      <c r="AT10" s="316" t="str">
        <f>IF(ISBLANK(DeemedDashboard[[#This Row],[MeasAppType]]),"",IF(DeemedDashboard[[#This Row],[MeasAppType]]&lt;&gt;const_AR,"",(DeemedDashboard[[#This Row],[Pre Device Install Year]]+DeemedDashboard[[#This Row],[Existing Device EUL]]-1)-DeemedDashboard[[#This Row],[Pre Device Retire-ment Year]]))</f>
        <v/>
      </c>
      <c r="AU10" s="316" t="str">
        <f>IF(ISBLANK(DeemedDashboard[[#This Row],[MeasAppType]]),"",IF(DeemedDashboard[[#This Row],[MeasAppType]]=const_AR,0,""))</f>
        <v/>
      </c>
      <c r="AV10" s="317" t="str">
        <f>IF(ISBLANK(DeemedDashboard[[#This Row],[MeasAppType]]),"",MAX((1+MIN(DeemedDashboard[[#This Row],[Msr Device Retire-ment Year]],DeemedDashboard[[#This Row],[Measure End 
Year]])-MAX(DeemedDashboard[[#This Row],[Msr Device Install Year]],DeemedDashboard[[#This Row],[Measure Start Year]])),0))</f>
        <v/>
      </c>
      <c r="AW10" s="317" t="str">
        <f>IF(ISBLANK(DeemedDashboard[[#This Row],[MeasAppType]]),"",MAX((1+MIN(DeemedDashboard[[#This Row],[Std Device Retire-ment Year]],DeemedDashboard[[#This Row],[Measure End 
Year]])-MAX(DeemedDashboard[[#This Row],[Std Device Install Year]],DeemedDashboard[[#This Row],[Measure Start Year]])),0))</f>
        <v/>
      </c>
      <c r="AX10" s="317"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 s="31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 s="318" t="str">
        <f>IF(ISBLANK(DeemedDashboard[[#This Row],[MeasAppType]]),"",IF(DeemedDashboard[[#This Row],[Msr Device Years Over-lapping with Measure Years]]=0,0,DeemedDashboard[[#This Row],[Msr Device Years Over-lapping with Measure Years]]/DeemedDashboard[[#This Row],[Msr EUL rounded]]))</f>
        <v/>
      </c>
      <c r="BA10" s="318" t="str">
        <f>IF(ISBLANK(DeemedDashboard[[#This Row],[MeasAppType]]),"",IF(DeemedDashboard[[#This Row],[Std Device Years Over-lapping with Measure Years]]=0,0,DeemedDashboard[[#This Row],[Std Device Years Over-lapping with Measure Years]]/DeemedDashboard[[#This Row],[Counterfactual New Device EUL]]))</f>
        <v/>
      </c>
      <c r="BB10" s="318" t="str">
        <f>IF(ISBLANK(DeemedDashboard[[#This Row],[MeasAppType]]),"",IFERROR(IF(DeemedDashboard[[#This Row],[Pre Device Years Over-lapping with Measure Years]]=0,0,DeemedDashboard[[#This Row],[Pre Device Years Over-lapping with Measure Years]]/DeemedDashboard[[#This Row],[Existing Device EUL]]),""))</f>
        <v/>
      </c>
      <c r="BC10" s="318" t="str">
        <f>IFERROR(IF(DeemedDashboard[[#This Row],[Ext Device Years Over-lapping with Measure Years]]=0,0,DeemedDashboard[[#This Row],[Ext Device Years Over-lapping with Measure Years]]/DeemedDashboard[[#This Row],[Existing Device EUL]]),"")</f>
        <v/>
      </c>
      <c r="BD10" s="318" t="str">
        <f>IFERROR(IF(DeemedDashboard[[#This Row],[Msr Number of Years device retired early]]=0,0,DeemedDashboard[[#This Row],[Msr Number of Years device retired early]]/DeemedDashboard[[#This Row],[Msr EUL rounded]]),"")</f>
        <v/>
      </c>
      <c r="BE10" s="318" t="str">
        <f>IFERROR(IF(DeemedDashboard[[#This Row],[Std Number of Years device retired early]]=0,0,DeemedDashboard[[#This Row],[Std Number of Years device retired early]]/DeemedDashboard[[#This Row],[Msr EUL rounded]]),"")</f>
        <v/>
      </c>
      <c r="BF10" s="318" t="str">
        <f>IFERROR(IF(DeemedDashboard[[#This Row],[MeasAppType]]&lt;&gt;const_AR,"",IF(DeemedDashboard[[#This Row],[Pre Number of Years device retired early]]=0,0,DeemedDashboard[[#This Row],[Pre Number of Years device retired early]]/DeemedDashboard[[#This Row],[Existing Device EUL]])),"")</f>
        <v/>
      </c>
      <c r="BG10" s="318" t="str">
        <f>IFERROR(IF(DeemedDashboard[[#This Row],[Ext Number of Years device retired early]]=0,0,DeemedDashboard[[#This Row],[Ext Number of Years device retired early]]/DeemedDashboard[[#This Row],[Existing Device EUL]]),"")</f>
        <v/>
      </c>
      <c r="BH10" s="314" t="str">
        <f>IFERROR(1-DeemedDashboard[[#This Row],[Msr annual refrigerant leakage %]]*DeemedDashboard[[#This Row],[Msr t_EOL]],"")</f>
        <v/>
      </c>
      <c r="BI10" s="314" t="str">
        <f>IFERROR(1-DeemedDashboard[[#This Row],[Std annual refrigerant leakage %]]*DeemedDashboard[[#This Row],[Std t_EOL]],"")</f>
        <v/>
      </c>
      <c r="BJ10" s="314" t="str">
        <f>IFERROR(1-DeemedDashboard[[#This Row],[Pre/Ext annual refrigerant leakage %]]*DeemedDashboard[[#This Row],[Pre/Ext t_EOL]],"")</f>
        <v/>
      </c>
      <c r="BK10" s="314" t="str">
        <f>IFERROR(1-DeemedDashboard[[#This Row],[Pre/Ext annual refrigerant leakage %]]*DeemedDashboard[[#This Row],[Pre/Ext t_EOL]],"")</f>
        <v/>
      </c>
      <c r="BL10" s="314" t="str">
        <f>IFERROR(DeemedDashboard[[#This Row],[Msr charging remaining (%)]]*DeemedDashboard[[#This Row],[Msr gross EOL refrigerant leakage %]],"")</f>
        <v/>
      </c>
      <c r="BM10" s="314" t="str">
        <f>IFERROR(DeemedDashboard[[#This Row],[Std charging remaining (%)]]*DeemedDashboard[[#This Row],[Std gross EOL refrigerant leakage %]],"")</f>
        <v/>
      </c>
      <c r="BN10" s="314" t="str">
        <f>IFERROR(DeemedDashboard[[#This Row],[Pre charging remaining (%)]]*DeemedDashboard[[#This Row],[Pre/Ext gross EOL refrigerant leakage %]],"")</f>
        <v/>
      </c>
      <c r="BO10" s="314" t="str">
        <f>IFERROR(DeemedDashboard[[#This Row],[Ext charging remaining (%)]]*DeemedDashboard[[#This Row],[Pre/Ext gross EOL refrigerant leakage %]],"")</f>
        <v/>
      </c>
      <c r="BP10" s="319" t="str">
        <f>IFERROR((DeemedDashboard[[#This Row],[Msr refrigerant charge (lb) per NormUnit]]/pounds_per_metric_ton)*DeemedDashboard[[#This Row],[Msr annual refrigerant leakage %]]*DeemedDashboard[[#This Row],[Msr GWP]],"")</f>
        <v/>
      </c>
      <c r="BQ10" s="319" t="str">
        <f>IFERROR((DeemedDashboard[[#This Row],[Std refrigerant charge (lb) per NormUnit]]/pounds_per_metric_ton)*DeemedDashboard[[#This Row],[Std annual refrigerant leakage %]]*DeemedDashboard[[#This Row],[Std GWP]],"")</f>
        <v/>
      </c>
      <c r="BR10" s="319" t="str">
        <f>IF(DeemedDashboard[[#This Row],[MeasAppType]]=const_AR,(DeemedDashboard[[#This Row],[Pre/Ext refrigerant charge (lb) per NormUnit]]/pounds_per_metric_ton)*DeemedDashboard[[#This Row],[Pre/Ext annual refrigerant leakage %]]*DeemedDashboard[[#This Row],[Pre/Ext GWP]],"")</f>
        <v/>
      </c>
      <c r="BS10" s="319" t="str">
        <f>IF(DeemedDashboard[[#This Row],[MeasAppType]]=const_AR,(DeemedDashboard[[#This Row],[Pre/Ext refrigerant charge (lb) per NormUnit]]/pounds_per_metric_ton)*DeemedDashboard[[#This Row],[Pre/Ext annual refrigerant leakage %]]*DeemedDashboard[[#This Row],[Pre/Ext GWP]],"")</f>
        <v/>
      </c>
      <c r="BT10" s="319" t="str">
        <f>IFERROR((DeemedDashboard[[#This Row],[Msr refrigerant charge (lb) per NormUnit]]/pounds_per_metric_ton)*DeemedDashboard[[#This Row],[Msr net EOL refrigerant leakage (%)]]*DeemedDashboard[[#This Row],[Msr GWP]],"")</f>
        <v/>
      </c>
      <c r="BU10" s="319" t="str">
        <f>IFERROR((DeemedDashboard[[#This Row],[Std refrigerant charge (lb) per NormUnit]]/pounds_per_metric_ton)*DeemedDashboard[[#This Row],[Std net EOL refrigerant leakage (%)]]*DeemedDashboard[[#This Row],[Std GWP]],"")</f>
        <v/>
      </c>
      <c r="BV10" s="319" t="str">
        <f>IFERROR((DeemedDashboard[[#This Row],[Pre/Ext refrigerant charge (lb) per NormUnit]]/pounds_per_metric_ton)*DeemedDashboard[[#This Row],[Pre net EOL refrigerant leakage (%)]]*DeemedDashboard[[#This Row],[Pre/Ext GWP]],"")</f>
        <v/>
      </c>
      <c r="BW10" s="319" t="str">
        <f>IFERROR((DeemedDashboard[[#This Row],[Pre/Ext refrigerant charge (lb) per NormUnit]]/pounds_per_metric_ton)*DeemedDashboard[[#This Row],[Ext net EOL refrigerant leakage (%)]]*DeemedDashboard[[#This Row],[Pre/Ext GWP]],"")</f>
        <v/>
      </c>
      <c r="BX10" s="294" t="str" cm="1">
        <f t="array" aca="1" ref="BX1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 s="303" t="str" cm="1">
        <f t="array" aca="1" ref="BY1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 s="294" t="str">
        <f>IFERROR(IF(OR(DeemedDashboard[[#This Row],[MeasAppType]]&lt;&gt;const_AR,ISBLANK(DeemedDashboard[[#This Row],[MeasAppType]])),NA(),0),"")</f>
        <v/>
      </c>
      <c r="CA10" s="303" t="str" cm="1">
        <f t="array" aca="1" ref="CA1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 s="294" t="str">
        <f ca="1">IFERROR((DeemedDashboard[[#This Row],[Msr EOL leakage tons CO2e]]*OFFSET(GHG_Adder_dollar_per_tonne,0,(DeemedDashboard[[#This Row],[Msr Device Retire-ment Year]]-DY+1),1,1))/(1+WACC)^(DeemedDashboard[[#This Row],[Msr Device Retire-ment Year]]-DeemedDashboard[[#This Row],[Measure Start Year]]+0.5),"")</f>
        <v/>
      </c>
      <c r="CC10" s="294" t="str">
        <f ca="1">IFERROR((DeemedDashboard[[#This Row],[Std EOL leakage tons CO2e]]*OFFSET(GHG_Adder_dollar_per_tonne,0,(DeemedDashboard[[#This Row],[Std Device Retire-ment Year]]-DY+1),1,1))/(1+WACC)^(DeemedDashboard[[#This Row],[Std Device Retire-ment Year]]-DeemedDashboard[[#This Row],[Measure Start Year]]+0.5),"")</f>
        <v/>
      </c>
      <c r="CD10" s="294" t="str">
        <f ca="1">IFERROR((DeemedDashboard[[#This Row],[Pre EOL leakage tons CO2e]]*OFFSET(GHG_Adder_dollar_per_tonne,0,(DeemedDashboard[[#This Row],[Measure Start Year]]-DY),1,1))/(1+WACC)^(-0.5),"")</f>
        <v/>
      </c>
      <c r="CE10" s="294"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 s="295" t="str">
        <f ca="1">IFERROR(DeemedDashboard[[#This Row],[Msr NPV Cost of Annual Leakage]]/(1+ACC_Inflation_Rate)^(DeemedDashboard[[#This Row],[Measure Start Year]]-DY),"")</f>
        <v/>
      </c>
      <c r="CG10" s="295" t="str">
        <f ca="1">IFERROR(DeemedDashboard[[#This Row],[Std NPV Cost of Annual Leakage]]/(1+ACC_Inflation_Rate)^(DeemedDashboard[[#This Row],[Measure Start Year]]-DY),"")</f>
        <v/>
      </c>
      <c r="CH10" s="295" t="str">
        <f>IFERROR(IF(ISBLANK(DeemedDashboard[[#This Row],[MeasAppType]]),NA(),IF(DeemedDashboard[[#This Row],[MeasAppType]]=const_AR,DeemedDashboard[[#This Row],[Pre NPV Cost of Annual Leakage]]/(1+ACC_Inflation_Rate)^(DeemedDashboard[[#This Row],[Measure Start Year]]-DY),"")),"")</f>
        <v/>
      </c>
      <c r="CI10" s="295" t="str">
        <f>IFERROR(IF(ISBLANK(DeemedDashboard[[#This Row],[MeasAppType]]),NA(),IF(DeemedDashboard[[#This Row],[MeasAppType]]=const_AR,DeemedDashboard[[#This Row],[Ext NPV Cost of Annual Leakage]]/(1+ACC_Inflation_Rate)^(DeemedDashboard[[#This Row],[Measure Start Year]]-DY),"")),"")</f>
        <v/>
      </c>
      <c r="CJ10" s="295" t="str">
        <f ca="1">IFERROR((DeemedDashboard[[#This Row],[Msr % of device lifetime during measure years]]+DeemedDashboard[[#This Row],[Msr % of device lifetime retired early]])*DeemedDashboard[[#This Row],[Msr NPV Cost of EOL Leakage]]/(1+ACC_Inflation_Rate)^(DeemedDashboard[[#This Row],[Measure Start Year]]-DY),"")</f>
        <v/>
      </c>
      <c r="CK10" s="295" t="str">
        <f ca="1">IFERROR((DeemedDashboard[[#This Row],[Std % of device lifetime during measure years]]+DeemedDashboard[[#This Row],[Std % of device lifetime retired early]])*DeemedDashboard[[#This Row],[Std NPV Cost of EOL Leakage]]/(1+ACC_Inflation_Rate)^(DeemedDashboard[[#This Row],[Measure Start Year]]-DY),"")</f>
        <v/>
      </c>
      <c r="CL10" s="295"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 s="295"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 s="351"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 s="351"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 s="351" t="str">
        <f ca="1">IFERROR(DeemedDashboard[[#This Row],[Counter-factual total 
NPV cost]]-DeemedDashboard[[#This Row],[Measure total 
NPV cost]],"")</f>
        <v/>
      </c>
      <c r="CQ10" s="350" t="str">
        <f>IF(ISBLANK(DeemedDashboard[[#This Row],[MeasAppType]]),"",DeemedDashboard[[#This Row],[Refrigerant
NPV costs
avoided]]&gt;0)</f>
        <v/>
      </c>
      <c r="CR10" s="294" t="str">
        <f ca="1">IFERROR(DeemedDashboard[[#This Row],[Msr Adj NPV Cost of Annual Leakage]]+DeemedDashboard[[#This Row],[Msr Adj NPV Cost of EOL Leakage]],"")</f>
        <v/>
      </c>
      <c r="CS10" s="294" t="str">
        <f ca="1">IFERROR(DeemedDashboard[[#This Row],[Std Adj NPV Cost of Annual Leakage]]+DeemedDashboard[[#This Row],[Std Adj NPV Cost of EOL Leakage]],"")</f>
        <v/>
      </c>
      <c r="CT10" s="294" t="str">
        <f>IFERROR(IF((DeemedDashboard[[#This Row],[Pre Adj NPV Cost of Annual Leakage]]+DeemedDashboard[[#This Row],[Pre Adj NPV Cost of EOL Leakage]])=0,"",DeemedDashboard[[#This Row],[Pre Adj NPV Cost of Annual Leakage]]+DeemedDashboard[[#This Row],[Pre Adj NPV Cost of EOL Leakage]]),"")</f>
        <v/>
      </c>
      <c r="CU10" s="294" t="str">
        <f>IFERROR(IF((DeemedDashboard[[#This Row],[Ext Adj NPV Cost of Annual Leakage]]+DeemedDashboard[[#This Row],[Ext Adj NPV Cost of EOL Leakage]])=0,"",DeemedDashboard[[#This Row],[Ext Adj NPV Cost of Annual Leakage]]+DeemedDashboard[[#This Row],[Ext Adj NPV Cost of EOL Leakage]]),"")</f>
        <v/>
      </c>
      <c r="CV10" s="303" t="str">
        <f>IFERROR(IF(DeemedDashboard[[#This Row],[Is Avoided Net Cost &gt;0?]],"",-DeemedDashboard[[#This Row],[Refrigerant
NPV costs
avoided]]),"")</f>
        <v/>
      </c>
      <c r="CW10" s="303" t="str">
        <f>IFERROR(IF(DeemedDashboard[[#This Row],[Is Avoided Net Cost &gt;0?]],DeemedDashboard[[#This Row],[Refrigerant
NPV costs
avoided]],""),"")</f>
        <v/>
      </c>
      <c r="CX10" s="390">
        <f ca="1">IFERROR(MATCH(DeemedDashboard[[#This Row],[TechGroup and NormUnit]],TechGroup_and_NormUnit,0),1)</f>
        <v>1</v>
      </c>
      <c r="CY10" s="390" cm="1">
        <f t="array" aca="1" ref="CY10" ca="1">IFERROR(INDEX(TGRows,DeemedDashboard[[#This Row],[TGIndex]]),"")</f>
        <v>2</v>
      </c>
      <c r="CZ10" s="391">
        <f ca="1">IF(DeemedDashboard[[#This Row],[MeasAppType]]=const_AR,DeemedDashboard[[#This Row],[TGRows]],DeemedDashboard[[#This Row],[TGRows]]+1)</f>
        <v>3</v>
      </c>
      <c r="DA10" s="397" t="str">
        <f>IF(ISBLANK(DeemedDashboard[[#This Row],[MeasAppType]]),"",IF(DeemedDashboard[[#This Row],[Index]]=User_Specified_Refrigerant[[#This Row],[Index]],"OK","ERROR"))</f>
        <v/>
      </c>
    </row>
    <row r="11" spans="1:106" s="320" customFormat="1" x14ac:dyDescent="0.25">
      <c r="A11" s="297">
        <f>ROW(DeemedDashboard[[#This Row],[Index]])-ROW(DeemedDashboard[[#Headers],[Index]])</f>
        <v>2</v>
      </c>
      <c r="B11" s="298"/>
      <c r="C11" s="321"/>
      <c r="D11" s="403"/>
      <c r="E11" s="403"/>
      <c r="F11" s="403"/>
      <c r="G11" s="403"/>
      <c r="H11" s="365"/>
      <c r="I11" s="339"/>
      <c r="J11" s="339"/>
      <c r="K11" s="339"/>
      <c r="L11" s="322"/>
      <c r="M11" s="322"/>
      <c r="N11" s="322"/>
      <c r="O1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1" s="582" t="str" cm="1">
        <f t="array" ref="R11">IFERROR(IF(DeemedDashboard[[#This Row],[Msr device type]]=const_device_nonrefrig,0,INDEX(_xlfn.SWITCH($E$4,const_20_yr,GWP_Values_20_year_AR4,const_100_yr,GWP_Values_100_year_AR4),MATCH(DeemedDashboard[[#This Row],[Msr refrigerant Type]],RefrigDropdownList,0))),"")</f>
        <v/>
      </c>
      <c r="S11" s="582" t="str" cm="1">
        <f t="array" ref="S11">IFERROR(IF(DeemedDashboard[[#This Row],[Std device type]]=const_device_nonrefrig,0,INDEX(_xlfn.SWITCH($E$4,const_20_yr,GWP_Values_20_year_AR4,const_100_yr,GWP_Values_100_year_AR4),MATCH(DeemedDashboard[[#This Row],[Std refrigerant Type]],RefrigDropdownList,0))),"")</f>
        <v/>
      </c>
      <c r="T11" s="582" t="str" cm="1">
        <f t="array" ref="T11">IFERROR(IF(DeemedDashboard[[#This Row],[Pre/Ext device type]]=const_device_nonrefrig,0,INDEX(_xlfn.SWITCH($E$4,const_20_yr,GWP_Values_20_year_AR4,const_100_yr,GWP_Values_100_year_AR4),MATCH(DeemedDashboard[[#This Row],[Pre/Ext refrigerant Type]],RefrigDropdownList,0))),"")</f>
        <v/>
      </c>
      <c r="U1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1" s="326" t="str">
        <f>IFERROR(IF(DeemedDashboard[[#This Row],[Msr device type]]=const_userspec,IF(ISBLANK(User_Specified_Refrigerant[[#This Row],[Msr t_EOL]]),"",User_Specified_Refrigerant[[#This Row],[Msr t_EOL]]),INDEX(TechGroup_NormUnit_Table[t_EOL],MATCH(DeemedDashboard[[#This Row],[Msr device type]],DropdownRefrigTech,0))),"")</f>
        <v/>
      </c>
      <c r="AB11" s="326" t="str">
        <f>IFERROR(IF(DeemedDashboard[[#This Row],[Std device type]]=const_userspec,IF(ISBLANK(User_Specified_Refrigerant[[#This Row],[Std t_EOL]]),"",User_Specified_Refrigerant[[#This Row],[Std t_EOL]]),INDEX(TechGroup_NormUnit_Table[t_EOL],MATCH(DeemedDashboard[[#This Row],[Std device type]],DropdownRefrigTech,0))),"")</f>
        <v/>
      </c>
      <c r="AC1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1" s="395" t="str">
        <f>IF(ISBLANK(DeemedDashboard[[#This Row],[MeasAppType]]),"",$E$2)</f>
        <v/>
      </c>
      <c r="AE11" s="395" t="str">
        <f>IFERROR(IF(ISBLANK(DeemedDashboard[[#This Row],[MeasAppType]]),NA(),DeemedDashboard[[#This Row],[Measure Start Year]]+DeemedDashboard[[#This Row],[Msr EUL rounded]]-1),"")</f>
        <v/>
      </c>
      <c r="AF11" s="323" t="str">
        <f>IF(ISBLANK(DeemedDashboard[[#This Row],[Measure New Device EUL]]),"",ROUND(DeemedDashboard[[#This Row],[Measure New Device EUL]],0))</f>
        <v/>
      </c>
      <c r="AG11" s="323" t="str">
        <f>IF(ISBLANK(DeemedDashboard[[#This Row],[Counterfactual New Device EUL]]),"",ROUND(DeemedDashboard[[#This Row],[Counterfactual New Device EUL]],0))</f>
        <v/>
      </c>
      <c r="AH11" s="323" t="str">
        <f>IF(ISBLANK(DeemedDashboard[[#This Row],[Existing Device EUL]]),"",ROUND(DeemedDashboard[[#This Row],[Existing Device EUL]],0))</f>
        <v/>
      </c>
      <c r="AI11" s="323" t="str">
        <f>IF(ISBLANK(DeemedDashboard[[#This Row],[Existing Device RUL or AR First Baseline Life]]),"",ROUND(DeemedDashboard[[#This Row],[Existing Device RUL or AR First Baseline Life]],0))</f>
        <v/>
      </c>
      <c r="AJ11" s="327" t="str">
        <f>DeemedDashboard[[#This Row],[Measure Start Year]]</f>
        <v/>
      </c>
      <c r="AK11" s="327" t="str">
        <f>IF(DeemedDashboard[[#This Row],[MeasAppType]]&lt;&gt;const_AR,DeemedDashboard[[#This Row],[Measure Start Year]],DeemedDashboard[[#This Row],[Ext Device Retire-ment Year]]+1)</f>
        <v/>
      </c>
      <c r="AL11" s="327" t="str">
        <f>IFERROR(IF(DeemedDashboard[[#This Row],[MeasAppType]]=const_AR,DeemedDashboard[[#This Row],[Measure Start Year]]-(DeemedDashboard[[#This Row],[Existing Device EUL]]-DeemedDashboard[[#This Row],[Existing Device RUL or AR First Baseline Life]]),NA()),"")</f>
        <v/>
      </c>
      <c r="AM11" s="327" t="str">
        <f>DeemedDashboard[[#This Row],[Pre Device Install Year]]</f>
        <v/>
      </c>
      <c r="AN11" s="327" t="str">
        <f>IFERROR(IF(ISBLANK(DeemedDashboard[[#This Row],[MeasAppType]]),NA(),DeemedDashboard[[#This Row],[Measure Start Year]]+DeemedDashboard[[#This Row],[Msr EUL rounded]]-1),"")</f>
        <v/>
      </c>
      <c r="AO11" s="327" t="str">
        <f>IFERROR(DeemedDashboard[[#This Row],[Std Device Install Year]]+DeemedDashboard[[#This Row],[Counterfactual New Device EUL]]-1,"")</f>
        <v/>
      </c>
      <c r="AP11" s="327" t="str">
        <f>IFERROR(IF(AND(DeemedDashboard[[#This Row],[MeasAppType]]=const_AR,DeemedDashboard[[#This Row],[Measure Start Year]]&lt;(DeemedDashboard[[#This Row],[Pre Device Install Year]]+DeemedDashboard[[#This Row],[Existing Device EUL]]-1)),DeemedDashboard[[#This Row],[Measure Start Year]]-1,NA()),"")</f>
        <v/>
      </c>
      <c r="AQ11" s="327" t="str">
        <f>IFERROR(IF(DeemedDashboard[[#This Row],[MeasAppType]]=const_AR,DeemedDashboard[[#This Row],[Ext Device Install Year]]+DeemedDashboard[[#This Row],[Existing Device EUL]]-1,NA()),"")</f>
        <v/>
      </c>
      <c r="AR11" s="327" t="str">
        <f>IFERROR(IF(ISBLANK(DeemedDashboard[[#This Row],[MeasAppType]]),NA(),0),"")</f>
        <v/>
      </c>
      <c r="AS11" s="327" t="str">
        <f>IFERROR(IF(ISBLANK(DeemedDashboard[[#This Row],[MeasAppType]]),NA(),0),"")</f>
        <v/>
      </c>
      <c r="AT11" s="327" t="str">
        <f>IF(ISBLANK(DeemedDashboard[[#This Row],[MeasAppType]]),"",IF(DeemedDashboard[[#This Row],[MeasAppType]]&lt;&gt;const_AR,"",(DeemedDashboard[[#This Row],[Pre Device Install Year]]+DeemedDashboard[[#This Row],[Existing Device EUL]]-1)-DeemedDashboard[[#This Row],[Pre Device Retire-ment Year]]))</f>
        <v/>
      </c>
      <c r="AU11" s="327" t="str">
        <f>IF(ISBLANK(DeemedDashboard[[#This Row],[MeasAppType]]),"",IF(DeemedDashboard[[#This Row],[MeasAppType]]=const_AR,0,""))</f>
        <v/>
      </c>
      <c r="AV11" s="328" t="str">
        <f>IF(ISBLANK(DeemedDashboard[[#This Row],[MeasAppType]]),"",MAX((1+MIN(DeemedDashboard[[#This Row],[Msr Device Retire-ment Year]],DeemedDashboard[[#This Row],[Measure End 
Year]])-MAX(DeemedDashboard[[#This Row],[Msr Device Install Year]],DeemedDashboard[[#This Row],[Measure Start Year]])),0))</f>
        <v/>
      </c>
      <c r="AW11" s="328" t="str">
        <f>IF(ISBLANK(DeemedDashboard[[#This Row],[MeasAppType]]),"",MAX((1+MIN(DeemedDashboard[[#This Row],[Std Device Retire-ment Year]],DeemedDashboard[[#This Row],[Measure End 
Year]])-MAX(DeemedDashboard[[#This Row],[Std Device Install Year]],DeemedDashboard[[#This Row],[Measure Start Year]])),0))</f>
        <v/>
      </c>
      <c r="AX1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1" s="329" t="str">
        <f>IF(ISBLANK(DeemedDashboard[[#This Row],[MeasAppType]]),"",IF(DeemedDashboard[[#This Row],[Msr Device Years Over-lapping with Measure Years]]=0,0,DeemedDashboard[[#This Row],[Msr Device Years Over-lapping with Measure Years]]/DeemedDashboard[[#This Row],[Msr EUL rounded]]))</f>
        <v/>
      </c>
      <c r="BA11" s="329" t="str">
        <f>IF(ISBLANK(DeemedDashboard[[#This Row],[MeasAppType]]),"",IF(DeemedDashboard[[#This Row],[Std Device Years Over-lapping with Measure Years]]=0,0,DeemedDashboard[[#This Row],[Std Device Years Over-lapping with Measure Years]]/DeemedDashboard[[#This Row],[Counterfactual New Device EUL]]))</f>
        <v/>
      </c>
      <c r="BB11" s="329" t="str">
        <f>IF(ISBLANK(DeemedDashboard[[#This Row],[MeasAppType]]),"",IFERROR(IF(DeemedDashboard[[#This Row],[Pre Device Years Over-lapping with Measure Years]]=0,0,DeemedDashboard[[#This Row],[Pre Device Years Over-lapping with Measure Years]]/DeemedDashboard[[#This Row],[Existing Device EUL]]),""))</f>
        <v/>
      </c>
      <c r="BC11" s="329" t="str">
        <f>IFERROR(IF(DeemedDashboard[[#This Row],[Ext Device Years Over-lapping with Measure Years]]=0,0,DeemedDashboard[[#This Row],[Ext Device Years Over-lapping with Measure Years]]/DeemedDashboard[[#This Row],[Existing Device EUL]]),"")</f>
        <v/>
      </c>
      <c r="BD11" s="329" t="str">
        <f>IFERROR(IF(DeemedDashboard[[#This Row],[Msr Number of Years device retired early]]=0,0,DeemedDashboard[[#This Row],[Msr Number of Years device retired early]]/DeemedDashboard[[#This Row],[Msr EUL rounded]]),"")</f>
        <v/>
      </c>
      <c r="BE11" s="329" t="str">
        <f>IFERROR(IF(DeemedDashboard[[#This Row],[Std Number of Years device retired early]]=0,0,DeemedDashboard[[#This Row],[Std Number of Years device retired early]]/DeemedDashboard[[#This Row],[Msr EUL rounded]]),"")</f>
        <v/>
      </c>
      <c r="BF11" s="329" t="str">
        <f>IFERROR(IF(DeemedDashboard[[#This Row],[MeasAppType]]&lt;&gt;const_AR,"",IF(DeemedDashboard[[#This Row],[Pre Number of Years device retired early]]=0,0,DeemedDashboard[[#This Row],[Pre Number of Years device retired early]]/DeemedDashboard[[#This Row],[Existing Device EUL]])),"")</f>
        <v/>
      </c>
      <c r="BG11" s="329" t="str">
        <f>IFERROR(IF(DeemedDashboard[[#This Row],[Ext Number of Years device retired early]]=0,0,DeemedDashboard[[#This Row],[Ext Number of Years device retired early]]/DeemedDashboard[[#This Row],[Existing Device EUL]]),"")</f>
        <v/>
      </c>
      <c r="BH11" s="325" t="str">
        <f>IFERROR(1-DeemedDashboard[[#This Row],[Msr annual refrigerant leakage %]]*DeemedDashboard[[#This Row],[Msr t_EOL]],"")</f>
        <v/>
      </c>
      <c r="BI11" s="325" t="str">
        <f>IFERROR(1-DeemedDashboard[[#This Row],[Std annual refrigerant leakage %]]*DeemedDashboard[[#This Row],[Std t_EOL]],"")</f>
        <v/>
      </c>
      <c r="BJ11" s="325" t="str">
        <f>IFERROR(1-DeemedDashboard[[#This Row],[Pre/Ext annual refrigerant leakage %]]*DeemedDashboard[[#This Row],[Pre/Ext t_EOL]],"")</f>
        <v/>
      </c>
      <c r="BK11" s="325" t="str">
        <f>IFERROR(1-DeemedDashboard[[#This Row],[Pre/Ext annual refrigerant leakage %]]*DeemedDashboard[[#This Row],[Pre/Ext t_EOL]],"")</f>
        <v/>
      </c>
      <c r="BL11" s="325" t="str">
        <f>IFERROR(DeemedDashboard[[#This Row],[Msr charging remaining (%)]]*DeemedDashboard[[#This Row],[Msr gross EOL refrigerant leakage %]],"")</f>
        <v/>
      </c>
      <c r="BM11" s="325" t="str">
        <f>IFERROR(DeemedDashboard[[#This Row],[Std charging remaining (%)]]*DeemedDashboard[[#This Row],[Std gross EOL refrigerant leakage %]],"")</f>
        <v/>
      </c>
      <c r="BN11" s="325" t="str">
        <f>IFERROR(DeemedDashboard[[#This Row],[Pre charging remaining (%)]]*DeemedDashboard[[#This Row],[Pre/Ext gross EOL refrigerant leakage %]],"")</f>
        <v/>
      </c>
      <c r="BO11" s="325" t="str">
        <f>IFERROR(DeemedDashboard[[#This Row],[Ext charging remaining (%)]]*DeemedDashboard[[#This Row],[Pre/Ext gross EOL refrigerant leakage %]],"")</f>
        <v/>
      </c>
      <c r="BP11" s="330" t="str">
        <f>IFERROR((DeemedDashboard[[#This Row],[Msr refrigerant charge (lb) per NormUnit]]/pounds_per_metric_ton)*DeemedDashboard[[#This Row],[Msr annual refrigerant leakage %]]*DeemedDashboard[[#This Row],[Msr GWP]],"")</f>
        <v/>
      </c>
      <c r="BQ11" s="330" t="str">
        <f>IFERROR((DeemedDashboard[[#This Row],[Std refrigerant charge (lb) per NormUnit]]/pounds_per_metric_ton)*DeemedDashboard[[#This Row],[Std annual refrigerant leakage %]]*DeemedDashboard[[#This Row],[Std GWP]],"")</f>
        <v/>
      </c>
      <c r="BR11" s="330" t="str">
        <f>IF(DeemedDashboard[[#This Row],[MeasAppType]]=const_AR,(DeemedDashboard[[#This Row],[Pre/Ext refrigerant charge (lb) per NormUnit]]/pounds_per_metric_ton)*DeemedDashboard[[#This Row],[Pre/Ext annual refrigerant leakage %]]*DeemedDashboard[[#This Row],[Pre/Ext GWP]],"")</f>
        <v/>
      </c>
      <c r="BS11" s="330" t="str">
        <f>IF(DeemedDashboard[[#This Row],[MeasAppType]]=const_AR,(DeemedDashboard[[#This Row],[Pre/Ext refrigerant charge (lb) per NormUnit]]/pounds_per_metric_ton)*DeemedDashboard[[#This Row],[Pre/Ext annual refrigerant leakage %]]*DeemedDashboard[[#This Row],[Pre/Ext GWP]],"")</f>
        <v/>
      </c>
      <c r="BT11" s="330" t="str">
        <f>IFERROR((DeemedDashboard[[#This Row],[Msr refrigerant charge (lb) per NormUnit]]/pounds_per_metric_ton)*DeemedDashboard[[#This Row],[Msr net EOL refrigerant leakage (%)]]*DeemedDashboard[[#This Row],[Msr GWP]],"")</f>
        <v/>
      </c>
      <c r="BU11" s="330" t="str">
        <f>IFERROR((DeemedDashboard[[#This Row],[Std refrigerant charge (lb) per NormUnit]]/pounds_per_metric_ton)*DeemedDashboard[[#This Row],[Std net EOL refrigerant leakage (%)]]*DeemedDashboard[[#This Row],[Std GWP]],"")</f>
        <v/>
      </c>
      <c r="BV11" s="330" t="str">
        <f>IFERROR((DeemedDashboard[[#This Row],[Pre/Ext refrigerant charge (lb) per NormUnit]]/pounds_per_metric_ton)*DeemedDashboard[[#This Row],[Pre net EOL refrigerant leakage (%)]]*DeemedDashboard[[#This Row],[Pre/Ext GWP]],"")</f>
        <v/>
      </c>
      <c r="BW11" s="330" t="str">
        <f>IFERROR((DeemedDashboard[[#This Row],[Pre/Ext refrigerant charge (lb) per NormUnit]]/pounds_per_metric_ton)*DeemedDashboard[[#This Row],[Ext net EOL refrigerant leakage (%)]]*DeemedDashboard[[#This Row],[Pre/Ext GWP]],"")</f>
        <v/>
      </c>
      <c r="BX11" s="299" t="str" cm="1">
        <f t="array" aca="1" ref="BX1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1" s="305" t="str" cm="1">
        <f t="array" aca="1" ref="BY1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1" s="299" t="str">
        <f>IFERROR(IF(OR(DeemedDashboard[[#This Row],[MeasAppType]]&lt;&gt;const_AR,ISBLANK(DeemedDashboard[[#This Row],[MeasAppType]])),NA(),0),"")</f>
        <v/>
      </c>
      <c r="CA11" s="305" t="str" cm="1">
        <f t="array" aca="1" ref="CA1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1" s="299" t="str">
        <f ca="1">IFERROR((DeemedDashboard[[#This Row],[Msr EOL leakage tons CO2e]]*OFFSET(GHG_Adder_dollar_per_tonne,0,(DeemedDashboard[[#This Row],[Msr Device Retire-ment Year]]-DY+1),1,1))/(1+WACC)^(DeemedDashboard[[#This Row],[Msr Device Retire-ment Year]]-DeemedDashboard[[#This Row],[Measure Start Year]]+0.5),"")</f>
        <v/>
      </c>
      <c r="CC11" s="299" t="str">
        <f ca="1">IFERROR((DeemedDashboard[[#This Row],[Std EOL leakage tons CO2e]]*OFFSET(GHG_Adder_dollar_per_tonne,0,(DeemedDashboard[[#This Row],[Std Device Retire-ment Year]]-DY+1),1,1))/(1+WACC)^(DeemedDashboard[[#This Row],[Std Device Retire-ment Year]]-DeemedDashboard[[#This Row],[Measure Start Year]]+0.5),"")</f>
        <v/>
      </c>
      <c r="CD11" s="299" t="str">
        <f ca="1">IFERROR((DeemedDashboard[[#This Row],[Pre EOL leakage tons CO2e]]*OFFSET(GHG_Adder_dollar_per_tonne,0,(DeemedDashboard[[#This Row],[Measure Start Year]]-DY),1,1))/(1+WACC)^(-0.5),"")</f>
        <v/>
      </c>
      <c r="CE1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1" s="299" t="str">
        <f ca="1">IFERROR(DeemedDashboard[[#This Row],[Msr NPV Cost of Annual Leakage]]/(1+ACC_Inflation_Rate)^(DeemedDashboard[[#This Row],[Measure Start Year]]-DY),"")</f>
        <v/>
      </c>
      <c r="CG11" s="299" t="str">
        <f ca="1">IFERROR(DeemedDashboard[[#This Row],[Std NPV Cost of Annual Leakage]]/(1+ACC_Inflation_Rate)^(DeemedDashboard[[#This Row],[Measure Start Year]]-DY),"")</f>
        <v/>
      </c>
      <c r="CH11" s="299" t="str">
        <f>IFERROR(IF(ISBLANK(DeemedDashboard[[#This Row],[MeasAppType]]),NA(),IF(DeemedDashboard[[#This Row],[MeasAppType]]=const_AR,DeemedDashboard[[#This Row],[Pre NPV Cost of Annual Leakage]]/(1+ACC_Inflation_Rate)^(DeemedDashboard[[#This Row],[Measure Start Year]]-DY),"")),"")</f>
        <v/>
      </c>
      <c r="CI11" s="296" t="str">
        <f>IFERROR(IF(ISBLANK(DeemedDashboard[[#This Row],[MeasAppType]]),NA(),IF(DeemedDashboard[[#This Row],[MeasAppType]]=const_AR,DeemedDashboard[[#This Row],[Ext NPV Cost of Annual Leakage]]/(1+ACC_Inflation_Rate)^(DeemedDashboard[[#This Row],[Measure Start Year]]-DY),"")),"")</f>
        <v/>
      </c>
      <c r="CJ11" s="296" t="str">
        <f ca="1">IFERROR((DeemedDashboard[[#This Row],[Msr % of device lifetime during measure years]]+DeemedDashboard[[#This Row],[Msr % of device lifetime retired early]])*DeemedDashboard[[#This Row],[Msr NPV Cost of EOL Leakage]]/(1+ACC_Inflation_Rate)^(DeemedDashboard[[#This Row],[Measure Start Year]]-DY),"")</f>
        <v/>
      </c>
      <c r="CK11" s="296" t="str">
        <f ca="1">IFERROR((DeemedDashboard[[#This Row],[Std % of device lifetime during measure years]]+DeemedDashboard[[#This Row],[Std % of device lifetime retired early]])*DeemedDashboard[[#This Row],[Std NPV Cost of EOL Leakage]]/(1+ACC_Inflation_Rate)^(DeemedDashboard[[#This Row],[Measure Start Year]]-DY),"")</f>
        <v/>
      </c>
      <c r="CL1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1" s="351"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1" s="351"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1" s="351" t="str">
        <f ca="1">IFERROR(DeemedDashboard[[#This Row],[Counter-factual total 
NPV cost]]-DeemedDashboard[[#This Row],[Measure total 
NPV cost]],"")</f>
        <v/>
      </c>
      <c r="CQ11" s="350" t="str">
        <f>IF(ISBLANK(DeemedDashboard[[#This Row],[MeasAppType]]),"",DeemedDashboard[[#This Row],[Refrigerant
NPV costs
avoided]]&gt;0)</f>
        <v/>
      </c>
      <c r="CR11" s="299" t="str">
        <f ca="1">IFERROR(DeemedDashboard[[#This Row],[Msr Adj NPV Cost of Annual Leakage]]+DeemedDashboard[[#This Row],[Msr Adj NPV Cost of EOL Leakage]],"")</f>
        <v/>
      </c>
      <c r="CS11" s="299" t="str">
        <f ca="1">IFERROR(DeemedDashboard[[#This Row],[Std Adj NPV Cost of Annual Leakage]]+DeemedDashboard[[#This Row],[Std Adj NPV Cost of EOL Leakage]],"")</f>
        <v/>
      </c>
      <c r="CT11" s="299" t="str">
        <f>IFERROR(IF((DeemedDashboard[[#This Row],[Pre Adj NPV Cost of Annual Leakage]]+DeemedDashboard[[#This Row],[Pre Adj NPV Cost of EOL Leakage]])=0,"",DeemedDashboard[[#This Row],[Pre Adj NPV Cost of Annual Leakage]]+DeemedDashboard[[#This Row],[Pre Adj NPV Cost of EOL Leakage]]),"")</f>
        <v/>
      </c>
      <c r="CU11" s="299" t="str">
        <f>IFERROR(IF((DeemedDashboard[[#This Row],[Ext Adj NPV Cost of Annual Leakage]]+DeemedDashboard[[#This Row],[Ext Adj NPV Cost of EOL Leakage]])=0,"",DeemedDashboard[[#This Row],[Ext Adj NPV Cost of Annual Leakage]]+DeemedDashboard[[#This Row],[Ext Adj NPV Cost of EOL Leakage]]),"")</f>
        <v/>
      </c>
      <c r="CV11" s="305" t="str">
        <f>IFERROR(IF(DeemedDashboard[[#This Row],[Is Avoided Net Cost &gt;0?]],"",-DeemedDashboard[[#This Row],[Refrigerant
NPV costs
avoided]]),"")</f>
        <v/>
      </c>
      <c r="CW11" s="299" t="str">
        <f>IFERROR(IF(DeemedDashboard[[#This Row],[Is Avoided Net Cost &gt;0?]],DeemedDashboard[[#This Row],[Refrigerant
NPV costs
avoided]],""),"")</f>
        <v/>
      </c>
      <c r="CX11" s="391">
        <f ca="1">IFERROR(MATCH(DeemedDashboard[[#This Row],[TechGroup and NormUnit]],TechGroup_and_NormUnit,0),1)</f>
        <v>1</v>
      </c>
      <c r="CY11" s="391" cm="1">
        <f t="array" aca="1" ref="CY11" ca="1">IFERROR(INDEX(TGRows,DeemedDashboard[[#This Row],[TGIndex]]),"")</f>
        <v>2</v>
      </c>
      <c r="CZ11" s="391">
        <f ca="1">IF(DeemedDashboard[[#This Row],[MeasAppType]]=const_AR,DeemedDashboard[[#This Row],[TGRows]],DeemedDashboard[[#This Row],[TGRows]]+1)</f>
        <v>3</v>
      </c>
      <c r="DA11" s="391" t="str">
        <f>IF(ISBLANK(DeemedDashboard[[#This Row],[MeasAppType]]),"",IF(DeemedDashboard[[#This Row],[Index]]=User_Specified_Refrigerant[[#This Row],[Index]],"OK","ERROR"))</f>
        <v/>
      </c>
    </row>
    <row r="12" spans="1:106" s="320" customFormat="1" x14ac:dyDescent="0.25">
      <c r="A12" s="297">
        <f>ROW(DeemedDashboard[[#This Row],[Index]])-ROW(DeemedDashboard[[#Headers],[Index]])</f>
        <v>3</v>
      </c>
      <c r="B12" s="298"/>
      <c r="C12" s="321"/>
      <c r="D12" s="403"/>
      <c r="E12" s="403"/>
      <c r="F12" s="403"/>
      <c r="G12" s="403"/>
      <c r="H12" s="365"/>
      <c r="I12" s="339"/>
      <c r="J12" s="339"/>
      <c r="K12" s="339"/>
      <c r="L12" s="322"/>
      <c r="M12" s="322"/>
      <c r="N12" s="322"/>
      <c r="O1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2" s="582" t="str" cm="1">
        <f t="array" ref="R12">IFERROR(IF(DeemedDashboard[[#This Row],[Msr device type]]=const_device_nonrefrig,0,INDEX(_xlfn.SWITCH($E$4,const_20_yr,GWP_Values_20_year_AR4,const_100_yr,GWP_Values_100_year_AR4),MATCH(DeemedDashboard[[#This Row],[Msr refrigerant Type]],RefrigDropdownList,0))),"")</f>
        <v/>
      </c>
      <c r="S12" s="582" t="str" cm="1">
        <f t="array" ref="S12">IFERROR(IF(DeemedDashboard[[#This Row],[Std device type]]=const_device_nonrefrig,0,INDEX(_xlfn.SWITCH($E$4,const_20_yr,GWP_Values_20_year_AR4,const_100_yr,GWP_Values_100_year_AR4),MATCH(DeemedDashboard[[#This Row],[Std refrigerant Type]],RefrigDropdownList,0))),"")</f>
        <v/>
      </c>
      <c r="T12" s="582" t="str" cm="1">
        <f t="array" ref="T12">IFERROR(IF(DeemedDashboard[[#This Row],[Pre/Ext device type]]=const_device_nonrefrig,0,INDEX(_xlfn.SWITCH($E$4,const_20_yr,GWP_Values_20_year_AR4,const_100_yr,GWP_Values_100_year_AR4),MATCH(DeemedDashboard[[#This Row],[Pre/Ext refrigerant Type]],RefrigDropdownList,0))),"")</f>
        <v/>
      </c>
      <c r="U1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2" s="326" t="str">
        <f>IFERROR(IF(DeemedDashboard[[#This Row],[Msr device type]]=const_userspec,IF(ISBLANK(User_Specified_Refrigerant[[#This Row],[Msr t_EOL]]),"",User_Specified_Refrigerant[[#This Row],[Msr t_EOL]]),INDEX(TechGroup_NormUnit_Table[t_EOL],MATCH(DeemedDashboard[[#This Row],[Msr device type]],DropdownRefrigTech,0))),"")</f>
        <v/>
      </c>
      <c r="AB12" s="326" t="str">
        <f>IFERROR(IF(DeemedDashboard[[#This Row],[Std device type]]=const_userspec,IF(ISBLANK(User_Specified_Refrigerant[[#This Row],[Std t_EOL]]),"",User_Specified_Refrigerant[[#This Row],[Std t_EOL]]),INDEX(TechGroup_NormUnit_Table[t_EOL],MATCH(DeemedDashboard[[#This Row],[Std device type]],DropdownRefrigTech,0))),"")</f>
        <v/>
      </c>
      <c r="AC1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2" s="395" t="str">
        <f>IF(ISBLANK(DeemedDashboard[[#This Row],[MeasAppType]]),"",$E$2)</f>
        <v/>
      </c>
      <c r="AE12" s="395" t="str">
        <f>IFERROR(IF(ISBLANK(DeemedDashboard[[#This Row],[MeasAppType]]),NA(),DeemedDashboard[[#This Row],[Measure Start Year]]+DeemedDashboard[[#This Row],[Msr EUL rounded]]-1),"")</f>
        <v/>
      </c>
      <c r="AF12" s="323" t="str">
        <f>IF(ISBLANK(DeemedDashboard[[#This Row],[Measure New Device EUL]]),"",ROUND(DeemedDashboard[[#This Row],[Measure New Device EUL]],0))</f>
        <v/>
      </c>
      <c r="AG12" s="323" t="str">
        <f>IF(ISBLANK(DeemedDashboard[[#This Row],[Counterfactual New Device EUL]]),"",ROUND(DeemedDashboard[[#This Row],[Counterfactual New Device EUL]],0))</f>
        <v/>
      </c>
      <c r="AH12" s="323" t="str">
        <f>IF(ISBLANK(DeemedDashboard[[#This Row],[Existing Device EUL]]),"",ROUND(DeemedDashboard[[#This Row],[Existing Device EUL]],0))</f>
        <v/>
      </c>
      <c r="AI12" s="323" t="str">
        <f>IF(ISBLANK(DeemedDashboard[[#This Row],[Existing Device RUL or AR First Baseline Life]]),"",ROUND(DeemedDashboard[[#This Row],[Existing Device RUL or AR First Baseline Life]],0))</f>
        <v/>
      </c>
      <c r="AJ12" s="327" t="str">
        <f>DeemedDashboard[[#This Row],[Measure Start Year]]</f>
        <v/>
      </c>
      <c r="AK12" s="327" t="str">
        <f>IF(DeemedDashboard[[#This Row],[MeasAppType]]&lt;&gt;const_AR,DeemedDashboard[[#This Row],[Measure Start Year]],DeemedDashboard[[#This Row],[Ext Device Retire-ment Year]]+1)</f>
        <v/>
      </c>
      <c r="AL12" s="327" t="str">
        <f>IFERROR(IF(DeemedDashboard[[#This Row],[MeasAppType]]=const_AR,DeemedDashboard[[#This Row],[Measure Start Year]]-(DeemedDashboard[[#This Row],[Existing Device EUL]]-DeemedDashboard[[#This Row],[Existing Device RUL or AR First Baseline Life]]),NA()),"")</f>
        <v/>
      </c>
      <c r="AM12" s="327" t="str">
        <f>DeemedDashboard[[#This Row],[Pre Device Install Year]]</f>
        <v/>
      </c>
      <c r="AN12" s="327" t="str">
        <f>IFERROR(IF(ISBLANK(DeemedDashboard[[#This Row],[MeasAppType]]),NA(),DeemedDashboard[[#This Row],[Measure Start Year]]+DeemedDashboard[[#This Row],[Msr EUL rounded]]-1),"")</f>
        <v/>
      </c>
      <c r="AO12" s="327" t="str">
        <f>IFERROR(DeemedDashboard[[#This Row],[Std Device Install Year]]+DeemedDashboard[[#This Row],[Counterfactual New Device EUL]]-1,"")</f>
        <v/>
      </c>
      <c r="AP12" s="327" t="str">
        <f>IFERROR(IF(AND(DeemedDashboard[[#This Row],[MeasAppType]]=const_AR,DeemedDashboard[[#This Row],[Measure Start Year]]&lt;(DeemedDashboard[[#This Row],[Pre Device Install Year]]+DeemedDashboard[[#This Row],[Existing Device EUL]]-1)),DeemedDashboard[[#This Row],[Measure Start Year]]-1,NA()),"")</f>
        <v/>
      </c>
      <c r="AQ12" s="327" t="str">
        <f>IFERROR(IF(DeemedDashboard[[#This Row],[MeasAppType]]=const_AR,DeemedDashboard[[#This Row],[Ext Device Install Year]]+DeemedDashboard[[#This Row],[Existing Device EUL]]-1,NA()),"")</f>
        <v/>
      </c>
      <c r="AR12" s="327" t="str">
        <f>IFERROR(IF(ISBLANK(DeemedDashboard[[#This Row],[MeasAppType]]),NA(),0),"")</f>
        <v/>
      </c>
      <c r="AS12" s="327" t="str">
        <f>IFERROR(IF(ISBLANK(DeemedDashboard[[#This Row],[MeasAppType]]),NA(),0),"")</f>
        <v/>
      </c>
      <c r="AT12" s="327" t="str">
        <f>IF(ISBLANK(DeemedDashboard[[#This Row],[MeasAppType]]),"",IF(DeemedDashboard[[#This Row],[MeasAppType]]&lt;&gt;const_AR,"",(DeemedDashboard[[#This Row],[Pre Device Install Year]]+DeemedDashboard[[#This Row],[Existing Device EUL]]-1)-DeemedDashboard[[#This Row],[Pre Device Retire-ment Year]]))</f>
        <v/>
      </c>
      <c r="AU12" s="327" t="str">
        <f>IF(ISBLANK(DeemedDashboard[[#This Row],[MeasAppType]]),"",IF(DeemedDashboard[[#This Row],[MeasAppType]]=const_AR,0,""))</f>
        <v/>
      </c>
      <c r="AV12" s="328" t="str">
        <f>IF(ISBLANK(DeemedDashboard[[#This Row],[MeasAppType]]),"",MAX((1+MIN(DeemedDashboard[[#This Row],[Msr Device Retire-ment Year]],DeemedDashboard[[#This Row],[Measure End 
Year]])-MAX(DeemedDashboard[[#This Row],[Msr Device Install Year]],DeemedDashboard[[#This Row],[Measure Start Year]])),0))</f>
        <v/>
      </c>
      <c r="AW12" s="328" t="str">
        <f>IF(ISBLANK(DeemedDashboard[[#This Row],[MeasAppType]]),"",MAX((1+MIN(DeemedDashboard[[#This Row],[Std Device Retire-ment Year]],DeemedDashboard[[#This Row],[Measure End 
Year]])-MAX(DeemedDashboard[[#This Row],[Std Device Install Year]],DeemedDashboard[[#This Row],[Measure Start Year]])),0))</f>
        <v/>
      </c>
      <c r="AX1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2" s="329" t="str">
        <f>IF(ISBLANK(DeemedDashboard[[#This Row],[MeasAppType]]),"",IF(DeemedDashboard[[#This Row],[Msr Device Years Over-lapping with Measure Years]]=0,0,DeemedDashboard[[#This Row],[Msr Device Years Over-lapping with Measure Years]]/DeemedDashboard[[#This Row],[Msr EUL rounded]]))</f>
        <v/>
      </c>
      <c r="BA12" s="329" t="str">
        <f>IF(ISBLANK(DeemedDashboard[[#This Row],[MeasAppType]]),"",IF(DeemedDashboard[[#This Row],[Std Device Years Over-lapping with Measure Years]]=0,0,DeemedDashboard[[#This Row],[Std Device Years Over-lapping with Measure Years]]/DeemedDashboard[[#This Row],[Counterfactual New Device EUL]]))</f>
        <v/>
      </c>
      <c r="BB12" s="329" t="str">
        <f>IF(ISBLANK(DeemedDashboard[[#This Row],[MeasAppType]]),"",IFERROR(IF(DeemedDashboard[[#This Row],[Pre Device Years Over-lapping with Measure Years]]=0,0,DeemedDashboard[[#This Row],[Pre Device Years Over-lapping with Measure Years]]/DeemedDashboard[[#This Row],[Existing Device EUL]]),""))</f>
        <v/>
      </c>
      <c r="BC12" s="329" t="str">
        <f>IFERROR(IF(DeemedDashboard[[#This Row],[Ext Device Years Over-lapping with Measure Years]]=0,0,DeemedDashboard[[#This Row],[Ext Device Years Over-lapping with Measure Years]]/DeemedDashboard[[#This Row],[Existing Device EUL]]),"")</f>
        <v/>
      </c>
      <c r="BD12" s="329" t="str">
        <f>IFERROR(IF(DeemedDashboard[[#This Row],[Msr Number of Years device retired early]]=0,0,DeemedDashboard[[#This Row],[Msr Number of Years device retired early]]/DeemedDashboard[[#This Row],[Msr EUL rounded]]),"")</f>
        <v/>
      </c>
      <c r="BE12" s="329" t="str">
        <f>IFERROR(IF(DeemedDashboard[[#This Row],[Std Number of Years device retired early]]=0,0,DeemedDashboard[[#This Row],[Std Number of Years device retired early]]/DeemedDashboard[[#This Row],[Msr EUL rounded]]),"")</f>
        <v/>
      </c>
      <c r="BF12" s="329" t="str">
        <f>IFERROR(IF(DeemedDashboard[[#This Row],[MeasAppType]]&lt;&gt;const_AR,"",IF(DeemedDashboard[[#This Row],[Pre Number of Years device retired early]]=0,0,DeemedDashboard[[#This Row],[Pre Number of Years device retired early]]/DeemedDashboard[[#This Row],[Existing Device EUL]])),"")</f>
        <v/>
      </c>
      <c r="BG12" s="349" t="str">
        <f>IFERROR(IF(DeemedDashboard[[#This Row],[Ext Number of Years device retired early]]=0,0,DeemedDashboard[[#This Row],[Ext Number of Years device retired early]]/DeemedDashboard[[#This Row],[Existing Device EUL]]),"")</f>
        <v/>
      </c>
      <c r="BH12" s="325" t="str">
        <f>IFERROR(1-DeemedDashboard[[#This Row],[Msr annual refrigerant leakage %]]*DeemedDashboard[[#This Row],[Msr t_EOL]],"")</f>
        <v/>
      </c>
      <c r="BI12" s="325" t="str">
        <f>IFERROR(1-DeemedDashboard[[#This Row],[Std annual refrigerant leakage %]]*DeemedDashboard[[#This Row],[Std t_EOL]],"")</f>
        <v/>
      </c>
      <c r="BJ12" s="325" t="str">
        <f>IFERROR(1-DeemedDashboard[[#This Row],[Pre/Ext annual refrigerant leakage %]]*DeemedDashboard[[#This Row],[Pre/Ext t_EOL]],"")</f>
        <v/>
      </c>
      <c r="BK12" s="325" t="str">
        <f>IFERROR(1-DeemedDashboard[[#This Row],[Pre/Ext annual refrigerant leakage %]]*DeemedDashboard[[#This Row],[Pre/Ext t_EOL]],"")</f>
        <v/>
      </c>
      <c r="BL12" s="325" t="str">
        <f>IFERROR(DeemedDashboard[[#This Row],[Msr charging remaining (%)]]*DeemedDashboard[[#This Row],[Msr gross EOL refrigerant leakage %]],"")</f>
        <v/>
      </c>
      <c r="BM12" s="325" t="str">
        <f>IFERROR(DeemedDashboard[[#This Row],[Std charging remaining (%)]]*DeemedDashboard[[#This Row],[Std gross EOL refrigerant leakage %]],"")</f>
        <v/>
      </c>
      <c r="BN12" s="325" t="str">
        <f>IFERROR(DeemedDashboard[[#This Row],[Pre charging remaining (%)]]*DeemedDashboard[[#This Row],[Pre/Ext gross EOL refrigerant leakage %]],"")</f>
        <v/>
      </c>
      <c r="BO12" s="325" t="str">
        <f>IFERROR(DeemedDashboard[[#This Row],[Ext charging remaining (%)]]*DeemedDashboard[[#This Row],[Pre/Ext gross EOL refrigerant leakage %]],"")</f>
        <v/>
      </c>
      <c r="BP12" s="330" t="str">
        <f>IFERROR((DeemedDashboard[[#This Row],[Msr refrigerant charge (lb) per NormUnit]]/pounds_per_metric_ton)*DeemedDashboard[[#This Row],[Msr annual refrigerant leakage %]]*DeemedDashboard[[#This Row],[Msr GWP]],"")</f>
        <v/>
      </c>
      <c r="BQ12" s="330" t="str">
        <f>IFERROR((DeemedDashboard[[#This Row],[Std refrigerant charge (lb) per NormUnit]]/pounds_per_metric_ton)*DeemedDashboard[[#This Row],[Std annual refrigerant leakage %]]*DeemedDashboard[[#This Row],[Std GWP]],"")</f>
        <v/>
      </c>
      <c r="BR12" s="330" t="str">
        <f>IF(DeemedDashboard[[#This Row],[MeasAppType]]=const_AR,(DeemedDashboard[[#This Row],[Pre/Ext refrigerant charge (lb) per NormUnit]]/pounds_per_metric_ton)*DeemedDashboard[[#This Row],[Pre/Ext annual refrigerant leakage %]]*DeemedDashboard[[#This Row],[Pre/Ext GWP]],"")</f>
        <v/>
      </c>
      <c r="BS12" s="330" t="str">
        <f>IF(DeemedDashboard[[#This Row],[MeasAppType]]=const_AR,(DeemedDashboard[[#This Row],[Pre/Ext refrigerant charge (lb) per NormUnit]]/pounds_per_metric_ton)*DeemedDashboard[[#This Row],[Pre/Ext annual refrigerant leakage %]]*DeemedDashboard[[#This Row],[Pre/Ext GWP]],"")</f>
        <v/>
      </c>
      <c r="BT12" s="330" t="str">
        <f>IFERROR((DeemedDashboard[[#This Row],[Msr refrigerant charge (lb) per NormUnit]]/pounds_per_metric_ton)*DeemedDashboard[[#This Row],[Msr net EOL refrigerant leakage (%)]]*DeemedDashboard[[#This Row],[Msr GWP]],"")</f>
        <v/>
      </c>
      <c r="BU12" s="330" t="str">
        <f>IFERROR((DeemedDashboard[[#This Row],[Std refrigerant charge (lb) per NormUnit]]/pounds_per_metric_ton)*DeemedDashboard[[#This Row],[Std net EOL refrigerant leakage (%)]]*DeemedDashboard[[#This Row],[Std GWP]],"")</f>
        <v/>
      </c>
      <c r="BV12" s="330" t="str">
        <f>IFERROR((DeemedDashboard[[#This Row],[Pre/Ext refrigerant charge (lb) per NormUnit]]/pounds_per_metric_ton)*DeemedDashboard[[#This Row],[Pre net EOL refrigerant leakage (%)]]*DeemedDashboard[[#This Row],[Pre/Ext GWP]],"")</f>
        <v/>
      </c>
      <c r="BW12" s="330" t="str">
        <f>IFERROR((DeemedDashboard[[#This Row],[Pre/Ext refrigerant charge (lb) per NormUnit]]/pounds_per_metric_ton)*DeemedDashboard[[#This Row],[Ext net EOL refrigerant leakage (%)]]*DeemedDashboard[[#This Row],[Pre/Ext GWP]],"")</f>
        <v/>
      </c>
      <c r="BX12" s="299" t="str" cm="1">
        <f t="array" aca="1" ref="BX1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2" s="305" t="str" cm="1">
        <f t="array" aca="1" ref="BY1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2" s="299" t="str">
        <f>IFERROR(IF(OR(DeemedDashboard[[#This Row],[MeasAppType]]&lt;&gt;const_AR,ISBLANK(DeemedDashboard[[#This Row],[MeasAppType]])),NA(),0),"")</f>
        <v/>
      </c>
      <c r="CA12" s="305" t="str" cm="1">
        <f t="array" aca="1" ref="CA1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2" s="299" t="str">
        <f ca="1">IFERROR((DeemedDashboard[[#This Row],[Msr EOL leakage tons CO2e]]*OFFSET(GHG_Adder_dollar_per_tonne,0,(DeemedDashboard[[#This Row],[Msr Device Retire-ment Year]]-DY+1),1,1))/(1+WACC)^(DeemedDashboard[[#This Row],[Msr Device Retire-ment Year]]-DeemedDashboard[[#This Row],[Measure Start Year]]+0.5),"")</f>
        <v/>
      </c>
      <c r="CC12" s="299" t="str">
        <f ca="1">IFERROR((DeemedDashboard[[#This Row],[Std EOL leakage tons CO2e]]*OFFSET(GHG_Adder_dollar_per_tonne,0,(DeemedDashboard[[#This Row],[Std Device Retire-ment Year]]-DY+1),1,1))/(1+WACC)^(DeemedDashboard[[#This Row],[Std Device Retire-ment Year]]-DeemedDashboard[[#This Row],[Measure Start Year]]+0.5),"")</f>
        <v/>
      </c>
      <c r="CD12" s="299" t="str">
        <f ca="1">IFERROR((DeemedDashboard[[#This Row],[Pre EOL leakage tons CO2e]]*OFFSET(GHG_Adder_dollar_per_tonne,0,(DeemedDashboard[[#This Row],[Measure Start Year]]-DY),1,1))/(1+WACC)^(-0.5),"")</f>
        <v/>
      </c>
      <c r="CE1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2" s="299" t="str">
        <f ca="1">IFERROR(DeemedDashboard[[#This Row],[Msr NPV Cost of Annual Leakage]]/(1+ACC_Inflation_Rate)^(DeemedDashboard[[#This Row],[Measure Start Year]]-DY),"")</f>
        <v/>
      </c>
      <c r="CG12" s="299" t="str">
        <f ca="1">IFERROR(DeemedDashboard[[#This Row],[Std NPV Cost of Annual Leakage]]/(1+ACC_Inflation_Rate)^(DeemedDashboard[[#This Row],[Measure Start Year]]-DY),"")</f>
        <v/>
      </c>
      <c r="CH12" s="299" t="str">
        <f>IFERROR(IF(ISBLANK(DeemedDashboard[[#This Row],[MeasAppType]]),NA(),IF(DeemedDashboard[[#This Row],[MeasAppType]]=const_AR,DeemedDashboard[[#This Row],[Pre NPV Cost of Annual Leakage]]/(1+ACC_Inflation_Rate)^(DeemedDashboard[[#This Row],[Measure Start Year]]-DY),"")),"")</f>
        <v/>
      </c>
      <c r="CI12" s="296" t="str">
        <f>IFERROR(IF(ISBLANK(DeemedDashboard[[#This Row],[MeasAppType]]),NA(),IF(DeemedDashboard[[#This Row],[MeasAppType]]=const_AR,DeemedDashboard[[#This Row],[Ext NPV Cost of Annual Leakage]]/(1+ACC_Inflation_Rate)^(DeemedDashboard[[#This Row],[Measure Start Year]]-DY),"")),"")</f>
        <v/>
      </c>
      <c r="CJ12" s="296" t="str">
        <f ca="1">IFERROR((DeemedDashboard[[#This Row],[Msr % of device lifetime during measure years]]+DeemedDashboard[[#This Row],[Msr % of device lifetime retired early]])*DeemedDashboard[[#This Row],[Msr NPV Cost of EOL Leakage]]/(1+ACC_Inflation_Rate)^(DeemedDashboard[[#This Row],[Measure Start Year]]-DY),"")</f>
        <v/>
      </c>
      <c r="CK12" s="296" t="str">
        <f ca="1">IFERROR((DeemedDashboard[[#This Row],[Std % of device lifetime during measure years]]+DeemedDashboard[[#This Row],[Std % of device lifetime retired early]])*DeemedDashboard[[#This Row],[Std NPV Cost of EOL Leakage]]/(1+ACC_Inflation_Rate)^(DeemedDashboard[[#This Row],[Measure Start Year]]-DY),"")</f>
        <v/>
      </c>
      <c r="CL1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2" s="351"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2" s="351"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2" s="351" t="str">
        <f ca="1">IFERROR(DeemedDashboard[[#This Row],[Counter-factual total 
NPV cost]]-DeemedDashboard[[#This Row],[Measure total 
NPV cost]],"")</f>
        <v/>
      </c>
      <c r="CQ12" s="350" t="str">
        <f>IF(ISBLANK(DeemedDashboard[[#This Row],[MeasAppType]]),"",DeemedDashboard[[#This Row],[Refrigerant
NPV costs
avoided]]&gt;0)</f>
        <v/>
      </c>
      <c r="CR12" s="299" t="str">
        <f ca="1">IFERROR(DeemedDashboard[[#This Row],[Msr Adj NPV Cost of Annual Leakage]]+DeemedDashboard[[#This Row],[Msr Adj NPV Cost of EOL Leakage]],"")</f>
        <v/>
      </c>
      <c r="CS12" s="299" t="str">
        <f ca="1">IFERROR(DeemedDashboard[[#This Row],[Std Adj NPV Cost of Annual Leakage]]+DeemedDashboard[[#This Row],[Std Adj NPV Cost of EOL Leakage]],"")</f>
        <v/>
      </c>
      <c r="CT12" s="299" t="str">
        <f>IFERROR(IF((DeemedDashboard[[#This Row],[Pre Adj NPV Cost of Annual Leakage]]+DeemedDashboard[[#This Row],[Pre Adj NPV Cost of EOL Leakage]])=0,"",DeemedDashboard[[#This Row],[Pre Adj NPV Cost of Annual Leakage]]+DeemedDashboard[[#This Row],[Pre Adj NPV Cost of EOL Leakage]]),"")</f>
        <v/>
      </c>
      <c r="CU12" s="299" t="str">
        <f>IFERROR(IF((DeemedDashboard[[#This Row],[Ext Adj NPV Cost of Annual Leakage]]+DeemedDashboard[[#This Row],[Ext Adj NPV Cost of EOL Leakage]])=0,"",DeemedDashboard[[#This Row],[Ext Adj NPV Cost of Annual Leakage]]+DeemedDashboard[[#This Row],[Ext Adj NPV Cost of EOL Leakage]]),"")</f>
        <v/>
      </c>
      <c r="CV12" s="305" t="str">
        <f>IFERROR(IF(DeemedDashboard[[#This Row],[Is Avoided Net Cost &gt;0?]],"",-DeemedDashboard[[#This Row],[Refrigerant
NPV costs
avoided]]),"")</f>
        <v/>
      </c>
      <c r="CW12" s="299" t="str">
        <f>IFERROR(IF(DeemedDashboard[[#This Row],[Is Avoided Net Cost &gt;0?]],DeemedDashboard[[#This Row],[Refrigerant
NPV costs
avoided]],""),"")</f>
        <v/>
      </c>
      <c r="CX12" s="391">
        <f ca="1">IFERROR(MATCH(DeemedDashboard[[#This Row],[TechGroup and NormUnit]],TechGroup_and_NormUnit,0),1)</f>
        <v>1</v>
      </c>
      <c r="CY12" s="391" cm="1">
        <f t="array" aca="1" ref="CY12" ca="1">IFERROR(INDEX(TGRows,DeemedDashboard[[#This Row],[TGIndex]]),"")</f>
        <v>2</v>
      </c>
      <c r="CZ12" s="391">
        <f ca="1">IF(DeemedDashboard[[#This Row],[MeasAppType]]=const_AR,DeemedDashboard[[#This Row],[TGRows]],DeemedDashboard[[#This Row],[TGRows]]+1)</f>
        <v>3</v>
      </c>
      <c r="DA12" s="391" t="str">
        <f>IF(ISBLANK(DeemedDashboard[[#This Row],[MeasAppType]]),"",IF(DeemedDashboard[[#This Row],[Index]]=User_Specified_Refrigerant[[#This Row],[Index]],"OK","ERROR"))</f>
        <v/>
      </c>
    </row>
    <row r="13" spans="1:106" s="320" customFormat="1" x14ac:dyDescent="0.25">
      <c r="A13" s="297">
        <f>ROW(DeemedDashboard[[#This Row],[Index]])-ROW(DeemedDashboard[[#Headers],[Index]])</f>
        <v>4</v>
      </c>
      <c r="B13" s="298"/>
      <c r="C13" s="321"/>
      <c r="D13" s="403"/>
      <c r="E13" s="403"/>
      <c r="F13" s="403"/>
      <c r="G13" s="403"/>
      <c r="H13" s="365"/>
      <c r="I13" s="339"/>
      <c r="J13" s="339"/>
      <c r="K13" s="339"/>
      <c r="L13" s="322"/>
      <c r="M13" s="322"/>
      <c r="N13" s="322"/>
      <c r="O1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3" s="582" t="str" cm="1">
        <f t="array" ref="R13">IFERROR(IF(DeemedDashboard[[#This Row],[Msr device type]]=const_device_nonrefrig,0,INDEX(_xlfn.SWITCH($E$4,const_20_yr,GWP_Values_20_year_AR4,const_100_yr,GWP_Values_100_year_AR4),MATCH(DeemedDashboard[[#This Row],[Msr refrigerant Type]],RefrigDropdownList,0))),"")</f>
        <v/>
      </c>
      <c r="S13" s="582" t="str" cm="1">
        <f t="array" ref="S13">IFERROR(IF(DeemedDashboard[[#This Row],[Std device type]]=const_device_nonrefrig,0,INDEX(_xlfn.SWITCH($E$4,const_20_yr,GWP_Values_20_year_AR4,const_100_yr,GWP_Values_100_year_AR4),MATCH(DeemedDashboard[[#This Row],[Std refrigerant Type]],RefrigDropdownList,0))),"")</f>
        <v/>
      </c>
      <c r="T13" s="582" t="str" cm="1">
        <f t="array" ref="T13">IFERROR(IF(DeemedDashboard[[#This Row],[Pre/Ext device type]]=const_device_nonrefrig,0,INDEX(_xlfn.SWITCH($E$4,const_20_yr,GWP_Values_20_year_AR4,const_100_yr,GWP_Values_100_year_AR4),MATCH(DeemedDashboard[[#This Row],[Pre/Ext refrigerant Type]],RefrigDropdownList,0))),"")</f>
        <v/>
      </c>
      <c r="U1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3" s="326" t="str">
        <f>IFERROR(IF(DeemedDashboard[[#This Row],[Msr device type]]=const_userspec,IF(ISBLANK(User_Specified_Refrigerant[[#This Row],[Msr t_EOL]]),"",User_Specified_Refrigerant[[#This Row],[Msr t_EOL]]),INDEX(TechGroup_NormUnit_Table[t_EOL],MATCH(DeemedDashboard[[#This Row],[Msr device type]],DropdownRefrigTech,0))),"")</f>
        <v/>
      </c>
      <c r="AB13" s="326" t="str">
        <f>IFERROR(IF(DeemedDashboard[[#This Row],[Std device type]]=const_userspec,IF(ISBLANK(User_Specified_Refrigerant[[#This Row],[Std t_EOL]]),"",User_Specified_Refrigerant[[#This Row],[Std t_EOL]]),INDEX(TechGroup_NormUnit_Table[t_EOL],MATCH(DeemedDashboard[[#This Row],[Std device type]],DropdownRefrigTech,0))),"")</f>
        <v/>
      </c>
      <c r="AC1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3" s="395" t="str">
        <f>IF(ISBLANK(DeemedDashboard[[#This Row],[MeasAppType]]),"",$E$2)</f>
        <v/>
      </c>
      <c r="AE13" s="395" t="str">
        <f>IFERROR(IF(ISBLANK(DeemedDashboard[[#This Row],[MeasAppType]]),NA(),DeemedDashboard[[#This Row],[Measure Start Year]]+DeemedDashboard[[#This Row],[Msr EUL rounded]]-1),"")</f>
        <v/>
      </c>
      <c r="AF13" s="323" t="str">
        <f>IF(ISBLANK(DeemedDashboard[[#This Row],[Measure New Device EUL]]),"",ROUND(DeemedDashboard[[#This Row],[Measure New Device EUL]],0))</f>
        <v/>
      </c>
      <c r="AG13" s="323" t="str">
        <f>IF(ISBLANK(DeemedDashboard[[#This Row],[Counterfactual New Device EUL]]),"",ROUND(DeemedDashboard[[#This Row],[Counterfactual New Device EUL]],0))</f>
        <v/>
      </c>
      <c r="AH13" s="323" t="str">
        <f>IF(ISBLANK(DeemedDashboard[[#This Row],[Existing Device EUL]]),"",ROUND(DeemedDashboard[[#This Row],[Existing Device EUL]],0))</f>
        <v/>
      </c>
      <c r="AI13" s="323" t="str">
        <f>IF(ISBLANK(DeemedDashboard[[#This Row],[Existing Device RUL or AR First Baseline Life]]),"",ROUND(DeemedDashboard[[#This Row],[Existing Device RUL or AR First Baseline Life]],0))</f>
        <v/>
      </c>
      <c r="AJ13" s="327" t="str">
        <f>DeemedDashboard[[#This Row],[Measure Start Year]]</f>
        <v/>
      </c>
      <c r="AK13" s="327" t="str">
        <f>IF(DeemedDashboard[[#This Row],[MeasAppType]]&lt;&gt;const_AR,DeemedDashboard[[#This Row],[Measure Start Year]],DeemedDashboard[[#This Row],[Ext Device Retire-ment Year]]+1)</f>
        <v/>
      </c>
      <c r="AL13" s="327" t="str">
        <f>IFERROR(IF(DeemedDashboard[[#This Row],[MeasAppType]]=const_AR,DeemedDashboard[[#This Row],[Measure Start Year]]-(DeemedDashboard[[#This Row],[Existing Device EUL]]-DeemedDashboard[[#This Row],[Existing Device RUL or AR First Baseline Life]]),NA()),"")</f>
        <v/>
      </c>
      <c r="AM13" s="327" t="str">
        <f>DeemedDashboard[[#This Row],[Pre Device Install Year]]</f>
        <v/>
      </c>
      <c r="AN13" s="327" t="str">
        <f>IFERROR(IF(ISBLANK(DeemedDashboard[[#This Row],[MeasAppType]]),NA(),DeemedDashboard[[#This Row],[Measure Start Year]]+DeemedDashboard[[#This Row],[Msr EUL rounded]]-1),"")</f>
        <v/>
      </c>
      <c r="AO13" s="327" t="str">
        <f>IFERROR(DeemedDashboard[[#This Row],[Std Device Install Year]]+DeemedDashboard[[#This Row],[Counterfactual New Device EUL]]-1,"")</f>
        <v/>
      </c>
      <c r="AP13" s="327" t="str">
        <f>IFERROR(IF(AND(DeemedDashboard[[#This Row],[MeasAppType]]=const_AR,DeemedDashboard[[#This Row],[Measure Start Year]]&lt;(DeemedDashboard[[#This Row],[Pre Device Install Year]]+DeemedDashboard[[#This Row],[Existing Device EUL]]-1)),DeemedDashboard[[#This Row],[Measure Start Year]]-1,NA()),"")</f>
        <v/>
      </c>
      <c r="AQ13" s="327" t="str">
        <f>IFERROR(IF(DeemedDashboard[[#This Row],[MeasAppType]]=const_AR,DeemedDashboard[[#This Row],[Ext Device Install Year]]+DeemedDashboard[[#This Row],[Existing Device EUL]]-1,NA()),"")</f>
        <v/>
      </c>
      <c r="AR13" s="327" t="str">
        <f>IFERROR(IF(ISBLANK(DeemedDashboard[[#This Row],[MeasAppType]]),NA(),0),"")</f>
        <v/>
      </c>
      <c r="AS13" s="327" t="str">
        <f>IFERROR(IF(ISBLANK(DeemedDashboard[[#This Row],[MeasAppType]]),NA(),0),"")</f>
        <v/>
      </c>
      <c r="AT13" s="327" t="str">
        <f>IF(ISBLANK(DeemedDashboard[[#This Row],[MeasAppType]]),"",IF(DeemedDashboard[[#This Row],[MeasAppType]]&lt;&gt;const_AR,"",(DeemedDashboard[[#This Row],[Pre Device Install Year]]+DeemedDashboard[[#This Row],[Existing Device EUL]]-1)-DeemedDashboard[[#This Row],[Pre Device Retire-ment Year]]))</f>
        <v/>
      </c>
      <c r="AU13" s="327" t="str">
        <f>IF(ISBLANK(DeemedDashboard[[#This Row],[MeasAppType]]),"",IF(DeemedDashboard[[#This Row],[MeasAppType]]=const_AR,0,""))</f>
        <v/>
      </c>
      <c r="AV13" s="328" t="str">
        <f>IF(ISBLANK(DeemedDashboard[[#This Row],[MeasAppType]]),"",MAX((1+MIN(DeemedDashboard[[#This Row],[Msr Device Retire-ment Year]],DeemedDashboard[[#This Row],[Measure End 
Year]])-MAX(DeemedDashboard[[#This Row],[Msr Device Install Year]],DeemedDashboard[[#This Row],[Measure Start Year]])),0))</f>
        <v/>
      </c>
      <c r="AW13" s="328" t="str">
        <f>IF(ISBLANK(DeemedDashboard[[#This Row],[MeasAppType]]),"",MAX((1+MIN(DeemedDashboard[[#This Row],[Std Device Retire-ment Year]],DeemedDashboard[[#This Row],[Measure End 
Year]])-MAX(DeemedDashboard[[#This Row],[Std Device Install Year]],DeemedDashboard[[#This Row],[Measure Start Year]])),0))</f>
        <v/>
      </c>
      <c r="AX1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3" s="329" t="str">
        <f>IF(ISBLANK(DeemedDashboard[[#This Row],[MeasAppType]]),"",IF(DeemedDashboard[[#This Row],[Msr Device Years Over-lapping with Measure Years]]=0,0,DeemedDashboard[[#This Row],[Msr Device Years Over-lapping with Measure Years]]/DeemedDashboard[[#This Row],[Msr EUL rounded]]))</f>
        <v/>
      </c>
      <c r="BA13" s="329" t="str">
        <f>IF(ISBLANK(DeemedDashboard[[#This Row],[MeasAppType]]),"",IF(DeemedDashboard[[#This Row],[Std Device Years Over-lapping with Measure Years]]=0,0,DeemedDashboard[[#This Row],[Std Device Years Over-lapping with Measure Years]]/DeemedDashboard[[#This Row],[Counterfactual New Device EUL]]))</f>
        <v/>
      </c>
      <c r="BB13" s="329" t="str">
        <f>IF(ISBLANK(DeemedDashboard[[#This Row],[MeasAppType]]),"",IFERROR(IF(DeemedDashboard[[#This Row],[Pre Device Years Over-lapping with Measure Years]]=0,0,DeemedDashboard[[#This Row],[Pre Device Years Over-lapping with Measure Years]]/DeemedDashboard[[#This Row],[Existing Device EUL]]),""))</f>
        <v/>
      </c>
      <c r="BC13" s="329" t="str">
        <f>IFERROR(IF(DeemedDashboard[[#This Row],[Ext Device Years Over-lapping with Measure Years]]=0,0,DeemedDashboard[[#This Row],[Ext Device Years Over-lapping with Measure Years]]/DeemedDashboard[[#This Row],[Existing Device EUL]]),"")</f>
        <v/>
      </c>
      <c r="BD13" s="329" t="str">
        <f>IFERROR(IF(DeemedDashboard[[#This Row],[Msr Number of Years device retired early]]=0,0,DeemedDashboard[[#This Row],[Msr Number of Years device retired early]]/DeemedDashboard[[#This Row],[Msr EUL rounded]]),"")</f>
        <v/>
      </c>
      <c r="BE13" s="329" t="str">
        <f>IFERROR(IF(DeemedDashboard[[#This Row],[Std Number of Years device retired early]]=0,0,DeemedDashboard[[#This Row],[Std Number of Years device retired early]]/DeemedDashboard[[#This Row],[Msr EUL rounded]]),"")</f>
        <v/>
      </c>
      <c r="BF13" s="329" t="str">
        <f>IFERROR(IF(DeemedDashboard[[#This Row],[MeasAppType]]&lt;&gt;const_AR,"",IF(DeemedDashboard[[#This Row],[Pre Number of Years device retired early]]=0,0,DeemedDashboard[[#This Row],[Pre Number of Years device retired early]]/DeemedDashboard[[#This Row],[Existing Device EUL]])),"")</f>
        <v/>
      </c>
      <c r="BG13" s="349" t="str">
        <f>IFERROR(IF(DeemedDashboard[[#This Row],[Ext Number of Years device retired early]]=0,0,DeemedDashboard[[#This Row],[Ext Number of Years device retired early]]/DeemedDashboard[[#This Row],[Existing Device EUL]]),"")</f>
        <v/>
      </c>
      <c r="BH13" s="325" t="str">
        <f>IFERROR(1-DeemedDashboard[[#This Row],[Msr annual refrigerant leakage %]]*DeemedDashboard[[#This Row],[Msr t_EOL]],"")</f>
        <v/>
      </c>
      <c r="BI13" s="325" t="str">
        <f>IFERROR(1-DeemedDashboard[[#This Row],[Std annual refrigerant leakage %]]*DeemedDashboard[[#This Row],[Std t_EOL]],"")</f>
        <v/>
      </c>
      <c r="BJ13" s="325" t="str">
        <f>IFERROR(1-DeemedDashboard[[#This Row],[Pre/Ext annual refrigerant leakage %]]*DeemedDashboard[[#This Row],[Pre/Ext t_EOL]],"")</f>
        <v/>
      </c>
      <c r="BK13" s="325" t="str">
        <f>IFERROR(1-DeemedDashboard[[#This Row],[Pre/Ext annual refrigerant leakage %]]*DeemedDashboard[[#This Row],[Pre/Ext t_EOL]],"")</f>
        <v/>
      </c>
      <c r="BL13" s="325" t="str">
        <f>IFERROR(DeemedDashboard[[#This Row],[Msr charging remaining (%)]]*DeemedDashboard[[#This Row],[Msr gross EOL refrigerant leakage %]],"")</f>
        <v/>
      </c>
      <c r="BM13" s="325" t="str">
        <f>IFERROR(DeemedDashboard[[#This Row],[Std charging remaining (%)]]*DeemedDashboard[[#This Row],[Std gross EOL refrigerant leakage %]],"")</f>
        <v/>
      </c>
      <c r="BN13" s="325" t="str">
        <f>IFERROR(DeemedDashboard[[#This Row],[Pre charging remaining (%)]]*DeemedDashboard[[#This Row],[Pre/Ext gross EOL refrigerant leakage %]],"")</f>
        <v/>
      </c>
      <c r="BO13" s="325" t="str">
        <f>IFERROR(DeemedDashboard[[#This Row],[Ext charging remaining (%)]]*DeemedDashboard[[#This Row],[Pre/Ext gross EOL refrigerant leakage %]],"")</f>
        <v/>
      </c>
      <c r="BP13" s="330" t="str">
        <f>IFERROR((DeemedDashboard[[#This Row],[Msr refrigerant charge (lb) per NormUnit]]/pounds_per_metric_ton)*DeemedDashboard[[#This Row],[Msr annual refrigerant leakage %]]*DeemedDashboard[[#This Row],[Msr GWP]],"")</f>
        <v/>
      </c>
      <c r="BQ13" s="330" t="str">
        <f>IFERROR((DeemedDashboard[[#This Row],[Std refrigerant charge (lb) per NormUnit]]/pounds_per_metric_ton)*DeemedDashboard[[#This Row],[Std annual refrigerant leakage %]]*DeemedDashboard[[#This Row],[Std GWP]],"")</f>
        <v/>
      </c>
      <c r="BR13" s="330" t="str">
        <f>IF(DeemedDashboard[[#This Row],[MeasAppType]]=const_AR,(DeemedDashboard[[#This Row],[Pre/Ext refrigerant charge (lb) per NormUnit]]/pounds_per_metric_ton)*DeemedDashboard[[#This Row],[Pre/Ext annual refrigerant leakage %]]*DeemedDashboard[[#This Row],[Pre/Ext GWP]],"")</f>
        <v/>
      </c>
      <c r="BS13" s="330" t="str">
        <f>IF(DeemedDashboard[[#This Row],[MeasAppType]]=const_AR,(DeemedDashboard[[#This Row],[Pre/Ext refrigerant charge (lb) per NormUnit]]/pounds_per_metric_ton)*DeemedDashboard[[#This Row],[Pre/Ext annual refrigerant leakage %]]*DeemedDashboard[[#This Row],[Pre/Ext GWP]],"")</f>
        <v/>
      </c>
      <c r="BT13" s="330" t="str">
        <f>IFERROR((DeemedDashboard[[#This Row],[Msr refrigerant charge (lb) per NormUnit]]/pounds_per_metric_ton)*DeemedDashboard[[#This Row],[Msr net EOL refrigerant leakage (%)]]*DeemedDashboard[[#This Row],[Msr GWP]],"")</f>
        <v/>
      </c>
      <c r="BU13" s="330" t="str">
        <f>IFERROR((DeemedDashboard[[#This Row],[Std refrigerant charge (lb) per NormUnit]]/pounds_per_metric_ton)*DeemedDashboard[[#This Row],[Std net EOL refrigerant leakage (%)]]*DeemedDashboard[[#This Row],[Std GWP]],"")</f>
        <v/>
      </c>
      <c r="BV13" s="330" t="str">
        <f>IFERROR((DeemedDashboard[[#This Row],[Pre/Ext refrigerant charge (lb) per NormUnit]]/pounds_per_metric_ton)*DeemedDashboard[[#This Row],[Pre net EOL refrigerant leakage (%)]]*DeemedDashboard[[#This Row],[Pre/Ext GWP]],"")</f>
        <v/>
      </c>
      <c r="BW13" s="330" t="str">
        <f>IFERROR((DeemedDashboard[[#This Row],[Pre/Ext refrigerant charge (lb) per NormUnit]]/pounds_per_metric_ton)*DeemedDashboard[[#This Row],[Ext net EOL refrigerant leakage (%)]]*DeemedDashboard[[#This Row],[Pre/Ext GWP]],"")</f>
        <v/>
      </c>
      <c r="BX13" s="299" t="str" cm="1">
        <f t="array" aca="1" ref="BX1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3" s="305" t="str" cm="1">
        <f t="array" aca="1" ref="BY1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3" s="299" t="str">
        <f>IFERROR(IF(OR(DeemedDashboard[[#This Row],[MeasAppType]]&lt;&gt;const_AR,ISBLANK(DeemedDashboard[[#This Row],[MeasAppType]])),NA(),0),"")</f>
        <v/>
      </c>
      <c r="CA13" s="305" t="str" cm="1">
        <f t="array" aca="1" ref="CA1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3" s="299" t="str">
        <f ca="1">IFERROR((DeemedDashboard[[#This Row],[Msr EOL leakage tons CO2e]]*OFFSET(GHG_Adder_dollar_per_tonne,0,(DeemedDashboard[[#This Row],[Msr Device Retire-ment Year]]-DY+1),1,1))/(1+WACC)^(DeemedDashboard[[#This Row],[Msr Device Retire-ment Year]]-DeemedDashboard[[#This Row],[Measure Start Year]]+0.5),"")</f>
        <v/>
      </c>
      <c r="CC13" s="299" t="str">
        <f ca="1">IFERROR((DeemedDashboard[[#This Row],[Std EOL leakage tons CO2e]]*OFFSET(GHG_Adder_dollar_per_tonne,0,(DeemedDashboard[[#This Row],[Std Device Retire-ment Year]]-DY+1),1,1))/(1+WACC)^(DeemedDashboard[[#This Row],[Std Device Retire-ment Year]]-DeemedDashboard[[#This Row],[Measure Start Year]]+0.5),"")</f>
        <v/>
      </c>
      <c r="CD13" s="299" t="str">
        <f ca="1">IFERROR((DeemedDashboard[[#This Row],[Pre EOL leakage tons CO2e]]*OFFSET(GHG_Adder_dollar_per_tonne,0,(DeemedDashboard[[#This Row],[Measure Start Year]]-DY),1,1))/(1+WACC)^(-0.5),"")</f>
        <v/>
      </c>
      <c r="CE1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3" s="299" t="str">
        <f ca="1">IFERROR(DeemedDashboard[[#This Row],[Msr NPV Cost of Annual Leakage]]/(1+ACC_Inflation_Rate)^(DeemedDashboard[[#This Row],[Measure Start Year]]-DY),"")</f>
        <v/>
      </c>
      <c r="CG13" s="299" t="str">
        <f ca="1">IFERROR(DeemedDashboard[[#This Row],[Std NPV Cost of Annual Leakage]]/(1+ACC_Inflation_Rate)^(DeemedDashboard[[#This Row],[Measure Start Year]]-DY),"")</f>
        <v/>
      </c>
      <c r="CH13" s="299" t="str">
        <f>IFERROR(IF(ISBLANK(DeemedDashboard[[#This Row],[MeasAppType]]),NA(),IF(DeemedDashboard[[#This Row],[MeasAppType]]=const_AR,DeemedDashboard[[#This Row],[Pre NPV Cost of Annual Leakage]]/(1+ACC_Inflation_Rate)^(DeemedDashboard[[#This Row],[Measure Start Year]]-DY),"")),"")</f>
        <v/>
      </c>
      <c r="CI13" s="296" t="str">
        <f>IFERROR(IF(ISBLANK(DeemedDashboard[[#This Row],[MeasAppType]]),NA(),IF(DeemedDashboard[[#This Row],[MeasAppType]]=const_AR,DeemedDashboard[[#This Row],[Ext NPV Cost of Annual Leakage]]/(1+ACC_Inflation_Rate)^(DeemedDashboard[[#This Row],[Measure Start Year]]-DY),"")),"")</f>
        <v/>
      </c>
      <c r="CJ13" s="296" t="str">
        <f ca="1">IFERROR((DeemedDashboard[[#This Row],[Msr % of device lifetime during measure years]]+DeemedDashboard[[#This Row],[Msr % of device lifetime retired early]])*DeemedDashboard[[#This Row],[Msr NPV Cost of EOL Leakage]]/(1+ACC_Inflation_Rate)^(DeemedDashboard[[#This Row],[Measure Start Year]]-DY),"")</f>
        <v/>
      </c>
      <c r="CK13" s="296" t="str">
        <f ca="1">IFERROR((DeemedDashboard[[#This Row],[Std % of device lifetime during measure years]]+DeemedDashboard[[#This Row],[Std % of device lifetime retired early]])*DeemedDashboard[[#This Row],[Std NPV Cost of EOL Leakage]]/(1+ACC_Inflation_Rate)^(DeemedDashboard[[#This Row],[Measure Start Year]]-DY),"")</f>
        <v/>
      </c>
      <c r="CL1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3" s="351"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3" s="351"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3" s="352" t="str">
        <f ca="1">IFERROR(DeemedDashboard[[#This Row],[Counter-factual total 
NPV cost]]-DeemedDashboard[[#This Row],[Measure total 
NPV cost]],"")</f>
        <v/>
      </c>
      <c r="CQ13" s="350" t="str">
        <f>IF(ISBLANK(DeemedDashboard[[#This Row],[MeasAppType]]),"",DeemedDashboard[[#This Row],[Refrigerant
NPV costs
avoided]]&gt;0)</f>
        <v/>
      </c>
      <c r="CR13" s="299" t="str">
        <f ca="1">IFERROR(DeemedDashboard[[#This Row],[Msr Adj NPV Cost of Annual Leakage]]+DeemedDashboard[[#This Row],[Msr Adj NPV Cost of EOL Leakage]],"")</f>
        <v/>
      </c>
      <c r="CS13" s="299" t="str">
        <f ca="1">IFERROR(DeemedDashboard[[#This Row],[Std Adj NPV Cost of Annual Leakage]]+DeemedDashboard[[#This Row],[Std Adj NPV Cost of EOL Leakage]],"")</f>
        <v/>
      </c>
      <c r="CT13" s="299" t="str">
        <f>IFERROR(IF((DeemedDashboard[[#This Row],[Pre Adj NPV Cost of Annual Leakage]]+DeemedDashboard[[#This Row],[Pre Adj NPV Cost of EOL Leakage]])=0,"",DeemedDashboard[[#This Row],[Pre Adj NPV Cost of Annual Leakage]]+DeemedDashboard[[#This Row],[Pre Adj NPV Cost of EOL Leakage]]),"")</f>
        <v/>
      </c>
      <c r="CU13" s="299" t="str">
        <f>IFERROR(IF((DeemedDashboard[[#This Row],[Ext Adj NPV Cost of Annual Leakage]]+DeemedDashboard[[#This Row],[Ext Adj NPV Cost of EOL Leakage]])=0,"",DeemedDashboard[[#This Row],[Ext Adj NPV Cost of Annual Leakage]]+DeemedDashboard[[#This Row],[Ext Adj NPV Cost of EOL Leakage]]),"")</f>
        <v/>
      </c>
      <c r="CV13" s="305" t="str">
        <f>IFERROR(IF(DeemedDashboard[[#This Row],[Is Avoided Net Cost &gt;0?]],"",-DeemedDashboard[[#This Row],[Refrigerant
NPV costs
avoided]]),"")</f>
        <v/>
      </c>
      <c r="CW13" s="299" t="str">
        <f>IFERROR(IF(DeemedDashboard[[#This Row],[Is Avoided Net Cost &gt;0?]],DeemedDashboard[[#This Row],[Refrigerant
NPV costs
avoided]],""),"")</f>
        <v/>
      </c>
      <c r="CX13" s="391">
        <f ca="1">IFERROR(MATCH(DeemedDashboard[[#This Row],[TechGroup and NormUnit]],TechGroup_and_NormUnit,0),1)</f>
        <v>1</v>
      </c>
      <c r="CY13" s="391" cm="1">
        <f t="array" aca="1" ref="CY13" ca="1">IFERROR(INDEX(TGRows,DeemedDashboard[[#This Row],[TGIndex]]),"")</f>
        <v>2</v>
      </c>
      <c r="CZ13" s="391">
        <f ca="1">IF(DeemedDashboard[[#This Row],[MeasAppType]]=const_AR,DeemedDashboard[[#This Row],[TGRows]],DeemedDashboard[[#This Row],[TGRows]]+1)</f>
        <v>3</v>
      </c>
      <c r="DA13" s="391" t="str">
        <f>IF(ISBLANK(DeemedDashboard[[#This Row],[MeasAppType]]),"",IF(DeemedDashboard[[#This Row],[Index]]=User_Specified_Refrigerant[[#This Row],[Index]],"OK","ERROR"))</f>
        <v/>
      </c>
    </row>
    <row r="14" spans="1:106" s="320" customFormat="1" x14ac:dyDescent="0.25">
      <c r="A14" s="297">
        <f>ROW(DeemedDashboard[[#This Row],[Index]])-ROW(DeemedDashboard[[#Headers],[Index]])</f>
        <v>5</v>
      </c>
      <c r="B14" s="298"/>
      <c r="C14" s="321"/>
      <c r="D14" s="403"/>
      <c r="E14" s="403"/>
      <c r="F14" s="403"/>
      <c r="G14" s="403"/>
      <c r="H14" s="365"/>
      <c r="I14" s="339"/>
      <c r="J14" s="339"/>
      <c r="K14" s="339"/>
      <c r="L14" s="322"/>
      <c r="M14" s="322"/>
      <c r="N14" s="322"/>
      <c r="O1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4" s="582" t="str" cm="1">
        <f t="array" ref="R14">IFERROR(IF(DeemedDashboard[[#This Row],[Msr device type]]=const_device_nonrefrig,0,INDEX(_xlfn.SWITCH($E$4,const_20_yr,GWP_Values_20_year_AR4,const_100_yr,GWP_Values_100_year_AR4),MATCH(DeemedDashboard[[#This Row],[Msr refrigerant Type]],RefrigDropdownList,0))),"")</f>
        <v/>
      </c>
      <c r="S14" s="582" t="str" cm="1">
        <f t="array" ref="S14">IFERROR(IF(DeemedDashboard[[#This Row],[Std device type]]=const_device_nonrefrig,0,INDEX(_xlfn.SWITCH($E$4,const_20_yr,GWP_Values_20_year_AR4,const_100_yr,GWP_Values_100_year_AR4),MATCH(DeemedDashboard[[#This Row],[Std refrigerant Type]],RefrigDropdownList,0))),"")</f>
        <v/>
      </c>
      <c r="T14" s="582" t="str" cm="1">
        <f t="array" ref="T14">IFERROR(IF(DeemedDashboard[[#This Row],[Pre/Ext device type]]=const_device_nonrefrig,0,INDEX(_xlfn.SWITCH($E$4,const_20_yr,GWP_Values_20_year_AR4,const_100_yr,GWP_Values_100_year_AR4),MATCH(DeemedDashboard[[#This Row],[Pre/Ext refrigerant Type]],RefrigDropdownList,0))),"")</f>
        <v/>
      </c>
      <c r="U1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4" s="326" t="str">
        <f>IFERROR(IF(DeemedDashboard[[#This Row],[Msr device type]]=const_userspec,IF(ISBLANK(User_Specified_Refrigerant[[#This Row],[Msr t_EOL]]),"",User_Specified_Refrigerant[[#This Row],[Msr t_EOL]]),INDEX(TechGroup_NormUnit_Table[t_EOL],MATCH(DeemedDashboard[[#This Row],[Msr device type]],DropdownRefrigTech,0))),"")</f>
        <v/>
      </c>
      <c r="AB14" s="326" t="str">
        <f>IFERROR(IF(DeemedDashboard[[#This Row],[Std device type]]=const_userspec,IF(ISBLANK(User_Specified_Refrigerant[[#This Row],[Std t_EOL]]),"",User_Specified_Refrigerant[[#This Row],[Std t_EOL]]),INDEX(TechGroup_NormUnit_Table[t_EOL],MATCH(DeemedDashboard[[#This Row],[Std device type]],DropdownRefrigTech,0))),"")</f>
        <v/>
      </c>
      <c r="AC1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4" s="395" t="str">
        <f>IF(ISBLANK(DeemedDashboard[[#This Row],[MeasAppType]]),"",$E$2)</f>
        <v/>
      </c>
      <c r="AE14" s="395" t="str">
        <f>IFERROR(IF(ISBLANK(DeemedDashboard[[#This Row],[MeasAppType]]),NA(),DeemedDashboard[[#This Row],[Measure Start Year]]+DeemedDashboard[[#This Row],[Msr EUL rounded]]-1),"")</f>
        <v/>
      </c>
      <c r="AF14" s="323" t="str">
        <f>IF(ISBLANK(DeemedDashboard[[#This Row],[Measure New Device EUL]]),"",ROUND(DeemedDashboard[[#This Row],[Measure New Device EUL]],0))</f>
        <v/>
      </c>
      <c r="AG14" s="323" t="str">
        <f>IF(ISBLANK(DeemedDashboard[[#This Row],[Counterfactual New Device EUL]]),"",ROUND(DeemedDashboard[[#This Row],[Counterfactual New Device EUL]],0))</f>
        <v/>
      </c>
      <c r="AH14" s="323" t="str">
        <f>IF(ISBLANK(DeemedDashboard[[#This Row],[Existing Device EUL]]),"",ROUND(DeemedDashboard[[#This Row],[Existing Device EUL]],0))</f>
        <v/>
      </c>
      <c r="AI14" s="323" t="str">
        <f>IF(ISBLANK(DeemedDashboard[[#This Row],[Existing Device RUL or AR First Baseline Life]]),"",ROUND(DeemedDashboard[[#This Row],[Existing Device RUL or AR First Baseline Life]],0))</f>
        <v/>
      </c>
      <c r="AJ14" s="327" t="str">
        <f>DeemedDashboard[[#This Row],[Measure Start Year]]</f>
        <v/>
      </c>
      <c r="AK14" s="327" t="str">
        <f>IF(DeemedDashboard[[#This Row],[MeasAppType]]&lt;&gt;const_AR,DeemedDashboard[[#This Row],[Measure Start Year]],DeemedDashboard[[#This Row],[Ext Device Retire-ment Year]]+1)</f>
        <v/>
      </c>
      <c r="AL14" s="327" t="str">
        <f>IFERROR(IF(DeemedDashboard[[#This Row],[MeasAppType]]=const_AR,DeemedDashboard[[#This Row],[Measure Start Year]]-(DeemedDashboard[[#This Row],[Existing Device EUL]]-DeemedDashboard[[#This Row],[Existing Device RUL or AR First Baseline Life]]),NA()),"")</f>
        <v/>
      </c>
      <c r="AM14" s="327" t="str">
        <f>DeemedDashboard[[#This Row],[Pre Device Install Year]]</f>
        <v/>
      </c>
      <c r="AN14" s="327" t="str">
        <f>IFERROR(IF(ISBLANK(DeemedDashboard[[#This Row],[MeasAppType]]),NA(),DeemedDashboard[[#This Row],[Measure Start Year]]+DeemedDashboard[[#This Row],[Msr EUL rounded]]-1),"")</f>
        <v/>
      </c>
      <c r="AO14" s="327" t="str">
        <f>IFERROR(DeemedDashboard[[#This Row],[Std Device Install Year]]+DeemedDashboard[[#This Row],[Counterfactual New Device EUL]]-1,"")</f>
        <v/>
      </c>
      <c r="AP14" s="327" t="str">
        <f>IFERROR(IF(AND(DeemedDashboard[[#This Row],[MeasAppType]]=const_AR,DeemedDashboard[[#This Row],[Measure Start Year]]&lt;(DeemedDashboard[[#This Row],[Pre Device Install Year]]+DeemedDashboard[[#This Row],[Existing Device EUL]]-1)),DeemedDashboard[[#This Row],[Measure Start Year]]-1,NA()),"")</f>
        <v/>
      </c>
      <c r="AQ14" s="327" t="str">
        <f>IFERROR(IF(DeemedDashboard[[#This Row],[MeasAppType]]=const_AR,DeemedDashboard[[#This Row],[Ext Device Install Year]]+DeemedDashboard[[#This Row],[Existing Device EUL]]-1,NA()),"")</f>
        <v/>
      </c>
      <c r="AR14" s="327" t="str">
        <f>IFERROR(IF(ISBLANK(DeemedDashboard[[#This Row],[MeasAppType]]),NA(),0),"")</f>
        <v/>
      </c>
      <c r="AS14" s="327" t="str">
        <f>IFERROR(IF(ISBLANK(DeemedDashboard[[#This Row],[MeasAppType]]),NA(),0),"")</f>
        <v/>
      </c>
      <c r="AT14" s="327" t="str">
        <f>IF(ISBLANK(DeemedDashboard[[#This Row],[MeasAppType]]),"",IF(DeemedDashboard[[#This Row],[MeasAppType]]&lt;&gt;const_AR,"",(DeemedDashboard[[#This Row],[Pre Device Install Year]]+DeemedDashboard[[#This Row],[Existing Device EUL]]-1)-DeemedDashboard[[#This Row],[Pre Device Retire-ment Year]]))</f>
        <v/>
      </c>
      <c r="AU14" s="327" t="str">
        <f>IF(ISBLANK(DeemedDashboard[[#This Row],[MeasAppType]]),"",IF(DeemedDashboard[[#This Row],[MeasAppType]]=const_AR,0,""))</f>
        <v/>
      </c>
      <c r="AV14" s="328" t="str">
        <f>IF(ISBLANK(DeemedDashboard[[#This Row],[MeasAppType]]),"",MAX((1+MIN(DeemedDashboard[[#This Row],[Msr Device Retire-ment Year]],DeemedDashboard[[#This Row],[Measure End 
Year]])-MAX(DeemedDashboard[[#This Row],[Msr Device Install Year]],DeemedDashboard[[#This Row],[Measure Start Year]])),0))</f>
        <v/>
      </c>
      <c r="AW14" s="328" t="str">
        <f>IF(ISBLANK(DeemedDashboard[[#This Row],[MeasAppType]]),"",MAX((1+MIN(DeemedDashboard[[#This Row],[Std Device Retire-ment Year]],DeemedDashboard[[#This Row],[Measure End 
Year]])-MAX(DeemedDashboard[[#This Row],[Std Device Install Year]],DeemedDashboard[[#This Row],[Measure Start Year]])),0))</f>
        <v/>
      </c>
      <c r="AX1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4" s="329" t="str">
        <f>IF(ISBLANK(DeemedDashboard[[#This Row],[MeasAppType]]),"",IF(DeemedDashboard[[#This Row],[Msr Device Years Over-lapping with Measure Years]]=0,0,DeemedDashboard[[#This Row],[Msr Device Years Over-lapping with Measure Years]]/DeemedDashboard[[#This Row],[Msr EUL rounded]]))</f>
        <v/>
      </c>
      <c r="BA14" s="329" t="str">
        <f>IF(ISBLANK(DeemedDashboard[[#This Row],[MeasAppType]]),"",IF(DeemedDashboard[[#This Row],[Std Device Years Over-lapping with Measure Years]]=0,0,DeemedDashboard[[#This Row],[Std Device Years Over-lapping with Measure Years]]/DeemedDashboard[[#This Row],[Counterfactual New Device EUL]]))</f>
        <v/>
      </c>
      <c r="BB14" s="329" t="str">
        <f>IF(ISBLANK(DeemedDashboard[[#This Row],[MeasAppType]]),"",IFERROR(IF(DeemedDashboard[[#This Row],[Pre Device Years Over-lapping with Measure Years]]=0,0,DeemedDashboard[[#This Row],[Pre Device Years Over-lapping with Measure Years]]/DeemedDashboard[[#This Row],[Existing Device EUL]]),""))</f>
        <v/>
      </c>
      <c r="BC14" s="329" t="str">
        <f>IFERROR(IF(DeemedDashboard[[#This Row],[Ext Device Years Over-lapping with Measure Years]]=0,0,DeemedDashboard[[#This Row],[Ext Device Years Over-lapping with Measure Years]]/DeemedDashboard[[#This Row],[Existing Device EUL]]),"")</f>
        <v/>
      </c>
      <c r="BD14" s="329" t="str">
        <f>IFERROR(IF(DeemedDashboard[[#This Row],[Msr Number of Years device retired early]]=0,0,DeemedDashboard[[#This Row],[Msr Number of Years device retired early]]/DeemedDashboard[[#This Row],[Msr EUL rounded]]),"")</f>
        <v/>
      </c>
      <c r="BE14" s="329" t="str">
        <f>IFERROR(IF(DeemedDashboard[[#This Row],[Std Number of Years device retired early]]=0,0,DeemedDashboard[[#This Row],[Std Number of Years device retired early]]/DeemedDashboard[[#This Row],[Msr EUL rounded]]),"")</f>
        <v/>
      </c>
      <c r="BF14" s="329" t="str">
        <f>IFERROR(IF(DeemedDashboard[[#This Row],[MeasAppType]]&lt;&gt;const_AR,"",IF(DeemedDashboard[[#This Row],[Pre Number of Years device retired early]]=0,0,DeemedDashboard[[#This Row],[Pre Number of Years device retired early]]/DeemedDashboard[[#This Row],[Existing Device EUL]])),"")</f>
        <v/>
      </c>
      <c r="BG14" s="329" t="str">
        <f>IFERROR(IF(DeemedDashboard[[#This Row],[Ext Number of Years device retired early]]=0,0,DeemedDashboard[[#This Row],[Ext Number of Years device retired early]]/DeemedDashboard[[#This Row],[Existing Device EUL]]),"")</f>
        <v/>
      </c>
      <c r="BH14" s="325" t="str">
        <f>IFERROR(1-DeemedDashboard[[#This Row],[Msr annual refrigerant leakage %]]*DeemedDashboard[[#This Row],[Msr t_EOL]],"")</f>
        <v/>
      </c>
      <c r="BI14" s="325" t="str">
        <f>IFERROR(1-DeemedDashboard[[#This Row],[Std annual refrigerant leakage %]]*DeemedDashboard[[#This Row],[Std t_EOL]],"")</f>
        <v/>
      </c>
      <c r="BJ14" s="325" t="str">
        <f>IFERROR(1-DeemedDashboard[[#This Row],[Pre/Ext annual refrigerant leakage %]]*DeemedDashboard[[#This Row],[Pre/Ext t_EOL]],"")</f>
        <v/>
      </c>
      <c r="BK14" s="325" t="str">
        <f>IFERROR(1-DeemedDashboard[[#This Row],[Pre/Ext annual refrigerant leakage %]]*DeemedDashboard[[#This Row],[Pre/Ext t_EOL]],"")</f>
        <v/>
      </c>
      <c r="BL14" s="325" t="str">
        <f>IFERROR(DeemedDashboard[[#This Row],[Msr charging remaining (%)]]*DeemedDashboard[[#This Row],[Msr gross EOL refrigerant leakage %]],"")</f>
        <v/>
      </c>
      <c r="BM14" s="325" t="str">
        <f>IFERROR(DeemedDashboard[[#This Row],[Std charging remaining (%)]]*DeemedDashboard[[#This Row],[Std gross EOL refrigerant leakage %]],"")</f>
        <v/>
      </c>
      <c r="BN14" s="325" t="str">
        <f>IFERROR(DeemedDashboard[[#This Row],[Pre charging remaining (%)]]*DeemedDashboard[[#This Row],[Pre/Ext gross EOL refrigerant leakage %]],"")</f>
        <v/>
      </c>
      <c r="BO14" s="325" t="str">
        <f>IFERROR(DeemedDashboard[[#This Row],[Ext charging remaining (%)]]*DeemedDashboard[[#This Row],[Pre/Ext gross EOL refrigerant leakage %]],"")</f>
        <v/>
      </c>
      <c r="BP14" s="330" t="str">
        <f>IFERROR((DeemedDashboard[[#This Row],[Msr refrigerant charge (lb) per NormUnit]]/pounds_per_metric_ton)*DeemedDashboard[[#This Row],[Msr annual refrigerant leakage %]]*DeemedDashboard[[#This Row],[Msr GWP]],"")</f>
        <v/>
      </c>
      <c r="BQ14" s="330" t="str">
        <f>IFERROR((DeemedDashboard[[#This Row],[Std refrigerant charge (lb) per NormUnit]]/pounds_per_metric_ton)*DeemedDashboard[[#This Row],[Std annual refrigerant leakage %]]*DeemedDashboard[[#This Row],[Std GWP]],"")</f>
        <v/>
      </c>
      <c r="BR14" s="330" t="str">
        <f>IF(DeemedDashboard[[#This Row],[MeasAppType]]=const_AR,(DeemedDashboard[[#This Row],[Pre/Ext refrigerant charge (lb) per NormUnit]]/pounds_per_metric_ton)*DeemedDashboard[[#This Row],[Pre/Ext annual refrigerant leakage %]]*DeemedDashboard[[#This Row],[Pre/Ext GWP]],"")</f>
        <v/>
      </c>
      <c r="BS14" s="330" t="str">
        <f>IF(DeemedDashboard[[#This Row],[MeasAppType]]=const_AR,(DeemedDashboard[[#This Row],[Pre/Ext refrigerant charge (lb) per NormUnit]]/pounds_per_metric_ton)*DeemedDashboard[[#This Row],[Pre/Ext annual refrigerant leakage %]]*DeemedDashboard[[#This Row],[Pre/Ext GWP]],"")</f>
        <v/>
      </c>
      <c r="BT14" s="330" t="str">
        <f>IFERROR((DeemedDashboard[[#This Row],[Msr refrigerant charge (lb) per NormUnit]]/pounds_per_metric_ton)*DeemedDashboard[[#This Row],[Msr net EOL refrigerant leakage (%)]]*DeemedDashboard[[#This Row],[Msr GWP]],"")</f>
        <v/>
      </c>
      <c r="BU14" s="330" t="str">
        <f>IFERROR((DeemedDashboard[[#This Row],[Std refrigerant charge (lb) per NormUnit]]/pounds_per_metric_ton)*DeemedDashboard[[#This Row],[Std net EOL refrigerant leakage (%)]]*DeemedDashboard[[#This Row],[Std GWP]],"")</f>
        <v/>
      </c>
      <c r="BV14" s="330" t="str">
        <f>IFERROR((DeemedDashboard[[#This Row],[Pre/Ext refrigerant charge (lb) per NormUnit]]/pounds_per_metric_ton)*DeemedDashboard[[#This Row],[Pre net EOL refrigerant leakage (%)]]*DeemedDashboard[[#This Row],[Pre/Ext GWP]],"")</f>
        <v/>
      </c>
      <c r="BW14" s="330" t="str">
        <f>IFERROR((DeemedDashboard[[#This Row],[Pre/Ext refrigerant charge (lb) per NormUnit]]/pounds_per_metric_ton)*DeemedDashboard[[#This Row],[Ext net EOL refrigerant leakage (%)]]*DeemedDashboard[[#This Row],[Pre/Ext GWP]],"")</f>
        <v/>
      </c>
      <c r="BX14" s="299" t="str" cm="1">
        <f t="array" aca="1" ref="BX1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4" s="305" t="str" cm="1">
        <f t="array" aca="1" ref="BY1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4" s="299" t="str">
        <f>IFERROR(IF(OR(DeemedDashboard[[#This Row],[MeasAppType]]&lt;&gt;const_AR,ISBLANK(DeemedDashboard[[#This Row],[MeasAppType]])),NA(),0),"")</f>
        <v/>
      </c>
      <c r="CA14" s="305" t="str" cm="1">
        <f t="array" aca="1" ref="CA1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4" s="299" t="str">
        <f ca="1">IFERROR((DeemedDashboard[[#This Row],[Msr EOL leakage tons CO2e]]*OFFSET(GHG_Adder_dollar_per_tonne,0,(DeemedDashboard[[#This Row],[Msr Device Retire-ment Year]]-DY+1),1,1))/(1+WACC)^(DeemedDashboard[[#This Row],[Msr Device Retire-ment Year]]-DeemedDashboard[[#This Row],[Measure Start Year]]+0.5),"")</f>
        <v/>
      </c>
      <c r="CC14" s="299" t="str">
        <f ca="1">IFERROR((DeemedDashboard[[#This Row],[Std EOL leakage tons CO2e]]*OFFSET(GHG_Adder_dollar_per_tonne,0,(DeemedDashboard[[#This Row],[Std Device Retire-ment Year]]-DY+1),1,1))/(1+WACC)^(DeemedDashboard[[#This Row],[Std Device Retire-ment Year]]-DeemedDashboard[[#This Row],[Measure Start Year]]+0.5),"")</f>
        <v/>
      </c>
      <c r="CD14" s="299" t="str">
        <f ca="1">IFERROR((DeemedDashboard[[#This Row],[Pre EOL leakage tons CO2e]]*OFFSET(GHG_Adder_dollar_per_tonne,0,(DeemedDashboard[[#This Row],[Measure Start Year]]-DY),1,1))/(1+WACC)^(-0.5),"")</f>
        <v/>
      </c>
      <c r="CE1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4" s="299" t="str">
        <f ca="1">IFERROR(DeemedDashboard[[#This Row],[Msr NPV Cost of Annual Leakage]]/(1+ACC_Inflation_Rate)^(DeemedDashboard[[#This Row],[Measure Start Year]]-DY),"")</f>
        <v/>
      </c>
      <c r="CG14" s="299" t="str">
        <f ca="1">IFERROR(DeemedDashboard[[#This Row],[Std NPV Cost of Annual Leakage]]/(1+ACC_Inflation_Rate)^(DeemedDashboard[[#This Row],[Measure Start Year]]-DY),"")</f>
        <v/>
      </c>
      <c r="CH14" s="299" t="str">
        <f>IFERROR(IF(ISBLANK(DeemedDashboard[[#This Row],[MeasAppType]]),NA(),IF(DeemedDashboard[[#This Row],[MeasAppType]]=const_AR,DeemedDashboard[[#This Row],[Pre NPV Cost of Annual Leakage]]/(1+ACC_Inflation_Rate)^(DeemedDashboard[[#This Row],[Measure Start Year]]-DY),"")),"")</f>
        <v/>
      </c>
      <c r="CI14" s="296" t="str">
        <f>IFERROR(IF(ISBLANK(DeemedDashboard[[#This Row],[MeasAppType]]),NA(),IF(DeemedDashboard[[#This Row],[MeasAppType]]=const_AR,DeemedDashboard[[#This Row],[Ext NPV Cost of Annual Leakage]]/(1+ACC_Inflation_Rate)^(DeemedDashboard[[#This Row],[Measure Start Year]]-DY),"")),"")</f>
        <v/>
      </c>
      <c r="CJ14" s="296" t="str">
        <f ca="1">IFERROR((DeemedDashboard[[#This Row],[Msr % of device lifetime during measure years]]+DeemedDashboard[[#This Row],[Msr % of device lifetime retired early]])*DeemedDashboard[[#This Row],[Msr NPV Cost of EOL Leakage]]/(1+ACC_Inflation_Rate)^(DeemedDashboard[[#This Row],[Measure Start Year]]-DY),"")</f>
        <v/>
      </c>
      <c r="CK14" s="296" t="str">
        <f ca="1">IFERROR((DeemedDashboard[[#This Row],[Std % of device lifetime during measure years]]+DeemedDashboard[[#This Row],[Std % of device lifetime retired early]])*DeemedDashboard[[#This Row],[Std NPV Cost of EOL Leakage]]/(1+ACC_Inflation_Rate)^(DeemedDashboard[[#This Row],[Measure Start Year]]-DY),"")</f>
        <v/>
      </c>
      <c r="CL1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4" s="299" t="str">
        <f ca="1">IFERROR(DeemedDashboard[[#This Row],[Counter-factual total 
NPV cost]]-DeemedDashboard[[#This Row],[Measure total 
NPV cost]],"")</f>
        <v/>
      </c>
      <c r="CQ14" s="299" t="str">
        <f>IF(ISBLANK(DeemedDashboard[[#This Row],[MeasAppType]]),"",DeemedDashboard[[#This Row],[Refrigerant
NPV costs
avoided]]&gt;0)</f>
        <v/>
      </c>
      <c r="CR14" s="299" t="str">
        <f ca="1">IFERROR(DeemedDashboard[[#This Row],[Msr Adj NPV Cost of Annual Leakage]]+DeemedDashboard[[#This Row],[Msr Adj NPV Cost of EOL Leakage]],"")</f>
        <v/>
      </c>
      <c r="CS14" s="299" t="str">
        <f ca="1">IFERROR(DeemedDashboard[[#This Row],[Std Adj NPV Cost of Annual Leakage]]+DeemedDashboard[[#This Row],[Std Adj NPV Cost of EOL Leakage]],"")</f>
        <v/>
      </c>
      <c r="CT14" s="299" t="str">
        <f>IFERROR(IF((DeemedDashboard[[#This Row],[Pre Adj NPV Cost of Annual Leakage]]+DeemedDashboard[[#This Row],[Pre Adj NPV Cost of EOL Leakage]])=0,"",DeemedDashboard[[#This Row],[Pre Adj NPV Cost of Annual Leakage]]+DeemedDashboard[[#This Row],[Pre Adj NPV Cost of EOL Leakage]]),"")</f>
        <v/>
      </c>
      <c r="CU14" s="299" t="str">
        <f>IFERROR(IF((DeemedDashboard[[#This Row],[Ext Adj NPV Cost of Annual Leakage]]+DeemedDashboard[[#This Row],[Ext Adj NPV Cost of EOL Leakage]])=0,"",DeemedDashboard[[#This Row],[Ext Adj NPV Cost of Annual Leakage]]+DeemedDashboard[[#This Row],[Ext Adj NPV Cost of EOL Leakage]]),"")</f>
        <v/>
      </c>
      <c r="CV14" s="305" t="str">
        <f>IFERROR(IF(DeemedDashboard[[#This Row],[Is Avoided Net Cost &gt;0?]],"",-DeemedDashboard[[#This Row],[Refrigerant
NPV costs
avoided]]),"")</f>
        <v/>
      </c>
      <c r="CW14" s="299" t="str">
        <f>IFERROR(IF(DeemedDashboard[[#This Row],[Is Avoided Net Cost &gt;0?]],DeemedDashboard[[#This Row],[Refrigerant
NPV costs
avoided]],""),"")</f>
        <v/>
      </c>
      <c r="CX14" s="391">
        <f ca="1">IFERROR(MATCH(DeemedDashboard[[#This Row],[TechGroup and NormUnit]],TechGroup_and_NormUnit,0),1)</f>
        <v>1</v>
      </c>
      <c r="CY14" s="391" cm="1">
        <f t="array" aca="1" ref="CY14" ca="1">IFERROR(INDEX(TGRows,DeemedDashboard[[#This Row],[TGIndex]]),"")</f>
        <v>2</v>
      </c>
      <c r="CZ14" s="391">
        <f ca="1">IF(DeemedDashboard[[#This Row],[MeasAppType]]=const_AR,DeemedDashboard[[#This Row],[TGRows]],DeemedDashboard[[#This Row],[TGRows]]+1)</f>
        <v>3</v>
      </c>
      <c r="DA14" s="391" t="str">
        <f>IF(ISBLANK(DeemedDashboard[[#This Row],[MeasAppType]]),"",IF(DeemedDashboard[[#This Row],[Index]]=User_Specified_Refrigerant[[#This Row],[Index]],"OK","ERROR"))</f>
        <v/>
      </c>
    </row>
    <row r="15" spans="1:106" s="320" customFormat="1" x14ac:dyDescent="0.25">
      <c r="A15" s="297">
        <f>ROW(DeemedDashboard[[#This Row],[Index]])-ROW(DeemedDashboard[[#Headers],[Index]])</f>
        <v>6</v>
      </c>
      <c r="B15" s="298"/>
      <c r="C15" s="321"/>
      <c r="D15" s="403"/>
      <c r="E15" s="403"/>
      <c r="F15" s="403"/>
      <c r="G15" s="403"/>
      <c r="H15" s="365"/>
      <c r="I15" s="339"/>
      <c r="J15" s="339"/>
      <c r="K15" s="339"/>
      <c r="L15" s="322"/>
      <c r="M15" s="322"/>
      <c r="N15" s="322"/>
      <c r="O1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5" s="582" t="str" cm="1">
        <f t="array" ref="R15">IFERROR(IF(DeemedDashboard[[#This Row],[Msr device type]]=const_device_nonrefrig,0,INDEX(_xlfn.SWITCH($E$4,const_20_yr,GWP_Values_20_year_AR4,const_100_yr,GWP_Values_100_year_AR4),MATCH(DeemedDashboard[[#This Row],[Msr refrigerant Type]],RefrigDropdownList,0))),"")</f>
        <v/>
      </c>
      <c r="S15" s="582" t="str" cm="1">
        <f t="array" ref="S15">IFERROR(IF(DeemedDashboard[[#This Row],[Std device type]]=const_device_nonrefrig,0,INDEX(_xlfn.SWITCH($E$4,const_20_yr,GWP_Values_20_year_AR4,const_100_yr,GWP_Values_100_year_AR4),MATCH(DeemedDashboard[[#This Row],[Std refrigerant Type]],RefrigDropdownList,0))),"")</f>
        <v/>
      </c>
      <c r="T15" s="582" t="str" cm="1">
        <f t="array" ref="T15">IFERROR(IF(DeemedDashboard[[#This Row],[Pre/Ext device type]]=const_device_nonrefrig,0,INDEX(_xlfn.SWITCH($E$4,const_20_yr,GWP_Values_20_year_AR4,const_100_yr,GWP_Values_100_year_AR4),MATCH(DeemedDashboard[[#This Row],[Pre/Ext refrigerant Type]],RefrigDropdownList,0))),"")</f>
        <v/>
      </c>
      <c r="U1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5" s="326" t="str">
        <f>IFERROR(IF(DeemedDashboard[[#This Row],[Msr device type]]=const_userspec,IF(ISBLANK(User_Specified_Refrigerant[[#This Row],[Msr t_EOL]]),"",User_Specified_Refrigerant[[#This Row],[Msr t_EOL]]),INDEX(TechGroup_NormUnit_Table[t_EOL],MATCH(DeemedDashboard[[#This Row],[Msr device type]],DropdownRefrigTech,0))),"")</f>
        <v/>
      </c>
      <c r="AB15" s="326" t="str">
        <f>IFERROR(IF(DeemedDashboard[[#This Row],[Std device type]]=const_userspec,IF(ISBLANK(User_Specified_Refrigerant[[#This Row],[Std t_EOL]]),"",User_Specified_Refrigerant[[#This Row],[Std t_EOL]]),INDEX(TechGroup_NormUnit_Table[t_EOL],MATCH(DeemedDashboard[[#This Row],[Std device type]],DropdownRefrigTech,0))),"")</f>
        <v/>
      </c>
      <c r="AC1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5" s="395" t="str">
        <f>IF(ISBLANK(DeemedDashboard[[#This Row],[MeasAppType]]),"",$E$2)</f>
        <v/>
      </c>
      <c r="AE15" s="395" t="str">
        <f>IFERROR(IF(ISBLANK(DeemedDashboard[[#This Row],[MeasAppType]]),NA(),DeemedDashboard[[#This Row],[Measure Start Year]]+DeemedDashboard[[#This Row],[Msr EUL rounded]]-1),"")</f>
        <v/>
      </c>
      <c r="AF15" s="323" t="str">
        <f>IF(ISBLANK(DeemedDashboard[[#This Row],[Measure New Device EUL]]),"",ROUND(DeemedDashboard[[#This Row],[Measure New Device EUL]],0))</f>
        <v/>
      </c>
      <c r="AG15" s="323" t="str">
        <f>IF(ISBLANK(DeemedDashboard[[#This Row],[Counterfactual New Device EUL]]),"",ROUND(DeemedDashboard[[#This Row],[Counterfactual New Device EUL]],0))</f>
        <v/>
      </c>
      <c r="AH15" s="323" t="str">
        <f>IF(ISBLANK(DeemedDashboard[[#This Row],[Existing Device EUL]]),"",ROUND(DeemedDashboard[[#This Row],[Existing Device EUL]],0))</f>
        <v/>
      </c>
      <c r="AI15" s="323" t="str">
        <f>IF(ISBLANK(DeemedDashboard[[#This Row],[Existing Device RUL or AR First Baseline Life]]),"",ROUND(DeemedDashboard[[#This Row],[Existing Device RUL or AR First Baseline Life]],0))</f>
        <v/>
      </c>
      <c r="AJ15" s="327" t="str">
        <f>DeemedDashboard[[#This Row],[Measure Start Year]]</f>
        <v/>
      </c>
      <c r="AK15" s="327" t="str">
        <f>IF(DeemedDashboard[[#This Row],[MeasAppType]]&lt;&gt;const_AR,DeemedDashboard[[#This Row],[Measure Start Year]],DeemedDashboard[[#This Row],[Ext Device Retire-ment Year]]+1)</f>
        <v/>
      </c>
      <c r="AL15" s="327" t="str">
        <f>IFERROR(IF(DeemedDashboard[[#This Row],[MeasAppType]]=const_AR,DeemedDashboard[[#This Row],[Measure Start Year]]-(DeemedDashboard[[#This Row],[Existing Device EUL]]-DeemedDashboard[[#This Row],[Existing Device RUL or AR First Baseline Life]]),NA()),"")</f>
        <v/>
      </c>
      <c r="AM15" s="327" t="str">
        <f>DeemedDashboard[[#This Row],[Pre Device Install Year]]</f>
        <v/>
      </c>
      <c r="AN15" s="327" t="str">
        <f>IFERROR(IF(ISBLANK(DeemedDashboard[[#This Row],[MeasAppType]]),NA(),DeemedDashboard[[#This Row],[Measure Start Year]]+DeemedDashboard[[#This Row],[Msr EUL rounded]]-1),"")</f>
        <v/>
      </c>
      <c r="AO15" s="327" t="str">
        <f>IFERROR(DeemedDashboard[[#This Row],[Std Device Install Year]]+DeemedDashboard[[#This Row],[Counterfactual New Device EUL]]-1,"")</f>
        <v/>
      </c>
      <c r="AP15" s="327" t="str">
        <f>IFERROR(IF(AND(DeemedDashboard[[#This Row],[MeasAppType]]=const_AR,DeemedDashboard[[#This Row],[Measure Start Year]]&lt;(DeemedDashboard[[#This Row],[Pre Device Install Year]]+DeemedDashboard[[#This Row],[Existing Device EUL]]-1)),DeemedDashboard[[#This Row],[Measure Start Year]]-1,NA()),"")</f>
        <v/>
      </c>
      <c r="AQ15" s="327" t="str">
        <f>IFERROR(IF(DeemedDashboard[[#This Row],[MeasAppType]]=const_AR,DeemedDashboard[[#This Row],[Ext Device Install Year]]+DeemedDashboard[[#This Row],[Existing Device EUL]]-1,NA()),"")</f>
        <v/>
      </c>
      <c r="AR15" s="327" t="str">
        <f>IFERROR(IF(ISBLANK(DeemedDashboard[[#This Row],[MeasAppType]]),NA(),0),"")</f>
        <v/>
      </c>
      <c r="AS15" s="327" t="str">
        <f>IFERROR(IF(ISBLANK(DeemedDashboard[[#This Row],[MeasAppType]]),NA(),0),"")</f>
        <v/>
      </c>
      <c r="AT15" s="327" t="str">
        <f>IF(ISBLANK(DeemedDashboard[[#This Row],[MeasAppType]]),"",IF(DeemedDashboard[[#This Row],[MeasAppType]]&lt;&gt;const_AR,"",(DeemedDashboard[[#This Row],[Pre Device Install Year]]+DeemedDashboard[[#This Row],[Existing Device EUL]]-1)-DeemedDashboard[[#This Row],[Pre Device Retire-ment Year]]))</f>
        <v/>
      </c>
      <c r="AU15" s="327" t="str">
        <f>IF(ISBLANK(DeemedDashboard[[#This Row],[MeasAppType]]),"",IF(DeemedDashboard[[#This Row],[MeasAppType]]=const_AR,0,""))</f>
        <v/>
      </c>
      <c r="AV15" s="328" t="str">
        <f>IF(ISBLANK(DeemedDashboard[[#This Row],[MeasAppType]]),"",MAX((1+MIN(DeemedDashboard[[#This Row],[Msr Device Retire-ment Year]],DeemedDashboard[[#This Row],[Measure End 
Year]])-MAX(DeemedDashboard[[#This Row],[Msr Device Install Year]],DeemedDashboard[[#This Row],[Measure Start Year]])),0))</f>
        <v/>
      </c>
      <c r="AW15" s="328" t="str">
        <f>IF(ISBLANK(DeemedDashboard[[#This Row],[MeasAppType]]),"",MAX((1+MIN(DeemedDashboard[[#This Row],[Std Device Retire-ment Year]],DeemedDashboard[[#This Row],[Measure End 
Year]])-MAX(DeemedDashboard[[#This Row],[Std Device Install Year]],DeemedDashboard[[#This Row],[Measure Start Year]])),0))</f>
        <v/>
      </c>
      <c r="AX1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5" s="329" t="str">
        <f>IF(ISBLANK(DeemedDashboard[[#This Row],[MeasAppType]]),"",IF(DeemedDashboard[[#This Row],[Msr Device Years Over-lapping with Measure Years]]=0,0,DeemedDashboard[[#This Row],[Msr Device Years Over-lapping with Measure Years]]/DeemedDashboard[[#This Row],[Msr EUL rounded]]))</f>
        <v/>
      </c>
      <c r="BA15" s="329" t="str">
        <f>IF(ISBLANK(DeemedDashboard[[#This Row],[MeasAppType]]),"",IF(DeemedDashboard[[#This Row],[Std Device Years Over-lapping with Measure Years]]=0,0,DeemedDashboard[[#This Row],[Std Device Years Over-lapping with Measure Years]]/DeemedDashboard[[#This Row],[Counterfactual New Device EUL]]))</f>
        <v/>
      </c>
      <c r="BB15" s="329" t="str">
        <f>IF(ISBLANK(DeemedDashboard[[#This Row],[MeasAppType]]),"",IFERROR(IF(DeemedDashboard[[#This Row],[Pre Device Years Over-lapping with Measure Years]]=0,0,DeemedDashboard[[#This Row],[Pre Device Years Over-lapping with Measure Years]]/DeemedDashboard[[#This Row],[Existing Device EUL]]),""))</f>
        <v/>
      </c>
      <c r="BC15" s="329" t="str">
        <f>IFERROR(IF(DeemedDashboard[[#This Row],[Ext Device Years Over-lapping with Measure Years]]=0,0,DeemedDashboard[[#This Row],[Ext Device Years Over-lapping with Measure Years]]/DeemedDashboard[[#This Row],[Existing Device EUL]]),"")</f>
        <v/>
      </c>
      <c r="BD15" s="329" t="str">
        <f>IFERROR(IF(DeemedDashboard[[#This Row],[Msr Number of Years device retired early]]=0,0,DeemedDashboard[[#This Row],[Msr Number of Years device retired early]]/DeemedDashboard[[#This Row],[Msr EUL rounded]]),"")</f>
        <v/>
      </c>
      <c r="BE15" s="329" t="str">
        <f>IFERROR(IF(DeemedDashboard[[#This Row],[Std Number of Years device retired early]]=0,0,DeemedDashboard[[#This Row],[Std Number of Years device retired early]]/DeemedDashboard[[#This Row],[Msr EUL rounded]]),"")</f>
        <v/>
      </c>
      <c r="BF15" s="329" t="str">
        <f>IFERROR(IF(DeemedDashboard[[#This Row],[MeasAppType]]&lt;&gt;const_AR,"",IF(DeemedDashboard[[#This Row],[Pre Number of Years device retired early]]=0,0,DeemedDashboard[[#This Row],[Pre Number of Years device retired early]]/DeemedDashboard[[#This Row],[Existing Device EUL]])),"")</f>
        <v/>
      </c>
      <c r="BG15" s="329" t="str">
        <f>IFERROR(IF(DeemedDashboard[[#This Row],[Ext Number of Years device retired early]]=0,0,DeemedDashboard[[#This Row],[Ext Number of Years device retired early]]/DeemedDashboard[[#This Row],[Existing Device EUL]]),"")</f>
        <v/>
      </c>
      <c r="BH15" s="325" t="str">
        <f>IFERROR(1-DeemedDashboard[[#This Row],[Msr annual refrigerant leakage %]]*DeemedDashboard[[#This Row],[Msr t_EOL]],"")</f>
        <v/>
      </c>
      <c r="BI15" s="325" t="str">
        <f>IFERROR(1-DeemedDashboard[[#This Row],[Std annual refrigerant leakage %]]*DeemedDashboard[[#This Row],[Std t_EOL]],"")</f>
        <v/>
      </c>
      <c r="BJ15" s="325" t="str">
        <f>IFERROR(1-DeemedDashboard[[#This Row],[Pre/Ext annual refrigerant leakage %]]*DeemedDashboard[[#This Row],[Pre/Ext t_EOL]],"")</f>
        <v/>
      </c>
      <c r="BK15" s="325" t="str">
        <f>IFERROR(1-DeemedDashboard[[#This Row],[Pre/Ext annual refrigerant leakage %]]*DeemedDashboard[[#This Row],[Pre/Ext t_EOL]],"")</f>
        <v/>
      </c>
      <c r="BL15" s="325" t="str">
        <f>IFERROR(DeemedDashboard[[#This Row],[Msr charging remaining (%)]]*DeemedDashboard[[#This Row],[Msr gross EOL refrigerant leakage %]],"")</f>
        <v/>
      </c>
      <c r="BM15" s="325" t="str">
        <f>IFERROR(DeemedDashboard[[#This Row],[Std charging remaining (%)]]*DeemedDashboard[[#This Row],[Std gross EOL refrigerant leakage %]],"")</f>
        <v/>
      </c>
      <c r="BN15" s="325" t="str">
        <f>IFERROR(DeemedDashboard[[#This Row],[Pre charging remaining (%)]]*DeemedDashboard[[#This Row],[Pre/Ext gross EOL refrigerant leakage %]],"")</f>
        <v/>
      </c>
      <c r="BO15" s="325" t="str">
        <f>IFERROR(DeemedDashboard[[#This Row],[Ext charging remaining (%)]]*DeemedDashboard[[#This Row],[Pre/Ext gross EOL refrigerant leakage %]],"")</f>
        <v/>
      </c>
      <c r="BP15" s="330" t="str">
        <f>IFERROR((DeemedDashboard[[#This Row],[Msr refrigerant charge (lb) per NormUnit]]/pounds_per_metric_ton)*DeemedDashboard[[#This Row],[Msr annual refrigerant leakage %]]*DeemedDashboard[[#This Row],[Msr GWP]],"")</f>
        <v/>
      </c>
      <c r="BQ15" s="330" t="str">
        <f>IFERROR((DeemedDashboard[[#This Row],[Std refrigerant charge (lb) per NormUnit]]/pounds_per_metric_ton)*DeemedDashboard[[#This Row],[Std annual refrigerant leakage %]]*DeemedDashboard[[#This Row],[Std GWP]],"")</f>
        <v/>
      </c>
      <c r="BR15" s="330" t="str">
        <f>IF(DeemedDashboard[[#This Row],[MeasAppType]]=const_AR,(DeemedDashboard[[#This Row],[Pre/Ext refrigerant charge (lb) per NormUnit]]/pounds_per_metric_ton)*DeemedDashboard[[#This Row],[Pre/Ext annual refrigerant leakage %]]*DeemedDashboard[[#This Row],[Pre/Ext GWP]],"")</f>
        <v/>
      </c>
      <c r="BS15" s="330" t="str">
        <f>IF(DeemedDashboard[[#This Row],[MeasAppType]]=const_AR,(DeemedDashboard[[#This Row],[Pre/Ext refrigerant charge (lb) per NormUnit]]/pounds_per_metric_ton)*DeemedDashboard[[#This Row],[Pre/Ext annual refrigerant leakage %]]*DeemedDashboard[[#This Row],[Pre/Ext GWP]],"")</f>
        <v/>
      </c>
      <c r="BT15" s="330" t="str">
        <f>IFERROR((DeemedDashboard[[#This Row],[Msr refrigerant charge (lb) per NormUnit]]/pounds_per_metric_ton)*DeemedDashboard[[#This Row],[Msr net EOL refrigerant leakage (%)]]*DeemedDashboard[[#This Row],[Msr GWP]],"")</f>
        <v/>
      </c>
      <c r="BU15" s="330" t="str">
        <f>IFERROR((DeemedDashboard[[#This Row],[Std refrigerant charge (lb) per NormUnit]]/pounds_per_metric_ton)*DeemedDashboard[[#This Row],[Std net EOL refrigerant leakage (%)]]*DeemedDashboard[[#This Row],[Std GWP]],"")</f>
        <v/>
      </c>
      <c r="BV15" s="330" t="str">
        <f>IFERROR((DeemedDashboard[[#This Row],[Pre/Ext refrigerant charge (lb) per NormUnit]]/pounds_per_metric_ton)*DeemedDashboard[[#This Row],[Pre net EOL refrigerant leakage (%)]]*DeemedDashboard[[#This Row],[Pre/Ext GWP]],"")</f>
        <v/>
      </c>
      <c r="BW15" s="330" t="str">
        <f>IFERROR((DeemedDashboard[[#This Row],[Pre/Ext refrigerant charge (lb) per NormUnit]]/pounds_per_metric_ton)*DeemedDashboard[[#This Row],[Ext net EOL refrigerant leakage (%)]]*DeemedDashboard[[#This Row],[Pre/Ext GWP]],"")</f>
        <v/>
      </c>
      <c r="BX15" s="299" t="str" cm="1">
        <f t="array" aca="1" ref="BX1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5" s="305" t="str" cm="1">
        <f t="array" aca="1" ref="BY1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5" s="299" t="str">
        <f>IFERROR(IF(OR(DeemedDashboard[[#This Row],[MeasAppType]]&lt;&gt;const_AR,ISBLANK(DeemedDashboard[[#This Row],[MeasAppType]])),NA(),0),"")</f>
        <v/>
      </c>
      <c r="CA15" s="305" t="str" cm="1">
        <f t="array" aca="1" ref="CA1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5" s="299" t="str">
        <f ca="1">IFERROR((DeemedDashboard[[#This Row],[Msr EOL leakage tons CO2e]]*OFFSET(GHG_Adder_dollar_per_tonne,0,(DeemedDashboard[[#This Row],[Msr Device Retire-ment Year]]-DY+1),1,1))/(1+WACC)^(DeemedDashboard[[#This Row],[Msr Device Retire-ment Year]]-DeemedDashboard[[#This Row],[Measure Start Year]]+0.5),"")</f>
        <v/>
      </c>
      <c r="CC15" s="299" t="str">
        <f ca="1">IFERROR((DeemedDashboard[[#This Row],[Std EOL leakage tons CO2e]]*OFFSET(GHG_Adder_dollar_per_tonne,0,(DeemedDashboard[[#This Row],[Std Device Retire-ment Year]]-DY+1),1,1))/(1+WACC)^(DeemedDashboard[[#This Row],[Std Device Retire-ment Year]]-DeemedDashboard[[#This Row],[Measure Start Year]]+0.5),"")</f>
        <v/>
      </c>
      <c r="CD15" s="299" t="str">
        <f ca="1">IFERROR((DeemedDashboard[[#This Row],[Pre EOL leakage tons CO2e]]*OFFSET(GHG_Adder_dollar_per_tonne,0,(DeemedDashboard[[#This Row],[Measure Start Year]]-DY),1,1))/(1+WACC)^(-0.5),"")</f>
        <v/>
      </c>
      <c r="CE1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5" s="299" t="str">
        <f ca="1">IFERROR(DeemedDashboard[[#This Row],[Msr NPV Cost of Annual Leakage]]/(1+ACC_Inflation_Rate)^(DeemedDashboard[[#This Row],[Measure Start Year]]-DY),"")</f>
        <v/>
      </c>
      <c r="CG15" s="299" t="str">
        <f ca="1">IFERROR(DeemedDashboard[[#This Row],[Std NPV Cost of Annual Leakage]]/(1+ACC_Inflation_Rate)^(DeemedDashboard[[#This Row],[Measure Start Year]]-DY),"")</f>
        <v/>
      </c>
      <c r="CH15" s="299" t="str">
        <f>IFERROR(IF(ISBLANK(DeemedDashboard[[#This Row],[MeasAppType]]),NA(),IF(DeemedDashboard[[#This Row],[MeasAppType]]=const_AR,DeemedDashboard[[#This Row],[Pre NPV Cost of Annual Leakage]]/(1+ACC_Inflation_Rate)^(DeemedDashboard[[#This Row],[Measure Start Year]]-DY),"")),"")</f>
        <v/>
      </c>
      <c r="CI15" s="296" t="str">
        <f>IFERROR(IF(ISBLANK(DeemedDashboard[[#This Row],[MeasAppType]]),NA(),IF(DeemedDashboard[[#This Row],[MeasAppType]]=const_AR,DeemedDashboard[[#This Row],[Ext NPV Cost of Annual Leakage]]/(1+ACC_Inflation_Rate)^(DeemedDashboard[[#This Row],[Measure Start Year]]-DY),"")),"")</f>
        <v/>
      </c>
      <c r="CJ15" s="296" t="str">
        <f ca="1">IFERROR((DeemedDashboard[[#This Row],[Msr % of device lifetime during measure years]]+DeemedDashboard[[#This Row],[Msr % of device lifetime retired early]])*DeemedDashboard[[#This Row],[Msr NPV Cost of EOL Leakage]]/(1+ACC_Inflation_Rate)^(DeemedDashboard[[#This Row],[Measure Start Year]]-DY),"")</f>
        <v/>
      </c>
      <c r="CK15" s="296" t="str">
        <f ca="1">IFERROR((DeemedDashboard[[#This Row],[Std % of device lifetime during measure years]]+DeemedDashboard[[#This Row],[Std % of device lifetime retired early]])*DeemedDashboard[[#This Row],[Std NPV Cost of EOL Leakage]]/(1+ACC_Inflation_Rate)^(DeemedDashboard[[#This Row],[Measure Start Year]]-DY),"")</f>
        <v/>
      </c>
      <c r="CL1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5" s="299" t="str">
        <f ca="1">IFERROR(DeemedDashboard[[#This Row],[Counter-factual total 
NPV cost]]-DeemedDashboard[[#This Row],[Measure total 
NPV cost]],"")</f>
        <v/>
      </c>
      <c r="CQ15" s="299" t="str">
        <f>IF(ISBLANK(DeemedDashboard[[#This Row],[MeasAppType]]),"",DeemedDashboard[[#This Row],[Refrigerant
NPV costs
avoided]]&gt;0)</f>
        <v/>
      </c>
      <c r="CR15" s="299" t="str">
        <f ca="1">IFERROR(DeemedDashboard[[#This Row],[Msr Adj NPV Cost of Annual Leakage]]+DeemedDashboard[[#This Row],[Msr Adj NPV Cost of EOL Leakage]],"")</f>
        <v/>
      </c>
      <c r="CS15" s="299" t="str">
        <f ca="1">IFERROR(DeemedDashboard[[#This Row],[Std Adj NPV Cost of Annual Leakage]]+DeemedDashboard[[#This Row],[Std Adj NPV Cost of EOL Leakage]],"")</f>
        <v/>
      </c>
      <c r="CT15" s="299" t="str">
        <f>IFERROR(IF((DeemedDashboard[[#This Row],[Pre Adj NPV Cost of Annual Leakage]]+DeemedDashboard[[#This Row],[Pre Adj NPV Cost of EOL Leakage]])=0,"",DeemedDashboard[[#This Row],[Pre Adj NPV Cost of Annual Leakage]]+DeemedDashboard[[#This Row],[Pre Adj NPV Cost of EOL Leakage]]),"")</f>
        <v/>
      </c>
      <c r="CU15" s="299" t="str">
        <f>IFERROR(IF((DeemedDashboard[[#This Row],[Ext Adj NPV Cost of Annual Leakage]]+DeemedDashboard[[#This Row],[Ext Adj NPV Cost of EOL Leakage]])=0,"",DeemedDashboard[[#This Row],[Ext Adj NPV Cost of Annual Leakage]]+DeemedDashboard[[#This Row],[Ext Adj NPV Cost of EOL Leakage]]),"")</f>
        <v/>
      </c>
      <c r="CV15" s="305" t="str">
        <f>IFERROR(IF(DeemedDashboard[[#This Row],[Is Avoided Net Cost &gt;0?]],"",-DeemedDashboard[[#This Row],[Refrigerant
NPV costs
avoided]]),"")</f>
        <v/>
      </c>
      <c r="CW15" s="299" t="str">
        <f>IFERROR(IF(DeemedDashboard[[#This Row],[Is Avoided Net Cost &gt;0?]],DeemedDashboard[[#This Row],[Refrigerant
NPV costs
avoided]],""),"")</f>
        <v/>
      </c>
      <c r="CX15" s="391">
        <f ca="1">IFERROR(MATCH(DeemedDashboard[[#This Row],[TechGroup and NormUnit]],TechGroup_and_NormUnit,0),1)</f>
        <v>1</v>
      </c>
      <c r="CY15" s="391" cm="1">
        <f t="array" aca="1" ref="CY15" ca="1">IFERROR(INDEX(TGRows,DeemedDashboard[[#This Row],[TGIndex]]),"")</f>
        <v>2</v>
      </c>
      <c r="CZ15" s="391">
        <f ca="1">IF(DeemedDashboard[[#This Row],[MeasAppType]]=const_AR,DeemedDashboard[[#This Row],[TGRows]],DeemedDashboard[[#This Row],[TGRows]]+1)</f>
        <v>3</v>
      </c>
      <c r="DA15" s="391" t="str">
        <f>IF(ISBLANK(DeemedDashboard[[#This Row],[MeasAppType]]),"",IF(DeemedDashboard[[#This Row],[Index]]=User_Specified_Refrigerant[[#This Row],[Index]],"OK","ERROR"))</f>
        <v/>
      </c>
    </row>
    <row r="16" spans="1:106" s="320" customFormat="1" x14ac:dyDescent="0.25">
      <c r="A16" s="297">
        <f>ROW(DeemedDashboard[[#This Row],[Index]])-ROW(DeemedDashboard[[#Headers],[Index]])</f>
        <v>7</v>
      </c>
      <c r="B16" s="298"/>
      <c r="C16" s="321"/>
      <c r="D16" s="403"/>
      <c r="E16" s="403"/>
      <c r="F16" s="403"/>
      <c r="G16" s="403"/>
      <c r="H16" s="365"/>
      <c r="I16" s="339"/>
      <c r="J16" s="339"/>
      <c r="K16" s="339"/>
      <c r="L16" s="322"/>
      <c r="M16" s="322"/>
      <c r="N16" s="322"/>
      <c r="O1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6" s="582" t="str" cm="1">
        <f t="array" ref="R16">IFERROR(IF(DeemedDashboard[[#This Row],[Msr device type]]=const_device_nonrefrig,0,INDEX(_xlfn.SWITCH($E$4,const_20_yr,GWP_Values_20_year_AR4,const_100_yr,GWP_Values_100_year_AR4),MATCH(DeemedDashboard[[#This Row],[Msr refrigerant Type]],RefrigDropdownList,0))),"")</f>
        <v/>
      </c>
      <c r="S16" s="582" t="str" cm="1">
        <f t="array" ref="S16">IFERROR(IF(DeemedDashboard[[#This Row],[Std device type]]=const_device_nonrefrig,0,INDEX(_xlfn.SWITCH($E$4,const_20_yr,GWP_Values_20_year_AR4,const_100_yr,GWP_Values_100_year_AR4),MATCH(DeemedDashboard[[#This Row],[Std refrigerant Type]],RefrigDropdownList,0))),"")</f>
        <v/>
      </c>
      <c r="T16" s="582" t="str" cm="1">
        <f t="array" ref="T16">IFERROR(IF(DeemedDashboard[[#This Row],[Pre/Ext device type]]=const_device_nonrefrig,0,INDEX(_xlfn.SWITCH($E$4,const_20_yr,GWP_Values_20_year_AR4,const_100_yr,GWP_Values_100_year_AR4),MATCH(DeemedDashboard[[#This Row],[Pre/Ext refrigerant Type]],RefrigDropdownList,0))),"")</f>
        <v/>
      </c>
      <c r="U1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6" s="326" t="str">
        <f>IFERROR(IF(DeemedDashboard[[#This Row],[Msr device type]]=const_userspec,IF(ISBLANK(User_Specified_Refrigerant[[#This Row],[Msr t_EOL]]),"",User_Specified_Refrigerant[[#This Row],[Msr t_EOL]]),INDEX(TechGroup_NormUnit_Table[t_EOL],MATCH(DeemedDashboard[[#This Row],[Msr device type]],DropdownRefrigTech,0))),"")</f>
        <v/>
      </c>
      <c r="AB16" s="326" t="str">
        <f>IFERROR(IF(DeemedDashboard[[#This Row],[Std device type]]=const_userspec,IF(ISBLANK(User_Specified_Refrigerant[[#This Row],[Std t_EOL]]),"",User_Specified_Refrigerant[[#This Row],[Std t_EOL]]),INDEX(TechGroup_NormUnit_Table[t_EOL],MATCH(DeemedDashboard[[#This Row],[Std device type]],DropdownRefrigTech,0))),"")</f>
        <v/>
      </c>
      <c r="AC1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6" s="395" t="str">
        <f>IF(ISBLANK(DeemedDashboard[[#This Row],[MeasAppType]]),"",$E$2)</f>
        <v/>
      </c>
      <c r="AE16" s="395" t="str">
        <f>IFERROR(IF(ISBLANK(DeemedDashboard[[#This Row],[MeasAppType]]),NA(),DeemedDashboard[[#This Row],[Measure Start Year]]+DeemedDashboard[[#This Row],[Msr EUL rounded]]-1),"")</f>
        <v/>
      </c>
      <c r="AF16" s="323" t="str">
        <f>IF(ISBLANK(DeemedDashboard[[#This Row],[Measure New Device EUL]]),"",ROUND(DeemedDashboard[[#This Row],[Measure New Device EUL]],0))</f>
        <v/>
      </c>
      <c r="AG16" s="323" t="str">
        <f>IF(ISBLANK(DeemedDashboard[[#This Row],[Counterfactual New Device EUL]]),"",ROUND(DeemedDashboard[[#This Row],[Counterfactual New Device EUL]],0))</f>
        <v/>
      </c>
      <c r="AH16" s="323" t="str">
        <f>IF(ISBLANK(DeemedDashboard[[#This Row],[Existing Device EUL]]),"",ROUND(DeemedDashboard[[#This Row],[Existing Device EUL]],0))</f>
        <v/>
      </c>
      <c r="AI16" s="323" t="str">
        <f>IF(ISBLANK(DeemedDashboard[[#This Row],[Existing Device RUL or AR First Baseline Life]]),"",ROUND(DeemedDashboard[[#This Row],[Existing Device RUL or AR First Baseline Life]],0))</f>
        <v/>
      </c>
      <c r="AJ16" s="327" t="str">
        <f>DeemedDashboard[[#This Row],[Measure Start Year]]</f>
        <v/>
      </c>
      <c r="AK16" s="327" t="str">
        <f>IF(DeemedDashboard[[#This Row],[MeasAppType]]&lt;&gt;const_AR,DeemedDashboard[[#This Row],[Measure Start Year]],DeemedDashboard[[#This Row],[Ext Device Retire-ment Year]]+1)</f>
        <v/>
      </c>
      <c r="AL16" s="327" t="str">
        <f>IFERROR(IF(DeemedDashboard[[#This Row],[MeasAppType]]=const_AR,DeemedDashboard[[#This Row],[Measure Start Year]]-(DeemedDashboard[[#This Row],[Existing Device EUL]]-DeemedDashboard[[#This Row],[Existing Device RUL or AR First Baseline Life]]),NA()),"")</f>
        <v/>
      </c>
      <c r="AM16" s="327" t="str">
        <f>DeemedDashboard[[#This Row],[Pre Device Install Year]]</f>
        <v/>
      </c>
      <c r="AN16" s="327" t="str">
        <f>IFERROR(IF(ISBLANK(DeemedDashboard[[#This Row],[MeasAppType]]),NA(),DeemedDashboard[[#This Row],[Measure Start Year]]+DeemedDashboard[[#This Row],[Msr EUL rounded]]-1),"")</f>
        <v/>
      </c>
      <c r="AO16" s="327" t="str">
        <f>IFERROR(DeemedDashboard[[#This Row],[Std Device Install Year]]+DeemedDashboard[[#This Row],[Counterfactual New Device EUL]]-1,"")</f>
        <v/>
      </c>
      <c r="AP16" s="327" t="str">
        <f>IFERROR(IF(AND(DeemedDashboard[[#This Row],[MeasAppType]]=const_AR,DeemedDashboard[[#This Row],[Measure Start Year]]&lt;(DeemedDashboard[[#This Row],[Pre Device Install Year]]+DeemedDashboard[[#This Row],[Existing Device EUL]]-1)),DeemedDashboard[[#This Row],[Measure Start Year]]-1,NA()),"")</f>
        <v/>
      </c>
      <c r="AQ16" s="327" t="str">
        <f>IFERROR(IF(DeemedDashboard[[#This Row],[MeasAppType]]=const_AR,DeemedDashboard[[#This Row],[Ext Device Install Year]]+DeemedDashboard[[#This Row],[Existing Device EUL]]-1,NA()),"")</f>
        <v/>
      </c>
      <c r="AR16" s="327" t="str">
        <f>IFERROR(IF(ISBLANK(DeemedDashboard[[#This Row],[MeasAppType]]),NA(),0),"")</f>
        <v/>
      </c>
      <c r="AS16" s="327" t="str">
        <f>IFERROR(IF(ISBLANK(DeemedDashboard[[#This Row],[MeasAppType]]),NA(),0),"")</f>
        <v/>
      </c>
      <c r="AT16" s="327" t="str">
        <f>IF(ISBLANK(DeemedDashboard[[#This Row],[MeasAppType]]),"",IF(DeemedDashboard[[#This Row],[MeasAppType]]&lt;&gt;const_AR,"",(DeemedDashboard[[#This Row],[Pre Device Install Year]]+DeemedDashboard[[#This Row],[Existing Device EUL]]-1)-DeemedDashboard[[#This Row],[Pre Device Retire-ment Year]]))</f>
        <v/>
      </c>
      <c r="AU16" s="327" t="str">
        <f>IF(ISBLANK(DeemedDashboard[[#This Row],[MeasAppType]]),"",IF(DeemedDashboard[[#This Row],[MeasAppType]]=const_AR,0,""))</f>
        <v/>
      </c>
      <c r="AV16" s="328" t="str">
        <f>IF(ISBLANK(DeemedDashboard[[#This Row],[MeasAppType]]),"",MAX((1+MIN(DeemedDashboard[[#This Row],[Msr Device Retire-ment Year]],DeemedDashboard[[#This Row],[Measure End 
Year]])-MAX(DeemedDashboard[[#This Row],[Msr Device Install Year]],DeemedDashboard[[#This Row],[Measure Start Year]])),0))</f>
        <v/>
      </c>
      <c r="AW16" s="328" t="str">
        <f>IF(ISBLANK(DeemedDashboard[[#This Row],[MeasAppType]]),"",MAX((1+MIN(DeemedDashboard[[#This Row],[Std Device Retire-ment Year]],DeemedDashboard[[#This Row],[Measure End 
Year]])-MAX(DeemedDashboard[[#This Row],[Std Device Install Year]],DeemedDashboard[[#This Row],[Measure Start Year]])),0))</f>
        <v/>
      </c>
      <c r="AX1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6" s="329" t="str">
        <f>IF(ISBLANK(DeemedDashboard[[#This Row],[MeasAppType]]),"",IF(DeemedDashboard[[#This Row],[Msr Device Years Over-lapping with Measure Years]]=0,0,DeemedDashboard[[#This Row],[Msr Device Years Over-lapping with Measure Years]]/DeemedDashboard[[#This Row],[Msr EUL rounded]]))</f>
        <v/>
      </c>
      <c r="BA16" s="329" t="str">
        <f>IF(ISBLANK(DeemedDashboard[[#This Row],[MeasAppType]]),"",IF(DeemedDashboard[[#This Row],[Std Device Years Over-lapping with Measure Years]]=0,0,DeemedDashboard[[#This Row],[Std Device Years Over-lapping with Measure Years]]/DeemedDashboard[[#This Row],[Counterfactual New Device EUL]]))</f>
        <v/>
      </c>
      <c r="BB16" s="329" t="str">
        <f>IF(ISBLANK(DeemedDashboard[[#This Row],[MeasAppType]]),"",IFERROR(IF(DeemedDashboard[[#This Row],[Pre Device Years Over-lapping with Measure Years]]=0,0,DeemedDashboard[[#This Row],[Pre Device Years Over-lapping with Measure Years]]/DeemedDashboard[[#This Row],[Existing Device EUL]]),""))</f>
        <v/>
      </c>
      <c r="BC16" s="329" t="str">
        <f>IFERROR(IF(DeemedDashboard[[#This Row],[Ext Device Years Over-lapping with Measure Years]]=0,0,DeemedDashboard[[#This Row],[Ext Device Years Over-lapping with Measure Years]]/DeemedDashboard[[#This Row],[Existing Device EUL]]),"")</f>
        <v/>
      </c>
      <c r="BD16" s="329" t="str">
        <f>IFERROR(IF(DeemedDashboard[[#This Row],[Msr Number of Years device retired early]]=0,0,DeemedDashboard[[#This Row],[Msr Number of Years device retired early]]/DeemedDashboard[[#This Row],[Msr EUL rounded]]),"")</f>
        <v/>
      </c>
      <c r="BE16" s="329" t="str">
        <f>IFERROR(IF(DeemedDashboard[[#This Row],[Std Number of Years device retired early]]=0,0,DeemedDashboard[[#This Row],[Std Number of Years device retired early]]/DeemedDashboard[[#This Row],[Msr EUL rounded]]),"")</f>
        <v/>
      </c>
      <c r="BF16" s="329" t="str">
        <f>IFERROR(IF(DeemedDashboard[[#This Row],[MeasAppType]]&lt;&gt;const_AR,"",IF(DeemedDashboard[[#This Row],[Pre Number of Years device retired early]]=0,0,DeemedDashboard[[#This Row],[Pre Number of Years device retired early]]/DeemedDashboard[[#This Row],[Existing Device EUL]])),"")</f>
        <v/>
      </c>
      <c r="BG16" s="329" t="str">
        <f>IFERROR(IF(DeemedDashboard[[#This Row],[Ext Number of Years device retired early]]=0,0,DeemedDashboard[[#This Row],[Ext Number of Years device retired early]]/DeemedDashboard[[#This Row],[Existing Device EUL]]),"")</f>
        <v/>
      </c>
      <c r="BH16" s="325" t="str">
        <f>IFERROR(1-DeemedDashboard[[#This Row],[Msr annual refrigerant leakage %]]*DeemedDashboard[[#This Row],[Msr t_EOL]],"")</f>
        <v/>
      </c>
      <c r="BI16" s="325" t="str">
        <f>IFERROR(1-DeemedDashboard[[#This Row],[Std annual refrigerant leakage %]]*DeemedDashboard[[#This Row],[Std t_EOL]],"")</f>
        <v/>
      </c>
      <c r="BJ16" s="325" t="str">
        <f>IFERROR(1-DeemedDashboard[[#This Row],[Pre/Ext annual refrigerant leakage %]]*DeemedDashboard[[#This Row],[Pre/Ext t_EOL]],"")</f>
        <v/>
      </c>
      <c r="BK16" s="325" t="str">
        <f>IFERROR(1-DeemedDashboard[[#This Row],[Pre/Ext annual refrigerant leakage %]]*DeemedDashboard[[#This Row],[Pre/Ext t_EOL]],"")</f>
        <v/>
      </c>
      <c r="BL16" s="325" t="str">
        <f>IFERROR(DeemedDashboard[[#This Row],[Msr charging remaining (%)]]*DeemedDashboard[[#This Row],[Msr gross EOL refrigerant leakage %]],"")</f>
        <v/>
      </c>
      <c r="BM16" s="325" t="str">
        <f>IFERROR(DeemedDashboard[[#This Row],[Std charging remaining (%)]]*DeemedDashboard[[#This Row],[Std gross EOL refrigerant leakage %]],"")</f>
        <v/>
      </c>
      <c r="BN16" s="325" t="str">
        <f>IFERROR(DeemedDashboard[[#This Row],[Pre charging remaining (%)]]*DeemedDashboard[[#This Row],[Pre/Ext gross EOL refrigerant leakage %]],"")</f>
        <v/>
      </c>
      <c r="BO16" s="325" t="str">
        <f>IFERROR(DeemedDashboard[[#This Row],[Ext charging remaining (%)]]*DeemedDashboard[[#This Row],[Pre/Ext gross EOL refrigerant leakage %]],"")</f>
        <v/>
      </c>
      <c r="BP16" s="330" t="str">
        <f>IFERROR((DeemedDashboard[[#This Row],[Msr refrigerant charge (lb) per NormUnit]]/pounds_per_metric_ton)*DeemedDashboard[[#This Row],[Msr annual refrigerant leakage %]]*DeemedDashboard[[#This Row],[Msr GWP]],"")</f>
        <v/>
      </c>
      <c r="BQ16" s="330" t="str">
        <f>IFERROR((DeemedDashboard[[#This Row],[Std refrigerant charge (lb) per NormUnit]]/pounds_per_metric_ton)*DeemedDashboard[[#This Row],[Std annual refrigerant leakage %]]*DeemedDashboard[[#This Row],[Std GWP]],"")</f>
        <v/>
      </c>
      <c r="BR16" s="330" t="str">
        <f>IF(DeemedDashboard[[#This Row],[MeasAppType]]=const_AR,(DeemedDashboard[[#This Row],[Pre/Ext refrigerant charge (lb) per NormUnit]]/pounds_per_metric_ton)*DeemedDashboard[[#This Row],[Pre/Ext annual refrigerant leakage %]]*DeemedDashboard[[#This Row],[Pre/Ext GWP]],"")</f>
        <v/>
      </c>
      <c r="BS16" s="330" t="str">
        <f>IF(DeemedDashboard[[#This Row],[MeasAppType]]=const_AR,(DeemedDashboard[[#This Row],[Pre/Ext refrigerant charge (lb) per NormUnit]]/pounds_per_metric_ton)*DeemedDashboard[[#This Row],[Pre/Ext annual refrigerant leakage %]]*DeemedDashboard[[#This Row],[Pre/Ext GWP]],"")</f>
        <v/>
      </c>
      <c r="BT16" s="330" t="str">
        <f>IFERROR((DeemedDashboard[[#This Row],[Msr refrigerant charge (lb) per NormUnit]]/pounds_per_metric_ton)*DeemedDashboard[[#This Row],[Msr net EOL refrigerant leakage (%)]]*DeemedDashboard[[#This Row],[Msr GWP]],"")</f>
        <v/>
      </c>
      <c r="BU16" s="330" t="str">
        <f>IFERROR((DeemedDashboard[[#This Row],[Std refrigerant charge (lb) per NormUnit]]/pounds_per_metric_ton)*DeemedDashboard[[#This Row],[Std net EOL refrigerant leakage (%)]]*DeemedDashboard[[#This Row],[Std GWP]],"")</f>
        <v/>
      </c>
      <c r="BV16" s="330" t="str">
        <f>IFERROR((DeemedDashboard[[#This Row],[Pre/Ext refrigerant charge (lb) per NormUnit]]/pounds_per_metric_ton)*DeemedDashboard[[#This Row],[Pre net EOL refrigerant leakage (%)]]*DeemedDashboard[[#This Row],[Pre/Ext GWP]],"")</f>
        <v/>
      </c>
      <c r="BW16" s="330" t="str">
        <f>IFERROR((DeemedDashboard[[#This Row],[Pre/Ext refrigerant charge (lb) per NormUnit]]/pounds_per_metric_ton)*DeemedDashboard[[#This Row],[Ext net EOL refrigerant leakage (%)]]*DeemedDashboard[[#This Row],[Pre/Ext GWP]],"")</f>
        <v/>
      </c>
      <c r="BX16" s="299" t="str" cm="1">
        <f t="array" aca="1" ref="BX1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6" s="305" t="str" cm="1">
        <f t="array" aca="1" ref="BY1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6" s="299" t="str">
        <f>IFERROR(IF(OR(DeemedDashboard[[#This Row],[MeasAppType]]&lt;&gt;const_AR,ISBLANK(DeemedDashboard[[#This Row],[MeasAppType]])),NA(),0),"")</f>
        <v/>
      </c>
      <c r="CA16" s="305" t="str" cm="1">
        <f t="array" aca="1" ref="CA1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6" s="299" t="str">
        <f ca="1">IFERROR((DeemedDashboard[[#This Row],[Msr EOL leakage tons CO2e]]*OFFSET(GHG_Adder_dollar_per_tonne,0,(DeemedDashboard[[#This Row],[Msr Device Retire-ment Year]]-DY+1),1,1))/(1+WACC)^(DeemedDashboard[[#This Row],[Msr Device Retire-ment Year]]-DeemedDashboard[[#This Row],[Measure Start Year]]+0.5),"")</f>
        <v/>
      </c>
      <c r="CC16" s="299" t="str">
        <f ca="1">IFERROR((DeemedDashboard[[#This Row],[Std EOL leakage tons CO2e]]*OFFSET(GHG_Adder_dollar_per_tonne,0,(DeemedDashboard[[#This Row],[Std Device Retire-ment Year]]-DY+1),1,1))/(1+WACC)^(DeemedDashboard[[#This Row],[Std Device Retire-ment Year]]-DeemedDashboard[[#This Row],[Measure Start Year]]+0.5),"")</f>
        <v/>
      </c>
      <c r="CD16" s="299" t="str">
        <f ca="1">IFERROR((DeemedDashboard[[#This Row],[Pre EOL leakage tons CO2e]]*OFFSET(GHG_Adder_dollar_per_tonne,0,(DeemedDashboard[[#This Row],[Measure Start Year]]-DY),1,1))/(1+WACC)^(-0.5),"")</f>
        <v/>
      </c>
      <c r="CE1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6" s="299" t="str">
        <f ca="1">IFERROR(DeemedDashboard[[#This Row],[Msr NPV Cost of Annual Leakage]]/(1+ACC_Inflation_Rate)^(DeemedDashboard[[#This Row],[Measure Start Year]]-DY),"")</f>
        <v/>
      </c>
      <c r="CG16" s="299" t="str">
        <f ca="1">IFERROR(DeemedDashboard[[#This Row],[Std NPV Cost of Annual Leakage]]/(1+ACC_Inflation_Rate)^(DeemedDashboard[[#This Row],[Measure Start Year]]-DY),"")</f>
        <v/>
      </c>
      <c r="CH16" s="299" t="str">
        <f>IFERROR(IF(ISBLANK(DeemedDashboard[[#This Row],[MeasAppType]]),NA(),IF(DeemedDashboard[[#This Row],[MeasAppType]]=const_AR,DeemedDashboard[[#This Row],[Pre NPV Cost of Annual Leakage]]/(1+ACC_Inflation_Rate)^(DeemedDashboard[[#This Row],[Measure Start Year]]-DY),"")),"")</f>
        <v/>
      </c>
      <c r="CI16" s="296" t="str">
        <f>IFERROR(IF(ISBLANK(DeemedDashboard[[#This Row],[MeasAppType]]),NA(),IF(DeemedDashboard[[#This Row],[MeasAppType]]=const_AR,DeemedDashboard[[#This Row],[Ext NPV Cost of Annual Leakage]]/(1+ACC_Inflation_Rate)^(DeemedDashboard[[#This Row],[Measure Start Year]]-DY),"")),"")</f>
        <v/>
      </c>
      <c r="CJ16" s="296" t="str">
        <f ca="1">IFERROR((DeemedDashboard[[#This Row],[Msr % of device lifetime during measure years]]+DeemedDashboard[[#This Row],[Msr % of device lifetime retired early]])*DeemedDashboard[[#This Row],[Msr NPV Cost of EOL Leakage]]/(1+ACC_Inflation_Rate)^(DeemedDashboard[[#This Row],[Measure Start Year]]-DY),"")</f>
        <v/>
      </c>
      <c r="CK16" s="296" t="str">
        <f ca="1">IFERROR((DeemedDashboard[[#This Row],[Std % of device lifetime during measure years]]+DeemedDashboard[[#This Row],[Std % of device lifetime retired early]])*DeemedDashboard[[#This Row],[Std NPV Cost of EOL Leakage]]/(1+ACC_Inflation_Rate)^(DeemedDashboard[[#This Row],[Measure Start Year]]-DY),"")</f>
        <v/>
      </c>
      <c r="CL1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6" s="299" t="str">
        <f ca="1">IFERROR(DeemedDashboard[[#This Row],[Counter-factual total 
NPV cost]]-DeemedDashboard[[#This Row],[Measure total 
NPV cost]],"")</f>
        <v/>
      </c>
      <c r="CQ16" s="299" t="str">
        <f>IF(ISBLANK(DeemedDashboard[[#This Row],[MeasAppType]]),"",DeemedDashboard[[#This Row],[Refrigerant
NPV costs
avoided]]&gt;0)</f>
        <v/>
      </c>
      <c r="CR16" s="299" t="str">
        <f ca="1">IFERROR(DeemedDashboard[[#This Row],[Msr Adj NPV Cost of Annual Leakage]]+DeemedDashboard[[#This Row],[Msr Adj NPV Cost of EOL Leakage]],"")</f>
        <v/>
      </c>
      <c r="CS16" s="299" t="str">
        <f ca="1">IFERROR(DeemedDashboard[[#This Row],[Std Adj NPV Cost of Annual Leakage]]+DeemedDashboard[[#This Row],[Std Adj NPV Cost of EOL Leakage]],"")</f>
        <v/>
      </c>
      <c r="CT16" s="299" t="str">
        <f>IFERROR(IF((DeemedDashboard[[#This Row],[Pre Adj NPV Cost of Annual Leakage]]+DeemedDashboard[[#This Row],[Pre Adj NPV Cost of EOL Leakage]])=0,"",DeemedDashboard[[#This Row],[Pre Adj NPV Cost of Annual Leakage]]+DeemedDashboard[[#This Row],[Pre Adj NPV Cost of EOL Leakage]]),"")</f>
        <v/>
      </c>
      <c r="CU16" s="299" t="str">
        <f>IFERROR(IF((DeemedDashboard[[#This Row],[Ext Adj NPV Cost of Annual Leakage]]+DeemedDashboard[[#This Row],[Ext Adj NPV Cost of EOL Leakage]])=0,"",DeemedDashboard[[#This Row],[Ext Adj NPV Cost of Annual Leakage]]+DeemedDashboard[[#This Row],[Ext Adj NPV Cost of EOL Leakage]]),"")</f>
        <v/>
      </c>
      <c r="CV16" s="305" t="str">
        <f>IFERROR(IF(DeemedDashboard[[#This Row],[Is Avoided Net Cost &gt;0?]],"",-DeemedDashboard[[#This Row],[Refrigerant
NPV costs
avoided]]),"")</f>
        <v/>
      </c>
      <c r="CW16" s="299" t="str">
        <f>IFERROR(IF(DeemedDashboard[[#This Row],[Is Avoided Net Cost &gt;0?]],DeemedDashboard[[#This Row],[Refrigerant
NPV costs
avoided]],""),"")</f>
        <v/>
      </c>
      <c r="CX16" s="391">
        <f ca="1">IFERROR(MATCH(DeemedDashboard[[#This Row],[TechGroup and NormUnit]],TechGroup_and_NormUnit,0),1)</f>
        <v>1</v>
      </c>
      <c r="CY16" s="391" cm="1">
        <f t="array" aca="1" ref="CY16" ca="1">IFERROR(INDEX(TGRows,DeemedDashboard[[#This Row],[TGIndex]]),"")</f>
        <v>2</v>
      </c>
      <c r="CZ16" s="391">
        <f ca="1">IF(DeemedDashboard[[#This Row],[MeasAppType]]=const_AR,DeemedDashboard[[#This Row],[TGRows]],DeemedDashboard[[#This Row],[TGRows]]+1)</f>
        <v>3</v>
      </c>
      <c r="DA16" s="391" t="str">
        <f>IF(ISBLANK(DeemedDashboard[[#This Row],[MeasAppType]]),"",IF(DeemedDashboard[[#This Row],[Index]]=User_Specified_Refrigerant[[#This Row],[Index]],"OK","ERROR"))</f>
        <v/>
      </c>
    </row>
    <row r="17" spans="1:105" s="320" customFormat="1" x14ac:dyDescent="0.25">
      <c r="A17" s="297">
        <f>ROW(DeemedDashboard[[#This Row],[Index]])-ROW(DeemedDashboard[[#Headers],[Index]])</f>
        <v>8</v>
      </c>
      <c r="B17" s="298"/>
      <c r="C17" s="321"/>
      <c r="D17" s="403"/>
      <c r="E17" s="403"/>
      <c r="F17" s="403"/>
      <c r="G17" s="403"/>
      <c r="H17" s="365"/>
      <c r="I17" s="339"/>
      <c r="J17" s="339"/>
      <c r="K17" s="339"/>
      <c r="L17" s="322"/>
      <c r="M17" s="322"/>
      <c r="N17" s="322"/>
      <c r="O1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7" s="582" t="str" cm="1">
        <f t="array" ref="R17">IFERROR(IF(DeemedDashboard[[#This Row],[Msr device type]]=const_device_nonrefrig,0,INDEX(_xlfn.SWITCH($E$4,const_20_yr,GWP_Values_20_year_AR4,const_100_yr,GWP_Values_100_year_AR4),MATCH(DeemedDashboard[[#This Row],[Msr refrigerant Type]],RefrigDropdownList,0))),"")</f>
        <v/>
      </c>
      <c r="S17" s="582" t="str" cm="1">
        <f t="array" ref="S17">IFERROR(IF(DeemedDashboard[[#This Row],[Std device type]]=const_device_nonrefrig,0,INDEX(_xlfn.SWITCH($E$4,const_20_yr,GWP_Values_20_year_AR4,const_100_yr,GWP_Values_100_year_AR4),MATCH(DeemedDashboard[[#This Row],[Std refrigerant Type]],RefrigDropdownList,0))),"")</f>
        <v/>
      </c>
      <c r="T17" s="582" t="str" cm="1">
        <f t="array" ref="T17">IFERROR(IF(DeemedDashboard[[#This Row],[Pre/Ext device type]]=const_device_nonrefrig,0,INDEX(_xlfn.SWITCH($E$4,const_20_yr,GWP_Values_20_year_AR4,const_100_yr,GWP_Values_100_year_AR4),MATCH(DeemedDashboard[[#This Row],[Pre/Ext refrigerant Type]],RefrigDropdownList,0))),"")</f>
        <v/>
      </c>
      <c r="U1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7" s="326" t="str">
        <f>IFERROR(IF(DeemedDashboard[[#This Row],[Msr device type]]=const_userspec,IF(ISBLANK(User_Specified_Refrigerant[[#This Row],[Msr t_EOL]]),"",User_Specified_Refrigerant[[#This Row],[Msr t_EOL]]),INDEX(TechGroup_NormUnit_Table[t_EOL],MATCH(DeemedDashboard[[#This Row],[Msr device type]],DropdownRefrigTech,0))),"")</f>
        <v/>
      </c>
      <c r="AB17" s="326" t="str">
        <f>IFERROR(IF(DeemedDashboard[[#This Row],[Std device type]]=const_userspec,IF(ISBLANK(User_Specified_Refrigerant[[#This Row],[Std t_EOL]]),"",User_Specified_Refrigerant[[#This Row],[Std t_EOL]]),INDEX(TechGroup_NormUnit_Table[t_EOL],MATCH(DeemedDashboard[[#This Row],[Std device type]],DropdownRefrigTech,0))),"")</f>
        <v/>
      </c>
      <c r="AC1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7" s="395" t="str">
        <f>IF(ISBLANK(DeemedDashboard[[#This Row],[MeasAppType]]),"",$E$2)</f>
        <v/>
      </c>
      <c r="AE17" s="395" t="str">
        <f>IFERROR(IF(ISBLANK(DeemedDashboard[[#This Row],[MeasAppType]]),NA(),DeemedDashboard[[#This Row],[Measure Start Year]]+DeemedDashboard[[#This Row],[Msr EUL rounded]]-1),"")</f>
        <v/>
      </c>
      <c r="AF17" s="323" t="str">
        <f>IF(ISBLANK(DeemedDashboard[[#This Row],[Measure New Device EUL]]),"",ROUND(DeemedDashboard[[#This Row],[Measure New Device EUL]],0))</f>
        <v/>
      </c>
      <c r="AG17" s="323" t="str">
        <f>IF(ISBLANK(DeemedDashboard[[#This Row],[Counterfactual New Device EUL]]),"",ROUND(DeemedDashboard[[#This Row],[Counterfactual New Device EUL]],0))</f>
        <v/>
      </c>
      <c r="AH17" s="323" t="str">
        <f>IF(ISBLANK(DeemedDashboard[[#This Row],[Existing Device EUL]]),"",ROUND(DeemedDashboard[[#This Row],[Existing Device EUL]],0))</f>
        <v/>
      </c>
      <c r="AI17" s="323" t="str">
        <f>IF(ISBLANK(DeemedDashboard[[#This Row],[Existing Device RUL or AR First Baseline Life]]),"",ROUND(DeemedDashboard[[#This Row],[Existing Device RUL or AR First Baseline Life]],0))</f>
        <v/>
      </c>
      <c r="AJ17" s="327" t="str">
        <f>DeemedDashboard[[#This Row],[Measure Start Year]]</f>
        <v/>
      </c>
      <c r="AK17" s="327" t="str">
        <f>IF(DeemedDashboard[[#This Row],[MeasAppType]]&lt;&gt;const_AR,DeemedDashboard[[#This Row],[Measure Start Year]],DeemedDashboard[[#This Row],[Ext Device Retire-ment Year]]+1)</f>
        <v/>
      </c>
      <c r="AL17" s="327" t="str">
        <f>IFERROR(IF(DeemedDashboard[[#This Row],[MeasAppType]]=const_AR,DeemedDashboard[[#This Row],[Measure Start Year]]-(DeemedDashboard[[#This Row],[Existing Device EUL]]-DeemedDashboard[[#This Row],[Existing Device RUL or AR First Baseline Life]]),NA()),"")</f>
        <v/>
      </c>
      <c r="AM17" s="327" t="str">
        <f>DeemedDashboard[[#This Row],[Pre Device Install Year]]</f>
        <v/>
      </c>
      <c r="AN17" s="327" t="str">
        <f>IFERROR(IF(ISBLANK(DeemedDashboard[[#This Row],[MeasAppType]]),NA(),DeemedDashboard[[#This Row],[Measure Start Year]]+DeemedDashboard[[#This Row],[Msr EUL rounded]]-1),"")</f>
        <v/>
      </c>
      <c r="AO17" s="327" t="str">
        <f>IFERROR(DeemedDashboard[[#This Row],[Std Device Install Year]]+DeemedDashboard[[#This Row],[Counterfactual New Device EUL]]-1,"")</f>
        <v/>
      </c>
      <c r="AP17" s="327" t="str">
        <f>IFERROR(IF(AND(DeemedDashboard[[#This Row],[MeasAppType]]=const_AR,DeemedDashboard[[#This Row],[Measure Start Year]]&lt;(DeemedDashboard[[#This Row],[Pre Device Install Year]]+DeemedDashboard[[#This Row],[Existing Device EUL]]-1)),DeemedDashboard[[#This Row],[Measure Start Year]]-1,NA()),"")</f>
        <v/>
      </c>
      <c r="AQ17" s="327" t="str">
        <f>IFERROR(IF(DeemedDashboard[[#This Row],[MeasAppType]]=const_AR,DeemedDashboard[[#This Row],[Ext Device Install Year]]+DeemedDashboard[[#This Row],[Existing Device EUL]]-1,NA()),"")</f>
        <v/>
      </c>
      <c r="AR17" s="327" t="str">
        <f>IFERROR(IF(ISBLANK(DeemedDashboard[[#This Row],[MeasAppType]]),NA(),0),"")</f>
        <v/>
      </c>
      <c r="AS17" s="327" t="str">
        <f>IFERROR(IF(ISBLANK(DeemedDashboard[[#This Row],[MeasAppType]]),NA(),0),"")</f>
        <v/>
      </c>
      <c r="AT17" s="327" t="str">
        <f>IF(ISBLANK(DeemedDashboard[[#This Row],[MeasAppType]]),"",IF(DeemedDashboard[[#This Row],[MeasAppType]]&lt;&gt;const_AR,"",(DeemedDashboard[[#This Row],[Pre Device Install Year]]+DeemedDashboard[[#This Row],[Existing Device EUL]]-1)-DeemedDashboard[[#This Row],[Pre Device Retire-ment Year]]))</f>
        <v/>
      </c>
      <c r="AU17" s="327" t="str">
        <f>IF(ISBLANK(DeemedDashboard[[#This Row],[MeasAppType]]),"",IF(DeemedDashboard[[#This Row],[MeasAppType]]=const_AR,0,""))</f>
        <v/>
      </c>
      <c r="AV17" s="328" t="str">
        <f>IF(ISBLANK(DeemedDashboard[[#This Row],[MeasAppType]]),"",MAX((1+MIN(DeemedDashboard[[#This Row],[Msr Device Retire-ment Year]],DeemedDashboard[[#This Row],[Measure End 
Year]])-MAX(DeemedDashboard[[#This Row],[Msr Device Install Year]],DeemedDashboard[[#This Row],[Measure Start Year]])),0))</f>
        <v/>
      </c>
      <c r="AW17" s="328" t="str">
        <f>IF(ISBLANK(DeemedDashboard[[#This Row],[MeasAppType]]),"",MAX((1+MIN(DeemedDashboard[[#This Row],[Std Device Retire-ment Year]],DeemedDashboard[[#This Row],[Measure End 
Year]])-MAX(DeemedDashboard[[#This Row],[Std Device Install Year]],DeemedDashboard[[#This Row],[Measure Start Year]])),0))</f>
        <v/>
      </c>
      <c r="AX1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7" s="329" t="str">
        <f>IF(ISBLANK(DeemedDashboard[[#This Row],[MeasAppType]]),"",IF(DeemedDashboard[[#This Row],[Msr Device Years Over-lapping with Measure Years]]=0,0,DeemedDashboard[[#This Row],[Msr Device Years Over-lapping with Measure Years]]/DeemedDashboard[[#This Row],[Msr EUL rounded]]))</f>
        <v/>
      </c>
      <c r="BA17" s="329" t="str">
        <f>IF(ISBLANK(DeemedDashboard[[#This Row],[MeasAppType]]),"",IF(DeemedDashboard[[#This Row],[Std Device Years Over-lapping with Measure Years]]=0,0,DeemedDashboard[[#This Row],[Std Device Years Over-lapping with Measure Years]]/DeemedDashboard[[#This Row],[Counterfactual New Device EUL]]))</f>
        <v/>
      </c>
      <c r="BB17" s="329" t="str">
        <f>IF(ISBLANK(DeemedDashboard[[#This Row],[MeasAppType]]),"",IFERROR(IF(DeemedDashboard[[#This Row],[Pre Device Years Over-lapping with Measure Years]]=0,0,DeemedDashboard[[#This Row],[Pre Device Years Over-lapping with Measure Years]]/DeemedDashboard[[#This Row],[Existing Device EUL]]),""))</f>
        <v/>
      </c>
      <c r="BC17" s="329" t="str">
        <f>IFERROR(IF(DeemedDashboard[[#This Row],[Ext Device Years Over-lapping with Measure Years]]=0,0,DeemedDashboard[[#This Row],[Ext Device Years Over-lapping with Measure Years]]/DeemedDashboard[[#This Row],[Existing Device EUL]]),"")</f>
        <v/>
      </c>
      <c r="BD17" s="329" t="str">
        <f>IFERROR(IF(DeemedDashboard[[#This Row],[Msr Number of Years device retired early]]=0,0,DeemedDashboard[[#This Row],[Msr Number of Years device retired early]]/DeemedDashboard[[#This Row],[Msr EUL rounded]]),"")</f>
        <v/>
      </c>
      <c r="BE17" s="329" t="str">
        <f>IFERROR(IF(DeemedDashboard[[#This Row],[Std Number of Years device retired early]]=0,0,DeemedDashboard[[#This Row],[Std Number of Years device retired early]]/DeemedDashboard[[#This Row],[Msr EUL rounded]]),"")</f>
        <v/>
      </c>
      <c r="BF17" s="329" t="str">
        <f>IFERROR(IF(DeemedDashboard[[#This Row],[MeasAppType]]&lt;&gt;const_AR,"",IF(DeemedDashboard[[#This Row],[Pre Number of Years device retired early]]=0,0,DeemedDashboard[[#This Row],[Pre Number of Years device retired early]]/DeemedDashboard[[#This Row],[Existing Device EUL]])),"")</f>
        <v/>
      </c>
      <c r="BG17" s="329" t="str">
        <f>IFERROR(IF(DeemedDashboard[[#This Row],[Ext Number of Years device retired early]]=0,0,DeemedDashboard[[#This Row],[Ext Number of Years device retired early]]/DeemedDashboard[[#This Row],[Existing Device EUL]]),"")</f>
        <v/>
      </c>
      <c r="BH17" s="325" t="str">
        <f>IFERROR(1-DeemedDashboard[[#This Row],[Msr annual refrigerant leakage %]]*DeemedDashboard[[#This Row],[Msr t_EOL]],"")</f>
        <v/>
      </c>
      <c r="BI17" s="325" t="str">
        <f>IFERROR(1-DeemedDashboard[[#This Row],[Std annual refrigerant leakage %]]*DeemedDashboard[[#This Row],[Std t_EOL]],"")</f>
        <v/>
      </c>
      <c r="BJ17" s="325" t="str">
        <f>IFERROR(1-DeemedDashboard[[#This Row],[Pre/Ext annual refrigerant leakage %]]*DeemedDashboard[[#This Row],[Pre/Ext t_EOL]],"")</f>
        <v/>
      </c>
      <c r="BK17" s="325" t="str">
        <f>IFERROR(1-DeemedDashboard[[#This Row],[Pre/Ext annual refrigerant leakage %]]*DeemedDashboard[[#This Row],[Pre/Ext t_EOL]],"")</f>
        <v/>
      </c>
      <c r="BL17" s="325" t="str">
        <f>IFERROR(DeemedDashboard[[#This Row],[Msr charging remaining (%)]]*DeemedDashboard[[#This Row],[Msr gross EOL refrigerant leakage %]],"")</f>
        <v/>
      </c>
      <c r="BM17" s="325" t="str">
        <f>IFERROR(DeemedDashboard[[#This Row],[Std charging remaining (%)]]*DeemedDashboard[[#This Row],[Std gross EOL refrigerant leakage %]],"")</f>
        <v/>
      </c>
      <c r="BN17" s="325" t="str">
        <f>IFERROR(DeemedDashboard[[#This Row],[Pre charging remaining (%)]]*DeemedDashboard[[#This Row],[Pre/Ext gross EOL refrigerant leakage %]],"")</f>
        <v/>
      </c>
      <c r="BO17" s="325" t="str">
        <f>IFERROR(DeemedDashboard[[#This Row],[Ext charging remaining (%)]]*DeemedDashboard[[#This Row],[Pre/Ext gross EOL refrigerant leakage %]],"")</f>
        <v/>
      </c>
      <c r="BP17" s="330" t="str">
        <f>IFERROR((DeemedDashboard[[#This Row],[Msr refrigerant charge (lb) per NormUnit]]/pounds_per_metric_ton)*DeemedDashboard[[#This Row],[Msr annual refrigerant leakage %]]*DeemedDashboard[[#This Row],[Msr GWP]],"")</f>
        <v/>
      </c>
      <c r="BQ17" s="330" t="str">
        <f>IFERROR((DeemedDashboard[[#This Row],[Std refrigerant charge (lb) per NormUnit]]/pounds_per_metric_ton)*DeemedDashboard[[#This Row],[Std annual refrigerant leakage %]]*DeemedDashboard[[#This Row],[Std GWP]],"")</f>
        <v/>
      </c>
      <c r="BR17" s="330" t="str">
        <f>IF(DeemedDashboard[[#This Row],[MeasAppType]]=const_AR,(DeemedDashboard[[#This Row],[Pre/Ext refrigerant charge (lb) per NormUnit]]/pounds_per_metric_ton)*DeemedDashboard[[#This Row],[Pre/Ext annual refrigerant leakage %]]*DeemedDashboard[[#This Row],[Pre/Ext GWP]],"")</f>
        <v/>
      </c>
      <c r="BS17" s="330" t="str">
        <f>IF(DeemedDashboard[[#This Row],[MeasAppType]]=const_AR,(DeemedDashboard[[#This Row],[Pre/Ext refrigerant charge (lb) per NormUnit]]/pounds_per_metric_ton)*DeemedDashboard[[#This Row],[Pre/Ext annual refrigerant leakage %]]*DeemedDashboard[[#This Row],[Pre/Ext GWP]],"")</f>
        <v/>
      </c>
      <c r="BT17" s="330" t="str">
        <f>IFERROR((DeemedDashboard[[#This Row],[Msr refrigerant charge (lb) per NormUnit]]/pounds_per_metric_ton)*DeemedDashboard[[#This Row],[Msr net EOL refrigerant leakage (%)]]*DeemedDashboard[[#This Row],[Msr GWP]],"")</f>
        <v/>
      </c>
      <c r="BU17" s="330" t="str">
        <f>IFERROR((DeemedDashboard[[#This Row],[Std refrigerant charge (lb) per NormUnit]]/pounds_per_metric_ton)*DeemedDashboard[[#This Row],[Std net EOL refrigerant leakage (%)]]*DeemedDashboard[[#This Row],[Std GWP]],"")</f>
        <v/>
      </c>
      <c r="BV17" s="330" t="str">
        <f>IFERROR((DeemedDashboard[[#This Row],[Pre/Ext refrigerant charge (lb) per NormUnit]]/pounds_per_metric_ton)*DeemedDashboard[[#This Row],[Pre net EOL refrigerant leakage (%)]]*DeemedDashboard[[#This Row],[Pre/Ext GWP]],"")</f>
        <v/>
      </c>
      <c r="BW17" s="330" t="str">
        <f>IFERROR((DeemedDashboard[[#This Row],[Pre/Ext refrigerant charge (lb) per NormUnit]]/pounds_per_metric_ton)*DeemedDashboard[[#This Row],[Ext net EOL refrigerant leakage (%)]]*DeemedDashboard[[#This Row],[Pre/Ext GWP]],"")</f>
        <v/>
      </c>
      <c r="BX17" s="299" t="str" cm="1">
        <f t="array" aca="1" ref="BX1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7" s="305" t="str" cm="1">
        <f t="array" aca="1" ref="BY1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7" s="299" t="str">
        <f>IFERROR(IF(OR(DeemedDashboard[[#This Row],[MeasAppType]]&lt;&gt;const_AR,ISBLANK(DeemedDashboard[[#This Row],[MeasAppType]])),NA(),0),"")</f>
        <v/>
      </c>
      <c r="CA17" s="305" t="str" cm="1">
        <f t="array" aca="1" ref="CA1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7" s="299" t="str">
        <f ca="1">IFERROR((DeemedDashboard[[#This Row],[Msr EOL leakage tons CO2e]]*OFFSET(GHG_Adder_dollar_per_tonne,0,(DeemedDashboard[[#This Row],[Msr Device Retire-ment Year]]-DY+1),1,1))/(1+WACC)^(DeemedDashboard[[#This Row],[Msr Device Retire-ment Year]]-DeemedDashboard[[#This Row],[Measure Start Year]]+0.5),"")</f>
        <v/>
      </c>
      <c r="CC17" s="299" t="str">
        <f ca="1">IFERROR((DeemedDashboard[[#This Row],[Std EOL leakage tons CO2e]]*OFFSET(GHG_Adder_dollar_per_tonne,0,(DeemedDashboard[[#This Row],[Std Device Retire-ment Year]]-DY+1),1,1))/(1+WACC)^(DeemedDashboard[[#This Row],[Std Device Retire-ment Year]]-DeemedDashboard[[#This Row],[Measure Start Year]]+0.5),"")</f>
        <v/>
      </c>
      <c r="CD17" s="299" t="str">
        <f ca="1">IFERROR((DeemedDashboard[[#This Row],[Pre EOL leakage tons CO2e]]*OFFSET(GHG_Adder_dollar_per_tonne,0,(DeemedDashboard[[#This Row],[Measure Start Year]]-DY),1,1))/(1+WACC)^(-0.5),"")</f>
        <v/>
      </c>
      <c r="CE1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7" s="299" t="str">
        <f ca="1">IFERROR(DeemedDashboard[[#This Row],[Msr NPV Cost of Annual Leakage]]/(1+ACC_Inflation_Rate)^(DeemedDashboard[[#This Row],[Measure Start Year]]-DY),"")</f>
        <v/>
      </c>
      <c r="CG17" s="299" t="str">
        <f ca="1">IFERROR(DeemedDashboard[[#This Row],[Std NPV Cost of Annual Leakage]]/(1+ACC_Inflation_Rate)^(DeemedDashboard[[#This Row],[Measure Start Year]]-DY),"")</f>
        <v/>
      </c>
      <c r="CH17" s="299" t="str">
        <f>IFERROR(IF(ISBLANK(DeemedDashboard[[#This Row],[MeasAppType]]),NA(),IF(DeemedDashboard[[#This Row],[MeasAppType]]=const_AR,DeemedDashboard[[#This Row],[Pre NPV Cost of Annual Leakage]]/(1+ACC_Inflation_Rate)^(DeemedDashboard[[#This Row],[Measure Start Year]]-DY),"")),"")</f>
        <v/>
      </c>
      <c r="CI17" s="296" t="str">
        <f>IFERROR(IF(ISBLANK(DeemedDashboard[[#This Row],[MeasAppType]]),NA(),IF(DeemedDashboard[[#This Row],[MeasAppType]]=const_AR,DeemedDashboard[[#This Row],[Ext NPV Cost of Annual Leakage]]/(1+ACC_Inflation_Rate)^(DeemedDashboard[[#This Row],[Measure Start Year]]-DY),"")),"")</f>
        <v/>
      </c>
      <c r="CJ17" s="296" t="str">
        <f ca="1">IFERROR((DeemedDashboard[[#This Row],[Msr % of device lifetime during measure years]]+DeemedDashboard[[#This Row],[Msr % of device lifetime retired early]])*DeemedDashboard[[#This Row],[Msr NPV Cost of EOL Leakage]]/(1+ACC_Inflation_Rate)^(DeemedDashboard[[#This Row],[Measure Start Year]]-DY),"")</f>
        <v/>
      </c>
      <c r="CK17" s="296" t="str">
        <f ca="1">IFERROR((DeemedDashboard[[#This Row],[Std % of device lifetime during measure years]]+DeemedDashboard[[#This Row],[Std % of device lifetime retired early]])*DeemedDashboard[[#This Row],[Std NPV Cost of EOL Leakage]]/(1+ACC_Inflation_Rate)^(DeemedDashboard[[#This Row],[Measure Start Year]]-DY),"")</f>
        <v/>
      </c>
      <c r="CL1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7" s="299" t="str">
        <f ca="1">IFERROR(DeemedDashboard[[#This Row],[Counter-factual total 
NPV cost]]-DeemedDashboard[[#This Row],[Measure total 
NPV cost]],"")</f>
        <v/>
      </c>
      <c r="CQ17" s="299" t="str">
        <f>IF(ISBLANK(DeemedDashboard[[#This Row],[MeasAppType]]),"",DeemedDashboard[[#This Row],[Refrigerant
NPV costs
avoided]]&gt;0)</f>
        <v/>
      </c>
      <c r="CR17" s="299" t="str">
        <f ca="1">IFERROR(DeemedDashboard[[#This Row],[Msr Adj NPV Cost of Annual Leakage]]+DeemedDashboard[[#This Row],[Msr Adj NPV Cost of EOL Leakage]],"")</f>
        <v/>
      </c>
      <c r="CS17" s="299" t="str">
        <f ca="1">IFERROR(DeemedDashboard[[#This Row],[Std Adj NPV Cost of Annual Leakage]]+DeemedDashboard[[#This Row],[Std Adj NPV Cost of EOL Leakage]],"")</f>
        <v/>
      </c>
      <c r="CT17" s="299" t="str">
        <f>IFERROR(IF((DeemedDashboard[[#This Row],[Pre Adj NPV Cost of Annual Leakage]]+DeemedDashboard[[#This Row],[Pre Adj NPV Cost of EOL Leakage]])=0,"",DeemedDashboard[[#This Row],[Pre Adj NPV Cost of Annual Leakage]]+DeemedDashboard[[#This Row],[Pre Adj NPV Cost of EOL Leakage]]),"")</f>
        <v/>
      </c>
      <c r="CU17" s="299" t="str">
        <f>IFERROR(IF((DeemedDashboard[[#This Row],[Ext Adj NPV Cost of Annual Leakage]]+DeemedDashboard[[#This Row],[Ext Adj NPV Cost of EOL Leakage]])=0,"",DeemedDashboard[[#This Row],[Ext Adj NPV Cost of Annual Leakage]]+DeemedDashboard[[#This Row],[Ext Adj NPV Cost of EOL Leakage]]),"")</f>
        <v/>
      </c>
      <c r="CV17" s="299" t="str">
        <f>IFERROR(IF(DeemedDashboard[[#This Row],[Is Avoided Net Cost &gt;0?]],"",-DeemedDashboard[[#This Row],[Refrigerant
NPV costs
avoided]]),"")</f>
        <v/>
      </c>
      <c r="CW17" s="299" t="str">
        <f>IFERROR(IF(DeemedDashboard[[#This Row],[Is Avoided Net Cost &gt;0?]],DeemedDashboard[[#This Row],[Refrigerant
NPV costs
avoided]],""),"")</f>
        <v/>
      </c>
      <c r="CX17" s="391">
        <f ca="1">IFERROR(MATCH(DeemedDashboard[[#This Row],[TechGroup and NormUnit]],TechGroup_and_NormUnit,0),1)</f>
        <v>1</v>
      </c>
      <c r="CY17" s="391" cm="1">
        <f t="array" aca="1" ref="CY17" ca="1">IFERROR(INDEX(TGRows,DeemedDashboard[[#This Row],[TGIndex]]),"")</f>
        <v>2</v>
      </c>
      <c r="CZ17" s="391">
        <f ca="1">IF(DeemedDashboard[[#This Row],[MeasAppType]]=const_AR,DeemedDashboard[[#This Row],[TGRows]],DeemedDashboard[[#This Row],[TGRows]]+1)</f>
        <v>3</v>
      </c>
      <c r="DA17" s="391" t="str">
        <f>IF(ISBLANK(DeemedDashboard[[#This Row],[MeasAppType]]),"",IF(DeemedDashboard[[#This Row],[Index]]=User_Specified_Refrigerant[[#This Row],[Index]],"OK","ERROR"))</f>
        <v/>
      </c>
    </row>
    <row r="18" spans="1:105" s="320" customFormat="1" x14ac:dyDescent="0.25">
      <c r="A18" s="297">
        <f>ROW(DeemedDashboard[[#This Row],[Index]])-ROW(DeemedDashboard[[#Headers],[Index]])</f>
        <v>9</v>
      </c>
      <c r="B18" s="298"/>
      <c r="C18" s="321"/>
      <c r="D18" s="403"/>
      <c r="E18" s="403"/>
      <c r="F18" s="403"/>
      <c r="G18" s="403"/>
      <c r="H18" s="365"/>
      <c r="I18" s="339"/>
      <c r="J18" s="339"/>
      <c r="K18" s="339"/>
      <c r="L18" s="322"/>
      <c r="M18" s="322"/>
      <c r="N18" s="322"/>
      <c r="O1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8" s="582" t="str" cm="1">
        <f t="array" ref="R18">IFERROR(IF(DeemedDashboard[[#This Row],[Msr device type]]=const_device_nonrefrig,0,INDEX(_xlfn.SWITCH($E$4,const_20_yr,GWP_Values_20_year_AR4,const_100_yr,GWP_Values_100_year_AR4),MATCH(DeemedDashboard[[#This Row],[Msr refrigerant Type]],RefrigDropdownList,0))),"")</f>
        <v/>
      </c>
      <c r="S18" s="582" t="str" cm="1">
        <f t="array" ref="S18">IFERROR(IF(DeemedDashboard[[#This Row],[Std device type]]=const_device_nonrefrig,0,INDEX(_xlfn.SWITCH($E$4,const_20_yr,GWP_Values_20_year_AR4,const_100_yr,GWP_Values_100_year_AR4),MATCH(DeemedDashboard[[#This Row],[Std refrigerant Type]],RefrigDropdownList,0))),"")</f>
        <v/>
      </c>
      <c r="T18" s="582" t="str" cm="1">
        <f t="array" ref="T18">IFERROR(IF(DeemedDashboard[[#This Row],[Pre/Ext device type]]=const_device_nonrefrig,0,INDEX(_xlfn.SWITCH($E$4,const_20_yr,GWP_Values_20_year_AR4,const_100_yr,GWP_Values_100_year_AR4),MATCH(DeemedDashboard[[#This Row],[Pre/Ext refrigerant Type]],RefrigDropdownList,0))),"")</f>
        <v/>
      </c>
      <c r="U1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8" s="326" t="str">
        <f>IFERROR(IF(DeemedDashboard[[#This Row],[Msr device type]]=const_userspec,IF(ISBLANK(User_Specified_Refrigerant[[#This Row],[Msr t_EOL]]),"",User_Specified_Refrigerant[[#This Row],[Msr t_EOL]]),INDEX(TechGroup_NormUnit_Table[t_EOL],MATCH(DeemedDashboard[[#This Row],[Msr device type]],DropdownRefrigTech,0))),"")</f>
        <v/>
      </c>
      <c r="AB18" s="326" t="str">
        <f>IFERROR(IF(DeemedDashboard[[#This Row],[Std device type]]=const_userspec,IF(ISBLANK(User_Specified_Refrigerant[[#This Row],[Std t_EOL]]),"",User_Specified_Refrigerant[[#This Row],[Std t_EOL]]),INDEX(TechGroup_NormUnit_Table[t_EOL],MATCH(DeemedDashboard[[#This Row],[Std device type]],DropdownRefrigTech,0))),"")</f>
        <v/>
      </c>
      <c r="AC1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8" s="395" t="str">
        <f>IF(ISBLANK(DeemedDashboard[[#This Row],[MeasAppType]]),"",$E$2)</f>
        <v/>
      </c>
      <c r="AE18" s="395" t="str">
        <f>IFERROR(IF(ISBLANK(DeemedDashboard[[#This Row],[MeasAppType]]),NA(),DeemedDashboard[[#This Row],[Measure Start Year]]+DeemedDashboard[[#This Row],[Msr EUL rounded]]-1),"")</f>
        <v/>
      </c>
      <c r="AF18" s="323" t="str">
        <f>IF(ISBLANK(DeemedDashboard[[#This Row],[Measure New Device EUL]]),"",ROUND(DeemedDashboard[[#This Row],[Measure New Device EUL]],0))</f>
        <v/>
      </c>
      <c r="AG18" s="323" t="str">
        <f>IF(ISBLANK(DeemedDashboard[[#This Row],[Counterfactual New Device EUL]]),"",ROUND(DeemedDashboard[[#This Row],[Counterfactual New Device EUL]],0))</f>
        <v/>
      </c>
      <c r="AH18" s="323" t="str">
        <f>IF(ISBLANK(DeemedDashboard[[#This Row],[Existing Device EUL]]),"",ROUND(DeemedDashboard[[#This Row],[Existing Device EUL]],0))</f>
        <v/>
      </c>
      <c r="AI18" s="323" t="str">
        <f>IF(ISBLANK(DeemedDashboard[[#This Row],[Existing Device RUL or AR First Baseline Life]]),"",ROUND(DeemedDashboard[[#This Row],[Existing Device RUL or AR First Baseline Life]],0))</f>
        <v/>
      </c>
      <c r="AJ18" s="327" t="str">
        <f>DeemedDashboard[[#This Row],[Measure Start Year]]</f>
        <v/>
      </c>
      <c r="AK18" s="327" t="str">
        <f>IF(DeemedDashboard[[#This Row],[MeasAppType]]&lt;&gt;const_AR,DeemedDashboard[[#This Row],[Measure Start Year]],DeemedDashboard[[#This Row],[Ext Device Retire-ment Year]]+1)</f>
        <v/>
      </c>
      <c r="AL18" s="327" t="str">
        <f>IFERROR(IF(DeemedDashboard[[#This Row],[MeasAppType]]=const_AR,DeemedDashboard[[#This Row],[Measure Start Year]]-(DeemedDashboard[[#This Row],[Existing Device EUL]]-DeemedDashboard[[#This Row],[Existing Device RUL or AR First Baseline Life]]),NA()),"")</f>
        <v/>
      </c>
      <c r="AM18" s="327" t="str">
        <f>DeemedDashboard[[#This Row],[Pre Device Install Year]]</f>
        <v/>
      </c>
      <c r="AN18" s="327" t="str">
        <f>IFERROR(IF(ISBLANK(DeemedDashboard[[#This Row],[MeasAppType]]),NA(),DeemedDashboard[[#This Row],[Measure Start Year]]+DeemedDashboard[[#This Row],[Msr EUL rounded]]-1),"")</f>
        <v/>
      </c>
      <c r="AO18" s="327" t="str">
        <f>IFERROR(DeemedDashboard[[#This Row],[Std Device Install Year]]+DeemedDashboard[[#This Row],[Counterfactual New Device EUL]]-1,"")</f>
        <v/>
      </c>
      <c r="AP18" s="327" t="str">
        <f>IFERROR(IF(AND(DeemedDashboard[[#This Row],[MeasAppType]]=const_AR,DeemedDashboard[[#This Row],[Measure Start Year]]&lt;(DeemedDashboard[[#This Row],[Pre Device Install Year]]+DeemedDashboard[[#This Row],[Existing Device EUL]]-1)),DeemedDashboard[[#This Row],[Measure Start Year]]-1,NA()),"")</f>
        <v/>
      </c>
      <c r="AQ18" s="327" t="str">
        <f>IFERROR(IF(DeemedDashboard[[#This Row],[MeasAppType]]=const_AR,DeemedDashboard[[#This Row],[Ext Device Install Year]]+DeemedDashboard[[#This Row],[Existing Device EUL]]-1,NA()),"")</f>
        <v/>
      </c>
      <c r="AR18" s="327" t="str">
        <f>IFERROR(IF(ISBLANK(DeemedDashboard[[#This Row],[MeasAppType]]),NA(),0),"")</f>
        <v/>
      </c>
      <c r="AS18" s="327" t="str">
        <f>IFERROR(IF(ISBLANK(DeemedDashboard[[#This Row],[MeasAppType]]),NA(),0),"")</f>
        <v/>
      </c>
      <c r="AT18" s="327" t="str">
        <f>IF(ISBLANK(DeemedDashboard[[#This Row],[MeasAppType]]),"",IF(DeemedDashboard[[#This Row],[MeasAppType]]&lt;&gt;const_AR,"",(DeemedDashboard[[#This Row],[Pre Device Install Year]]+DeemedDashboard[[#This Row],[Existing Device EUL]]-1)-DeemedDashboard[[#This Row],[Pre Device Retire-ment Year]]))</f>
        <v/>
      </c>
      <c r="AU18" s="327" t="str">
        <f>IF(ISBLANK(DeemedDashboard[[#This Row],[MeasAppType]]),"",IF(DeemedDashboard[[#This Row],[MeasAppType]]=const_AR,0,""))</f>
        <v/>
      </c>
      <c r="AV18" s="328" t="str">
        <f>IF(ISBLANK(DeemedDashboard[[#This Row],[MeasAppType]]),"",MAX((1+MIN(DeemedDashboard[[#This Row],[Msr Device Retire-ment Year]],DeemedDashboard[[#This Row],[Measure End 
Year]])-MAX(DeemedDashboard[[#This Row],[Msr Device Install Year]],DeemedDashboard[[#This Row],[Measure Start Year]])),0))</f>
        <v/>
      </c>
      <c r="AW18" s="328" t="str">
        <f>IF(ISBLANK(DeemedDashboard[[#This Row],[MeasAppType]]),"",MAX((1+MIN(DeemedDashboard[[#This Row],[Std Device Retire-ment Year]],DeemedDashboard[[#This Row],[Measure End 
Year]])-MAX(DeemedDashboard[[#This Row],[Std Device Install Year]],DeemedDashboard[[#This Row],[Measure Start Year]])),0))</f>
        <v/>
      </c>
      <c r="AX1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8" s="329" t="str">
        <f>IF(ISBLANK(DeemedDashboard[[#This Row],[MeasAppType]]),"",IF(DeemedDashboard[[#This Row],[Msr Device Years Over-lapping with Measure Years]]=0,0,DeemedDashboard[[#This Row],[Msr Device Years Over-lapping with Measure Years]]/DeemedDashboard[[#This Row],[Msr EUL rounded]]))</f>
        <v/>
      </c>
      <c r="BA18" s="329" t="str">
        <f>IF(ISBLANK(DeemedDashboard[[#This Row],[MeasAppType]]),"",IF(DeemedDashboard[[#This Row],[Std Device Years Over-lapping with Measure Years]]=0,0,DeemedDashboard[[#This Row],[Std Device Years Over-lapping with Measure Years]]/DeemedDashboard[[#This Row],[Counterfactual New Device EUL]]))</f>
        <v/>
      </c>
      <c r="BB18" s="329" t="str">
        <f>IF(ISBLANK(DeemedDashboard[[#This Row],[MeasAppType]]),"",IFERROR(IF(DeemedDashboard[[#This Row],[Pre Device Years Over-lapping with Measure Years]]=0,0,DeemedDashboard[[#This Row],[Pre Device Years Over-lapping with Measure Years]]/DeemedDashboard[[#This Row],[Existing Device EUL]]),""))</f>
        <v/>
      </c>
      <c r="BC18" s="329" t="str">
        <f>IFERROR(IF(DeemedDashboard[[#This Row],[Ext Device Years Over-lapping with Measure Years]]=0,0,DeemedDashboard[[#This Row],[Ext Device Years Over-lapping with Measure Years]]/DeemedDashboard[[#This Row],[Existing Device EUL]]),"")</f>
        <v/>
      </c>
      <c r="BD18" s="329" t="str">
        <f>IFERROR(IF(DeemedDashboard[[#This Row],[Msr Number of Years device retired early]]=0,0,DeemedDashboard[[#This Row],[Msr Number of Years device retired early]]/DeemedDashboard[[#This Row],[Msr EUL rounded]]),"")</f>
        <v/>
      </c>
      <c r="BE18" s="329" t="str">
        <f>IFERROR(IF(DeemedDashboard[[#This Row],[Std Number of Years device retired early]]=0,0,DeemedDashboard[[#This Row],[Std Number of Years device retired early]]/DeemedDashboard[[#This Row],[Msr EUL rounded]]),"")</f>
        <v/>
      </c>
      <c r="BF18" s="329" t="str">
        <f>IFERROR(IF(DeemedDashboard[[#This Row],[MeasAppType]]&lt;&gt;const_AR,"",IF(DeemedDashboard[[#This Row],[Pre Number of Years device retired early]]=0,0,DeemedDashboard[[#This Row],[Pre Number of Years device retired early]]/DeemedDashboard[[#This Row],[Existing Device EUL]])),"")</f>
        <v/>
      </c>
      <c r="BG18" s="329" t="str">
        <f>IFERROR(IF(DeemedDashboard[[#This Row],[Ext Number of Years device retired early]]=0,0,DeemedDashboard[[#This Row],[Ext Number of Years device retired early]]/DeemedDashboard[[#This Row],[Existing Device EUL]]),"")</f>
        <v/>
      </c>
      <c r="BH18" s="325" t="str">
        <f>IFERROR(1-DeemedDashboard[[#This Row],[Msr annual refrigerant leakage %]]*DeemedDashboard[[#This Row],[Msr t_EOL]],"")</f>
        <v/>
      </c>
      <c r="BI18" s="325" t="str">
        <f>IFERROR(1-DeemedDashboard[[#This Row],[Std annual refrigerant leakage %]]*DeemedDashboard[[#This Row],[Std t_EOL]],"")</f>
        <v/>
      </c>
      <c r="BJ18" s="325" t="str">
        <f>IFERROR(1-DeemedDashboard[[#This Row],[Pre/Ext annual refrigerant leakage %]]*DeemedDashboard[[#This Row],[Pre/Ext t_EOL]],"")</f>
        <v/>
      </c>
      <c r="BK18" s="325" t="str">
        <f>IFERROR(1-DeemedDashboard[[#This Row],[Pre/Ext annual refrigerant leakage %]]*DeemedDashboard[[#This Row],[Pre/Ext t_EOL]],"")</f>
        <v/>
      </c>
      <c r="BL18" s="325" t="str">
        <f>IFERROR(DeemedDashboard[[#This Row],[Msr charging remaining (%)]]*DeemedDashboard[[#This Row],[Msr gross EOL refrigerant leakage %]],"")</f>
        <v/>
      </c>
      <c r="BM18" s="325" t="str">
        <f>IFERROR(DeemedDashboard[[#This Row],[Std charging remaining (%)]]*DeemedDashboard[[#This Row],[Std gross EOL refrigerant leakage %]],"")</f>
        <v/>
      </c>
      <c r="BN18" s="325" t="str">
        <f>IFERROR(DeemedDashboard[[#This Row],[Pre charging remaining (%)]]*DeemedDashboard[[#This Row],[Pre/Ext gross EOL refrigerant leakage %]],"")</f>
        <v/>
      </c>
      <c r="BO18" s="325" t="str">
        <f>IFERROR(DeemedDashboard[[#This Row],[Ext charging remaining (%)]]*DeemedDashboard[[#This Row],[Pre/Ext gross EOL refrigerant leakage %]],"")</f>
        <v/>
      </c>
      <c r="BP18" s="330" t="str">
        <f>IFERROR((DeemedDashboard[[#This Row],[Msr refrigerant charge (lb) per NormUnit]]/pounds_per_metric_ton)*DeemedDashboard[[#This Row],[Msr annual refrigerant leakage %]]*DeemedDashboard[[#This Row],[Msr GWP]],"")</f>
        <v/>
      </c>
      <c r="BQ18" s="330" t="str">
        <f>IFERROR((DeemedDashboard[[#This Row],[Std refrigerant charge (lb) per NormUnit]]/pounds_per_metric_ton)*DeemedDashboard[[#This Row],[Std annual refrigerant leakage %]]*DeemedDashboard[[#This Row],[Std GWP]],"")</f>
        <v/>
      </c>
      <c r="BR18" s="330" t="str">
        <f>IF(DeemedDashboard[[#This Row],[MeasAppType]]=const_AR,(DeemedDashboard[[#This Row],[Pre/Ext refrigerant charge (lb) per NormUnit]]/pounds_per_metric_ton)*DeemedDashboard[[#This Row],[Pre/Ext annual refrigerant leakage %]]*DeemedDashboard[[#This Row],[Pre/Ext GWP]],"")</f>
        <v/>
      </c>
      <c r="BS18" s="330" t="str">
        <f>IF(DeemedDashboard[[#This Row],[MeasAppType]]=const_AR,(DeemedDashboard[[#This Row],[Pre/Ext refrigerant charge (lb) per NormUnit]]/pounds_per_metric_ton)*DeemedDashboard[[#This Row],[Pre/Ext annual refrigerant leakage %]]*DeemedDashboard[[#This Row],[Pre/Ext GWP]],"")</f>
        <v/>
      </c>
      <c r="BT18" s="330" t="str">
        <f>IFERROR((DeemedDashboard[[#This Row],[Msr refrigerant charge (lb) per NormUnit]]/pounds_per_metric_ton)*DeemedDashboard[[#This Row],[Msr net EOL refrigerant leakage (%)]]*DeemedDashboard[[#This Row],[Msr GWP]],"")</f>
        <v/>
      </c>
      <c r="BU18" s="330" t="str">
        <f>IFERROR((DeemedDashboard[[#This Row],[Std refrigerant charge (lb) per NormUnit]]/pounds_per_metric_ton)*DeemedDashboard[[#This Row],[Std net EOL refrigerant leakage (%)]]*DeemedDashboard[[#This Row],[Std GWP]],"")</f>
        <v/>
      </c>
      <c r="BV18" s="330" t="str">
        <f>IFERROR((DeemedDashboard[[#This Row],[Pre/Ext refrigerant charge (lb) per NormUnit]]/pounds_per_metric_ton)*DeemedDashboard[[#This Row],[Pre net EOL refrigerant leakage (%)]]*DeemedDashboard[[#This Row],[Pre/Ext GWP]],"")</f>
        <v/>
      </c>
      <c r="BW18" s="330" t="str">
        <f>IFERROR((DeemedDashboard[[#This Row],[Pre/Ext refrigerant charge (lb) per NormUnit]]/pounds_per_metric_ton)*DeemedDashboard[[#This Row],[Ext net EOL refrigerant leakage (%)]]*DeemedDashboard[[#This Row],[Pre/Ext GWP]],"")</f>
        <v/>
      </c>
      <c r="BX18" s="299" t="str" cm="1">
        <f t="array" aca="1" ref="BX1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8" s="305" t="str" cm="1">
        <f t="array" aca="1" ref="BY1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8" s="299" t="str">
        <f>IFERROR(IF(OR(DeemedDashboard[[#This Row],[MeasAppType]]&lt;&gt;const_AR,ISBLANK(DeemedDashboard[[#This Row],[MeasAppType]])),NA(),0),"")</f>
        <v/>
      </c>
      <c r="CA18" s="305" t="str" cm="1">
        <f t="array" aca="1" ref="CA1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8" s="299" t="str">
        <f ca="1">IFERROR((DeemedDashboard[[#This Row],[Msr EOL leakage tons CO2e]]*OFFSET(GHG_Adder_dollar_per_tonne,0,(DeemedDashboard[[#This Row],[Msr Device Retire-ment Year]]-DY+1),1,1))/(1+WACC)^(DeemedDashboard[[#This Row],[Msr Device Retire-ment Year]]-DeemedDashboard[[#This Row],[Measure Start Year]]+0.5),"")</f>
        <v/>
      </c>
      <c r="CC18" s="299" t="str">
        <f ca="1">IFERROR((DeemedDashboard[[#This Row],[Std EOL leakage tons CO2e]]*OFFSET(GHG_Adder_dollar_per_tonne,0,(DeemedDashboard[[#This Row],[Std Device Retire-ment Year]]-DY+1),1,1))/(1+WACC)^(DeemedDashboard[[#This Row],[Std Device Retire-ment Year]]-DeemedDashboard[[#This Row],[Measure Start Year]]+0.5),"")</f>
        <v/>
      </c>
      <c r="CD18" s="299" t="str">
        <f ca="1">IFERROR((DeemedDashboard[[#This Row],[Pre EOL leakage tons CO2e]]*OFFSET(GHG_Adder_dollar_per_tonne,0,(DeemedDashboard[[#This Row],[Measure Start Year]]-DY),1,1))/(1+WACC)^(-0.5),"")</f>
        <v/>
      </c>
      <c r="CE1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8" s="296" t="str">
        <f ca="1">IFERROR(DeemedDashboard[[#This Row],[Msr NPV Cost of Annual Leakage]]/(1+ACC_Inflation_Rate)^(DeemedDashboard[[#This Row],[Measure Start Year]]-DY),"")</f>
        <v/>
      </c>
      <c r="CG18" s="296" t="str">
        <f ca="1">IFERROR(DeemedDashboard[[#This Row],[Std NPV Cost of Annual Leakage]]/(1+ACC_Inflation_Rate)^(DeemedDashboard[[#This Row],[Measure Start Year]]-DY),"")</f>
        <v/>
      </c>
      <c r="CH18" s="296" t="str">
        <f>IFERROR(IF(ISBLANK(DeemedDashboard[[#This Row],[MeasAppType]]),NA(),IF(DeemedDashboard[[#This Row],[MeasAppType]]=const_AR,DeemedDashboard[[#This Row],[Pre NPV Cost of Annual Leakage]]/(1+ACC_Inflation_Rate)^(DeemedDashboard[[#This Row],[Measure Start Year]]-DY),"")),"")</f>
        <v/>
      </c>
      <c r="CI18" s="296" t="str">
        <f>IFERROR(IF(ISBLANK(DeemedDashboard[[#This Row],[MeasAppType]]),NA(),IF(DeemedDashboard[[#This Row],[MeasAppType]]=const_AR,DeemedDashboard[[#This Row],[Ext NPV Cost of Annual Leakage]]/(1+ACC_Inflation_Rate)^(DeemedDashboard[[#This Row],[Measure Start Year]]-DY),"")),"")</f>
        <v/>
      </c>
      <c r="CJ18" s="296" t="str">
        <f ca="1">IFERROR((DeemedDashboard[[#This Row],[Msr % of device lifetime during measure years]]+DeemedDashboard[[#This Row],[Msr % of device lifetime retired early]])*DeemedDashboard[[#This Row],[Msr NPV Cost of EOL Leakage]]/(1+ACC_Inflation_Rate)^(DeemedDashboard[[#This Row],[Measure Start Year]]-DY),"")</f>
        <v/>
      </c>
      <c r="CK18" s="296" t="str">
        <f ca="1">IFERROR((DeemedDashboard[[#This Row],[Std % of device lifetime during measure years]]+DeemedDashboard[[#This Row],[Std % of device lifetime retired early]])*DeemedDashboard[[#This Row],[Std NPV Cost of EOL Leakage]]/(1+ACC_Inflation_Rate)^(DeemedDashboard[[#This Row],[Measure Start Year]]-DY),"")</f>
        <v/>
      </c>
      <c r="CL1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8" s="299" t="str">
        <f ca="1">IFERROR(DeemedDashboard[[#This Row],[Counter-factual total 
NPV cost]]-DeemedDashboard[[#This Row],[Measure total 
NPV cost]],"")</f>
        <v/>
      </c>
      <c r="CQ18" s="299" t="str">
        <f>IF(ISBLANK(DeemedDashboard[[#This Row],[MeasAppType]]),"",DeemedDashboard[[#This Row],[Refrigerant
NPV costs
avoided]]&gt;0)</f>
        <v/>
      </c>
      <c r="CR18" s="299" t="str">
        <f ca="1">IFERROR(DeemedDashboard[[#This Row],[Msr Adj NPV Cost of Annual Leakage]]+DeemedDashboard[[#This Row],[Msr Adj NPV Cost of EOL Leakage]],"")</f>
        <v/>
      </c>
      <c r="CS18" s="299" t="str">
        <f ca="1">IFERROR(DeemedDashboard[[#This Row],[Std Adj NPV Cost of Annual Leakage]]+DeemedDashboard[[#This Row],[Std Adj NPV Cost of EOL Leakage]],"")</f>
        <v/>
      </c>
      <c r="CT18" s="299" t="str">
        <f>IFERROR(IF((DeemedDashboard[[#This Row],[Pre Adj NPV Cost of Annual Leakage]]+DeemedDashboard[[#This Row],[Pre Adj NPV Cost of EOL Leakage]])=0,"",DeemedDashboard[[#This Row],[Pre Adj NPV Cost of Annual Leakage]]+DeemedDashboard[[#This Row],[Pre Adj NPV Cost of EOL Leakage]]),"")</f>
        <v/>
      </c>
      <c r="CU18" s="299" t="str">
        <f>IFERROR(IF((DeemedDashboard[[#This Row],[Ext Adj NPV Cost of Annual Leakage]]+DeemedDashboard[[#This Row],[Ext Adj NPV Cost of EOL Leakage]])=0,"",DeemedDashboard[[#This Row],[Ext Adj NPV Cost of Annual Leakage]]+DeemedDashboard[[#This Row],[Ext Adj NPV Cost of EOL Leakage]]),"")</f>
        <v/>
      </c>
      <c r="CV18" s="299" t="str">
        <f>IFERROR(IF(DeemedDashboard[[#This Row],[Is Avoided Net Cost &gt;0?]],"",-DeemedDashboard[[#This Row],[Refrigerant
NPV costs
avoided]]),"")</f>
        <v/>
      </c>
      <c r="CW18" s="299" t="str">
        <f>IFERROR(IF(DeemedDashboard[[#This Row],[Is Avoided Net Cost &gt;0?]],DeemedDashboard[[#This Row],[Refrigerant
NPV costs
avoided]],""),"")</f>
        <v/>
      </c>
      <c r="CX18" s="391">
        <f ca="1">IFERROR(MATCH(DeemedDashboard[[#This Row],[TechGroup and NormUnit]],TechGroup_and_NormUnit,0),1)</f>
        <v>1</v>
      </c>
      <c r="CY18" s="391" cm="1">
        <f t="array" aca="1" ref="CY18" ca="1">IFERROR(INDEX(TGRows,DeemedDashboard[[#This Row],[TGIndex]]),"")</f>
        <v>2</v>
      </c>
      <c r="CZ18" s="391">
        <f ca="1">IF(DeemedDashboard[[#This Row],[MeasAppType]]=const_AR,DeemedDashboard[[#This Row],[TGRows]],DeemedDashboard[[#This Row],[TGRows]]+1)</f>
        <v>3</v>
      </c>
      <c r="DA18" s="391" t="str">
        <f>IF(ISBLANK(DeemedDashboard[[#This Row],[MeasAppType]]),"",IF(DeemedDashboard[[#This Row],[Index]]=User_Specified_Refrigerant[[#This Row],[Index]],"OK","ERROR"))</f>
        <v/>
      </c>
    </row>
    <row r="19" spans="1:105" s="320" customFormat="1" x14ac:dyDescent="0.25">
      <c r="A19" s="297">
        <f>ROW(DeemedDashboard[[#This Row],[Index]])-ROW(DeemedDashboard[[#Headers],[Index]])</f>
        <v>10</v>
      </c>
      <c r="B19" s="298"/>
      <c r="C19" s="321"/>
      <c r="D19" s="403"/>
      <c r="E19" s="403"/>
      <c r="F19" s="403"/>
      <c r="G19" s="403"/>
      <c r="H19" s="365"/>
      <c r="I19" s="339"/>
      <c r="J19" s="339"/>
      <c r="K19" s="339"/>
      <c r="L19" s="322"/>
      <c r="M19" s="322"/>
      <c r="N19" s="322"/>
      <c r="O1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9" s="582" t="str" cm="1">
        <f t="array" ref="R19">IFERROR(IF(DeemedDashboard[[#This Row],[Msr device type]]=const_device_nonrefrig,0,INDEX(_xlfn.SWITCH($E$4,const_20_yr,GWP_Values_20_year_AR4,const_100_yr,GWP_Values_100_year_AR4),MATCH(DeemedDashboard[[#This Row],[Msr refrigerant Type]],RefrigDropdownList,0))),"")</f>
        <v/>
      </c>
      <c r="S19" s="582" t="str" cm="1">
        <f t="array" ref="S19">IFERROR(IF(DeemedDashboard[[#This Row],[Std device type]]=const_device_nonrefrig,0,INDEX(_xlfn.SWITCH($E$4,const_20_yr,GWP_Values_20_year_AR4,const_100_yr,GWP_Values_100_year_AR4),MATCH(DeemedDashboard[[#This Row],[Std refrigerant Type]],RefrigDropdownList,0))),"")</f>
        <v/>
      </c>
      <c r="T19" s="582" t="str" cm="1">
        <f t="array" ref="T19">IFERROR(IF(DeemedDashboard[[#This Row],[Pre/Ext device type]]=const_device_nonrefrig,0,INDEX(_xlfn.SWITCH($E$4,const_20_yr,GWP_Values_20_year_AR4,const_100_yr,GWP_Values_100_year_AR4),MATCH(DeemedDashboard[[#This Row],[Pre/Ext refrigerant Type]],RefrigDropdownList,0))),"")</f>
        <v/>
      </c>
      <c r="U1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9" s="326" t="str">
        <f>IFERROR(IF(DeemedDashboard[[#This Row],[Msr device type]]=const_userspec,IF(ISBLANK(User_Specified_Refrigerant[[#This Row],[Msr t_EOL]]),"",User_Specified_Refrigerant[[#This Row],[Msr t_EOL]]),INDEX(TechGroup_NormUnit_Table[t_EOL],MATCH(DeemedDashboard[[#This Row],[Msr device type]],DropdownRefrigTech,0))),"")</f>
        <v/>
      </c>
      <c r="AB19" s="326" t="str">
        <f>IFERROR(IF(DeemedDashboard[[#This Row],[Std device type]]=const_userspec,IF(ISBLANK(User_Specified_Refrigerant[[#This Row],[Std t_EOL]]),"",User_Specified_Refrigerant[[#This Row],[Std t_EOL]]),INDEX(TechGroup_NormUnit_Table[t_EOL],MATCH(DeemedDashboard[[#This Row],[Std device type]],DropdownRefrigTech,0))),"")</f>
        <v/>
      </c>
      <c r="AC1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9" s="395" t="str">
        <f>IF(ISBLANK(DeemedDashboard[[#This Row],[MeasAppType]]),"",$E$2)</f>
        <v/>
      </c>
      <c r="AE19" s="395" t="str">
        <f>IFERROR(IF(ISBLANK(DeemedDashboard[[#This Row],[MeasAppType]]),NA(),DeemedDashboard[[#This Row],[Measure Start Year]]+DeemedDashboard[[#This Row],[Msr EUL rounded]]-1),"")</f>
        <v/>
      </c>
      <c r="AF19" s="323" t="str">
        <f>IF(ISBLANK(DeemedDashboard[[#This Row],[Measure New Device EUL]]),"",ROUND(DeemedDashboard[[#This Row],[Measure New Device EUL]],0))</f>
        <v/>
      </c>
      <c r="AG19" s="323" t="str">
        <f>IF(ISBLANK(DeemedDashboard[[#This Row],[Counterfactual New Device EUL]]),"",ROUND(DeemedDashboard[[#This Row],[Counterfactual New Device EUL]],0))</f>
        <v/>
      </c>
      <c r="AH19" s="323" t="str">
        <f>IF(ISBLANK(DeemedDashboard[[#This Row],[Existing Device EUL]]),"",ROUND(DeemedDashboard[[#This Row],[Existing Device EUL]],0))</f>
        <v/>
      </c>
      <c r="AI19" s="323" t="str">
        <f>IF(ISBLANK(DeemedDashboard[[#This Row],[Existing Device RUL or AR First Baseline Life]]),"",ROUND(DeemedDashboard[[#This Row],[Existing Device RUL or AR First Baseline Life]],0))</f>
        <v/>
      </c>
      <c r="AJ19" s="327" t="str">
        <f>DeemedDashboard[[#This Row],[Measure Start Year]]</f>
        <v/>
      </c>
      <c r="AK19" s="327" t="str">
        <f>IF(DeemedDashboard[[#This Row],[MeasAppType]]&lt;&gt;const_AR,DeemedDashboard[[#This Row],[Measure Start Year]],DeemedDashboard[[#This Row],[Ext Device Retire-ment Year]]+1)</f>
        <v/>
      </c>
      <c r="AL19" s="327" t="str">
        <f>IFERROR(IF(DeemedDashboard[[#This Row],[MeasAppType]]=const_AR,DeemedDashboard[[#This Row],[Measure Start Year]]-(DeemedDashboard[[#This Row],[Existing Device EUL]]-DeemedDashboard[[#This Row],[Existing Device RUL or AR First Baseline Life]]),NA()),"")</f>
        <v/>
      </c>
      <c r="AM19" s="327" t="str">
        <f>DeemedDashboard[[#This Row],[Pre Device Install Year]]</f>
        <v/>
      </c>
      <c r="AN19" s="327" t="str">
        <f>IFERROR(IF(ISBLANK(DeemedDashboard[[#This Row],[MeasAppType]]),NA(),DeemedDashboard[[#This Row],[Measure Start Year]]+DeemedDashboard[[#This Row],[Msr EUL rounded]]-1),"")</f>
        <v/>
      </c>
      <c r="AO19" s="327" t="str">
        <f>IFERROR(DeemedDashboard[[#This Row],[Std Device Install Year]]+DeemedDashboard[[#This Row],[Counterfactual New Device EUL]]-1,"")</f>
        <v/>
      </c>
      <c r="AP19" s="327" t="str">
        <f>IFERROR(IF(AND(DeemedDashboard[[#This Row],[MeasAppType]]=const_AR,DeemedDashboard[[#This Row],[Measure Start Year]]&lt;(DeemedDashboard[[#This Row],[Pre Device Install Year]]+DeemedDashboard[[#This Row],[Existing Device EUL]]-1)),DeemedDashboard[[#This Row],[Measure Start Year]]-1,NA()),"")</f>
        <v/>
      </c>
      <c r="AQ19" s="327" t="str">
        <f>IFERROR(IF(DeemedDashboard[[#This Row],[MeasAppType]]=const_AR,DeemedDashboard[[#This Row],[Ext Device Install Year]]+DeemedDashboard[[#This Row],[Existing Device EUL]]-1,NA()),"")</f>
        <v/>
      </c>
      <c r="AR19" s="327" t="str">
        <f>IFERROR(IF(ISBLANK(DeemedDashboard[[#This Row],[MeasAppType]]),NA(),0),"")</f>
        <v/>
      </c>
      <c r="AS19" s="327" t="str">
        <f>IFERROR(IF(ISBLANK(DeemedDashboard[[#This Row],[MeasAppType]]),NA(),0),"")</f>
        <v/>
      </c>
      <c r="AT19" s="327" t="str">
        <f>IF(ISBLANK(DeemedDashboard[[#This Row],[MeasAppType]]),"",IF(DeemedDashboard[[#This Row],[MeasAppType]]&lt;&gt;const_AR,"",(DeemedDashboard[[#This Row],[Pre Device Install Year]]+DeemedDashboard[[#This Row],[Existing Device EUL]]-1)-DeemedDashboard[[#This Row],[Pre Device Retire-ment Year]]))</f>
        <v/>
      </c>
      <c r="AU19" s="327" t="str">
        <f>IF(ISBLANK(DeemedDashboard[[#This Row],[MeasAppType]]),"",IF(DeemedDashboard[[#This Row],[MeasAppType]]=const_AR,0,""))</f>
        <v/>
      </c>
      <c r="AV19" s="328" t="str">
        <f>IF(ISBLANK(DeemedDashboard[[#This Row],[MeasAppType]]),"",MAX((1+MIN(DeemedDashboard[[#This Row],[Msr Device Retire-ment Year]],DeemedDashboard[[#This Row],[Measure End 
Year]])-MAX(DeemedDashboard[[#This Row],[Msr Device Install Year]],DeemedDashboard[[#This Row],[Measure Start Year]])),0))</f>
        <v/>
      </c>
      <c r="AW19" s="328" t="str">
        <f>IF(ISBLANK(DeemedDashboard[[#This Row],[MeasAppType]]),"",MAX((1+MIN(DeemedDashboard[[#This Row],[Std Device Retire-ment Year]],DeemedDashboard[[#This Row],[Measure End 
Year]])-MAX(DeemedDashboard[[#This Row],[Std Device Install Year]],DeemedDashboard[[#This Row],[Measure Start Year]])),0))</f>
        <v/>
      </c>
      <c r="AX1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9"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9" s="329" t="str">
        <f>IF(ISBLANK(DeemedDashboard[[#This Row],[MeasAppType]]),"",IF(DeemedDashboard[[#This Row],[Msr Device Years Over-lapping with Measure Years]]=0,0,DeemedDashboard[[#This Row],[Msr Device Years Over-lapping with Measure Years]]/DeemedDashboard[[#This Row],[Msr EUL rounded]]))</f>
        <v/>
      </c>
      <c r="BA19" s="329" t="str">
        <f>IF(ISBLANK(DeemedDashboard[[#This Row],[MeasAppType]]),"",IF(DeemedDashboard[[#This Row],[Std Device Years Over-lapping with Measure Years]]=0,0,DeemedDashboard[[#This Row],[Std Device Years Over-lapping with Measure Years]]/DeemedDashboard[[#This Row],[Counterfactual New Device EUL]]))</f>
        <v/>
      </c>
      <c r="BB19" s="329" t="str">
        <f>IF(ISBLANK(DeemedDashboard[[#This Row],[MeasAppType]]),"",IFERROR(IF(DeemedDashboard[[#This Row],[Pre Device Years Over-lapping with Measure Years]]=0,0,DeemedDashboard[[#This Row],[Pre Device Years Over-lapping with Measure Years]]/DeemedDashboard[[#This Row],[Existing Device EUL]]),""))</f>
        <v/>
      </c>
      <c r="BC19" s="331" t="str">
        <f>IFERROR(IF(DeemedDashboard[[#This Row],[Ext Device Years Over-lapping with Measure Years]]=0,0,DeemedDashboard[[#This Row],[Ext Device Years Over-lapping with Measure Years]]/DeemedDashboard[[#This Row],[Existing Device EUL]]),"")</f>
        <v/>
      </c>
      <c r="BD19" s="329" t="str">
        <f>IFERROR(IF(DeemedDashboard[[#This Row],[Msr Number of Years device retired early]]=0,0,DeemedDashboard[[#This Row],[Msr Number of Years device retired early]]/DeemedDashboard[[#This Row],[Msr EUL rounded]]),"")</f>
        <v/>
      </c>
      <c r="BE19" s="329" t="str">
        <f>IFERROR(IF(DeemedDashboard[[#This Row],[Std Number of Years device retired early]]=0,0,DeemedDashboard[[#This Row],[Std Number of Years device retired early]]/DeemedDashboard[[#This Row],[Msr EUL rounded]]),"")</f>
        <v/>
      </c>
      <c r="BF19" s="329" t="str">
        <f>IFERROR(IF(DeemedDashboard[[#This Row],[MeasAppType]]&lt;&gt;const_AR,"",IF(DeemedDashboard[[#This Row],[Pre Number of Years device retired early]]=0,0,DeemedDashboard[[#This Row],[Pre Number of Years device retired early]]/DeemedDashboard[[#This Row],[Existing Device EUL]])),"")</f>
        <v/>
      </c>
      <c r="BG19" s="331" t="str">
        <f>IFERROR(IF(DeemedDashboard[[#This Row],[Ext Number of Years device retired early]]=0,0,DeemedDashboard[[#This Row],[Ext Number of Years device retired early]]/DeemedDashboard[[#This Row],[Existing Device EUL]]),"")</f>
        <v/>
      </c>
      <c r="BH19" s="325" t="str">
        <f>IFERROR(1-DeemedDashboard[[#This Row],[Msr annual refrigerant leakage %]]*DeemedDashboard[[#This Row],[Msr t_EOL]],"")</f>
        <v/>
      </c>
      <c r="BI19" s="325" t="str">
        <f>IFERROR(1-DeemedDashboard[[#This Row],[Std annual refrigerant leakage %]]*DeemedDashboard[[#This Row],[Std t_EOL]],"")</f>
        <v/>
      </c>
      <c r="BJ19" s="325" t="str">
        <f>IFERROR(1-DeemedDashboard[[#This Row],[Pre/Ext annual refrigerant leakage %]]*DeemedDashboard[[#This Row],[Pre/Ext t_EOL]],"")</f>
        <v/>
      </c>
      <c r="BK19" s="325" t="str">
        <f>IFERROR(1-DeemedDashboard[[#This Row],[Pre/Ext annual refrigerant leakage %]]*DeemedDashboard[[#This Row],[Pre/Ext t_EOL]],"")</f>
        <v/>
      </c>
      <c r="BL19" s="325" t="str">
        <f>IFERROR(DeemedDashboard[[#This Row],[Msr charging remaining (%)]]*DeemedDashboard[[#This Row],[Msr gross EOL refrigerant leakage %]],"")</f>
        <v/>
      </c>
      <c r="BM19" s="325" t="str">
        <f>IFERROR(DeemedDashboard[[#This Row],[Std charging remaining (%)]]*DeemedDashboard[[#This Row],[Std gross EOL refrigerant leakage %]],"")</f>
        <v/>
      </c>
      <c r="BN19" s="325" t="str">
        <f>IFERROR(DeemedDashboard[[#This Row],[Pre charging remaining (%)]]*DeemedDashboard[[#This Row],[Pre/Ext gross EOL refrigerant leakage %]],"")</f>
        <v/>
      </c>
      <c r="BO19" s="325" t="str">
        <f>IFERROR(DeemedDashboard[[#This Row],[Ext charging remaining (%)]]*DeemedDashboard[[#This Row],[Pre/Ext gross EOL refrigerant leakage %]],"")</f>
        <v/>
      </c>
      <c r="BP19" s="330" t="str">
        <f>IFERROR((DeemedDashboard[[#This Row],[Msr refrigerant charge (lb) per NormUnit]]/pounds_per_metric_ton)*DeemedDashboard[[#This Row],[Msr annual refrigerant leakage %]]*DeemedDashboard[[#This Row],[Msr GWP]],"")</f>
        <v/>
      </c>
      <c r="BQ19" s="330" t="str">
        <f>IFERROR((DeemedDashboard[[#This Row],[Std refrigerant charge (lb) per NormUnit]]/pounds_per_metric_ton)*DeemedDashboard[[#This Row],[Std annual refrigerant leakage %]]*DeemedDashboard[[#This Row],[Std GWP]],"")</f>
        <v/>
      </c>
      <c r="BR19" s="330" t="str">
        <f>IF(DeemedDashboard[[#This Row],[MeasAppType]]=const_AR,(DeemedDashboard[[#This Row],[Pre/Ext refrigerant charge (lb) per NormUnit]]/pounds_per_metric_ton)*DeemedDashboard[[#This Row],[Pre/Ext annual refrigerant leakage %]]*DeemedDashboard[[#This Row],[Pre/Ext GWP]],"")</f>
        <v/>
      </c>
      <c r="BS19" s="330" t="str">
        <f>IF(DeemedDashboard[[#This Row],[MeasAppType]]=const_AR,(DeemedDashboard[[#This Row],[Pre/Ext refrigerant charge (lb) per NormUnit]]/pounds_per_metric_ton)*DeemedDashboard[[#This Row],[Pre/Ext annual refrigerant leakage %]]*DeemedDashboard[[#This Row],[Pre/Ext GWP]],"")</f>
        <v/>
      </c>
      <c r="BT19" s="330" t="str">
        <f>IFERROR((DeemedDashboard[[#This Row],[Msr refrigerant charge (lb) per NormUnit]]/pounds_per_metric_ton)*DeemedDashboard[[#This Row],[Msr net EOL refrigerant leakage (%)]]*DeemedDashboard[[#This Row],[Msr GWP]],"")</f>
        <v/>
      </c>
      <c r="BU19" s="330" t="str">
        <f>IFERROR((DeemedDashboard[[#This Row],[Std refrigerant charge (lb) per NormUnit]]/pounds_per_metric_ton)*DeemedDashboard[[#This Row],[Std net EOL refrigerant leakage (%)]]*DeemedDashboard[[#This Row],[Std GWP]],"")</f>
        <v/>
      </c>
      <c r="BV19" s="330" t="str">
        <f>IFERROR((DeemedDashboard[[#This Row],[Pre/Ext refrigerant charge (lb) per NormUnit]]/pounds_per_metric_ton)*DeemedDashboard[[#This Row],[Pre net EOL refrigerant leakage (%)]]*DeemedDashboard[[#This Row],[Pre/Ext GWP]],"")</f>
        <v/>
      </c>
      <c r="BW19" s="330" t="str">
        <f>IFERROR((DeemedDashboard[[#This Row],[Pre/Ext refrigerant charge (lb) per NormUnit]]/pounds_per_metric_ton)*DeemedDashboard[[#This Row],[Ext net EOL refrigerant leakage (%)]]*DeemedDashboard[[#This Row],[Pre/Ext GWP]],"")</f>
        <v/>
      </c>
      <c r="BX19" s="299" t="str" cm="1">
        <f t="array" aca="1" ref="BX1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9" s="305" t="str" cm="1">
        <f t="array" aca="1" ref="BY1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9" s="299" t="str">
        <f>IFERROR(IF(OR(DeemedDashboard[[#This Row],[MeasAppType]]&lt;&gt;const_AR,ISBLANK(DeemedDashboard[[#This Row],[MeasAppType]])),NA(),0),"")</f>
        <v/>
      </c>
      <c r="CA19" s="305" t="str" cm="1">
        <f t="array" aca="1" ref="CA1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9" s="296" t="str">
        <f ca="1">IFERROR((DeemedDashboard[[#This Row],[Msr EOL leakage tons CO2e]]*OFFSET(GHG_Adder_dollar_per_tonne,0,(DeemedDashboard[[#This Row],[Msr Device Retire-ment Year]]-DY+1),1,1))/(1+WACC)^(DeemedDashboard[[#This Row],[Msr Device Retire-ment Year]]-DeemedDashboard[[#This Row],[Measure Start Year]]+0.5),"")</f>
        <v/>
      </c>
      <c r="CC19" s="296" t="str">
        <f ca="1">IFERROR((DeemedDashboard[[#This Row],[Std EOL leakage tons CO2e]]*OFFSET(GHG_Adder_dollar_per_tonne,0,(DeemedDashboard[[#This Row],[Std Device Retire-ment Year]]-DY+1),1,1))/(1+WACC)^(DeemedDashboard[[#This Row],[Std Device Retire-ment Year]]-DeemedDashboard[[#This Row],[Measure Start Year]]+0.5),"")</f>
        <v/>
      </c>
      <c r="CD19" s="296" t="str">
        <f ca="1">IFERROR((DeemedDashboard[[#This Row],[Pre EOL leakage tons CO2e]]*OFFSET(GHG_Adder_dollar_per_tonne,0,(DeemedDashboard[[#This Row],[Measure Start Year]]-DY),1,1))/(1+WACC)^(-0.5),"")</f>
        <v/>
      </c>
      <c r="CE1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9" s="296" t="str">
        <f ca="1">IFERROR(DeemedDashboard[[#This Row],[Msr NPV Cost of Annual Leakage]]/(1+ACC_Inflation_Rate)^(DeemedDashboard[[#This Row],[Measure Start Year]]-DY),"")</f>
        <v/>
      </c>
      <c r="CG19" s="296" t="str">
        <f ca="1">IFERROR(DeemedDashboard[[#This Row],[Std NPV Cost of Annual Leakage]]/(1+ACC_Inflation_Rate)^(DeemedDashboard[[#This Row],[Measure Start Year]]-DY),"")</f>
        <v/>
      </c>
      <c r="CH19" s="296" t="str">
        <f>IFERROR(IF(ISBLANK(DeemedDashboard[[#This Row],[MeasAppType]]),NA(),IF(DeemedDashboard[[#This Row],[MeasAppType]]=const_AR,DeemedDashboard[[#This Row],[Pre NPV Cost of Annual Leakage]]/(1+ACC_Inflation_Rate)^(DeemedDashboard[[#This Row],[Measure Start Year]]-DY),"")),"")</f>
        <v/>
      </c>
      <c r="CI19" s="296" t="str">
        <f>IFERROR(IF(ISBLANK(DeemedDashboard[[#This Row],[MeasAppType]]),NA(),IF(DeemedDashboard[[#This Row],[MeasAppType]]=const_AR,DeemedDashboard[[#This Row],[Ext NPV Cost of Annual Leakage]]/(1+ACC_Inflation_Rate)^(DeemedDashboard[[#This Row],[Measure Start Year]]-DY),"")),"")</f>
        <v/>
      </c>
      <c r="CJ19" s="296" t="str">
        <f ca="1">IFERROR((DeemedDashboard[[#This Row],[Msr % of device lifetime during measure years]]+DeemedDashboard[[#This Row],[Msr % of device lifetime retired early]])*DeemedDashboard[[#This Row],[Msr NPV Cost of EOL Leakage]]/(1+ACC_Inflation_Rate)^(DeemedDashboard[[#This Row],[Measure Start Year]]-DY),"")</f>
        <v/>
      </c>
      <c r="CK19" s="296" t="str">
        <f ca="1">IFERROR((DeemedDashboard[[#This Row],[Std % of device lifetime during measure years]]+DeemedDashboard[[#This Row],[Std % of device lifetime retired early]])*DeemedDashboard[[#This Row],[Std NPV Cost of EOL Leakage]]/(1+ACC_Inflation_Rate)^(DeemedDashboard[[#This Row],[Measure Start Year]]-DY),"")</f>
        <v/>
      </c>
      <c r="CL1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9" s="299" t="str">
        <f ca="1">IFERROR(DeemedDashboard[[#This Row],[Counter-factual total 
NPV cost]]-DeemedDashboard[[#This Row],[Measure total 
NPV cost]],"")</f>
        <v/>
      </c>
      <c r="CQ19" s="299" t="str">
        <f>IF(ISBLANK(DeemedDashboard[[#This Row],[MeasAppType]]),"",DeemedDashboard[[#This Row],[Refrigerant
NPV costs
avoided]]&gt;0)</f>
        <v/>
      </c>
      <c r="CR19" s="299" t="str">
        <f ca="1">IFERROR(DeemedDashboard[[#This Row],[Msr Adj NPV Cost of Annual Leakage]]+DeemedDashboard[[#This Row],[Msr Adj NPV Cost of EOL Leakage]],"")</f>
        <v/>
      </c>
      <c r="CS19" s="299" t="str">
        <f ca="1">IFERROR(DeemedDashboard[[#This Row],[Std Adj NPV Cost of Annual Leakage]]+DeemedDashboard[[#This Row],[Std Adj NPV Cost of EOL Leakage]],"")</f>
        <v/>
      </c>
      <c r="CT19" s="299" t="str">
        <f>IFERROR(IF((DeemedDashboard[[#This Row],[Pre Adj NPV Cost of Annual Leakage]]+DeemedDashboard[[#This Row],[Pre Adj NPV Cost of EOL Leakage]])=0,"",DeemedDashboard[[#This Row],[Pre Adj NPV Cost of Annual Leakage]]+DeemedDashboard[[#This Row],[Pre Adj NPV Cost of EOL Leakage]]),"")</f>
        <v/>
      </c>
      <c r="CU19" s="299" t="str">
        <f>IFERROR(IF((DeemedDashboard[[#This Row],[Ext Adj NPV Cost of Annual Leakage]]+DeemedDashboard[[#This Row],[Ext Adj NPV Cost of EOL Leakage]])=0,"",DeemedDashboard[[#This Row],[Ext Adj NPV Cost of Annual Leakage]]+DeemedDashboard[[#This Row],[Ext Adj NPV Cost of EOL Leakage]]),"")</f>
        <v/>
      </c>
      <c r="CV19" s="299" t="str">
        <f>IFERROR(IF(DeemedDashboard[[#This Row],[Is Avoided Net Cost &gt;0?]],"",-DeemedDashboard[[#This Row],[Refrigerant
NPV costs
avoided]]),"")</f>
        <v/>
      </c>
      <c r="CW19" s="299" t="str">
        <f>IFERROR(IF(DeemedDashboard[[#This Row],[Is Avoided Net Cost &gt;0?]],DeemedDashboard[[#This Row],[Refrigerant
NPV costs
avoided]],""),"")</f>
        <v/>
      </c>
      <c r="CX19" s="391">
        <f ca="1">IFERROR(MATCH(DeemedDashboard[[#This Row],[TechGroup and NormUnit]],TechGroup_and_NormUnit,0),1)</f>
        <v>1</v>
      </c>
      <c r="CY19" s="391" cm="1">
        <f t="array" aca="1" ref="CY19" ca="1">IFERROR(INDEX(TGRows,DeemedDashboard[[#This Row],[TGIndex]]),"")</f>
        <v>2</v>
      </c>
      <c r="CZ19" s="391">
        <f ca="1">IF(DeemedDashboard[[#This Row],[MeasAppType]]=const_AR,DeemedDashboard[[#This Row],[TGRows]],DeemedDashboard[[#This Row],[TGRows]]+1)</f>
        <v>3</v>
      </c>
      <c r="DA19" s="391" t="str">
        <f>IF(ISBLANK(DeemedDashboard[[#This Row],[MeasAppType]]),"",IF(DeemedDashboard[[#This Row],[Index]]=User_Specified_Refrigerant[[#This Row],[Index]],"OK","ERROR"))</f>
        <v/>
      </c>
    </row>
    <row r="20" spans="1:105" s="320" customFormat="1" x14ac:dyDescent="0.25">
      <c r="A20" s="297">
        <f>ROW(DeemedDashboard[[#This Row],[Index]])-ROW(DeemedDashboard[[#Headers],[Index]])</f>
        <v>11</v>
      </c>
      <c r="B20" s="298"/>
      <c r="C20" s="321"/>
      <c r="D20" s="403"/>
      <c r="E20" s="403"/>
      <c r="F20" s="403"/>
      <c r="G20" s="403"/>
      <c r="H20" s="365"/>
      <c r="I20" s="339"/>
      <c r="J20" s="339"/>
      <c r="K20" s="339"/>
      <c r="L20" s="322"/>
      <c r="M20" s="322"/>
      <c r="N20" s="322"/>
      <c r="O2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0" s="582" t="str" cm="1">
        <f t="array" ref="R20">IFERROR(IF(DeemedDashboard[[#This Row],[Msr device type]]=const_device_nonrefrig,0,INDEX(_xlfn.SWITCH($E$4,const_20_yr,GWP_Values_20_year_AR4,const_100_yr,GWP_Values_100_year_AR4),MATCH(DeemedDashboard[[#This Row],[Msr refrigerant Type]],RefrigDropdownList,0))),"")</f>
        <v/>
      </c>
      <c r="S20" s="582" t="str" cm="1">
        <f t="array" ref="S20">IFERROR(IF(DeemedDashboard[[#This Row],[Std device type]]=const_device_nonrefrig,0,INDEX(_xlfn.SWITCH($E$4,const_20_yr,GWP_Values_20_year_AR4,const_100_yr,GWP_Values_100_year_AR4),MATCH(DeemedDashboard[[#This Row],[Std refrigerant Type]],RefrigDropdownList,0))),"")</f>
        <v/>
      </c>
      <c r="T20" s="582" t="str" cm="1">
        <f t="array" ref="T20">IFERROR(IF(DeemedDashboard[[#This Row],[Pre/Ext device type]]=const_device_nonrefrig,0,INDEX(_xlfn.SWITCH($E$4,const_20_yr,GWP_Values_20_year_AR4,const_100_yr,GWP_Values_100_year_AR4),MATCH(DeemedDashboard[[#This Row],[Pre/Ext refrigerant Type]],RefrigDropdownList,0))),"")</f>
        <v/>
      </c>
      <c r="U2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0" s="326" t="str">
        <f>IFERROR(IF(DeemedDashboard[[#This Row],[Msr device type]]=const_userspec,IF(ISBLANK(User_Specified_Refrigerant[[#This Row],[Msr t_EOL]]),"",User_Specified_Refrigerant[[#This Row],[Msr t_EOL]]),INDEX(TechGroup_NormUnit_Table[t_EOL],MATCH(DeemedDashboard[[#This Row],[Msr device type]],DropdownRefrigTech,0))),"")</f>
        <v/>
      </c>
      <c r="AB20" s="326" t="str">
        <f>IFERROR(IF(DeemedDashboard[[#This Row],[Std device type]]=const_userspec,IF(ISBLANK(User_Specified_Refrigerant[[#This Row],[Std t_EOL]]),"",User_Specified_Refrigerant[[#This Row],[Std t_EOL]]),INDEX(TechGroup_NormUnit_Table[t_EOL],MATCH(DeemedDashboard[[#This Row],[Std device type]],DropdownRefrigTech,0))),"")</f>
        <v/>
      </c>
      <c r="AC2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0" s="395" t="str">
        <f>IF(ISBLANK(DeemedDashboard[[#This Row],[MeasAppType]]),"",$E$2)</f>
        <v/>
      </c>
      <c r="AE20" s="395" t="str">
        <f>IFERROR(IF(ISBLANK(DeemedDashboard[[#This Row],[MeasAppType]]),NA(),DeemedDashboard[[#This Row],[Measure Start Year]]+DeemedDashboard[[#This Row],[Msr EUL rounded]]-1),"")</f>
        <v/>
      </c>
      <c r="AF20" s="323" t="str">
        <f>IF(ISBLANK(DeemedDashboard[[#This Row],[Measure New Device EUL]]),"",ROUND(DeemedDashboard[[#This Row],[Measure New Device EUL]],0))</f>
        <v/>
      </c>
      <c r="AG20" s="323" t="str">
        <f>IF(ISBLANK(DeemedDashboard[[#This Row],[Counterfactual New Device EUL]]),"",ROUND(DeemedDashboard[[#This Row],[Counterfactual New Device EUL]],0))</f>
        <v/>
      </c>
      <c r="AH20" s="323" t="str">
        <f>IF(ISBLANK(DeemedDashboard[[#This Row],[Existing Device EUL]]),"",ROUND(DeemedDashboard[[#This Row],[Existing Device EUL]],0))</f>
        <v/>
      </c>
      <c r="AI20" s="323" t="str">
        <f>IF(ISBLANK(DeemedDashboard[[#This Row],[Existing Device RUL or AR First Baseline Life]]),"",ROUND(DeemedDashboard[[#This Row],[Existing Device RUL or AR First Baseline Life]],0))</f>
        <v/>
      </c>
      <c r="AJ20" s="327" t="str">
        <f>DeemedDashboard[[#This Row],[Measure Start Year]]</f>
        <v/>
      </c>
      <c r="AK20" s="327" t="str">
        <f>IF(DeemedDashboard[[#This Row],[MeasAppType]]&lt;&gt;const_AR,DeemedDashboard[[#This Row],[Measure Start Year]],DeemedDashboard[[#This Row],[Ext Device Retire-ment Year]]+1)</f>
        <v/>
      </c>
      <c r="AL20" s="327" t="str">
        <f>IFERROR(IF(DeemedDashboard[[#This Row],[MeasAppType]]=const_AR,DeemedDashboard[[#This Row],[Measure Start Year]]-(DeemedDashboard[[#This Row],[Existing Device EUL]]-DeemedDashboard[[#This Row],[Existing Device RUL or AR First Baseline Life]]),NA()),"")</f>
        <v/>
      </c>
      <c r="AM20" s="327" t="str">
        <f>DeemedDashboard[[#This Row],[Pre Device Install Year]]</f>
        <v/>
      </c>
      <c r="AN20" s="327" t="str">
        <f>IFERROR(IF(ISBLANK(DeemedDashboard[[#This Row],[MeasAppType]]),NA(),DeemedDashboard[[#This Row],[Measure Start Year]]+DeemedDashboard[[#This Row],[Msr EUL rounded]]-1),"")</f>
        <v/>
      </c>
      <c r="AO20" s="327" t="str">
        <f>IFERROR(DeemedDashboard[[#This Row],[Std Device Install Year]]+DeemedDashboard[[#This Row],[Counterfactual New Device EUL]]-1,"")</f>
        <v/>
      </c>
      <c r="AP20" s="327" t="str">
        <f>IFERROR(IF(AND(DeemedDashboard[[#This Row],[MeasAppType]]=const_AR,DeemedDashboard[[#This Row],[Measure Start Year]]&lt;(DeemedDashboard[[#This Row],[Pre Device Install Year]]+DeemedDashboard[[#This Row],[Existing Device EUL]]-1)),DeemedDashboard[[#This Row],[Measure Start Year]]-1,NA()),"")</f>
        <v/>
      </c>
      <c r="AQ20" s="327" t="str">
        <f>IFERROR(IF(DeemedDashboard[[#This Row],[MeasAppType]]=const_AR,DeemedDashboard[[#This Row],[Ext Device Install Year]]+DeemedDashboard[[#This Row],[Existing Device EUL]]-1,NA()),"")</f>
        <v/>
      </c>
      <c r="AR20" s="327" t="str">
        <f>IFERROR(IF(ISBLANK(DeemedDashboard[[#This Row],[MeasAppType]]),NA(),0),"")</f>
        <v/>
      </c>
      <c r="AS20" s="327" t="str">
        <f>IFERROR(IF(ISBLANK(DeemedDashboard[[#This Row],[MeasAppType]]),NA(),0),"")</f>
        <v/>
      </c>
      <c r="AT20" s="327" t="str">
        <f>IF(ISBLANK(DeemedDashboard[[#This Row],[MeasAppType]]),"",IF(DeemedDashboard[[#This Row],[MeasAppType]]&lt;&gt;const_AR,"",(DeemedDashboard[[#This Row],[Pre Device Install Year]]+DeemedDashboard[[#This Row],[Existing Device EUL]]-1)-DeemedDashboard[[#This Row],[Pre Device Retire-ment Year]]))</f>
        <v/>
      </c>
      <c r="AU20" s="327" t="str">
        <f>IF(ISBLANK(DeemedDashboard[[#This Row],[MeasAppType]]),"",IF(DeemedDashboard[[#This Row],[MeasAppType]]=const_AR,0,""))</f>
        <v/>
      </c>
      <c r="AV20" s="328" t="str">
        <f>IF(ISBLANK(DeemedDashboard[[#This Row],[MeasAppType]]),"",MAX((1+MIN(DeemedDashboard[[#This Row],[Msr Device Retire-ment Year]],DeemedDashboard[[#This Row],[Measure End 
Year]])-MAX(DeemedDashboard[[#This Row],[Msr Device Install Year]],DeemedDashboard[[#This Row],[Measure Start Year]])),0))</f>
        <v/>
      </c>
      <c r="AW20" s="328" t="str">
        <f>IF(ISBLANK(DeemedDashboard[[#This Row],[MeasAppType]]),"",MAX((1+MIN(DeemedDashboard[[#This Row],[Std Device Retire-ment Year]],DeemedDashboard[[#This Row],[Measure End 
Year]])-MAX(DeemedDashboard[[#This Row],[Std Device Install Year]],DeemedDashboard[[#This Row],[Measure Start Year]])),0))</f>
        <v/>
      </c>
      <c r="AX2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0"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0" s="329" t="str">
        <f>IF(ISBLANK(DeemedDashboard[[#This Row],[MeasAppType]]),"",IF(DeemedDashboard[[#This Row],[Msr Device Years Over-lapping with Measure Years]]=0,0,DeemedDashboard[[#This Row],[Msr Device Years Over-lapping with Measure Years]]/DeemedDashboard[[#This Row],[Msr EUL rounded]]))</f>
        <v/>
      </c>
      <c r="BA20" s="329" t="str">
        <f>IF(ISBLANK(DeemedDashboard[[#This Row],[MeasAppType]]),"",IF(DeemedDashboard[[#This Row],[Std Device Years Over-lapping with Measure Years]]=0,0,DeemedDashboard[[#This Row],[Std Device Years Over-lapping with Measure Years]]/DeemedDashboard[[#This Row],[Counterfactual New Device EUL]]))</f>
        <v/>
      </c>
      <c r="BB20" s="329" t="str">
        <f>IF(ISBLANK(DeemedDashboard[[#This Row],[MeasAppType]]),"",IFERROR(IF(DeemedDashboard[[#This Row],[Pre Device Years Over-lapping with Measure Years]]=0,0,DeemedDashboard[[#This Row],[Pre Device Years Over-lapping with Measure Years]]/DeemedDashboard[[#This Row],[Existing Device EUL]]),""))</f>
        <v/>
      </c>
      <c r="BC20" s="331" t="str">
        <f>IFERROR(IF(DeemedDashboard[[#This Row],[Ext Device Years Over-lapping with Measure Years]]=0,0,DeemedDashboard[[#This Row],[Ext Device Years Over-lapping with Measure Years]]/DeemedDashboard[[#This Row],[Existing Device EUL]]),"")</f>
        <v/>
      </c>
      <c r="BD20" s="329" t="str">
        <f>IFERROR(IF(DeemedDashboard[[#This Row],[Msr Number of Years device retired early]]=0,0,DeemedDashboard[[#This Row],[Msr Number of Years device retired early]]/DeemedDashboard[[#This Row],[Msr EUL rounded]]),"")</f>
        <v/>
      </c>
      <c r="BE20" s="329" t="str">
        <f>IFERROR(IF(DeemedDashboard[[#This Row],[Std Number of Years device retired early]]=0,0,DeemedDashboard[[#This Row],[Std Number of Years device retired early]]/DeemedDashboard[[#This Row],[Msr EUL rounded]]),"")</f>
        <v/>
      </c>
      <c r="BF20" s="329" t="str">
        <f>IFERROR(IF(DeemedDashboard[[#This Row],[MeasAppType]]&lt;&gt;const_AR,"",IF(DeemedDashboard[[#This Row],[Pre Number of Years device retired early]]=0,0,DeemedDashboard[[#This Row],[Pre Number of Years device retired early]]/DeemedDashboard[[#This Row],[Existing Device EUL]])),"")</f>
        <v/>
      </c>
      <c r="BG20" s="331" t="str">
        <f>IFERROR(IF(DeemedDashboard[[#This Row],[Ext Number of Years device retired early]]=0,0,DeemedDashboard[[#This Row],[Ext Number of Years device retired early]]/DeemedDashboard[[#This Row],[Existing Device EUL]]),"")</f>
        <v/>
      </c>
      <c r="BH20" s="325" t="str">
        <f>IFERROR(1-DeemedDashboard[[#This Row],[Msr annual refrigerant leakage %]]*DeemedDashboard[[#This Row],[Msr t_EOL]],"")</f>
        <v/>
      </c>
      <c r="BI20" s="325" t="str">
        <f>IFERROR(1-DeemedDashboard[[#This Row],[Std annual refrigerant leakage %]]*DeemedDashboard[[#This Row],[Std t_EOL]],"")</f>
        <v/>
      </c>
      <c r="BJ20" s="325" t="str">
        <f>IFERROR(1-DeemedDashboard[[#This Row],[Pre/Ext annual refrigerant leakage %]]*DeemedDashboard[[#This Row],[Pre/Ext t_EOL]],"")</f>
        <v/>
      </c>
      <c r="BK20" s="325" t="str">
        <f>IFERROR(1-DeemedDashboard[[#This Row],[Pre/Ext annual refrigerant leakage %]]*DeemedDashboard[[#This Row],[Pre/Ext t_EOL]],"")</f>
        <v/>
      </c>
      <c r="BL20" s="325" t="str">
        <f>IFERROR(DeemedDashboard[[#This Row],[Msr charging remaining (%)]]*DeemedDashboard[[#This Row],[Msr gross EOL refrigerant leakage %]],"")</f>
        <v/>
      </c>
      <c r="BM20" s="325" t="str">
        <f>IFERROR(DeemedDashboard[[#This Row],[Std charging remaining (%)]]*DeemedDashboard[[#This Row],[Std gross EOL refrigerant leakage %]],"")</f>
        <v/>
      </c>
      <c r="BN20" s="325" t="str">
        <f>IFERROR(DeemedDashboard[[#This Row],[Pre charging remaining (%)]]*DeemedDashboard[[#This Row],[Pre/Ext gross EOL refrigerant leakage %]],"")</f>
        <v/>
      </c>
      <c r="BO20" s="325" t="str">
        <f>IFERROR(DeemedDashboard[[#This Row],[Ext charging remaining (%)]]*DeemedDashboard[[#This Row],[Pre/Ext gross EOL refrigerant leakage %]],"")</f>
        <v/>
      </c>
      <c r="BP20" s="330" t="str">
        <f>IFERROR((DeemedDashboard[[#This Row],[Msr refrigerant charge (lb) per NormUnit]]/pounds_per_metric_ton)*DeemedDashboard[[#This Row],[Msr annual refrigerant leakage %]]*DeemedDashboard[[#This Row],[Msr GWP]],"")</f>
        <v/>
      </c>
      <c r="BQ20" s="330" t="str">
        <f>IFERROR((DeemedDashboard[[#This Row],[Std refrigerant charge (lb) per NormUnit]]/pounds_per_metric_ton)*DeemedDashboard[[#This Row],[Std annual refrigerant leakage %]]*DeemedDashboard[[#This Row],[Std GWP]],"")</f>
        <v/>
      </c>
      <c r="BR20" s="330" t="str">
        <f>IF(DeemedDashboard[[#This Row],[MeasAppType]]=const_AR,(DeemedDashboard[[#This Row],[Pre/Ext refrigerant charge (lb) per NormUnit]]/pounds_per_metric_ton)*DeemedDashboard[[#This Row],[Pre/Ext annual refrigerant leakage %]]*DeemedDashboard[[#This Row],[Pre/Ext GWP]],"")</f>
        <v/>
      </c>
      <c r="BS20" s="330" t="str">
        <f>IF(DeemedDashboard[[#This Row],[MeasAppType]]=const_AR,(DeemedDashboard[[#This Row],[Pre/Ext refrigerant charge (lb) per NormUnit]]/pounds_per_metric_ton)*DeemedDashboard[[#This Row],[Pre/Ext annual refrigerant leakage %]]*DeemedDashboard[[#This Row],[Pre/Ext GWP]],"")</f>
        <v/>
      </c>
      <c r="BT20" s="330" t="str">
        <f>IFERROR((DeemedDashboard[[#This Row],[Msr refrigerant charge (lb) per NormUnit]]/pounds_per_metric_ton)*DeemedDashboard[[#This Row],[Msr net EOL refrigerant leakage (%)]]*DeemedDashboard[[#This Row],[Msr GWP]],"")</f>
        <v/>
      </c>
      <c r="BU20" s="330" t="str">
        <f>IFERROR((DeemedDashboard[[#This Row],[Std refrigerant charge (lb) per NormUnit]]/pounds_per_metric_ton)*DeemedDashboard[[#This Row],[Std net EOL refrigerant leakage (%)]]*DeemedDashboard[[#This Row],[Std GWP]],"")</f>
        <v/>
      </c>
      <c r="BV20" s="330" t="str">
        <f>IFERROR((DeemedDashboard[[#This Row],[Pre/Ext refrigerant charge (lb) per NormUnit]]/pounds_per_metric_ton)*DeemedDashboard[[#This Row],[Pre net EOL refrigerant leakage (%)]]*DeemedDashboard[[#This Row],[Pre/Ext GWP]],"")</f>
        <v/>
      </c>
      <c r="BW20" s="330" t="str">
        <f>IFERROR((DeemedDashboard[[#This Row],[Pre/Ext refrigerant charge (lb) per NormUnit]]/pounds_per_metric_ton)*DeemedDashboard[[#This Row],[Ext net EOL refrigerant leakage (%)]]*DeemedDashboard[[#This Row],[Pre/Ext GWP]],"")</f>
        <v/>
      </c>
      <c r="BX20" s="299" t="str" cm="1">
        <f t="array" aca="1" ref="BX2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0" s="305" t="str" cm="1">
        <f t="array" aca="1" ref="BY2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0" s="299" t="str">
        <f>IFERROR(IF(OR(DeemedDashboard[[#This Row],[MeasAppType]]&lt;&gt;const_AR,ISBLANK(DeemedDashboard[[#This Row],[MeasAppType]])),NA(),0),"")</f>
        <v/>
      </c>
      <c r="CA20" s="305" t="str" cm="1">
        <f t="array" aca="1" ref="CA2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0" s="296" t="str">
        <f ca="1">IFERROR((DeemedDashboard[[#This Row],[Msr EOL leakage tons CO2e]]*OFFSET(GHG_Adder_dollar_per_tonne,0,(DeemedDashboard[[#This Row],[Msr Device Retire-ment Year]]-DY+1),1,1))/(1+WACC)^(DeemedDashboard[[#This Row],[Msr Device Retire-ment Year]]-DeemedDashboard[[#This Row],[Measure Start Year]]+0.5),"")</f>
        <v/>
      </c>
      <c r="CC20" s="296" t="str">
        <f ca="1">IFERROR((DeemedDashboard[[#This Row],[Std EOL leakage tons CO2e]]*OFFSET(GHG_Adder_dollar_per_tonne,0,(DeemedDashboard[[#This Row],[Std Device Retire-ment Year]]-DY+1),1,1))/(1+WACC)^(DeemedDashboard[[#This Row],[Std Device Retire-ment Year]]-DeemedDashboard[[#This Row],[Measure Start Year]]+0.5),"")</f>
        <v/>
      </c>
      <c r="CD20" s="296" t="str">
        <f ca="1">IFERROR((DeemedDashboard[[#This Row],[Pre EOL leakage tons CO2e]]*OFFSET(GHG_Adder_dollar_per_tonne,0,(DeemedDashboard[[#This Row],[Measure Start Year]]-DY),1,1))/(1+WACC)^(-0.5),"")</f>
        <v/>
      </c>
      <c r="CE2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0" s="296" t="str">
        <f ca="1">IFERROR(DeemedDashboard[[#This Row],[Msr NPV Cost of Annual Leakage]]/(1+ACC_Inflation_Rate)^(DeemedDashboard[[#This Row],[Measure Start Year]]-DY),"")</f>
        <v/>
      </c>
      <c r="CG20" s="296" t="str">
        <f ca="1">IFERROR(DeemedDashboard[[#This Row],[Std NPV Cost of Annual Leakage]]/(1+ACC_Inflation_Rate)^(DeemedDashboard[[#This Row],[Measure Start Year]]-DY),"")</f>
        <v/>
      </c>
      <c r="CH20" s="296" t="str">
        <f>IFERROR(IF(ISBLANK(DeemedDashboard[[#This Row],[MeasAppType]]),NA(),IF(DeemedDashboard[[#This Row],[MeasAppType]]=const_AR,DeemedDashboard[[#This Row],[Pre NPV Cost of Annual Leakage]]/(1+ACC_Inflation_Rate)^(DeemedDashboard[[#This Row],[Measure Start Year]]-DY),"")),"")</f>
        <v/>
      </c>
      <c r="CI20" s="296" t="str">
        <f>IFERROR(IF(ISBLANK(DeemedDashboard[[#This Row],[MeasAppType]]),NA(),IF(DeemedDashboard[[#This Row],[MeasAppType]]=const_AR,DeemedDashboard[[#This Row],[Ext NPV Cost of Annual Leakage]]/(1+ACC_Inflation_Rate)^(DeemedDashboard[[#This Row],[Measure Start Year]]-DY),"")),"")</f>
        <v/>
      </c>
      <c r="CJ20" s="296" t="str">
        <f ca="1">IFERROR((DeemedDashboard[[#This Row],[Msr % of device lifetime during measure years]]+DeemedDashboard[[#This Row],[Msr % of device lifetime retired early]])*DeemedDashboard[[#This Row],[Msr NPV Cost of EOL Leakage]]/(1+ACC_Inflation_Rate)^(DeemedDashboard[[#This Row],[Measure Start Year]]-DY),"")</f>
        <v/>
      </c>
      <c r="CK20" s="296" t="str">
        <f ca="1">IFERROR((DeemedDashboard[[#This Row],[Std % of device lifetime during measure years]]+DeemedDashboard[[#This Row],[Std % of device lifetime retired early]])*DeemedDashboard[[#This Row],[Std NPV Cost of EOL Leakage]]/(1+ACC_Inflation_Rate)^(DeemedDashboard[[#This Row],[Measure Start Year]]-DY),"")</f>
        <v/>
      </c>
      <c r="CL2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0" s="299" t="str">
        <f ca="1">IFERROR(DeemedDashboard[[#This Row],[Counter-factual total 
NPV cost]]-DeemedDashboard[[#This Row],[Measure total 
NPV cost]],"")</f>
        <v/>
      </c>
      <c r="CQ20" s="299" t="str">
        <f>IF(ISBLANK(DeemedDashboard[[#This Row],[MeasAppType]]),"",DeemedDashboard[[#This Row],[Refrigerant
NPV costs
avoided]]&gt;0)</f>
        <v/>
      </c>
      <c r="CR20" s="299" t="str">
        <f ca="1">IFERROR(DeemedDashboard[[#This Row],[Msr Adj NPV Cost of Annual Leakage]]+DeemedDashboard[[#This Row],[Msr Adj NPV Cost of EOL Leakage]],"")</f>
        <v/>
      </c>
      <c r="CS20" s="299" t="str">
        <f ca="1">IFERROR(DeemedDashboard[[#This Row],[Std Adj NPV Cost of Annual Leakage]]+DeemedDashboard[[#This Row],[Std Adj NPV Cost of EOL Leakage]],"")</f>
        <v/>
      </c>
      <c r="CT20" s="299" t="str">
        <f>IFERROR(IF((DeemedDashboard[[#This Row],[Pre Adj NPV Cost of Annual Leakage]]+DeemedDashboard[[#This Row],[Pre Adj NPV Cost of EOL Leakage]])=0,"",DeemedDashboard[[#This Row],[Pre Adj NPV Cost of Annual Leakage]]+DeemedDashboard[[#This Row],[Pre Adj NPV Cost of EOL Leakage]]),"")</f>
        <v/>
      </c>
      <c r="CU20" s="299" t="str">
        <f>IFERROR(IF((DeemedDashboard[[#This Row],[Ext Adj NPV Cost of Annual Leakage]]+DeemedDashboard[[#This Row],[Ext Adj NPV Cost of EOL Leakage]])=0,"",DeemedDashboard[[#This Row],[Ext Adj NPV Cost of Annual Leakage]]+DeemedDashboard[[#This Row],[Ext Adj NPV Cost of EOL Leakage]]),"")</f>
        <v/>
      </c>
      <c r="CV20" s="299" t="str">
        <f>IFERROR(IF(DeemedDashboard[[#This Row],[Is Avoided Net Cost &gt;0?]],"",-DeemedDashboard[[#This Row],[Refrigerant
NPV costs
avoided]]),"")</f>
        <v/>
      </c>
      <c r="CW20" s="299" t="str">
        <f>IFERROR(IF(DeemedDashboard[[#This Row],[Is Avoided Net Cost &gt;0?]],DeemedDashboard[[#This Row],[Refrigerant
NPV costs
avoided]],""),"")</f>
        <v/>
      </c>
      <c r="CX20" s="391">
        <f ca="1">IFERROR(MATCH(DeemedDashboard[[#This Row],[TechGroup and NormUnit]],TechGroup_and_NormUnit,0),1)</f>
        <v>1</v>
      </c>
      <c r="CY20" s="391" cm="1">
        <f t="array" aca="1" ref="CY20" ca="1">IFERROR(INDEX(TGRows,DeemedDashboard[[#This Row],[TGIndex]]),"")</f>
        <v>2</v>
      </c>
      <c r="CZ20" s="391">
        <f ca="1">IF(DeemedDashboard[[#This Row],[MeasAppType]]=const_AR,DeemedDashboard[[#This Row],[TGRows]],DeemedDashboard[[#This Row],[TGRows]]+1)</f>
        <v>3</v>
      </c>
      <c r="DA20" s="391" t="str">
        <f>IF(ISBLANK(DeemedDashboard[[#This Row],[MeasAppType]]),"",IF(DeemedDashboard[[#This Row],[Index]]=User_Specified_Refrigerant[[#This Row],[Index]],"OK","ERROR"))</f>
        <v/>
      </c>
    </row>
    <row r="21" spans="1:105" s="320" customFormat="1" x14ac:dyDescent="0.25">
      <c r="A21" s="297">
        <f>ROW(DeemedDashboard[[#This Row],[Index]])-ROW(DeemedDashboard[[#Headers],[Index]])</f>
        <v>12</v>
      </c>
      <c r="B21" s="298"/>
      <c r="C21" s="321"/>
      <c r="D21" s="403"/>
      <c r="E21" s="403"/>
      <c r="F21" s="403"/>
      <c r="G21" s="403"/>
      <c r="H21" s="365"/>
      <c r="I21" s="339"/>
      <c r="J21" s="339"/>
      <c r="K21" s="339"/>
      <c r="L21" s="322"/>
      <c r="M21" s="322"/>
      <c r="N21" s="322"/>
      <c r="O2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1" s="582" t="str" cm="1">
        <f t="array" ref="R21">IFERROR(IF(DeemedDashboard[[#This Row],[Msr device type]]=const_device_nonrefrig,0,INDEX(_xlfn.SWITCH($E$4,const_20_yr,GWP_Values_20_year_AR4,const_100_yr,GWP_Values_100_year_AR4),MATCH(DeemedDashboard[[#This Row],[Msr refrigerant Type]],RefrigDropdownList,0))),"")</f>
        <v/>
      </c>
      <c r="S21" s="582" t="str" cm="1">
        <f t="array" ref="S21">IFERROR(IF(DeemedDashboard[[#This Row],[Std device type]]=const_device_nonrefrig,0,INDEX(_xlfn.SWITCH($E$4,const_20_yr,GWP_Values_20_year_AR4,const_100_yr,GWP_Values_100_year_AR4),MATCH(DeemedDashboard[[#This Row],[Std refrigerant Type]],RefrigDropdownList,0))),"")</f>
        <v/>
      </c>
      <c r="T21" s="582" t="str" cm="1">
        <f t="array" ref="T21">IFERROR(IF(DeemedDashboard[[#This Row],[Pre/Ext device type]]=const_device_nonrefrig,0,INDEX(_xlfn.SWITCH($E$4,const_20_yr,GWP_Values_20_year_AR4,const_100_yr,GWP_Values_100_year_AR4),MATCH(DeemedDashboard[[#This Row],[Pre/Ext refrigerant Type]],RefrigDropdownList,0))),"")</f>
        <v/>
      </c>
      <c r="U2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1" s="326" t="str">
        <f>IFERROR(IF(DeemedDashboard[[#This Row],[Msr device type]]=const_userspec,IF(ISBLANK(User_Specified_Refrigerant[[#This Row],[Msr t_EOL]]),"",User_Specified_Refrigerant[[#This Row],[Msr t_EOL]]),INDEX(TechGroup_NormUnit_Table[t_EOL],MATCH(DeemedDashboard[[#This Row],[Msr device type]],DropdownRefrigTech,0))),"")</f>
        <v/>
      </c>
      <c r="AB21" s="326" t="str">
        <f>IFERROR(IF(DeemedDashboard[[#This Row],[Std device type]]=const_userspec,IF(ISBLANK(User_Specified_Refrigerant[[#This Row],[Std t_EOL]]),"",User_Specified_Refrigerant[[#This Row],[Std t_EOL]]),INDEX(TechGroup_NormUnit_Table[t_EOL],MATCH(DeemedDashboard[[#This Row],[Std device type]],DropdownRefrigTech,0))),"")</f>
        <v/>
      </c>
      <c r="AC2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1" s="395" t="str">
        <f>IF(ISBLANK(DeemedDashboard[[#This Row],[MeasAppType]]),"",$E$2)</f>
        <v/>
      </c>
      <c r="AE21" s="395" t="str">
        <f>IFERROR(IF(ISBLANK(DeemedDashboard[[#This Row],[MeasAppType]]),NA(),DeemedDashboard[[#This Row],[Measure Start Year]]+DeemedDashboard[[#This Row],[Msr EUL rounded]]-1),"")</f>
        <v/>
      </c>
      <c r="AF21" s="323" t="str">
        <f>IF(ISBLANK(DeemedDashboard[[#This Row],[Measure New Device EUL]]),"",ROUND(DeemedDashboard[[#This Row],[Measure New Device EUL]],0))</f>
        <v/>
      </c>
      <c r="AG21" s="323" t="str">
        <f>IF(ISBLANK(DeemedDashboard[[#This Row],[Counterfactual New Device EUL]]),"",ROUND(DeemedDashboard[[#This Row],[Counterfactual New Device EUL]],0))</f>
        <v/>
      </c>
      <c r="AH21" s="323" t="str">
        <f>IF(ISBLANK(DeemedDashboard[[#This Row],[Existing Device EUL]]),"",ROUND(DeemedDashboard[[#This Row],[Existing Device EUL]],0))</f>
        <v/>
      </c>
      <c r="AI21" s="323" t="str">
        <f>IF(ISBLANK(DeemedDashboard[[#This Row],[Existing Device RUL or AR First Baseline Life]]),"",ROUND(DeemedDashboard[[#This Row],[Existing Device RUL or AR First Baseline Life]],0))</f>
        <v/>
      </c>
      <c r="AJ21" s="327" t="str">
        <f>DeemedDashboard[[#This Row],[Measure Start Year]]</f>
        <v/>
      </c>
      <c r="AK21" s="327" t="str">
        <f>IF(DeemedDashboard[[#This Row],[MeasAppType]]&lt;&gt;const_AR,DeemedDashboard[[#This Row],[Measure Start Year]],DeemedDashboard[[#This Row],[Ext Device Retire-ment Year]]+1)</f>
        <v/>
      </c>
      <c r="AL21" s="327" t="str">
        <f>IFERROR(IF(DeemedDashboard[[#This Row],[MeasAppType]]=const_AR,DeemedDashboard[[#This Row],[Measure Start Year]]-(DeemedDashboard[[#This Row],[Existing Device EUL]]-DeemedDashboard[[#This Row],[Existing Device RUL or AR First Baseline Life]]),NA()),"")</f>
        <v/>
      </c>
      <c r="AM21" s="327" t="str">
        <f>DeemedDashboard[[#This Row],[Pre Device Install Year]]</f>
        <v/>
      </c>
      <c r="AN21" s="327" t="str">
        <f>IFERROR(IF(ISBLANK(DeemedDashboard[[#This Row],[MeasAppType]]),NA(),DeemedDashboard[[#This Row],[Measure Start Year]]+DeemedDashboard[[#This Row],[Msr EUL rounded]]-1),"")</f>
        <v/>
      </c>
      <c r="AO21" s="327" t="str">
        <f>IFERROR(DeemedDashboard[[#This Row],[Std Device Install Year]]+DeemedDashboard[[#This Row],[Counterfactual New Device EUL]]-1,"")</f>
        <v/>
      </c>
      <c r="AP21" s="327" t="str">
        <f>IFERROR(IF(AND(DeemedDashboard[[#This Row],[MeasAppType]]=const_AR,DeemedDashboard[[#This Row],[Measure Start Year]]&lt;(DeemedDashboard[[#This Row],[Pre Device Install Year]]+DeemedDashboard[[#This Row],[Existing Device EUL]]-1)),DeemedDashboard[[#This Row],[Measure Start Year]]-1,NA()),"")</f>
        <v/>
      </c>
      <c r="AQ21" s="327" t="str">
        <f>IFERROR(IF(DeemedDashboard[[#This Row],[MeasAppType]]=const_AR,DeemedDashboard[[#This Row],[Ext Device Install Year]]+DeemedDashboard[[#This Row],[Existing Device EUL]]-1,NA()),"")</f>
        <v/>
      </c>
      <c r="AR21" s="327" t="str">
        <f>IFERROR(IF(ISBLANK(DeemedDashboard[[#This Row],[MeasAppType]]),NA(),0),"")</f>
        <v/>
      </c>
      <c r="AS21" s="327" t="str">
        <f>IFERROR(IF(ISBLANK(DeemedDashboard[[#This Row],[MeasAppType]]),NA(),0),"")</f>
        <v/>
      </c>
      <c r="AT21" s="327" t="str">
        <f>IF(ISBLANK(DeemedDashboard[[#This Row],[MeasAppType]]),"",IF(DeemedDashboard[[#This Row],[MeasAppType]]&lt;&gt;const_AR,"",(DeemedDashboard[[#This Row],[Pre Device Install Year]]+DeemedDashboard[[#This Row],[Existing Device EUL]]-1)-DeemedDashboard[[#This Row],[Pre Device Retire-ment Year]]))</f>
        <v/>
      </c>
      <c r="AU21" s="327" t="str">
        <f>IF(ISBLANK(DeemedDashboard[[#This Row],[MeasAppType]]),"",IF(DeemedDashboard[[#This Row],[MeasAppType]]=const_AR,0,""))</f>
        <v/>
      </c>
      <c r="AV21" s="328" t="str">
        <f>IF(ISBLANK(DeemedDashboard[[#This Row],[MeasAppType]]),"",MAX((1+MIN(DeemedDashboard[[#This Row],[Msr Device Retire-ment Year]],DeemedDashboard[[#This Row],[Measure End 
Year]])-MAX(DeemedDashboard[[#This Row],[Msr Device Install Year]],DeemedDashboard[[#This Row],[Measure Start Year]])),0))</f>
        <v/>
      </c>
      <c r="AW21" s="328" t="str">
        <f>IF(ISBLANK(DeemedDashboard[[#This Row],[MeasAppType]]),"",MAX((1+MIN(DeemedDashboard[[#This Row],[Std Device Retire-ment Year]],DeemedDashboard[[#This Row],[Measure End 
Year]])-MAX(DeemedDashboard[[#This Row],[Std Device Install Year]],DeemedDashboard[[#This Row],[Measure Start Year]])),0))</f>
        <v/>
      </c>
      <c r="AX2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1"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1" s="329" t="str">
        <f>IF(ISBLANK(DeemedDashboard[[#This Row],[MeasAppType]]),"",IF(DeemedDashboard[[#This Row],[Msr Device Years Over-lapping with Measure Years]]=0,0,DeemedDashboard[[#This Row],[Msr Device Years Over-lapping with Measure Years]]/DeemedDashboard[[#This Row],[Msr EUL rounded]]))</f>
        <v/>
      </c>
      <c r="BA21" s="329" t="str">
        <f>IF(ISBLANK(DeemedDashboard[[#This Row],[MeasAppType]]),"",IF(DeemedDashboard[[#This Row],[Std Device Years Over-lapping with Measure Years]]=0,0,DeemedDashboard[[#This Row],[Std Device Years Over-lapping with Measure Years]]/DeemedDashboard[[#This Row],[Counterfactual New Device EUL]]))</f>
        <v/>
      </c>
      <c r="BB21" s="329" t="str">
        <f>IF(ISBLANK(DeemedDashboard[[#This Row],[MeasAppType]]),"",IFERROR(IF(DeemedDashboard[[#This Row],[Pre Device Years Over-lapping with Measure Years]]=0,0,DeemedDashboard[[#This Row],[Pre Device Years Over-lapping with Measure Years]]/DeemedDashboard[[#This Row],[Existing Device EUL]]),""))</f>
        <v/>
      </c>
      <c r="BC21" s="331" t="str">
        <f>IFERROR(IF(DeemedDashboard[[#This Row],[Ext Device Years Over-lapping with Measure Years]]=0,0,DeemedDashboard[[#This Row],[Ext Device Years Over-lapping with Measure Years]]/DeemedDashboard[[#This Row],[Existing Device EUL]]),"")</f>
        <v/>
      </c>
      <c r="BD21" s="329" t="str">
        <f>IFERROR(IF(DeemedDashboard[[#This Row],[Msr Number of Years device retired early]]=0,0,DeemedDashboard[[#This Row],[Msr Number of Years device retired early]]/DeemedDashboard[[#This Row],[Msr EUL rounded]]),"")</f>
        <v/>
      </c>
      <c r="BE21" s="329" t="str">
        <f>IFERROR(IF(DeemedDashboard[[#This Row],[Std Number of Years device retired early]]=0,0,DeemedDashboard[[#This Row],[Std Number of Years device retired early]]/DeemedDashboard[[#This Row],[Msr EUL rounded]]),"")</f>
        <v/>
      </c>
      <c r="BF21" s="329" t="str">
        <f>IFERROR(IF(DeemedDashboard[[#This Row],[MeasAppType]]&lt;&gt;const_AR,"",IF(DeemedDashboard[[#This Row],[Pre Number of Years device retired early]]=0,0,DeemedDashboard[[#This Row],[Pre Number of Years device retired early]]/DeemedDashboard[[#This Row],[Existing Device EUL]])),"")</f>
        <v/>
      </c>
      <c r="BG21" s="331" t="str">
        <f>IFERROR(IF(DeemedDashboard[[#This Row],[Ext Number of Years device retired early]]=0,0,DeemedDashboard[[#This Row],[Ext Number of Years device retired early]]/DeemedDashboard[[#This Row],[Existing Device EUL]]),"")</f>
        <v/>
      </c>
      <c r="BH21" s="325" t="str">
        <f>IFERROR(1-DeemedDashboard[[#This Row],[Msr annual refrigerant leakage %]]*DeemedDashboard[[#This Row],[Msr t_EOL]],"")</f>
        <v/>
      </c>
      <c r="BI21" s="325" t="str">
        <f>IFERROR(1-DeemedDashboard[[#This Row],[Std annual refrigerant leakage %]]*DeemedDashboard[[#This Row],[Std t_EOL]],"")</f>
        <v/>
      </c>
      <c r="BJ21" s="325" t="str">
        <f>IFERROR(1-DeemedDashboard[[#This Row],[Pre/Ext annual refrigerant leakage %]]*DeemedDashboard[[#This Row],[Pre/Ext t_EOL]],"")</f>
        <v/>
      </c>
      <c r="BK21" s="325" t="str">
        <f>IFERROR(1-DeemedDashboard[[#This Row],[Pre/Ext annual refrigerant leakage %]]*DeemedDashboard[[#This Row],[Pre/Ext t_EOL]],"")</f>
        <v/>
      </c>
      <c r="BL21" s="325" t="str">
        <f>IFERROR(DeemedDashboard[[#This Row],[Msr charging remaining (%)]]*DeemedDashboard[[#This Row],[Msr gross EOL refrigerant leakage %]],"")</f>
        <v/>
      </c>
      <c r="BM21" s="325" t="str">
        <f>IFERROR(DeemedDashboard[[#This Row],[Std charging remaining (%)]]*DeemedDashboard[[#This Row],[Std gross EOL refrigerant leakage %]],"")</f>
        <v/>
      </c>
      <c r="BN21" s="325" t="str">
        <f>IFERROR(DeemedDashboard[[#This Row],[Pre charging remaining (%)]]*DeemedDashboard[[#This Row],[Pre/Ext gross EOL refrigerant leakage %]],"")</f>
        <v/>
      </c>
      <c r="BO21" s="325" t="str">
        <f>IFERROR(DeemedDashboard[[#This Row],[Ext charging remaining (%)]]*DeemedDashboard[[#This Row],[Pre/Ext gross EOL refrigerant leakage %]],"")</f>
        <v/>
      </c>
      <c r="BP21" s="330" t="str">
        <f>IFERROR((DeemedDashboard[[#This Row],[Msr refrigerant charge (lb) per NormUnit]]/pounds_per_metric_ton)*DeemedDashboard[[#This Row],[Msr annual refrigerant leakage %]]*DeemedDashboard[[#This Row],[Msr GWP]],"")</f>
        <v/>
      </c>
      <c r="BQ21" s="330" t="str">
        <f>IFERROR((DeemedDashboard[[#This Row],[Std refrigerant charge (lb) per NormUnit]]/pounds_per_metric_ton)*DeemedDashboard[[#This Row],[Std annual refrigerant leakage %]]*DeemedDashboard[[#This Row],[Std GWP]],"")</f>
        <v/>
      </c>
      <c r="BR21" s="330" t="str">
        <f>IF(DeemedDashboard[[#This Row],[MeasAppType]]=const_AR,(DeemedDashboard[[#This Row],[Pre/Ext refrigerant charge (lb) per NormUnit]]/pounds_per_metric_ton)*DeemedDashboard[[#This Row],[Pre/Ext annual refrigerant leakage %]]*DeemedDashboard[[#This Row],[Pre/Ext GWP]],"")</f>
        <v/>
      </c>
      <c r="BS21" s="330" t="str">
        <f>IF(DeemedDashboard[[#This Row],[MeasAppType]]=const_AR,(DeemedDashboard[[#This Row],[Pre/Ext refrigerant charge (lb) per NormUnit]]/pounds_per_metric_ton)*DeemedDashboard[[#This Row],[Pre/Ext annual refrigerant leakage %]]*DeemedDashboard[[#This Row],[Pre/Ext GWP]],"")</f>
        <v/>
      </c>
      <c r="BT21" s="330" t="str">
        <f>IFERROR((DeemedDashboard[[#This Row],[Msr refrigerant charge (lb) per NormUnit]]/pounds_per_metric_ton)*DeemedDashboard[[#This Row],[Msr net EOL refrigerant leakage (%)]]*DeemedDashboard[[#This Row],[Msr GWP]],"")</f>
        <v/>
      </c>
      <c r="BU21" s="330" t="str">
        <f>IFERROR((DeemedDashboard[[#This Row],[Std refrigerant charge (lb) per NormUnit]]/pounds_per_metric_ton)*DeemedDashboard[[#This Row],[Std net EOL refrigerant leakage (%)]]*DeemedDashboard[[#This Row],[Std GWP]],"")</f>
        <v/>
      </c>
      <c r="BV21" s="330" t="str">
        <f>IFERROR((DeemedDashboard[[#This Row],[Pre/Ext refrigerant charge (lb) per NormUnit]]/pounds_per_metric_ton)*DeemedDashboard[[#This Row],[Pre net EOL refrigerant leakage (%)]]*DeemedDashboard[[#This Row],[Pre/Ext GWP]],"")</f>
        <v/>
      </c>
      <c r="BW21" s="330" t="str">
        <f>IFERROR((DeemedDashboard[[#This Row],[Pre/Ext refrigerant charge (lb) per NormUnit]]/pounds_per_metric_ton)*DeemedDashboard[[#This Row],[Ext net EOL refrigerant leakage (%)]]*DeemedDashboard[[#This Row],[Pre/Ext GWP]],"")</f>
        <v/>
      </c>
      <c r="BX21" s="299" t="str" cm="1">
        <f t="array" aca="1" ref="BX2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1" s="305" t="str" cm="1">
        <f t="array" aca="1" ref="BY2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1" s="299" t="str">
        <f>IFERROR(IF(OR(DeemedDashboard[[#This Row],[MeasAppType]]&lt;&gt;const_AR,ISBLANK(DeemedDashboard[[#This Row],[MeasAppType]])),NA(),0),"")</f>
        <v/>
      </c>
      <c r="CA21" s="305" t="str" cm="1">
        <f t="array" aca="1" ref="CA2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1" s="296" t="str">
        <f ca="1">IFERROR((DeemedDashboard[[#This Row],[Msr EOL leakage tons CO2e]]*OFFSET(GHG_Adder_dollar_per_tonne,0,(DeemedDashboard[[#This Row],[Msr Device Retire-ment Year]]-DY+1),1,1))/(1+WACC)^(DeemedDashboard[[#This Row],[Msr Device Retire-ment Year]]-DeemedDashboard[[#This Row],[Measure Start Year]]+0.5),"")</f>
        <v/>
      </c>
      <c r="CC21" s="296" t="str">
        <f ca="1">IFERROR((DeemedDashboard[[#This Row],[Std EOL leakage tons CO2e]]*OFFSET(GHG_Adder_dollar_per_tonne,0,(DeemedDashboard[[#This Row],[Std Device Retire-ment Year]]-DY+1),1,1))/(1+WACC)^(DeemedDashboard[[#This Row],[Std Device Retire-ment Year]]-DeemedDashboard[[#This Row],[Measure Start Year]]+0.5),"")</f>
        <v/>
      </c>
      <c r="CD21" s="296" t="str">
        <f ca="1">IFERROR((DeemedDashboard[[#This Row],[Pre EOL leakage tons CO2e]]*OFFSET(GHG_Adder_dollar_per_tonne,0,(DeemedDashboard[[#This Row],[Measure Start Year]]-DY),1,1))/(1+WACC)^(-0.5),"")</f>
        <v/>
      </c>
      <c r="CE2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1" s="296" t="str">
        <f ca="1">IFERROR(DeemedDashboard[[#This Row],[Msr NPV Cost of Annual Leakage]]/(1+ACC_Inflation_Rate)^(DeemedDashboard[[#This Row],[Measure Start Year]]-DY),"")</f>
        <v/>
      </c>
      <c r="CG21" s="296" t="str">
        <f ca="1">IFERROR(DeemedDashboard[[#This Row],[Std NPV Cost of Annual Leakage]]/(1+ACC_Inflation_Rate)^(DeemedDashboard[[#This Row],[Measure Start Year]]-DY),"")</f>
        <v/>
      </c>
      <c r="CH21" s="296" t="str">
        <f>IFERROR(IF(ISBLANK(DeemedDashboard[[#This Row],[MeasAppType]]),NA(),IF(DeemedDashboard[[#This Row],[MeasAppType]]=const_AR,DeemedDashboard[[#This Row],[Pre NPV Cost of Annual Leakage]]/(1+ACC_Inflation_Rate)^(DeemedDashboard[[#This Row],[Measure Start Year]]-DY),"")),"")</f>
        <v/>
      </c>
      <c r="CI21" s="296" t="str">
        <f>IFERROR(IF(ISBLANK(DeemedDashboard[[#This Row],[MeasAppType]]),NA(),IF(DeemedDashboard[[#This Row],[MeasAppType]]=const_AR,DeemedDashboard[[#This Row],[Ext NPV Cost of Annual Leakage]]/(1+ACC_Inflation_Rate)^(DeemedDashboard[[#This Row],[Measure Start Year]]-DY),"")),"")</f>
        <v/>
      </c>
      <c r="CJ21" s="296" t="str">
        <f ca="1">IFERROR((DeemedDashboard[[#This Row],[Msr % of device lifetime during measure years]]+DeemedDashboard[[#This Row],[Msr % of device lifetime retired early]])*DeemedDashboard[[#This Row],[Msr NPV Cost of EOL Leakage]]/(1+ACC_Inflation_Rate)^(DeemedDashboard[[#This Row],[Measure Start Year]]-DY),"")</f>
        <v/>
      </c>
      <c r="CK21" s="296" t="str">
        <f ca="1">IFERROR((DeemedDashboard[[#This Row],[Std % of device lifetime during measure years]]+DeemedDashboard[[#This Row],[Std % of device lifetime retired early]])*DeemedDashboard[[#This Row],[Std NPV Cost of EOL Leakage]]/(1+ACC_Inflation_Rate)^(DeemedDashboard[[#This Row],[Measure Start Year]]-DY),"")</f>
        <v/>
      </c>
      <c r="CL2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1" s="299" t="str">
        <f ca="1">IFERROR(DeemedDashboard[[#This Row],[Counter-factual total 
NPV cost]]-DeemedDashboard[[#This Row],[Measure total 
NPV cost]],"")</f>
        <v/>
      </c>
      <c r="CQ21" s="299" t="str">
        <f>IF(ISBLANK(DeemedDashboard[[#This Row],[MeasAppType]]),"",DeemedDashboard[[#This Row],[Refrigerant
NPV costs
avoided]]&gt;0)</f>
        <v/>
      </c>
      <c r="CR21" s="299" t="str">
        <f ca="1">IFERROR(DeemedDashboard[[#This Row],[Msr Adj NPV Cost of Annual Leakage]]+DeemedDashboard[[#This Row],[Msr Adj NPV Cost of EOL Leakage]],"")</f>
        <v/>
      </c>
      <c r="CS21" s="299" t="str">
        <f ca="1">IFERROR(DeemedDashboard[[#This Row],[Std Adj NPV Cost of Annual Leakage]]+DeemedDashboard[[#This Row],[Std Adj NPV Cost of EOL Leakage]],"")</f>
        <v/>
      </c>
      <c r="CT21" s="299" t="str">
        <f>IFERROR(IF((DeemedDashboard[[#This Row],[Pre Adj NPV Cost of Annual Leakage]]+DeemedDashboard[[#This Row],[Pre Adj NPV Cost of EOL Leakage]])=0,"",DeemedDashboard[[#This Row],[Pre Adj NPV Cost of Annual Leakage]]+DeemedDashboard[[#This Row],[Pre Adj NPV Cost of EOL Leakage]]),"")</f>
        <v/>
      </c>
      <c r="CU21" s="299" t="str">
        <f>IFERROR(IF((DeemedDashboard[[#This Row],[Ext Adj NPV Cost of Annual Leakage]]+DeemedDashboard[[#This Row],[Ext Adj NPV Cost of EOL Leakage]])=0,"",DeemedDashboard[[#This Row],[Ext Adj NPV Cost of Annual Leakage]]+DeemedDashboard[[#This Row],[Ext Adj NPV Cost of EOL Leakage]]),"")</f>
        <v/>
      </c>
      <c r="CV21" s="299" t="str">
        <f>IFERROR(IF(DeemedDashboard[[#This Row],[Is Avoided Net Cost &gt;0?]],"",-DeemedDashboard[[#This Row],[Refrigerant
NPV costs
avoided]]),"")</f>
        <v/>
      </c>
      <c r="CW21" s="299" t="str">
        <f>IFERROR(IF(DeemedDashboard[[#This Row],[Is Avoided Net Cost &gt;0?]],DeemedDashboard[[#This Row],[Refrigerant
NPV costs
avoided]],""),"")</f>
        <v/>
      </c>
      <c r="CX21" s="391">
        <f ca="1">IFERROR(MATCH(DeemedDashboard[[#This Row],[TechGroup and NormUnit]],TechGroup_and_NormUnit,0),1)</f>
        <v>1</v>
      </c>
      <c r="CY21" s="391" cm="1">
        <f t="array" aca="1" ref="CY21" ca="1">IFERROR(INDEX(TGRows,DeemedDashboard[[#This Row],[TGIndex]]),"")</f>
        <v>2</v>
      </c>
      <c r="CZ21" s="391">
        <f ca="1">IF(DeemedDashboard[[#This Row],[MeasAppType]]=const_AR,DeemedDashboard[[#This Row],[TGRows]],DeemedDashboard[[#This Row],[TGRows]]+1)</f>
        <v>3</v>
      </c>
      <c r="DA21" s="391" t="str">
        <f>IF(ISBLANK(DeemedDashboard[[#This Row],[MeasAppType]]),"",IF(DeemedDashboard[[#This Row],[Index]]=User_Specified_Refrigerant[[#This Row],[Index]],"OK","ERROR"))</f>
        <v/>
      </c>
    </row>
    <row r="22" spans="1:105" s="320" customFormat="1" x14ac:dyDescent="0.25">
      <c r="A22" s="297">
        <f>ROW(DeemedDashboard[[#This Row],[Index]])-ROW(DeemedDashboard[[#Headers],[Index]])</f>
        <v>13</v>
      </c>
      <c r="B22" s="298"/>
      <c r="C22" s="321"/>
      <c r="D22" s="403"/>
      <c r="E22" s="403"/>
      <c r="F22" s="403"/>
      <c r="G22" s="403"/>
      <c r="H22" s="365"/>
      <c r="I22" s="339"/>
      <c r="J22" s="339"/>
      <c r="K22" s="339"/>
      <c r="L22" s="322"/>
      <c r="M22" s="322"/>
      <c r="N22" s="322"/>
      <c r="O2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2" s="582" t="str" cm="1">
        <f t="array" ref="R22">IFERROR(IF(DeemedDashboard[[#This Row],[Msr device type]]=const_device_nonrefrig,0,INDEX(_xlfn.SWITCH($E$4,const_20_yr,GWP_Values_20_year_AR4,const_100_yr,GWP_Values_100_year_AR4),MATCH(DeemedDashboard[[#This Row],[Msr refrigerant Type]],RefrigDropdownList,0))),"")</f>
        <v/>
      </c>
      <c r="S22" s="582" t="str" cm="1">
        <f t="array" ref="S22">IFERROR(IF(DeemedDashboard[[#This Row],[Std device type]]=const_device_nonrefrig,0,INDEX(_xlfn.SWITCH($E$4,const_20_yr,GWP_Values_20_year_AR4,const_100_yr,GWP_Values_100_year_AR4),MATCH(DeemedDashboard[[#This Row],[Std refrigerant Type]],RefrigDropdownList,0))),"")</f>
        <v/>
      </c>
      <c r="T22" s="582" t="str" cm="1">
        <f t="array" ref="T22">IFERROR(IF(DeemedDashboard[[#This Row],[Pre/Ext device type]]=const_device_nonrefrig,0,INDEX(_xlfn.SWITCH($E$4,const_20_yr,GWP_Values_20_year_AR4,const_100_yr,GWP_Values_100_year_AR4),MATCH(DeemedDashboard[[#This Row],[Pre/Ext refrigerant Type]],RefrigDropdownList,0))),"")</f>
        <v/>
      </c>
      <c r="U2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2" s="326" t="str">
        <f>IFERROR(IF(DeemedDashboard[[#This Row],[Msr device type]]=const_userspec,IF(ISBLANK(User_Specified_Refrigerant[[#This Row],[Msr t_EOL]]),"",User_Specified_Refrigerant[[#This Row],[Msr t_EOL]]),INDEX(TechGroup_NormUnit_Table[t_EOL],MATCH(DeemedDashboard[[#This Row],[Msr device type]],DropdownRefrigTech,0))),"")</f>
        <v/>
      </c>
      <c r="AB22" s="326" t="str">
        <f>IFERROR(IF(DeemedDashboard[[#This Row],[Std device type]]=const_userspec,IF(ISBLANK(User_Specified_Refrigerant[[#This Row],[Std t_EOL]]),"",User_Specified_Refrigerant[[#This Row],[Std t_EOL]]),INDEX(TechGroup_NormUnit_Table[t_EOL],MATCH(DeemedDashboard[[#This Row],[Std device type]],DropdownRefrigTech,0))),"")</f>
        <v/>
      </c>
      <c r="AC2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2" s="395" t="str">
        <f>IF(ISBLANK(DeemedDashboard[[#This Row],[MeasAppType]]),"",$E$2)</f>
        <v/>
      </c>
      <c r="AE22" s="395" t="str">
        <f>IFERROR(IF(ISBLANK(DeemedDashboard[[#This Row],[MeasAppType]]),NA(),DeemedDashboard[[#This Row],[Measure Start Year]]+DeemedDashboard[[#This Row],[Msr EUL rounded]]-1),"")</f>
        <v/>
      </c>
      <c r="AF22" s="323" t="str">
        <f>IF(ISBLANK(DeemedDashboard[[#This Row],[Measure New Device EUL]]),"",ROUND(DeemedDashboard[[#This Row],[Measure New Device EUL]],0))</f>
        <v/>
      </c>
      <c r="AG22" s="323" t="str">
        <f>IF(ISBLANK(DeemedDashboard[[#This Row],[Counterfactual New Device EUL]]),"",ROUND(DeemedDashboard[[#This Row],[Counterfactual New Device EUL]],0))</f>
        <v/>
      </c>
      <c r="AH22" s="323" t="str">
        <f>IF(ISBLANK(DeemedDashboard[[#This Row],[Existing Device EUL]]),"",ROUND(DeemedDashboard[[#This Row],[Existing Device EUL]],0))</f>
        <v/>
      </c>
      <c r="AI22" s="323" t="str">
        <f>IF(ISBLANK(DeemedDashboard[[#This Row],[Existing Device RUL or AR First Baseline Life]]),"",ROUND(DeemedDashboard[[#This Row],[Existing Device RUL or AR First Baseline Life]],0))</f>
        <v/>
      </c>
      <c r="AJ22" s="327" t="str">
        <f>DeemedDashboard[[#This Row],[Measure Start Year]]</f>
        <v/>
      </c>
      <c r="AK22" s="327" t="str">
        <f>IF(DeemedDashboard[[#This Row],[MeasAppType]]&lt;&gt;const_AR,DeemedDashboard[[#This Row],[Measure Start Year]],DeemedDashboard[[#This Row],[Ext Device Retire-ment Year]]+1)</f>
        <v/>
      </c>
      <c r="AL22" s="327" t="str">
        <f>IFERROR(IF(DeemedDashboard[[#This Row],[MeasAppType]]=const_AR,DeemedDashboard[[#This Row],[Measure Start Year]]-(DeemedDashboard[[#This Row],[Existing Device EUL]]-DeemedDashboard[[#This Row],[Existing Device RUL or AR First Baseline Life]]),NA()),"")</f>
        <v/>
      </c>
      <c r="AM22" s="327" t="str">
        <f>DeemedDashboard[[#This Row],[Pre Device Install Year]]</f>
        <v/>
      </c>
      <c r="AN22" s="327" t="str">
        <f>IFERROR(IF(ISBLANK(DeemedDashboard[[#This Row],[MeasAppType]]),NA(),DeemedDashboard[[#This Row],[Measure Start Year]]+DeemedDashboard[[#This Row],[Msr EUL rounded]]-1),"")</f>
        <v/>
      </c>
      <c r="AO22" s="327" t="str">
        <f>IFERROR(DeemedDashboard[[#This Row],[Std Device Install Year]]+DeemedDashboard[[#This Row],[Counterfactual New Device EUL]]-1,"")</f>
        <v/>
      </c>
      <c r="AP22" s="327" t="str">
        <f>IFERROR(IF(AND(DeemedDashboard[[#This Row],[MeasAppType]]=const_AR,DeemedDashboard[[#This Row],[Measure Start Year]]&lt;(DeemedDashboard[[#This Row],[Pre Device Install Year]]+DeemedDashboard[[#This Row],[Existing Device EUL]]-1)),DeemedDashboard[[#This Row],[Measure Start Year]]-1,NA()),"")</f>
        <v/>
      </c>
      <c r="AQ22" s="327" t="str">
        <f>IFERROR(IF(DeemedDashboard[[#This Row],[MeasAppType]]=const_AR,DeemedDashboard[[#This Row],[Ext Device Install Year]]+DeemedDashboard[[#This Row],[Existing Device EUL]]-1,NA()),"")</f>
        <v/>
      </c>
      <c r="AR22" s="327" t="str">
        <f>IFERROR(IF(ISBLANK(DeemedDashboard[[#This Row],[MeasAppType]]),NA(),0),"")</f>
        <v/>
      </c>
      <c r="AS22" s="327" t="str">
        <f>IFERROR(IF(ISBLANK(DeemedDashboard[[#This Row],[MeasAppType]]),NA(),0),"")</f>
        <v/>
      </c>
      <c r="AT22" s="327" t="str">
        <f>IF(ISBLANK(DeemedDashboard[[#This Row],[MeasAppType]]),"",IF(DeemedDashboard[[#This Row],[MeasAppType]]&lt;&gt;const_AR,"",(DeemedDashboard[[#This Row],[Pre Device Install Year]]+DeemedDashboard[[#This Row],[Existing Device EUL]]-1)-DeemedDashboard[[#This Row],[Pre Device Retire-ment Year]]))</f>
        <v/>
      </c>
      <c r="AU22" s="327" t="str">
        <f>IF(ISBLANK(DeemedDashboard[[#This Row],[MeasAppType]]),"",IF(DeemedDashboard[[#This Row],[MeasAppType]]=const_AR,0,""))</f>
        <v/>
      </c>
      <c r="AV22" s="328" t="str">
        <f>IF(ISBLANK(DeemedDashboard[[#This Row],[MeasAppType]]),"",MAX((1+MIN(DeemedDashboard[[#This Row],[Msr Device Retire-ment Year]],DeemedDashboard[[#This Row],[Measure End 
Year]])-MAX(DeemedDashboard[[#This Row],[Msr Device Install Year]],DeemedDashboard[[#This Row],[Measure Start Year]])),0))</f>
        <v/>
      </c>
      <c r="AW22" s="328" t="str">
        <f>IF(ISBLANK(DeemedDashboard[[#This Row],[MeasAppType]]),"",MAX((1+MIN(DeemedDashboard[[#This Row],[Std Device Retire-ment Year]],DeemedDashboard[[#This Row],[Measure End 
Year]])-MAX(DeemedDashboard[[#This Row],[Std Device Install Year]],DeemedDashboard[[#This Row],[Measure Start Year]])),0))</f>
        <v/>
      </c>
      <c r="AX2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2"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2" s="329" t="str">
        <f>IF(ISBLANK(DeemedDashboard[[#This Row],[MeasAppType]]),"",IF(DeemedDashboard[[#This Row],[Msr Device Years Over-lapping with Measure Years]]=0,0,DeemedDashboard[[#This Row],[Msr Device Years Over-lapping with Measure Years]]/DeemedDashboard[[#This Row],[Msr EUL rounded]]))</f>
        <v/>
      </c>
      <c r="BA22" s="329" t="str">
        <f>IF(ISBLANK(DeemedDashboard[[#This Row],[MeasAppType]]),"",IF(DeemedDashboard[[#This Row],[Std Device Years Over-lapping with Measure Years]]=0,0,DeemedDashboard[[#This Row],[Std Device Years Over-lapping with Measure Years]]/DeemedDashboard[[#This Row],[Counterfactual New Device EUL]]))</f>
        <v/>
      </c>
      <c r="BB22" s="329" t="str">
        <f>IF(ISBLANK(DeemedDashboard[[#This Row],[MeasAppType]]),"",IFERROR(IF(DeemedDashboard[[#This Row],[Pre Device Years Over-lapping with Measure Years]]=0,0,DeemedDashboard[[#This Row],[Pre Device Years Over-lapping with Measure Years]]/DeemedDashboard[[#This Row],[Existing Device EUL]]),""))</f>
        <v/>
      </c>
      <c r="BC22" s="331" t="str">
        <f>IFERROR(IF(DeemedDashboard[[#This Row],[Ext Device Years Over-lapping with Measure Years]]=0,0,DeemedDashboard[[#This Row],[Ext Device Years Over-lapping with Measure Years]]/DeemedDashboard[[#This Row],[Existing Device EUL]]),"")</f>
        <v/>
      </c>
      <c r="BD22" s="329" t="str">
        <f>IFERROR(IF(DeemedDashboard[[#This Row],[Msr Number of Years device retired early]]=0,0,DeemedDashboard[[#This Row],[Msr Number of Years device retired early]]/DeemedDashboard[[#This Row],[Msr EUL rounded]]),"")</f>
        <v/>
      </c>
      <c r="BE22" s="329" t="str">
        <f>IFERROR(IF(DeemedDashboard[[#This Row],[Std Number of Years device retired early]]=0,0,DeemedDashboard[[#This Row],[Std Number of Years device retired early]]/DeemedDashboard[[#This Row],[Msr EUL rounded]]),"")</f>
        <v/>
      </c>
      <c r="BF22" s="329" t="str">
        <f>IFERROR(IF(DeemedDashboard[[#This Row],[MeasAppType]]&lt;&gt;const_AR,"",IF(DeemedDashboard[[#This Row],[Pre Number of Years device retired early]]=0,0,DeemedDashboard[[#This Row],[Pre Number of Years device retired early]]/DeemedDashboard[[#This Row],[Existing Device EUL]])),"")</f>
        <v/>
      </c>
      <c r="BG22" s="331" t="str">
        <f>IFERROR(IF(DeemedDashboard[[#This Row],[Ext Number of Years device retired early]]=0,0,DeemedDashboard[[#This Row],[Ext Number of Years device retired early]]/DeemedDashboard[[#This Row],[Existing Device EUL]]),"")</f>
        <v/>
      </c>
      <c r="BH22" s="325" t="str">
        <f>IFERROR(1-DeemedDashboard[[#This Row],[Msr annual refrigerant leakage %]]*DeemedDashboard[[#This Row],[Msr t_EOL]],"")</f>
        <v/>
      </c>
      <c r="BI22" s="325" t="str">
        <f>IFERROR(1-DeemedDashboard[[#This Row],[Std annual refrigerant leakage %]]*DeemedDashboard[[#This Row],[Std t_EOL]],"")</f>
        <v/>
      </c>
      <c r="BJ22" s="325" t="str">
        <f>IFERROR(1-DeemedDashboard[[#This Row],[Pre/Ext annual refrigerant leakage %]]*DeemedDashboard[[#This Row],[Pre/Ext t_EOL]],"")</f>
        <v/>
      </c>
      <c r="BK22" s="325" t="str">
        <f>IFERROR(1-DeemedDashboard[[#This Row],[Pre/Ext annual refrigerant leakage %]]*DeemedDashboard[[#This Row],[Pre/Ext t_EOL]],"")</f>
        <v/>
      </c>
      <c r="BL22" s="325" t="str">
        <f>IFERROR(DeemedDashboard[[#This Row],[Msr charging remaining (%)]]*DeemedDashboard[[#This Row],[Msr gross EOL refrigerant leakage %]],"")</f>
        <v/>
      </c>
      <c r="BM22" s="325" t="str">
        <f>IFERROR(DeemedDashboard[[#This Row],[Std charging remaining (%)]]*DeemedDashboard[[#This Row],[Std gross EOL refrigerant leakage %]],"")</f>
        <v/>
      </c>
      <c r="BN22" s="325" t="str">
        <f>IFERROR(DeemedDashboard[[#This Row],[Pre charging remaining (%)]]*DeemedDashboard[[#This Row],[Pre/Ext gross EOL refrigerant leakage %]],"")</f>
        <v/>
      </c>
      <c r="BO22" s="325" t="str">
        <f>IFERROR(DeemedDashboard[[#This Row],[Ext charging remaining (%)]]*DeemedDashboard[[#This Row],[Pre/Ext gross EOL refrigerant leakage %]],"")</f>
        <v/>
      </c>
      <c r="BP22" s="330" t="str">
        <f>IFERROR((DeemedDashboard[[#This Row],[Msr refrigerant charge (lb) per NormUnit]]/pounds_per_metric_ton)*DeemedDashboard[[#This Row],[Msr annual refrigerant leakage %]]*DeemedDashboard[[#This Row],[Msr GWP]],"")</f>
        <v/>
      </c>
      <c r="BQ22" s="330" t="str">
        <f>IFERROR((DeemedDashboard[[#This Row],[Std refrigerant charge (lb) per NormUnit]]/pounds_per_metric_ton)*DeemedDashboard[[#This Row],[Std annual refrigerant leakage %]]*DeemedDashboard[[#This Row],[Std GWP]],"")</f>
        <v/>
      </c>
      <c r="BR22" s="330" t="str">
        <f>IF(DeemedDashboard[[#This Row],[MeasAppType]]=const_AR,(DeemedDashboard[[#This Row],[Pre/Ext refrigerant charge (lb) per NormUnit]]/pounds_per_metric_ton)*DeemedDashboard[[#This Row],[Pre/Ext annual refrigerant leakage %]]*DeemedDashboard[[#This Row],[Pre/Ext GWP]],"")</f>
        <v/>
      </c>
      <c r="BS22" s="330" t="str">
        <f>IF(DeemedDashboard[[#This Row],[MeasAppType]]=const_AR,(DeemedDashboard[[#This Row],[Pre/Ext refrigerant charge (lb) per NormUnit]]/pounds_per_metric_ton)*DeemedDashboard[[#This Row],[Pre/Ext annual refrigerant leakage %]]*DeemedDashboard[[#This Row],[Pre/Ext GWP]],"")</f>
        <v/>
      </c>
      <c r="BT22" s="330" t="str">
        <f>IFERROR((DeemedDashboard[[#This Row],[Msr refrigerant charge (lb) per NormUnit]]/pounds_per_metric_ton)*DeemedDashboard[[#This Row],[Msr net EOL refrigerant leakage (%)]]*DeemedDashboard[[#This Row],[Msr GWP]],"")</f>
        <v/>
      </c>
      <c r="BU22" s="330" t="str">
        <f>IFERROR((DeemedDashboard[[#This Row],[Std refrigerant charge (lb) per NormUnit]]/pounds_per_metric_ton)*DeemedDashboard[[#This Row],[Std net EOL refrigerant leakage (%)]]*DeemedDashboard[[#This Row],[Std GWP]],"")</f>
        <v/>
      </c>
      <c r="BV22" s="330" t="str">
        <f>IFERROR((DeemedDashboard[[#This Row],[Pre/Ext refrigerant charge (lb) per NormUnit]]/pounds_per_metric_ton)*DeemedDashboard[[#This Row],[Pre net EOL refrigerant leakage (%)]]*DeemedDashboard[[#This Row],[Pre/Ext GWP]],"")</f>
        <v/>
      </c>
      <c r="BW22" s="330" t="str">
        <f>IFERROR((DeemedDashboard[[#This Row],[Pre/Ext refrigerant charge (lb) per NormUnit]]/pounds_per_metric_ton)*DeemedDashboard[[#This Row],[Ext net EOL refrigerant leakage (%)]]*DeemedDashboard[[#This Row],[Pre/Ext GWP]],"")</f>
        <v/>
      </c>
      <c r="BX22" s="299" t="str" cm="1">
        <f t="array" aca="1" ref="BX2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2" s="305" t="str" cm="1">
        <f t="array" aca="1" ref="BY2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2" s="299" t="str">
        <f>IFERROR(IF(OR(DeemedDashboard[[#This Row],[MeasAppType]]&lt;&gt;const_AR,ISBLANK(DeemedDashboard[[#This Row],[MeasAppType]])),NA(),0),"")</f>
        <v/>
      </c>
      <c r="CA22" s="305" t="str" cm="1">
        <f t="array" aca="1" ref="CA2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2" s="296" t="str">
        <f ca="1">IFERROR((DeemedDashboard[[#This Row],[Msr EOL leakage tons CO2e]]*OFFSET(GHG_Adder_dollar_per_tonne,0,(DeemedDashboard[[#This Row],[Msr Device Retire-ment Year]]-DY+1),1,1))/(1+WACC)^(DeemedDashboard[[#This Row],[Msr Device Retire-ment Year]]-DeemedDashboard[[#This Row],[Measure Start Year]]+0.5),"")</f>
        <v/>
      </c>
      <c r="CC22" s="296" t="str">
        <f ca="1">IFERROR((DeemedDashboard[[#This Row],[Std EOL leakage tons CO2e]]*OFFSET(GHG_Adder_dollar_per_tonne,0,(DeemedDashboard[[#This Row],[Std Device Retire-ment Year]]-DY+1),1,1))/(1+WACC)^(DeemedDashboard[[#This Row],[Std Device Retire-ment Year]]-DeemedDashboard[[#This Row],[Measure Start Year]]+0.5),"")</f>
        <v/>
      </c>
      <c r="CD22" s="296" t="str">
        <f ca="1">IFERROR((DeemedDashboard[[#This Row],[Pre EOL leakage tons CO2e]]*OFFSET(GHG_Adder_dollar_per_tonne,0,(DeemedDashboard[[#This Row],[Measure Start Year]]-DY),1,1))/(1+WACC)^(-0.5),"")</f>
        <v/>
      </c>
      <c r="CE2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2" s="296" t="str">
        <f ca="1">IFERROR(DeemedDashboard[[#This Row],[Msr NPV Cost of Annual Leakage]]/(1+ACC_Inflation_Rate)^(DeemedDashboard[[#This Row],[Measure Start Year]]-DY),"")</f>
        <v/>
      </c>
      <c r="CG22" s="296" t="str">
        <f ca="1">IFERROR(DeemedDashboard[[#This Row],[Std NPV Cost of Annual Leakage]]/(1+ACC_Inflation_Rate)^(DeemedDashboard[[#This Row],[Measure Start Year]]-DY),"")</f>
        <v/>
      </c>
      <c r="CH22" s="296" t="str">
        <f>IFERROR(IF(ISBLANK(DeemedDashboard[[#This Row],[MeasAppType]]),NA(),IF(DeemedDashboard[[#This Row],[MeasAppType]]=const_AR,DeemedDashboard[[#This Row],[Pre NPV Cost of Annual Leakage]]/(1+ACC_Inflation_Rate)^(DeemedDashboard[[#This Row],[Measure Start Year]]-DY),"")),"")</f>
        <v/>
      </c>
      <c r="CI22" s="296" t="str">
        <f>IFERROR(IF(ISBLANK(DeemedDashboard[[#This Row],[MeasAppType]]),NA(),IF(DeemedDashboard[[#This Row],[MeasAppType]]=const_AR,DeemedDashboard[[#This Row],[Ext NPV Cost of Annual Leakage]]/(1+ACC_Inflation_Rate)^(DeemedDashboard[[#This Row],[Measure Start Year]]-DY),"")),"")</f>
        <v/>
      </c>
      <c r="CJ22" s="296" t="str">
        <f ca="1">IFERROR((DeemedDashboard[[#This Row],[Msr % of device lifetime during measure years]]+DeemedDashboard[[#This Row],[Msr % of device lifetime retired early]])*DeemedDashboard[[#This Row],[Msr NPV Cost of EOL Leakage]]/(1+ACC_Inflation_Rate)^(DeemedDashboard[[#This Row],[Measure Start Year]]-DY),"")</f>
        <v/>
      </c>
      <c r="CK22" s="296" t="str">
        <f ca="1">IFERROR((DeemedDashboard[[#This Row],[Std % of device lifetime during measure years]]+DeemedDashboard[[#This Row],[Std % of device lifetime retired early]])*DeemedDashboard[[#This Row],[Std NPV Cost of EOL Leakage]]/(1+ACC_Inflation_Rate)^(DeemedDashboard[[#This Row],[Measure Start Year]]-DY),"")</f>
        <v/>
      </c>
      <c r="CL2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2" s="299" t="str">
        <f ca="1">IFERROR(DeemedDashboard[[#This Row],[Counter-factual total 
NPV cost]]-DeemedDashboard[[#This Row],[Measure total 
NPV cost]],"")</f>
        <v/>
      </c>
      <c r="CQ22" s="299" t="str">
        <f>IF(ISBLANK(DeemedDashboard[[#This Row],[MeasAppType]]),"",DeemedDashboard[[#This Row],[Refrigerant
NPV costs
avoided]]&gt;0)</f>
        <v/>
      </c>
      <c r="CR22" s="299" t="str">
        <f ca="1">IFERROR(DeemedDashboard[[#This Row],[Msr Adj NPV Cost of Annual Leakage]]+DeemedDashboard[[#This Row],[Msr Adj NPV Cost of EOL Leakage]],"")</f>
        <v/>
      </c>
      <c r="CS22" s="299" t="str">
        <f ca="1">IFERROR(DeemedDashboard[[#This Row],[Std Adj NPV Cost of Annual Leakage]]+DeemedDashboard[[#This Row],[Std Adj NPV Cost of EOL Leakage]],"")</f>
        <v/>
      </c>
      <c r="CT22" s="299" t="str">
        <f>IFERROR(IF((DeemedDashboard[[#This Row],[Pre Adj NPV Cost of Annual Leakage]]+DeemedDashboard[[#This Row],[Pre Adj NPV Cost of EOL Leakage]])=0,"",DeemedDashboard[[#This Row],[Pre Adj NPV Cost of Annual Leakage]]+DeemedDashboard[[#This Row],[Pre Adj NPV Cost of EOL Leakage]]),"")</f>
        <v/>
      </c>
      <c r="CU22" s="299" t="str">
        <f>IFERROR(IF((DeemedDashboard[[#This Row],[Ext Adj NPV Cost of Annual Leakage]]+DeemedDashboard[[#This Row],[Ext Adj NPV Cost of EOL Leakage]])=0,"",DeemedDashboard[[#This Row],[Ext Adj NPV Cost of Annual Leakage]]+DeemedDashboard[[#This Row],[Ext Adj NPV Cost of EOL Leakage]]),"")</f>
        <v/>
      </c>
      <c r="CV22" s="299" t="str">
        <f>IFERROR(IF(DeemedDashboard[[#This Row],[Is Avoided Net Cost &gt;0?]],"",-DeemedDashboard[[#This Row],[Refrigerant
NPV costs
avoided]]),"")</f>
        <v/>
      </c>
      <c r="CW22" s="299" t="str">
        <f>IFERROR(IF(DeemedDashboard[[#This Row],[Is Avoided Net Cost &gt;0?]],DeemedDashboard[[#This Row],[Refrigerant
NPV costs
avoided]],""),"")</f>
        <v/>
      </c>
      <c r="CX22" s="391">
        <f ca="1">IFERROR(MATCH(DeemedDashboard[[#This Row],[TechGroup and NormUnit]],TechGroup_and_NormUnit,0),1)</f>
        <v>1</v>
      </c>
      <c r="CY22" s="391" cm="1">
        <f t="array" aca="1" ref="CY22" ca="1">IFERROR(INDEX(TGRows,DeemedDashboard[[#This Row],[TGIndex]]),"")</f>
        <v>2</v>
      </c>
      <c r="CZ22" s="391">
        <f ca="1">IF(DeemedDashboard[[#This Row],[MeasAppType]]=const_AR,DeemedDashboard[[#This Row],[TGRows]],DeemedDashboard[[#This Row],[TGRows]]+1)</f>
        <v>3</v>
      </c>
      <c r="DA22" s="391" t="str">
        <f>IF(ISBLANK(DeemedDashboard[[#This Row],[MeasAppType]]),"",IF(DeemedDashboard[[#This Row],[Index]]=User_Specified_Refrigerant[[#This Row],[Index]],"OK","ERROR"))</f>
        <v/>
      </c>
    </row>
    <row r="23" spans="1:105" s="320" customFormat="1" x14ac:dyDescent="0.25">
      <c r="A23" s="297">
        <f>ROW(DeemedDashboard[[#This Row],[Index]])-ROW(DeemedDashboard[[#Headers],[Index]])</f>
        <v>14</v>
      </c>
      <c r="B23" s="298"/>
      <c r="C23" s="321"/>
      <c r="D23" s="403"/>
      <c r="E23" s="403"/>
      <c r="F23" s="403"/>
      <c r="G23" s="403"/>
      <c r="H23" s="365"/>
      <c r="I23" s="339"/>
      <c r="J23" s="339"/>
      <c r="K23" s="339"/>
      <c r="L23" s="322"/>
      <c r="M23" s="322"/>
      <c r="N23" s="322"/>
      <c r="O2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3" s="582" t="str" cm="1">
        <f t="array" ref="R23">IFERROR(IF(DeemedDashboard[[#This Row],[Msr device type]]=const_device_nonrefrig,0,INDEX(_xlfn.SWITCH($E$4,const_20_yr,GWP_Values_20_year_AR4,const_100_yr,GWP_Values_100_year_AR4),MATCH(DeemedDashboard[[#This Row],[Msr refrigerant Type]],RefrigDropdownList,0))),"")</f>
        <v/>
      </c>
      <c r="S23" s="582" t="str" cm="1">
        <f t="array" ref="S23">IFERROR(IF(DeemedDashboard[[#This Row],[Std device type]]=const_device_nonrefrig,0,INDEX(_xlfn.SWITCH($E$4,const_20_yr,GWP_Values_20_year_AR4,const_100_yr,GWP_Values_100_year_AR4),MATCH(DeemedDashboard[[#This Row],[Std refrigerant Type]],RefrigDropdownList,0))),"")</f>
        <v/>
      </c>
      <c r="T23" s="582" t="str" cm="1">
        <f t="array" ref="T23">IFERROR(IF(DeemedDashboard[[#This Row],[Pre/Ext device type]]=const_device_nonrefrig,0,INDEX(_xlfn.SWITCH($E$4,const_20_yr,GWP_Values_20_year_AR4,const_100_yr,GWP_Values_100_year_AR4),MATCH(DeemedDashboard[[#This Row],[Pre/Ext refrigerant Type]],RefrigDropdownList,0))),"")</f>
        <v/>
      </c>
      <c r="U2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3" s="326" t="str">
        <f>IFERROR(IF(DeemedDashboard[[#This Row],[Msr device type]]=const_userspec,IF(ISBLANK(User_Specified_Refrigerant[[#This Row],[Msr t_EOL]]),"",User_Specified_Refrigerant[[#This Row],[Msr t_EOL]]),INDEX(TechGroup_NormUnit_Table[t_EOL],MATCH(DeemedDashboard[[#This Row],[Msr device type]],DropdownRefrigTech,0))),"")</f>
        <v/>
      </c>
      <c r="AB23" s="326" t="str">
        <f>IFERROR(IF(DeemedDashboard[[#This Row],[Std device type]]=const_userspec,IF(ISBLANK(User_Specified_Refrigerant[[#This Row],[Std t_EOL]]),"",User_Specified_Refrigerant[[#This Row],[Std t_EOL]]),INDEX(TechGroup_NormUnit_Table[t_EOL],MATCH(DeemedDashboard[[#This Row],[Std device type]],DropdownRefrigTech,0))),"")</f>
        <v/>
      </c>
      <c r="AC2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3" s="395" t="str">
        <f>IF(ISBLANK(DeemedDashboard[[#This Row],[MeasAppType]]),"",$E$2)</f>
        <v/>
      </c>
      <c r="AE23" s="395" t="str">
        <f>IFERROR(IF(ISBLANK(DeemedDashboard[[#This Row],[MeasAppType]]),NA(),DeemedDashboard[[#This Row],[Measure Start Year]]+DeemedDashboard[[#This Row],[Msr EUL rounded]]-1),"")</f>
        <v/>
      </c>
      <c r="AF23" s="323" t="str">
        <f>IF(ISBLANK(DeemedDashboard[[#This Row],[Measure New Device EUL]]),"",ROUND(DeemedDashboard[[#This Row],[Measure New Device EUL]],0))</f>
        <v/>
      </c>
      <c r="AG23" s="323" t="str">
        <f>IF(ISBLANK(DeemedDashboard[[#This Row],[Counterfactual New Device EUL]]),"",ROUND(DeemedDashboard[[#This Row],[Counterfactual New Device EUL]],0))</f>
        <v/>
      </c>
      <c r="AH23" s="323" t="str">
        <f>IF(ISBLANK(DeemedDashboard[[#This Row],[Existing Device EUL]]),"",ROUND(DeemedDashboard[[#This Row],[Existing Device EUL]],0))</f>
        <v/>
      </c>
      <c r="AI23" s="323" t="str">
        <f>IF(ISBLANK(DeemedDashboard[[#This Row],[Existing Device RUL or AR First Baseline Life]]),"",ROUND(DeemedDashboard[[#This Row],[Existing Device RUL or AR First Baseline Life]],0))</f>
        <v/>
      </c>
      <c r="AJ23" s="327" t="str">
        <f>DeemedDashboard[[#This Row],[Measure Start Year]]</f>
        <v/>
      </c>
      <c r="AK23" s="327" t="str">
        <f>IF(DeemedDashboard[[#This Row],[MeasAppType]]&lt;&gt;const_AR,DeemedDashboard[[#This Row],[Measure Start Year]],DeemedDashboard[[#This Row],[Ext Device Retire-ment Year]]+1)</f>
        <v/>
      </c>
      <c r="AL23" s="327" t="str">
        <f>IFERROR(IF(DeemedDashboard[[#This Row],[MeasAppType]]=const_AR,DeemedDashboard[[#This Row],[Measure Start Year]]-(DeemedDashboard[[#This Row],[Existing Device EUL]]-DeemedDashboard[[#This Row],[Existing Device RUL or AR First Baseline Life]]),NA()),"")</f>
        <v/>
      </c>
      <c r="AM23" s="327" t="str">
        <f>DeemedDashboard[[#This Row],[Pre Device Install Year]]</f>
        <v/>
      </c>
      <c r="AN23" s="327" t="str">
        <f>IFERROR(IF(ISBLANK(DeemedDashboard[[#This Row],[MeasAppType]]),NA(),DeemedDashboard[[#This Row],[Measure Start Year]]+DeemedDashboard[[#This Row],[Msr EUL rounded]]-1),"")</f>
        <v/>
      </c>
      <c r="AO23" s="327" t="str">
        <f>IFERROR(DeemedDashboard[[#This Row],[Std Device Install Year]]+DeemedDashboard[[#This Row],[Counterfactual New Device EUL]]-1,"")</f>
        <v/>
      </c>
      <c r="AP23" s="327" t="str">
        <f>IFERROR(IF(AND(DeemedDashboard[[#This Row],[MeasAppType]]=const_AR,DeemedDashboard[[#This Row],[Measure Start Year]]&lt;(DeemedDashboard[[#This Row],[Pre Device Install Year]]+DeemedDashboard[[#This Row],[Existing Device EUL]]-1)),DeemedDashboard[[#This Row],[Measure Start Year]]-1,NA()),"")</f>
        <v/>
      </c>
      <c r="AQ23" s="327" t="str">
        <f>IFERROR(IF(DeemedDashboard[[#This Row],[MeasAppType]]=const_AR,DeemedDashboard[[#This Row],[Ext Device Install Year]]+DeemedDashboard[[#This Row],[Existing Device EUL]]-1,NA()),"")</f>
        <v/>
      </c>
      <c r="AR23" s="327" t="str">
        <f>IFERROR(IF(ISBLANK(DeemedDashboard[[#This Row],[MeasAppType]]),NA(),0),"")</f>
        <v/>
      </c>
      <c r="AS23" s="327" t="str">
        <f>IFERROR(IF(ISBLANK(DeemedDashboard[[#This Row],[MeasAppType]]),NA(),0),"")</f>
        <v/>
      </c>
      <c r="AT23" s="327" t="str">
        <f>IF(ISBLANK(DeemedDashboard[[#This Row],[MeasAppType]]),"",IF(DeemedDashboard[[#This Row],[MeasAppType]]&lt;&gt;const_AR,"",(DeemedDashboard[[#This Row],[Pre Device Install Year]]+DeemedDashboard[[#This Row],[Existing Device EUL]]-1)-DeemedDashboard[[#This Row],[Pre Device Retire-ment Year]]))</f>
        <v/>
      </c>
      <c r="AU23" s="327" t="str">
        <f>IF(ISBLANK(DeemedDashboard[[#This Row],[MeasAppType]]),"",IF(DeemedDashboard[[#This Row],[MeasAppType]]=const_AR,0,""))</f>
        <v/>
      </c>
      <c r="AV23" s="328" t="str">
        <f>IF(ISBLANK(DeemedDashboard[[#This Row],[MeasAppType]]),"",MAX((1+MIN(DeemedDashboard[[#This Row],[Msr Device Retire-ment Year]],DeemedDashboard[[#This Row],[Measure End 
Year]])-MAX(DeemedDashboard[[#This Row],[Msr Device Install Year]],DeemedDashboard[[#This Row],[Measure Start Year]])),0))</f>
        <v/>
      </c>
      <c r="AW23" s="328" t="str">
        <f>IF(ISBLANK(DeemedDashboard[[#This Row],[MeasAppType]]),"",MAX((1+MIN(DeemedDashboard[[#This Row],[Std Device Retire-ment Year]],DeemedDashboard[[#This Row],[Measure End 
Year]])-MAX(DeemedDashboard[[#This Row],[Std Device Install Year]],DeemedDashboard[[#This Row],[Measure Start Year]])),0))</f>
        <v/>
      </c>
      <c r="AX2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3"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3" s="329" t="str">
        <f>IF(ISBLANK(DeemedDashboard[[#This Row],[MeasAppType]]),"",IF(DeemedDashboard[[#This Row],[Msr Device Years Over-lapping with Measure Years]]=0,0,DeemedDashboard[[#This Row],[Msr Device Years Over-lapping with Measure Years]]/DeemedDashboard[[#This Row],[Msr EUL rounded]]))</f>
        <v/>
      </c>
      <c r="BA23" s="329" t="str">
        <f>IF(ISBLANK(DeemedDashboard[[#This Row],[MeasAppType]]),"",IF(DeemedDashboard[[#This Row],[Std Device Years Over-lapping with Measure Years]]=0,0,DeemedDashboard[[#This Row],[Std Device Years Over-lapping with Measure Years]]/DeemedDashboard[[#This Row],[Counterfactual New Device EUL]]))</f>
        <v/>
      </c>
      <c r="BB23" s="329" t="str">
        <f>IF(ISBLANK(DeemedDashboard[[#This Row],[MeasAppType]]),"",IFERROR(IF(DeemedDashboard[[#This Row],[Pre Device Years Over-lapping with Measure Years]]=0,0,DeemedDashboard[[#This Row],[Pre Device Years Over-lapping with Measure Years]]/DeemedDashboard[[#This Row],[Existing Device EUL]]),""))</f>
        <v/>
      </c>
      <c r="BC23" s="331" t="str">
        <f>IFERROR(IF(DeemedDashboard[[#This Row],[Ext Device Years Over-lapping with Measure Years]]=0,0,DeemedDashboard[[#This Row],[Ext Device Years Over-lapping with Measure Years]]/DeemedDashboard[[#This Row],[Existing Device EUL]]),"")</f>
        <v/>
      </c>
      <c r="BD23" s="329" t="str">
        <f>IFERROR(IF(DeemedDashboard[[#This Row],[Msr Number of Years device retired early]]=0,0,DeemedDashboard[[#This Row],[Msr Number of Years device retired early]]/DeemedDashboard[[#This Row],[Msr EUL rounded]]),"")</f>
        <v/>
      </c>
      <c r="BE23" s="329" t="str">
        <f>IFERROR(IF(DeemedDashboard[[#This Row],[Std Number of Years device retired early]]=0,0,DeemedDashboard[[#This Row],[Std Number of Years device retired early]]/DeemedDashboard[[#This Row],[Msr EUL rounded]]),"")</f>
        <v/>
      </c>
      <c r="BF23" s="329" t="str">
        <f>IFERROR(IF(DeemedDashboard[[#This Row],[MeasAppType]]&lt;&gt;const_AR,"",IF(DeemedDashboard[[#This Row],[Pre Number of Years device retired early]]=0,0,DeemedDashboard[[#This Row],[Pre Number of Years device retired early]]/DeemedDashboard[[#This Row],[Existing Device EUL]])),"")</f>
        <v/>
      </c>
      <c r="BG23" s="331" t="str">
        <f>IFERROR(IF(DeemedDashboard[[#This Row],[Ext Number of Years device retired early]]=0,0,DeemedDashboard[[#This Row],[Ext Number of Years device retired early]]/DeemedDashboard[[#This Row],[Existing Device EUL]]),"")</f>
        <v/>
      </c>
      <c r="BH23" s="325" t="str">
        <f>IFERROR(1-DeemedDashboard[[#This Row],[Msr annual refrigerant leakage %]]*DeemedDashboard[[#This Row],[Msr t_EOL]],"")</f>
        <v/>
      </c>
      <c r="BI23" s="325" t="str">
        <f>IFERROR(1-DeemedDashboard[[#This Row],[Std annual refrigerant leakage %]]*DeemedDashboard[[#This Row],[Std t_EOL]],"")</f>
        <v/>
      </c>
      <c r="BJ23" s="325" t="str">
        <f>IFERROR(1-DeemedDashboard[[#This Row],[Pre/Ext annual refrigerant leakage %]]*DeemedDashboard[[#This Row],[Pre/Ext t_EOL]],"")</f>
        <v/>
      </c>
      <c r="BK23" s="325" t="str">
        <f>IFERROR(1-DeemedDashboard[[#This Row],[Pre/Ext annual refrigerant leakage %]]*DeemedDashboard[[#This Row],[Pre/Ext t_EOL]],"")</f>
        <v/>
      </c>
      <c r="BL23" s="325" t="str">
        <f>IFERROR(DeemedDashboard[[#This Row],[Msr charging remaining (%)]]*DeemedDashboard[[#This Row],[Msr gross EOL refrigerant leakage %]],"")</f>
        <v/>
      </c>
      <c r="BM23" s="325" t="str">
        <f>IFERROR(DeemedDashboard[[#This Row],[Std charging remaining (%)]]*DeemedDashboard[[#This Row],[Std gross EOL refrigerant leakage %]],"")</f>
        <v/>
      </c>
      <c r="BN23" s="325" t="str">
        <f>IFERROR(DeemedDashboard[[#This Row],[Pre charging remaining (%)]]*DeemedDashboard[[#This Row],[Pre/Ext gross EOL refrigerant leakage %]],"")</f>
        <v/>
      </c>
      <c r="BO23" s="325" t="str">
        <f>IFERROR(DeemedDashboard[[#This Row],[Ext charging remaining (%)]]*DeemedDashboard[[#This Row],[Pre/Ext gross EOL refrigerant leakage %]],"")</f>
        <v/>
      </c>
      <c r="BP23" s="330" t="str">
        <f>IFERROR((DeemedDashboard[[#This Row],[Msr refrigerant charge (lb) per NormUnit]]/pounds_per_metric_ton)*DeemedDashboard[[#This Row],[Msr annual refrigerant leakage %]]*DeemedDashboard[[#This Row],[Msr GWP]],"")</f>
        <v/>
      </c>
      <c r="BQ23" s="330" t="str">
        <f>IFERROR((DeemedDashboard[[#This Row],[Std refrigerant charge (lb) per NormUnit]]/pounds_per_metric_ton)*DeemedDashboard[[#This Row],[Std annual refrigerant leakage %]]*DeemedDashboard[[#This Row],[Std GWP]],"")</f>
        <v/>
      </c>
      <c r="BR23" s="330" t="str">
        <f>IF(DeemedDashboard[[#This Row],[MeasAppType]]=const_AR,(DeemedDashboard[[#This Row],[Pre/Ext refrigerant charge (lb) per NormUnit]]/pounds_per_metric_ton)*DeemedDashboard[[#This Row],[Pre/Ext annual refrigerant leakage %]]*DeemedDashboard[[#This Row],[Pre/Ext GWP]],"")</f>
        <v/>
      </c>
      <c r="BS23" s="330" t="str">
        <f>IF(DeemedDashboard[[#This Row],[MeasAppType]]=const_AR,(DeemedDashboard[[#This Row],[Pre/Ext refrigerant charge (lb) per NormUnit]]/pounds_per_metric_ton)*DeemedDashboard[[#This Row],[Pre/Ext annual refrigerant leakage %]]*DeemedDashboard[[#This Row],[Pre/Ext GWP]],"")</f>
        <v/>
      </c>
      <c r="BT23" s="330" t="str">
        <f>IFERROR((DeemedDashboard[[#This Row],[Msr refrigerant charge (lb) per NormUnit]]/pounds_per_metric_ton)*DeemedDashboard[[#This Row],[Msr net EOL refrigerant leakage (%)]]*DeemedDashboard[[#This Row],[Msr GWP]],"")</f>
        <v/>
      </c>
      <c r="BU23" s="330" t="str">
        <f>IFERROR((DeemedDashboard[[#This Row],[Std refrigerant charge (lb) per NormUnit]]/pounds_per_metric_ton)*DeemedDashboard[[#This Row],[Std net EOL refrigerant leakage (%)]]*DeemedDashboard[[#This Row],[Std GWP]],"")</f>
        <v/>
      </c>
      <c r="BV23" s="330" t="str">
        <f>IFERROR((DeemedDashboard[[#This Row],[Pre/Ext refrigerant charge (lb) per NormUnit]]/pounds_per_metric_ton)*DeemedDashboard[[#This Row],[Pre net EOL refrigerant leakage (%)]]*DeemedDashboard[[#This Row],[Pre/Ext GWP]],"")</f>
        <v/>
      </c>
      <c r="BW23" s="330" t="str">
        <f>IFERROR((DeemedDashboard[[#This Row],[Pre/Ext refrigerant charge (lb) per NormUnit]]/pounds_per_metric_ton)*DeemedDashboard[[#This Row],[Ext net EOL refrigerant leakage (%)]]*DeemedDashboard[[#This Row],[Pre/Ext GWP]],"")</f>
        <v/>
      </c>
      <c r="BX23" s="299" t="str" cm="1">
        <f t="array" aca="1" ref="BX2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3" s="305" t="str" cm="1">
        <f t="array" aca="1" ref="BY2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3" s="299" t="str">
        <f>IFERROR(IF(OR(DeemedDashboard[[#This Row],[MeasAppType]]&lt;&gt;const_AR,ISBLANK(DeemedDashboard[[#This Row],[MeasAppType]])),NA(),0),"")</f>
        <v/>
      </c>
      <c r="CA23" s="305" t="str" cm="1">
        <f t="array" aca="1" ref="CA2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3" s="296" t="str">
        <f ca="1">IFERROR((DeemedDashboard[[#This Row],[Msr EOL leakage tons CO2e]]*OFFSET(GHG_Adder_dollar_per_tonne,0,(DeemedDashboard[[#This Row],[Msr Device Retire-ment Year]]-DY+1),1,1))/(1+WACC)^(DeemedDashboard[[#This Row],[Msr Device Retire-ment Year]]-DeemedDashboard[[#This Row],[Measure Start Year]]+0.5),"")</f>
        <v/>
      </c>
      <c r="CC23" s="296" t="str">
        <f ca="1">IFERROR((DeemedDashboard[[#This Row],[Std EOL leakage tons CO2e]]*OFFSET(GHG_Adder_dollar_per_tonne,0,(DeemedDashboard[[#This Row],[Std Device Retire-ment Year]]-DY+1),1,1))/(1+WACC)^(DeemedDashboard[[#This Row],[Std Device Retire-ment Year]]-DeemedDashboard[[#This Row],[Measure Start Year]]+0.5),"")</f>
        <v/>
      </c>
      <c r="CD23" s="296" t="str">
        <f ca="1">IFERROR((DeemedDashboard[[#This Row],[Pre EOL leakage tons CO2e]]*OFFSET(GHG_Adder_dollar_per_tonne,0,(DeemedDashboard[[#This Row],[Measure Start Year]]-DY),1,1))/(1+WACC)^(-0.5),"")</f>
        <v/>
      </c>
      <c r="CE2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3" s="296" t="str">
        <f ca="1">IFERROR(DeemedDashboard[[#This Row],[Msr NPV Cost of Annual Leakage]]/(1+ACC_Inflation_Rate)^(DeemedDashboard[[#This Row],[Measure Start Year]]-DY),"")</f>
        <v/>
      </c>
      <c r="CG23" s="296" t="str">
        <f ca="1">IFERROR(DeemedDashboard[[#This Row],[Std NPV Cost of Annual Leakage]]/(1+ACC_Inflation_Rate)^(DeemedDashboard[[#This Row],[Measure Start Year]]-DY),"")</f>
        <v/>
      </c>
      <c r="CH23" s="296" t="str">
        <f>IFERROR(IF(ISBLANK(DeemedDashboard[[#This Row],[MeasAppType]]),NA(),IF(DeemedDashboard[[#This Row],[MeasAppType]]=const_AR,DeemedDashboard[[#This Row],[Pre NPV Cost of Annual Leakage]]/(1+ACC_Inflation_Rate)^(DeemedDashboard[[#This Row],[Measure Start Year]]-DY),"")),"")</f>
        <v/>
      </c>
      <c r="CI23" s="296" t="str">
        <f>IFERROR(IF(ISBLANK(DeemedDashboard[[#This Row],[MeasAppType]]),NA(),IF(DeemedDashboard[[#This Row],[MeasAppType]]=const_AR,DeemedDashboard[[#This Row],[Ext NPV Cost of Annual Leakage]]/(1+ACC_Inflation_Rate)^(DeemedDashboard[[#This Row],[Measure Start Year]]-DY),"")),"")</f>
        <v/>
      </c>
      <c r="CJ23" s="296" t="str">
        <f ca="1">IFERROR((DeemedDashboard[[#This Row],[Msr % of device lifetime during measure years]]+DeemedDashboard[[#This Row],[Msr % of device lifetime retired early]])*DeemedDashboard[[#This Row],[Msr NPV Cost of EOL Leakage]]/(1+ACC_Inflation_Rate)^(DeemedDashboard[[#This Row],[Measure Start Year]]-DY),"")</f>
        <v/>
      </c>
      <c r="CK23" s="296" t="str">
        <f ca="1">IFERROR((DeemedDashboard[[#This Row],[Std % of device lifetime during measure years]]+DeemedDashboard[[#This Row],[Std % of device lifetime retired early]])*DeemedDashboard[[#This Row],[Std NPV Cost of EOL Leakage]]/(1+ACC_Inflation_Rate)^(DeemedDashboard[[#This Row],[Measure Start Year]]-DY),"")</f>
        <v/>
      </c>
      <c r="CL2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3" s="299" t="str">
        <f ca="1">IFERROR(DeemedDashboard[[#This Row],[Counter-factual total 
NPV cost]]-DeemedDashboard[[#This Row],[Measure total 
NPV cost]],"")</f>
        <v/>
      </c>
      <c r="CQ23" s="299" t="str">
        <f>IF(ISBLANK(DeemedDashboard[[#This Row],[MeasAppType]]),"",DeemedDashboard[[#This Row],[Refrigerant
NPV costs
avoided]]&gt;0)</f>
        <v/>
      </c>
      <c r="CR23" s="299" t="str">
        <f ca="1">IFERROR(DeemedDashboard[[#This Row],[Msr Adj NPV Cost of Annual Leakage]]+DeemedDashboard[[#This Row],[Msr Adj NPV Cost of EOL Leakage]],"")</f>
        <v/>
      </c>
      <c r="CS23" s="299" t="str">
        <f ca="1">IFERROR(DeemedDashboard[[#This Row],[Std Adj NPV Cost of Annual Leakage]]+DeemedDashboard[[#This Row],[Std Adj NPV Cost of EOL Leakage]],"")</f>
        <v/>
      </c>
      <c r="CT23" s="299" t="str">
        <f>IFERROR(IF((DeemedDashboard[[#This Row],[Pre Adj NPV Cost of Annual Leakage]]+DeemedDashboard[[#This Row],[Pre Adj NPV Cost of EOL Leakage]])=0,"",DeemedDashboard[[#This Row],[Pre Adj NPV Cost of Annual Leakage]]+DeemedDashboard[[#This Row],[Pre Adj NPV Cost of EOL Leakage]]),"")</f>
        <v/>
      </c>
      <c r="CU23" s="299" t="str">
        <f>IFERROR(IF((DeemedDashboard[[#This Row],[Ext Adj NPV Cost of Annual Leakage]]+DeemedDashboard[[#This Row],[Ext Adj NPV Cost of EOL Leakage]])=0,"",DeemedDashboard[[#This Row],[Ext Adj NPV Cost of Annual Leakage]]+DeemedDashboard[[#This Row],[Ext Adj NPV Cost of EOL Leakage]]),"")</f>
        <v/>
      </c>
      <c r="CV23" s="299" t="str">
        <f>IFERROR(IF(DeemedDashboard[[#This Row],[Is Avoided Net Cost &gt;0?]],"",-DeemedDashboard[[#This Row],[Refrigerant
NPV costs
avoided]]),"")</f>
        <v/>
      </c>
      <c r="CW23" s="299" t="str">
        <f>IFERROR(IF(DeemedDashboard[[#This Row],[Is Avoided Net Cost &gt;0?]],DeemedDashboard[[#This Row],[Refrigerant
NPV costs
avoided]],""),"")</f>
        <v/>
      </c>
      <c r="CX23" s="391">
        <f ca="1">IFERROR(MATCH(DeemedDashboard[[#This Row],[TechGroup and NormUnit]],TechGroup_and_NormUnit,0),1)</f>
        <v>1</v>
      </c>
      <c r="CY23" s="391" cm="1">
        <f t="array" aca="1" ref="CY23" ca="1">IFERROR(INDEX(TGRows,DeemedDashboard[[#This Row],[TGIndex]]),"")</f>
        <v>2</v>
      </c>
      <c r="CZ23" s="391">
        <f ca="1">IF(DeemedDashboard[[#This Row],[MeasAppType]]=const_AR,DeemedDashboard[[#This Row],[TGRows]],DeemedDashboard[[#This Row],[TGRows]]+1)</f>
        <v>3</v>
      </c>
      <c r="DA23" s="391" t="str">
        <f>IF(ISBLANK(DeemedDashboard[[#This Row],[MeasAppType]]),"",IF(DeemedDashboard[[#This Row],[Index]]=User_Specified_Refrigerant[[#This Row],[Index]],"OK","ERROR"))</f>
        <v/>
      </c>
    </row>
    <row r="24" spans="1:105" s="320" customFormat="1" x14ac:dyDescent="0.25">
      <c r="A24" s="297">
        <f>ROW(DeemedDashboard[[#This Row],[Index]])-ROW(DeemedDashboard[[#Headers],[Index]])</f>
        <v>15</v>
      </c>
      <c r="B24" s="298"/>
      <c r="C24" s="321"/>
      <c r="D24" s="403"/>
      <c r="E24" s="403"/>
      <c r="F24" s="403"/>
      <c r="G24" s="403"/>
      <c r="H24" s="365"/>
      <c r="I24" s="339"/>
      <c r="J24" s="339"/>
      <c r="K24" s="339"/>
      <c r="L24" s="322"/>
      <c r="M24" s="322"/>
      <c r="N24" s="322"/>
      <c r="O2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4" s="582" t="str" cm="1">
        <f t="array" ref="R24">IFERROR(IF(DeemedDashboard[[#This Row],[Msr device type]]=const_device_nonrefrig,0,INDEX(_xlfn.SWITCH($E$4,const_20_yr,GWP_Values_20_year_AR4,const_100_yr,GWP_Values_100_year_AR4),MATCH(DeemedDashboard[[#This Row],[Msr refrigerant Type]],RefrigDropdownList,0))),"")</f>
        <v/>
      </c>
      <c r="S24" s="582" t="str" cm="1">
        <f t="array" ref="S24">IFERROR(IF(DeemedDashboard[[#This Row],[Std device type]]=const_device_nonrefrig,0,INDEX(_xlfn.SWITCH($E$4,const_20_yr,GWP_Values_20_year_AR4,const_100_yr,GWP_Values_100_year_AR4),MATCH(DeemedDashboard[[#This Row],[Std refrigerant Type]],RefrigDropdownList,0))),"")</f>
        <v/>
      </c>
      <c r="T24" s="582" t="str" cm="1">
        <f t="array" ref="T24">IFERROR(IF(DeemedDashboard[[#This Row],[Pre/Ext device type]]=const_device_nonrefrig,0,INDEX(_xlfn.SWITCH($E$4,const_20_yr,GWP_Values_20_year_AR4,const_100_yr,GWP_Values_100_year_AR4),MATCH(DeemedDashboard[[#This Row],[Pre/Ext refrigerant Type]],RefrigDropdownList,0))),"")</f>
        <v/>
      </c>
      <c r="U2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4" s="326" t="str">
        <f>IFERROR(IF(DeemedDashboard[[#This Row],[Msr device type]]=const_userspec,IF(ISBLANK(User_Specified_Refrigerant[[#This Row],[Msr t_EOL]]),"",User_Specified_Refrigerant[[#This Row],[Msr t_EOL]]),INDEX(TechGroup_NormUnit_Table[t_EOL],MATCH(DeemedDashboard[[#This Row],[Msr device type]],DropdownRefrigTech,0))),"")</f>
        <v/>
      </c>
      <c r="AB24" s="326" t="str">
        <f>IFERROR(IF(DeemedDashboard[[#This Row],[Std device type]]=const_userspec,IF(ISBLANK(User_Specified_Refrigerant[[#This Row],[Std t_EOL]]),"",User_Specified_Refrigerant[[#This Row],[Std t_EOL]]),INDEX(TechGroup_NormUnit_Table[t_EOL],MATCH(DeemedDashboard[[#This Row],[Std device type]],DropdownRefrigTech,0))),"")</f>
        <v/>
      </c>
      <c r="AC2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4" s="395" t="str">
        <f>IF(ISBLANK(DeemedDashboard[[#This Row],[MeasAppType]]),"",$E$2)</f>
        <v/>
      </c>
      <c r="AE24" s="395" t="str">
        <f>IFERROR(IF(ISBLANK(DeemedDashboard[[#This Row],[MeasAppType]]),NA(),DeemedDashboard[[#This Row],[Measure Start Year]]+DeemedDashboard[[#This Row],[Msr EUL rounded]]-1),"")</f>
        <v/>
      </c>
      <c r="AF24" s="323" t="str">
        <f>IF(ISBLANK(DeemedDashboard[[#This Row],[Measure New Device EUL]]),"",ROUND(DeemedDashboard[[#This Row],[Measure New Device EUL]],0))</f>
        <v/>
      </c>
      <c r="AG24" s="323" t="str">
        <f>IF(ISBLANK(DeemedDashboard[[#This Row],[Counterfactual New Device EUL]]),"",ROUND(DeemedDashboard[[#This Row],[Counterfactual New Device EUL]],0))</f>
        <v/>
      </c>
      <c r="AH24" s="323" t="str">
        <f>IF(ISBLANK(DeemedDashboard[[#This Row],[Existing Device EUL]]),"",ROUND(DeemedDashboard[[#This Row],[Existing Device EUL]],0))</f>
        <v/>
      </c>
      <c r="AI24" s="323" t="str">
        <f>IF(ISBLANK(DeemedDashboard[[#This Row],[Existing Device RUL or AR First Baseline Life]]),"",ROUND(DeemedDashboard[[#This Row],[Existing Device RUL or AR First Baseline Life]],0))</f>
        <v/>
      </c>
      <c r="AJ24" s="327" t="str">
        <f>DeemedDashboard[[#This Row],[Measure Start Year]]</f>
        <v/>
      </c>
      <c r="AK24" s="327" t="str">
        <f>IF(DeemedDashboard[[#This Row],[MeasAppType]]&lt;&gt;const_AR,DeemedDashboard[[#This Row],[Measure Start Year]],DeemedDashboard[[#This Row],[Ext Device Retire-ment Year]]+1)</f>
        <v/>
      </c>
      <c r="AL24" s="327" t="str">
        <f>IFERROR(IF(DeemedDashboard[[#This Row],[MeasAppType]]=const_AR,DeemedDashboard[[#This Row],[Measure Start Year]]-(DeemedDashboard[[#This Row],[Existing Device EUL]]-DeemedDashboard[[#This Row],[Existing Device RUL or AR First Baseline Life]]),NA()),"")</f>
        <v/>
      </c>
      <c r="AM24" s="327" t="str">
        <f>DeemedDashboard[[#This Row],[Pre Device Install Year]]</f>
        <v/>
      </c>
      <c r="AN24" s="327" t="str">
        <f>IFERROR(IF(ISBLANK(DeemedDashboard[[#This Row],[MeasAppType]]),NA(),DeemedDashboard[[#This Row],[Measure Start Year]]+DeemedDashboard[[#This Row],[Msr EUL rounded]]-1),"")</f>
        <v/>
      </c>
      <c r="AO24" s="327" t="str">
        <f>IFERROR(DeemedDashboard[[#This Row],[Std Device Install Year]]+DeemedDashboard[[#This Row],[Counterfactual New Device EUL]]-1,"")</f>
        <v/>
      </c>
      <c r="AP24" s="327" t="str">
        <f>IFERROR(IF(AND(DeemedDashboard[[#This Row],[MeasAppType]]=const_AR,DeemedDashboard[[#This Row],[Measure Start Year]]&lt;(DeemedDashboard[[#This Row],[Pre Device Install Year]]+DeemedDashboard[[#This Row],[Existing Device EUL]]-1)),DeemedDashboard[[#This Row],[Measure Start Year]]-1,NA()),"")</f>
        <v/>
      </c>
      <c r="AQ24" s="327" t="str">
        <f>IFERROR(IF(DeemedDashboard[[#This Row],[MeasAppType]]=const_AR,DeemedDashboard[[#This Row],[Ext Device Install Year]]+DeemedDashboard[[#This Row],[Existing Device EUL]]-1,NA()),"")</f>
        <v/>
      </c>
      <c r="AR24" s="327" t="str">
        <f>IFERROR(IF(ISBLANK(DeemedDashboard[[#This Row],[MeasAppType]]),NA(),0),"")</f>
        <v/>
      </c>
      <c r="AS24" s="327" t="str">
        <f>IFERROR(IF(ISBLANK(DeemedDashboard[[#This Row],[MeasAppType]]),NA(),0),"")</f>
        <v/>
      </c>
      <c r="AT24" s="327" t="str">
        <f>IF(ISBLANK(DeemedDashboard[[#This Row],[MeasAppType]]),"",IF(DeemedDashboard[[#This Row],[MeasAppType]]&lt;&gt;const_AR,"",(DeemedDashboard[[#This Row],[Pre Device Install Year]]+DeemedDashboard[[#This Row],[Existing Device EUL]]-1)-DeemedDashboard[[#This Row],[Pre Device Retire-ment Year]]))</f>
        <v/>
      </c>
      <c r="AU24" s="327" t="str">
        <f>IF(ISBLANK(DeemedDashboard[[#This Row],[MeasAppType]]),"",IF(DeemedDashboard[[#This Row],[MeasAppType]]=const_AR,0,""))</f>
        <v/>
      </c>
      <c r="AV24" s="328" t="str">
        <f>IF(ISBLANK(DeemedDashboard[[#This Row],[MeasAppType]]),"",MAX((1+MIN(DeemedDashboard[[#This Row],[Msr Device Retire-ment Year]],DeemedDashboard[[#This Row],[Measure End 
Year]])-MAX(DeemedDashboard[[#This Row],[Msr Device Install Year]],DeemedDashboard[[#This Row],[Measure Start Year]])),0))</f>
        <v/>
      </c>
      <c r="AW24" s="328" t="str">
        <f>IF(ISBLANK(DeemedDashboard[[#This Row],[MeasAppType]]),"",MAX((1+MIN(DeemedDashboard[[#This Row],[Std Device Retire-ment Year]],DeemedDashboard[[#This Row],[Measure End 
Year]])-MAX(DeemedDashboard[[#This Row],[Std Device Install Year]],DeemedDashboard[[#This Row],[Measure Start Year]])),0))</f>
        <v/>
      </c>
      <c r="AX2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4"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4" s="329" t="str">
        <f>IF(ISBLANK(DeemedDashboard[[#This Row],[MeasAppType]]),"",IF(DeemedDashboard[[#This Row],[Msr Device Years Over-lapping with Measure Years]]=0,0,DeemedDashboard[[#This Row],[Msr Device Years Over-lapping with Measure Years]]/DeemedDashboard[[#This Row],[Msr EUL rounded]]))</f>
        <v/>
      </c>
      <c r="BA24" s="329" t="str">
        <f>IF(ISBLANK(DeemedDashboard[[#This Row],[MeasAppType]]),"",IF(DeemedDashboard[[#This Row],[Std Device Years Over-lapping with Measure Years]]=0,0,DeemedDashboard[[#This Row],[Std Device Years Over-lapping with Measure Years]]/DeemedDashboard[[#This Row],[Counterfactual New Device EUL]]))</f>
        <v/>
      </c>
      <c r="BB24" s="329" t="str">
        <f>IF(ISBLANK(DeemedDashboard[[#This Row],[MeasAppType]]),"",IFERROR(IF(DeemedDashboard[[#This Row],[Pre Device Years Over-lapping with Measure Years]]=0,0,DeemedDashboard[[#This Row],[Pre Device Years Over-lapping with Measure Years]]/DeemedDashboard[[#This Row],[Existing Device EUL]]),""))</f>
        <v/>
      </c>
      <c r="BC24" s="331" t="str">
        <f>IFERROR(IF(DeemedDashboard[[#This Row],[Ext Device Years Over-lapping with Measure Years]]=0,0,DeemedDashboard[[#This Row],[Ext Device Years Over-lapping with Measure Years]]/DeemedDashboard[[#This Row],[Existing Device EUL]]),"")</f>
        <v/>
      </c>
      <c r="BD24" s="329" t="str">
        <f>IFERROR(IF(DeemedDashboard[[#This Row],[Msr Number of Years device retired early]]=0,0,DeemedDashboard[[#This Row],[Msr Number of Years device retired early]]/DeemedDashboard[[#This Row],[Msr EUL rounded]]),"")</f>
        <v/>
      </c>
      <c r="BE24" s="329" t="str">
        <f>IFERROR(IF(DeemedDashboard[[#This Row],[Std Number of Years device retired early]]=0,0,DeemedDashboard[[#This Row],[Std Number of Years device retired early]]/DeemedDashboard[[#This Row],[Msr EUL rounded]]),"")</f>
        <v/>
      </c>
      <c r="BF24" s="329" t="str">
        <f>IFERROR(IF(DeemedDashboard[[#This Row],[MeasAppType]]&lt;&gt;const_AR,"",IF(DeemedDashboard[[#This Row],[Pre Number of Years device retired early]]=0,0,DeemedDashboard[[#This Row],[Pre Number of Years device retired early]]/DeemedDashboard[[#This Row],[Existing Device EUL]])),"")</f>
        <v/>
      </c>
      <c r="BG24" s="331" t="str">
        <f>IFERROR(IF(DeemedDashboard[[#This Row],[Ext Number of Years device retired early]]=0,0,DeemedDashboard[[#This Row],[Ext Number of Years device retired early]]/DeemedDashboard[[#This Row],[Existing Device EUL]]),"")</f>
        <v/>
      </c>
      <c r="BH24" s="325" t="str">
        <f>IFERROR(1-DeemedDashboard[[#This Row],[Msr annual refrigerant leakage %]]*DeemedDashboard[[#This Row],[Msr t_EOL]],"")</f>
        <v/>
      </c>
      <c r="BI24" s="325" t="str">
        <f>IFERROR(1-DeemedDashboard[[#This Row],[Std annual refrigerant leakage %]]*DeemedDashboard[[#This Row],[Std t_EOL]],"")</f>
        <v/>
      </c>
      <c r="BJ24" s="325" t="str">
        <f>IFERROR(1-DeemedDashboard[[#This Row],[Pre/Ext annual refrigerant leakage %]]*DeemedDashboard[[#This Row],[Pre/Ext t_EOL]],"")</f>
        <v/>
      </c>
      <c r="BK24" s="325" t="str">
        <f>IFERROR(1-DeemedDashboard[[#This Row],[Pre/Ext annual refrigerant leakage %]]*DeemedDashboard[[#This Row],[Pre/Ext t_EOL]],"")</f>
        <v/>
      </c>
      <c r="BL24" s="325" t="str">
        <f>IFERROR(DeemedDashboard[[#This Row],[Msr charging remaining (%)]]*DeemedDashboard[[#This Row],[Msr gross EOL refrigerant leakage %]],"")</f>
        <v/>
      </c>
      <c r="BM24" s="325" t="str">
        <f>IFERROR(DeemedDashboard[[#This Row],[Std charging remaining (%)]]*DeemedDashboard[[#This Row],[Std gross EOL refrigerant leakage %]],"")</f>
        <v/>
      </c>
      <c r="BN24" s="325" t="str">
        <f>IFERROR(DeemedDashboard[[#This Row],[Pre charging remaining (%)]]*DeemedDashboard[[#This Row],[Pre/Ext gross EOL refrigerant leakage %]],"")</f>
        <v/>
      </c>
      <c r="BO24" s="325" t="str">
        <f>IFERROR(DeemedDashboard[[#This Row],[Ext charging remaining (%)]]*DeemedDashboard[[#This Row],[Pre/Ext gross EOL refrigerant leakage %]],"")</f>
        <v/>
      </c>
      <c r="BP24" s="330" t="str">
        <f>IFERROR((DeemedDashboard[[#This Row],[Msr refrigerant charge (lb) per NormUnit]]/pounds_per_metric_ton)*DeemedDashboard[[#This Row],[Msr annual refrigerant leakage %]]*DeemedDashboard[[#This Row],[Msr GWP]],"")</f>
        <v/>
      </c>
      <c r="BQ24" s="330" t="str">
        <f>IFERROR((DeemedDashboard[[#This Row],[Std refrigerant charge (lb) per NormUnit]]/pounds_per_metric_ton)*DeemedDashboard[[#This Row],[Std annual refrigerant leakage %]]*DeemedDashboard[[#This Row],[Std GWP]],"")</f>
        <v/>
      </c>
      <c r="BR24" s="330" t="str">
        <f>IF(DeemedDashboard[[#This Row],[MeasAppType]]=const_AR,(DeemedDashboard[[#This Row],[Pre/Ext refrigerant charge (lb) per NormUnit]]/pounds_per_metric_ton)*DeemedDashboard[[#This Row],[Pre/Ext annual refrigerant leakage %]]*DeemedDashboard[[#This Row],[Pre/Ext GWP]],"")</f>
        <v/>
      </c>
      <c r="BS24" s="330" t="str">
        <f>IF(DeemedDashboard[[#This Row],[MeasAppType]]=const_AR,(DeemedDashboard[[#This Row],[Pre/Ext refrigerant charge (lb) per NormUnit]]/pounds_per_metric_ton)*DeemedDashboard[[#This Row],[Pre/Ext annual refrigerant leakage %]]*DeemedDashboard[[#This Row],[Pre/Ext GWP]],"")</f>
        <v/>
      </c>
      <c r="BT24" s="330" t="str">
        <f>IFERROR((DeemedDashboard[[#This Row],[Msr refrigerant charge (lb) per NormUnit]]/pounds_per_metric_ton)*DeemedDashboard[[#This Row],[Msr net EOL refrigerant leakage (%)]]*DeemedDashboard[[#This Row],[Msr GWP]],"")</f>
        <v/>
      </c>
      <c r="BU24" s="330" t="str">
        <f>IFERROR((DeemedDashboard[[#This Row],[Std refrigerant charge (lb) per NormUnit]]/pounds_per_metric_ton)*DeemedDashboard[[#This Row],[Std net EOL refrigerant leakage (%)]]*DeemedDashboard[[#This Row],[Std GWP]],"")</f>
        <v/>
      </c>
      <c r="BV24" s="330" t="str">
        <f>IFERROR((DeemedDashboard[[#This Row],[Pre/Ext refrigerant charge (lb) per NormUnit]]/pounds_per_metric_ton)*DeemedDashboard[[#This Row],[Pre net EOL refrigerant leakage (%)]]*DeemedDashboard[[#This Row],[Pre/Ext GWP]],"")</f>
        <v/>
      </c>
      <c r="BW24" s="330" t="str">
        <f>IFERROR((DeemedDashboard[[#This Row],[Pre/Ext refrigerant charge (lb) per NormUnit]]/pounds_per_metric_ton)*DeemedDashboard[[#This Row],[Ext net EOL refrigerant leakage (%)]]*DeemedDashboard[[#This Row],[Pre/Ext GWP]],"")</f>
        <v/>
      </c>
      <c r="BX24" s="299" t="str" cm="1">
        <f t="array" aca="1" ref="BX2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4" s="305" t="str" cm="1">
        <f t="array" aca="1" ref="BY2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4" s="299" t="str">
        <f>IFERROR(IF(OR(DeemedDashboard[[#This Row],[MeasAppType]]&lt;&gt;const_AR,ISBLANK(DeemedDashboard[[#This Row],[MeasAppType]])),NA(),0),"")</f>
        <v/>
      </c>
      <c r="CA24" s="305" t="str" cm="1">
        <f t="array" aca="1" ref="CA2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4" s="296" t="str">
        <f ca="1">IFERROR((DeemedDashboard[[#This Row],[Msr EOL leakage tons CO2e]]*OFFSET(GHG_Adder_dollar_per_tonne,0,(DeemedDashboard[[#This Row],[Msr Device Retire-ment Year]]-DY+1),1,1))/(1+WACC)^(DeemedDashboard[[#This Row],[Msr Device Retire-ment Year]]-DeemedDashboard[[#This Row],[Measure Start Year]]+0.5),"")</f>
        <v/>
      </c>
      <c r="CC24" s="296" t="str">
        <f ca="1">IFERROR((DeemedDashboard[[#This Row],[Std EOL leakage tons CO2e]]*OFFSET(GHG_Adder_dollar_per_tonne,0,(DeemedDashboard[[#This Row],[Std Device Retire-ment Year]]-DY+1),1,1))/(1+WACC)^(DeemedDashboard[[#This Row],[Std Device Retire-ment Year]]-DeemedDashboard[[#This Row],[Measure Start Year]]+0.5),"")</f>
        <v/>
      </c>
      <c r="CD24" s="296" t="str">
        <f ca="1">IFERROR((DeemedDashboard[[#This Row],[Pre EOL leakage tons CO2e]]*OFFSET(GHG_Adder_dollar_per_tonne,0,(DeemedDashboard[[#This Row],[Measure Start Year]]-DY),1,1))/(1+WACC)^(-0.5),"")</f>
        <v/>
      </c>
      <c r="CE2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4" s="296" t="str">
        <f ca="1">IFERROR(DeemedDashboard[[#This Row],[Msr NPV Cost of Annual Leakage]]/(1+ACC_Inflation_Rate)^(DeemedDashboard[[#This Row],[Measure Start Year]]-DY),"")</f>
        <v/>
      </c>
      <c r="CG24" s="296" t="str">
        <f ca="1">IFERROR(DeemedDashboard[[#This Row],[Std NPV Cost of Annual Leakage]]/(1+ACC_Inflation_Rate)^(DeemedDashboard[[#This Row],[Measure Start Year]]-DY),"")</f>
        <v/>
      </c>
      <c r="CH24" s="296" t="str">
        <f>IFERROR(IF(ISBLANK(DeemedDashboard[[#This Row],[MeasAppType]]),NA(),IF(DeemedDashboard[[#This Row],[MeasAppType]]=const_AR,DeemedDashboard[[#This Row],[Pre NPV Cost of Annual Leakage]]/(1+ACC_Inflation_Rate)^(DeemedDashboard[[#This Row],[Measure Start Year]]-DY),"")),"")</f>
        <v/>
      </c>
      <c r="CI24" s="296" t="str">
        <f>IFERROR(IF(ISBLANK(DeemedDashboard[[#This Row],[MeasAppType]]),NA(),IF(DeemedDashboard[[#This Row],[MeasAppType]]=const_AR,DeemedDashboard[[#This Row],[Ext NPV Cost of Annual Leakage]]/(1+ACC_Inflation_Rate)^(DeemedDashboard[[#This Row],[Measure Start Year]]-DY),"")),"")</f>
        <v/>
      </c>
      <c r="CJ24" s="296" t="str">
        <f ca="1">IFERROR((DeemedDashboard[[#This Row],[Msr % of device lifetime during measure years]]+DeemedDashboard[[#This Row],[Msr % of device lifetime retired early]])*DeemedDashboard[[#This Row],[Msr NPV Cost of EOL Leakage]]/(1+ACC_Inflation_Rate)^(DeemedDashboard[[#This Row],[Measure Start Year]]-DY),"")</f>
        <v/>
      </c>
      <c r="CK24" s="296" t="str">
        <f ca="1">IFERROR((DeemedDashboard[[#This Row],[Std % of device lifetime during measure years]]+DeemedDashboard[[#This Row],[Std % of device lifetime retired early]])*DeemedDashboard[[#This Row],[Std NPV Cost of EOL Leakage]]/(1+ACC_Inflation_Rate)^(DeemedDashboard[[#This Row],[Measure Start Year]]-DY),"")</f>
        <v/>
      </c>
      <c r="CL2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4" s="299" t="str">
        <f ca="1">IFERROR(DeemedDashboard[[#This Row],[Counter-factual total 
NPV cost]]-DeemedDashboard[[#This Row],[Measure total 
NPV cost]],"")</f>
        <v/>
      </c>
      <c r="CQ24" s="299" t="str">
        <f>IF(ISBLANK(DeemedDashboard[[#This Row],[MeasAppType]]),"",DeemedDashboard[[#This Row],[Refrigerant
NPV costs
avoided]]&gt;0)</f>
        <v/>
      </c>
      <c r="CR24" s="299" t="str">
        <f ca="1">IFERROR(DeemedDashboard[[#This Row],[Msr Adj NPV Cost of Annual Leakage]]+DeemedDashboard[[#This Row],[Msr Adj NPV Cost of EOL Leakage]],"")</f>
        <v/>
      </c>
      <c r="CS24" s="299" t="str">
        <f ca="1">IFERROR(DeemedDashboard[[#This Row],[Std Adj NPV Cost of Annual Leakage]]+DeemedDashboard[[#This Row],[Std Adj NPV Cost of EOL Leakage]],"")</f>
        <v/>
      </c>
      <c r="CT24" s="299" t="str">
        <f>IFERROR(IF((DeemedDashboard[[#This Row],[Pre Adj NPV Cost of Annual Leakage]]+DeemedDashboard[[#This Row],[Pre Adj NPV Cost of EOL Leakage]])=0,"",DeemedDashboard[[#This Row],[Pre Adj NPV Cost of Annual Leakage]]+DeemedDashboard[[#This Row],[Pre Adj NPV Cost of EOL Leakage]]),"")</f>
        <v/>
      </c>
      <c r="CU24" s="299" t="str">
        <f>IFERROR(IF((DeemedDashboard[[#This Row],[Ext Adj NPV Cost of Annual Leakage]]+DeemedDashboard[[#This Row],[Ext Adj NPV Cost of EOL Leakage]])=0,"",DeemedDashboard[[#This Row],[Ext Adj NPV Cost of Annual Leakage]]+DeemedDashboard[[#This Row],[Ext Adj NPV Cost of EOL Leakage]]),"")</f>
        <v/>
      </c>
      <c r="CV24" s="299" t="str">
        <f>IFERROR(IF(DeemedDashboard[[#This Row],[Is Avoided Net Cost &gt;0?]],"",-DeemedDashboard[[#This Row],[Refrigerant
NPV costs
avoided]]),"")</f>
        <v/>
      </c>
      <c r="CW24" s="299" t="str">
        <f>IFERROR(IF(DeemedDashboard[[#This Row],[Is Avoided Net Cost &gt;0?]],DeemedDashboard[[#This Row],[Refrigerant
NPV costs
avoided]],""),"")</f>
        <v/>
      </c>
      <c r="CX24" s="391">
        <f ca="1">IFERROR(MATCH(DeemedDashboard[[#This Row],[TechGroup and NormUnit]],TechGroup_and_NormUnit,0),1)</f>
        <v>1</v>
      </c>
      <c r="CY24" s="391" cm="1">
        <f t="array" aca="1" ref="CY24" ca="1">IFERROR(INDEX(TGRows,DeemedDashboard[[#This Row],[TGIndex]]),"")</f>
        <v>2</v>
      </c>
      <c r="CZ24" s="391">
        <f ca="1">IF(DeemedDashboard[[#This Row],[MeasAppType]]=const_AR,DeemedDashboard[[#This Row],[TGRows]],DeemedDashboard[[#This Row],[TGRows]]+1)</f>
        <v>3</v>
      </c>
      <c r="DA24" s="391" t="str">
        <f>IF(ISBLANK(DeemedDashboard[[#This Row],[MeasAppType]]),"",IF(DeemedDashboard[[#This Row],[Index]]=User_Specified_Refrigerant[[#This Row],[Index]],"OK","ERROR"))</f>
        <v/>
      </c>
    </row>
    <row r="25" spans="1:105" s="320" customFormat="1" x14ac:dyDescent="0.25">
      <c r="A25" s="297">
        <f>ROW(DeemedDashboard[[#This Row],[Index]])-ROW(DeemedDashboard[[#Headers],[Index]])</f>
        <v>16</v>
      </c>
      <c r="B25" s="298"/>
      <c r="C25" s="321"/>
      <c r="D25" s="403"/>
      <c r="E25" s="403"/>
      <c r="F25" s="403"/>
      <c r="G25" s="403"/>
      <c r="H25" s="365"/>
      <c r="I25" s="339"/>
      <c r="J25" s="339"/>
      <c r="K25" s="339"/>
      <c r="L25" s="322"/>
      <c r="M25" s="322"/>
      <c r="N25" s="322"/>
      <c r="O2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5" s="582" t="str" cm="1">
        <f t="array" ref="R25">IFERROR(IF(DeemedDashboard[[#This Row],[Msr device type]]=const_device_nonrefrig,0,INDEX(_xlfn.SWITCH($E$4,const_20_yr,GWP_Values_20_year_AR4,const_100_yr,GWP_Values_100_year_AR4),MATCH(DeemedDashboard[[#This Row],[Msr refrigerant Type]],RefrigDropdownList,0))),"")</f>
        <v/>
      </c>
      <c r="S25" s="582" t="str" cm="1">
        <f t="array" ref="S25">IFERROR(IF(DeemedDashboard[[#This Row],[Std device type]]=const_device_nonrefrig,0,INDEX(_xlfn.SWITCH($E$4,const_20_yr,GWP_Values_20_year_AR4,const_100_yr,GWP_Values_100_year_AR4),MATCH(DeemedDashboard[[#This Row],[Std refrigerant Type]],RefrigDropdownList,0))),"")</f>
        <v/>
      </c>
      <c r="T25" s="582" t="str" cm="1">
        <f t="array" ref="T25">IFERROR(IF(DeemedDashboard[[#This Row],[Pre/Ext device type]]=const_device_nonrefrig,0,INDEX(_xlfn.SWITCH($E$4,const_20_yr,GWP_Values_20_year_AR4,const_100_yr,GWP_Values_100_year_AR4),MATCH(DeemedDashboard[[#This Row],[Pre/Ext refrigerant Type]],RefrigDropdownList,0))),"")</f>
        <v/>
      </c>
      <c r="U2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5" s="326" t="str">
        <f>IFERROR(IF(DeemedDashboard[[#This Row],[Msr device type]]=const_userspec,IF(ISBLANK(User_Specified_Refrigerant[[#This Row],[Msr t_EOL]]),"",User_Specified_Refrigerant[[#This Row],[Msr t_EOL]]),INDEX(TechGroup_NormUnit_Table[t_EOL],MATCH(DeemedDashboard[[#This Row],[Msr device type]],DropdownRefrigTech,0))),"")</f>
        <v/>
      </c>
      <c r="AB25" s="326" t="str">
        <f>IFERROR(IF(DeemedDashboard[[#This Row],[Std device type]]=const_userspec,IF(ISBLANK(User_Specified_Refrigerant[[#This Row],[Std t_EOL]]),"",User_Specified_Refrigerant[[#This Row],[Std t_EOL]]),INDEX(TechGroup_NormUnit_Table[t_EOL],MATCH(DeemedDashboard[[#This Row],[Std device type]],DropdownRefrigTech,0))),"")</f>
        <v/>
      </c>
      <c r="AC2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5" s="395" t="str">
        <f>IF(ISBLANK(DeemedDashboard[[#This Row],[MeasAppType]]),"",$E$2)</f>
        <v/>
      </c>
      <c r="AE25" s="395" t="str">
        <f>IFERROR(IF(ISBLANK(DeemedDashboard[[#This Row],[MeasAppType]]),NA(),DeemedDashboard[[#This Row],[Measure Start Year]]+DeemedDashboard[[#This Row],[Msr EUL rounded]]-1),"")</f>
        <v/>
      </c>
      <c r="AF25" s="323" t="str">
        <f>IF(ISBLANK(DeemedDashboard[[#This Row],[Measure New Device EUL]]),"",ROUND(DeemedDashboard[[#This Row],[Measure New Device EUL]],0))</f>
        <v/>
      </c>
      <c r="AG25" s="323" t="str">
        <f>IF(ISBLANK(DeemedDashboard[[#This Row],[Counterfactual New Device EUL]]),"",ROUND(DeemedDashboard[[#This Row],[Counterfactual New Device EUL]],0))</f>
        <v/>
      </c>
      <c r="AH25" s="323" t="str">
        <f>IF(ISBLANK(DeemedDashboard[[#This Row],[Existing Device EUL]]),"",ROUND(DeemedDashboard[[#This Row],[Existing Device EUL]],0))</f>
        <v/>
      </c>
      <c r="AI25" s="323" t="str">
        <f>IF(ISBLANK(DeemedDashboard[[#This Row],[Existing Device RUL or AR First Baseline Life]]),"",ROUND(DeemedDashboard[[#This Row],[Existing Device RUL or AR First Baseline Life]],0))</f>
        <v/>
      </c>
      <c r="AJ25" s="327" t="str">
        <f>DeemedDashboard[[#This Row],[Measure Start Year]]</f>
        <v/>
      </c>
      <c r="AK25" s="327" t="str">
        <f>IF(DeemedDashboard[[#This Row],[MeasAppType]]&lt;&gt;const_AR,DeemedDashboard[[#This Row],[Measure Start Year]],DeemedDashboard[[#This Row],[Ext Device Retire-ment Year]]+1)</f>
        <v/>
      </c>
      <c r="AL25" s="327" t="str">
        <f>IFERROR(IF(DeemedDashboard[[#This Row],[MeasAppType]]=const_AR,DeemedDashboard[[#This Row],[Measure Start Year]]-(DeemedDashboard[[#This Row],[Existing Device EUL]]-DeemedDashboard[[#This Row],[Existing Device RUL or AR First Baseline Life]]),NA()),"")</f>
        <v/>
      </c>
      <c r="AM25" s="327" t="str">
        <f>DeemedDashboard[[#This Row],[Pre Device Install Year]]</f>
        <v/>
      </c>
      <c r="AN25" s="327" t="str">
        <f>IFERROR(IF(ISBLANK(DeemedDashboard[[#This Row],[MeasAppType]]),NA(),DeemedDashboard[[#This Row],[Measure Start Year]]+DeemedDashboard[[#This Row],[Msr EUL rounded]]-1),"")</f>
        <v/>
      </c>
      <c r="AO25" s="327" t="str">
        <f>IFERROR(DeemedDashboard[[#This Row],[Std Device Install Year]]+DeemedDashboard[[#This Row],[Counterfactual New Device EUL]]-1,"")</f>
        <v/>
      </c>
      <c r="AP25" s="327" t="str">
        <f>IFERROR(IF(AND(DeemedDashboard[[#This Row],[MeasAppType]]=const_AR,DeemedDashboard[[#This Row],[Measure Start Year]]&lt;(DeemedDashboard[[#This Row],[Pre Device Install Year]]+DeemedDashboard[[#This Row],[Existing Device EUL]]-1)),DeemedDashboard[[#This Row],[Measure Start Year]]-1,NA()),"")</f>
        <v/>
      </c>
      <c r="AQ25" s="327" t="str">
        <f>IFERROR(IF(DeemedDashboard[[#This Row],[MeasAppType]]=const_AR,DeemedDashboard[[#This Row],[Ext Device Install Year]]+DeemedDashboard[[#This Row],[Existing Device EUL]]-1,NA()),"")</f>
        <v/>
      </c>
      <c r="AR25" s="327" t="str">
        <f>IFERROR(IF(ISBLANK(DeemedDashboard[[#This Row],[MeasAppType]]),NA(),0),"")</f>
        <v/>
      </c>
      <c r="AS25" s="327" t="str">
        <f>IFERROR(IF(ISBLANK(DeemedDashboard[[#This Row],[MeasAppType]]),NA(),0),"")</f>
        <v/>
      </c>
      <c r="AT25" s="327" t="str">
        <f>IF(ISBLANK(DeemedDashboard[[#This Row],[MeasAppType]]),"",IF(DeemedDashboard[[#This Row],[MeasAppType]]&lt;&gt;const_AR,"",(DeemedDashboard[[#This Row],[Pre Device Install Year]]+DeemedDashboard[[#This Row],[Existing Device EUL]]-1)-DeemedDashboard[[#This Row],[Pre Device Retire-ment Year]]))</f>
        <v/>
      </c>
      <c r="AU25" s="327" t="str">
        <f>IF(ISBLANK(DeemedDashboard[[#This Row],[MeasAppType]]),"",IF(DeemedDashboard[[#This Row],[MeasAppType]]=const_AR,0,""))</f>
        <v/>
      </c>
      <c r="AV25" s="328" t="str">
        <f>IF(ISBLANK(DeemedDashboard[[#This Row],[MeasAppType]]),"",MAX((1+MIN(DeemedDashboard[[#This Row],[Msr Device Retire-ment Year]],DeemedDashboard[[#This Row],[Measure End 
Year]])-MAX(DeemedDashboard[[#This Row],[Msr Device Install Year]],DeemedDashboard[[#This Row],[Measure Start Year]])),0))</f>
        <v/>
      </c>
      <c r="AW25" s="328" t="str">
        <f>IF(ISBLANK(DeemedDashboard[[#This Row],[MeasAppType]]),"",MAX((1+MIN(DeemedDashboard[[#This Row],[Std Device Retire-ment Year]],DeemedDashboard[[#This Row],[Measure End 
Year]])-MAX(DeemedDashboard[[#This Row],[Std Device Install Year]],DeemedDashboard[[#This Row],[Measure Start Year]])),0))</f>
        <v/>
      </c>
      <c r="AX2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5"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5" s="329" t="str">
        <f>IF(ISBLANK(DeemedDashboard[[#This Row],[MeasAppType]]),"",IF(DeemedDashboard[[#This Row],[Msr Device Years Over-lapping with Measure Years]]=0,0,DeemedDashboard[[#This Row],[Msr Device Years Over-lapping with Measure Years]]/DeemedDashboard[[#This Row],[Msr EUL rounded]]))</f>
        <v/>
      </c>
      <c r="BA25" s="329" t="str">
        <f>IF(ISBLANK(DeemedDashboard[[#This Row],[MeasAppType]]),"",IF(DeemedDashboard[[#This Row],[Std Device Years Over-lapping with Measure Years]]=0,0,DeemedDashboard[[#This Row],[Std Device Years Over-lapping with Measure Years]]/DeemedDashboard[[#This Row],[Counterfactual New Device EUL]]))</f>
        <v/>
      </c>
      <c r="BB25" s="329" t="str">
        <f>IF(ISBLANK(DeemedDashboard[[#This Row],[MeasAppType]]),"",IFERROR(IF(DeemedDashboard[[#This Row],[Pre Device Years Over-lapping with Measure Years]]=0,0,DeemedDashboard[[#This Row],[Pre Device Years Over-lapping with Measure Years]]/DeemedDashboard[[#This Row],[Existing Device EUL]]),""))</f>
        <v/>
      </c>
      <c r="BC25" s="331" t="str">
        <f>IFERROR(IF(DeemedDashboard[[#This Row],[Ext Device Years Over-lapping with Measure Years]]=0,0,DeemedDashboard[[#This Row],[Ext Device Years Over-lapping with Measure Years]]/DeemedDashboard[[#This Row],[Existing Device EUL]]),"")</f>
        <v/>
      </c>
      <c r="BD25" s="329" t="str">
        <f>IFERROR(IF(DeemedDashboard[[#This Row],[Msr Number of Years device retired early]]=0,0,DeemedDashboard[[#This Row],[Msr Number of Years device retired early]]/DeemedDashboard[[#This Row],[Msr EUL rounded]]),"")</f>
        <v/>
      </c>
      <c r="BE25" s="329" t="str">
        <f>IFERROR(IF(DeemedDashboard[[#This Row],[Std Number of Years device retired early]]=0,0,DeemedDashboard[[#This Row],[Std Number of Years device retired early]]/DeemedDashboard[[#This Row],[Msr EUL rounded]]),"")</f>
        <v/>
      </c>
      <c r="BF25" s="329" t="str">
        <f>IFERROR(IF(DeemedDashboard[[#This Row],[MeasAppType]]&lt;&gt;const_AR,"",IF(DeemedDashboard[[#This Row],[Pre Number of Years device retired early]]=0,0,DeemedDashboard[[#This Row],[Pre Number of Years device retired early]]/DeemedDashboard[[#This Row],[Existing Device EUL]])),"")</f>
        <v/>
      </c>
      <c r="BG25" s="331" t="str">
        <f>IFERROR(IF(DeemedDashboard[[#This Row],[Ext Number of Years device retired early]]=0,0,DeemedDashboard[[#This Row],[Ext Number of Years device retired early]]/DeemedDashboard[[#This Row],[Existing Device EUL]]),"")</f>
        <v/>
      </c>
      <c r="BH25" s="325" t="str">
        <f>IFERROR(1-DeemedDashboard[[#This Row],[Msr annual refrigerant leakage %]]*DeemedDashboard[[#This Row],[Msr t_EOL]],"")</f>
        <v/>
      </c>
      <c r="BI25" s="325" t="str">
        <f>IFERROR(1-DeemedDashboard[[#This Row],[Std annual refrigerant leakage %]]*DeemedDashboard[[#This Row],[Std t_EOL]],"")</f>
        <v/>
      </c>
      <c r="BJ25" s="325" t="str">
        <f>IFERROR(1-DeemedDashboard[[#This Row],[Pre/Ext annual refrigerant leakage %]]*DeemedDashboard[[#This Row],[Pre/Ext t_EOL]],"")</f>
        <v/>
      </c>
      <c r="BK25" s="325" t="str">
        <f>IFERROR(1-DeemedDashboard[[#This Row],[Pre/Ext annual refrigerant leakage %]]*DeemedDashboard[[#This Row],[Pre/Ext t_EOL]],"")</f>
        <v/>
      </c>
      <c r="BL25" s="325" t="str">
        <f>IFERROR(DeemedDashboard[[#This Row],[Msr charging remaining (%)]]*DeemedDashboard[[#This Row],[Msr gross EOL refrigerant leakage %]],"")</f>
        <v/>
      </c>
      <c r="BM25" s="325" t="str">
        <f>IFERROR(DeemedDashboard[[#This Row],[Std charging remaining (%)]]*DeemedDashboard[[#This Row],[Std gross EOL refrigerant leakage %]],"")</f>
        <v/>
      </c>
      <c r="BN25" s="325" t="str">
        <f>IFERROR(DeemedDashboard[[#This Row],[Pre charging remaining (%)]]*DeemedDashboard[[#This Row],[Pre/Ext gross EOL refrigerant leakage %]],"")</f>
        <v/>
      </c>
      <c r="BO25" s="325" t="str">
        <f>IFERROR(DeemedDashboard[[#This Row],[Ext charging remaining (%)]]*DeemedDashboard[[#This Row],[Pre/Ext gross EOL refrigerant leakage %]],"")</f>
        <v/>
      </c>
      <c r="BP25" s="330" t="str">
        <f>IFERROR((DeemedDashboard[[#This Row],[Msr refrigerant charge (lb) per NormUnit]]/pounds_per_metric_ton)*DeemedDashboard[[#This Row],[Msr annual refrigerant leakage %]]*DeemedDashboard[[#This Row],[Msr GWP]],"")</f>
        <v/>
      </c>
      <c r="BQ25" s="330" t="str">
        <f>IFERROR((DeemedDashboard[[#This Row],[Std refrigerant charge (lb) per NormUnit]]/pounds_per_metric_ton)*DeemedDashboard[[#This Row],[Std annual refrigerant leakage %]]*DeemedDashboard[[#This Row],[Std GWP]],"")</f>
        <v/>
      </c>
      <c r="BR25" s="330" t="str">
        <f>IF(DeemedDashboard[[#This Row],[MeasAppType]]=const_AR,(DeemedDashboard[[#This Row],[Pre/Ext refrigerant charge (lb) per NormUnit]]/pounds_per_metric_ton)*DeemedDashboard[[#This Row],[Pre/Ext annual refrigerant leakage %]]*DeemedDashboard[[#This Row],[Pre/Ext GWP]],"")</f>
        <v/>
      </c>
      <c r="BS25" s="330" t="str">
        <f>IF(DeemedDashboard[[#This Row],[MeasAppType]]=const_AR,(DeemedDashboard[[#This Row],[Pre/Ext refrigerant charge (lb) per NormUnit]]/pounds_per_metric_ton)*DeemedDashboard[[#This Row],[Pre/Ext annual refrigerant leakage %]]*DeemedDashboard[[#This Row],[Pre/Ext GWP]],"")</f>
        <v/>
      </c>
      <c r="BT25" s="330" t="str">
        <f>IFERROR((DeemedDashboard[[#This Row],[Msr refrigerant charge (lb) per NormUnit]]/pounds_per_metric_ton)*DeemedDashboard[[#This Row],[Msr net EOL refrigerant leakage (%)]]*DeemedDashboard[[#This Row],[Msr GWP]],"")</f>
        <v/>
      </c>
      <c r="BU25" s="330" t="str">
        <f>IFERROR((DeemedDashboard[[#This Row],[Std refrigerant charge (lb) per NormUnit]]/pounds_per_metric_ton)*DeemedDashboard[[#This Row],[Std net EOL refrigerant leakage (%)]]*DeemedDashboard[[#This Row],[Std GWP]],"")</f>
        <v/>
      </c>
      <c r="BV25" s="330" t="str">
        <f>IFERROR((DeemedDashboard[[#This Row],[Pre/Ext refrigerant charge (lb) per NormUnit]]/pounds_per_metric_ton)*DeemedDashboard[[#This Row],[Pre net EOL refrigerant leakage (%)]]*DeemedDashboard[[#This Row],[Pre/Ext GWP]],"")</f>
        <v/>
      </c>
      <c r="BW25" s="330" t="str">
        <f>IFERROR((DeemedDashboard[[#This Row],[Pre/Ext refrigerant charge (lb) per NormUnit]]/pounds_per_metric_ton)*DeemedDashboard[[#This Row],[Ext net EOL refrigerant leakage (%)]]*DeemedDashboard[[#This Row],[Pre/Ext GWP]],"")</f>
        <v/>
      </c>
      <c r="BX25" s="299" t="str" cm="1">
        <f t="array" aca="1" ref="BX2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5" s="305" t="str" cm="1">
        <f t="array" aca="1" ref="BY2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5" s="299" t="str">
        <f>IFERROR(IF(OR(DeemedDashboard[[#This Row],[MeasAppType]]&lt;&gt;const_AR,ISBLANK(DeemedDashboard[[#This Row],[MeasAppType]])),NA(),0),"")</f>
        <v/>
      </c>
      <c r="CA25" s="305" t="str" cm="1">
        <f t="array" aca="1" ref="CA2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5" s="296" t="str">
        <f ca="1">IFERROR((DeemedDashboard[[#This Row],[Msr EOL leakage tons CO2e]]*OFFSET(GHG_Adder_dollar_per_tonne,0,(DeemedDashboard[[#This Row],[Msr Device Retire-ment Year]]-DY+1),1,1))/(1+WACC)^(DeemedDashboard[[#This Row],[Msr Device Retire-ment Year]]-DeemedDashboard[[#This Row],[Measure Start Year]]+0.5),"")</f>
        <v/>
      </c>
      <c r="CC25" s="296" t="str">
        <f ca="1">IFERROR((DeemedDashboard[[#This Row],[Std EOL leakage tons CO2e]]*OFFSET(GHG_Adder_dollar_per_tonne,0,(DeemedDashboard[[#This Row],[Std Device Retire-ment Year]]-DY+1),1,1))/(1+WACC)^(DeemedDashboard[[#This Row],[Std Device Retire-ment Year]]-DeemedDashboard[[#This Row],[Measure Start Year]]+0.5),"")</f>
        <v/>
      </c>
      <c r="CD25" s="296" t="str">
        <f ca="1">IFERROR((DeemedDashboard[[#This Row],[Pre EOL leakage tons CO2e]]*OFFSET(GHG_Adder_dollar_per_tonne,0,(DeemedDashboard[[#This Row],[Measure Start Year]]-DY),1,1))/(1+WACC)^(-0.5),"")</f>
        <v/>
      </c>
      <c r="CE2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5" s="296" t="str">
        <f ca="1">IFERROR(DeemedDashboard[[#This Row],[Msr NPV Cost of Annual Leakage]]/(1+ACC_Inflation_Rate)^(DeemedDashboard[[#This Row],[Measure Start Year]]-DY),"")</f>
        <v/>
      </c>
      <c r="CG25" s="296" t="str">
        <f ca="1">IFERROR(DeemedDashboard[[#This Row],[Std NPV Cost of Annual Leakage]]/(1+ACC_Inflation_Rate)^(DeemedDashboard[[#This Row],[Measure Start Year]]-DY),"")</f>
        <v/>
      </c>
      <c r="CH25" s="296" t="str">
        <f>IFERROR(IF(ISBLANK(DeemedDashboard[[#This Row],[MeasAppType]]),NA(),IF(DeemedDashboard[[#This Row],[MeasAppType]]=const_AR,DeemedDashboard[[#This Row],[Pre NPV Cost of Annual Leakage]]/(1+ACC_Inflation_Rate)^(DeemedDashboard[[#This Row],[Measure Start Year]]-DY),"")),"")</f>
        <v/>
      </c>
      <c r="CI25" s="296" t="str">
        <f>IFERROR(IF(ISBLANK(DeemedDashboard[[#This Row],[MeasAppType]]),NA(),IF(DeemedDashboard[[#This Row],[MeasAppType]]=const_AR,DeemedDashboard[[#This Row],[Ext NPV Cost of Annual Leakage]]/(1+ACC_Inflation_Rate)^(DeemedDashboard[[#This Row],[Measure Start Year]]-DY),"")),"")</f>
        <v/>
      </c>
      <c r="CJ25" s="296" t="str">
        <f ca="1">IFERROR((DeemedDashboard[[#This Row],[Msr % of device lifetime during measure years]]+DeemedDashboard[[#This Row],[Msr % of device lifetime retired early]])*DeemedDashboard[[#This Row],[Msr NPV Cost of EOL Leakage]]/(1+ACC_Inflation_Rate)^(DeemedDashboard[[#This Row],[Measure Start Year]]-DY),"")</f>
        <v/>
      </c>
      <c r="CK25" s="296" t="str">
        <f ca="1">IFERROR((DeemedDashboard[[#This Row],[Std % of device lifetime during measure years]]+DeemedDashboard[[#This Row],[Std % of device lifetime retired early]])*DeemedDashboard[[#This Row],[Std NPV Cost of EOL Leakage]]/(1+ACC_Inflation_Rate)^(DeemedDashboard[[#This Row],[Measure Start Year]]-DY),"")</f>
        <v/>
      </c>
      <c r="CL2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5" s="299" t="str">
        <f ca="1">IFERROR(DeemedDashboard[[#This Row],[Counter-factual total 
NPV cost]]-DeemedDashboard[[#This Row],[Measure total 
NPV cost]],"")</f>
        <v/>
      </c>
      <c r="CQ25" s="299" t="str">
        <f>IF(ISBLANK(DeemedDashboard[[#This Row],[MeasAppType]]),"",DeemedDashboard[[#This Row],[Refrigerant
NPV costs
avoided]]&gt;0)</f>
        <v/>
      </c>
      <c r="CR25" s="299" t="str">
        <f ca="1">IFERROR(DeemedDashboard[[#This Row],[Msr Adj NPV Cost of Annual Leakage]]+DeemedDashboard[[#This Row],[Msr Adj NPV Cost of EOL Leakage]],"")</f>
        <v/>
      </c>
      <c r="CS25" s="299" t="str">
        <f ca="1">IFERROR(DeemedDashboard[[#This Row],[Std Adj NPV Cost of Annual Leakage]]+DeemedDashboard[[#This Row],[Std Adj NPV Cost of EOL Leakage]],"")</f>
        <v/>
      </c>
      <c r="CT25" s="299" t="str">
        <f>IFERROR(IF((DeemedDashboard[[#This Row],[Pre Adj NPV Cost of Annual Leakage]]+DeemedDashboard[[#This Row],[Pre Adj NPV Cost of EOL Leakage]])=0,"",DeemedDashboard[[#This Row],[Pre Adj NPV Cost of Annual Leakage]]+DeemedDashboard[[#This Row],[Pre Adj NPV Cost of EOL Leakage]]),"")</f>
        <v/>
      </c>
      <c r="CU25" s="299" t="str">
        <f>IFERROR(IF((DeemedDashboard[[#This Row],[Ext Adj NPV Cost of Annual Leakage]]+DeemedDashboard[[#This Row],[Ext Adj NPV Cost of EOL Leakage]])=0,"",DeemedDashboard[[#This Row],[Ext Adj NPV Cost of Annual Leakage]]+DeemedDashboard[[#This Row],[Ext Adj NPV Cost of EOL Leakage]]),"")</f>
        <v/>
      </c>
      <c r="CV25" s="299" t="str">
        <f>IFERROR(IF(DeemedDashboard[[#This Row],[Is Avoided Net Cost &gt;0?]],"",-DeemedDashboard[[#This Row],[Refrigerant
NPV costs
avoided]]),"")</f>
        <v/>
      </c>
      <c r="CW25" s="299" t="str">
        <f>IFERROR(IF(DeemedDashboard[[#This Row],[Is Avoided Net Cost &gt;0?]],DeemedDashboard[[#This Row],[Refrigerant
NPV costs
avoided]],""),"")</f>
        <v/>
      </c>
      <c r="CX25" s="391">
        <f ca="1">IFERROR(MATCH(DeemedDashboard[[#This Row],[TechGroup and NormUnit]],TechGroup_and_NormUnit,0),1)</f>
        <v>1</v>
      </c>
      <c r="CY25" s="391" cm="1">
        <f t="array" aca="1" ref="CY25" ca="1">IFERROR(INDEX(TGRows,DeemedDashboard[[#This Row],[TGIndex]]),"")</f>
        <v>2</v>
      </c>
      <c r="CZ25" s="391">
        <f ca="1">IF(DeemedDashboard[[#This Row],[MeasAppType]]=const_AR,DeemedDashboard[[#This Row],[TGRows]],DeemedDashboard[[#This Row],[TGRows]]+1)</f>
        <v>3</v>
      </c>
      <c r="DA25" s="391" t="str">
        <f>IF(ISBLANK(DeemedDashboard[[#This Row],[MeasAppType]]),"",IF(DeemedDashboard[[#This Row],[Index]]=User_Specified_Refrigerant[[#This Row],[Index]],"OK","ERROR"))</f>
        <v/>
      </c>
    </row>
    <row r="26" spans="1:105" s="320" customFormat="1" x14ac:dyDescent="0.25">
      <c r="A26" s="297">
        <f>ROW(DeemedDashboard[[#This Row],[Index]])-ROW(DeemedDashboard[[#Headers],[Index]])</f>
        <v>17</v>
      </c>
      <c r="B26" s="298"/>
      <c r="C26" s="321"/>
      <c r="D26" s="403"/>
      <c r="E26" s="403"/>
      <c r="F26" s="403"/>
      <c r="G26" s="403"/>
      <c r="H26" s="365"/>
      <c r="I26" s="339"/>
      <c r="J26" s="339"/>
      <c r="K26" s="339"/>
      <c r="L26" s="322"/>
      <c r="M26" s="322"/>
      <c r="N26" s="322"/>
      <c r="O2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6" s="582" t="str" cm="1">
        <f t="array" ref="R26">IFERROR(IF(DeemedDashboard[[#This Row],[Msr device type]]=const_device_nonrefrig,0,INDEX(_xlfn.SWITCH($E$4,const_20_yr,GWP_Values_20_year_AR4,const_100_yr,GWP_Values_100_year_AR4),MATCH(DeemedDashboard[[#This Row],[Msr refrigerant Type]],RefrigDropdownList,0))),"")</f>
        <v/>
      </c>
      <c r="S26" s="582" t="str" cm="1">
        <f t="array" ref="S26">IFERROR(IF(DeemedDashboard[[#This Row],[Std device type]]=const_device_nonrefrig,0,INDEX(_xlfn.SWITCH($E$4,const_20_yr,GWP_Values_20_year_AR4,const_100_yr,GWP_Values_100_year_AR4),MATCH(DeemedDashboard[[#This Row],[Std refrigerant Type]],RefrigDropdownList,0))),"")</f>
        <v/>
      </c>
      <c r="T26" s="582" t="str" cm="1">
        <f t="array" ref="T26">IFERROR(IF(DeemedDashboard[[#This Row],[Pre/Ext device type]]=const_device_nonrefrig,0,INDEX(_xlfn.SWITCH($E$4,const_20_yr,GWP_Values_20_year_AR4,const_100_yr,GWP_Values_100_year_AR4),MATCH(DeemedDashboard[[#This Row],[Pre/Ext refrigerant Type]],RefrigDropdownList,0))),"")</f>
        <v/>
      </c>
      <c r="U2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6" s="326" t="str">
        <f>IFERROR(IF(DeemedDashboard[[#This Row],[Msr device type]]=const_userspec,IF(ISBLANK(User_Specified_Refrigerant[[#This Row],[Msr t_EOL]]),"",User_Specified_Refrigerant[[#This Row],[Msr t_EOL]]),INDEX(TechGroup_NormUnit_Table[t_EOL],MATCH(DeemedDashboard[[#This Row],[Msr device type]],DropdownRefrigTech,0))),"")</f>
        <v/>
      </c>
      <c r="AB26" s="326" t="str">
        <f>IFERROR(IF(DeemedDashboard[[#This Row],[Std device type]]=const_userspec,IF(ISBLANK(User_Specified_Refrigerant[[#This Row],[Std t_EOL]]),"",User_Specified_Refrigerant[[#This Row],[Std t_EOL]]),INDEX(TechGroup_NormUnit_Table[t_EOL],MATCH(DeemedDashboard[[#This Row],[Std device type]],DropdownRefrigTech,0))),"")</f>
        <v/>
      </c>
      <c r="AC2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6" s="395" t="str">
        <f>IF(ISBLANK(DeemedDashboard[[#This Row],[MeasAppType]]),"",$E$2)</f>
        <v/>
      </c>
      <c r="AE26" s="395" t="str">
        <f>IFERROR(IF(ISBLANK(DeemedDashboard[[#This Row],[MeasAppType]]),NA(),DeemedDashboard[[#This Row],[Measure Start Year]]+DeemedDashboard[[#This Row],[Msr EUL rounded]]-1),"")</f>
        <v/>
      </c>
      <c r="AF26" s="323" t="str">
        <f>IF(ISBLANK(DeemedDashboard[[#This Row],[Measure New Device EUL]]),"",ROUND(DeemedDashboard[[#This Row],[Measure New Device EUL]],0))</f>
        <v/>
      </c>
      <c r="AG26" s="323" t="str">
        <f>IF(ISBLANK(DeemedDashboard[[#This Row],[Counterfactual New Device EUL]]),"",ROUND(DeemedDashboard[[#This Row],[Counterfactual New Device EUL]],0))</f>
        <v/>
      </c>
      <c r="AH26" s="323" t="str">
        <f>IF(ISBLANK(DeemedDashboard[[#This Row],[Existing Device EUL]]),"",ROUND(DeemedDashboard[[#This Row],[Existing Device EUL]],0))</f>
        <v/>
      </c>
      <c r="AI26" s="323" t="str">
        <f>IF(ISBLANK(DeemedDashboard[[#This Row],[Existing Device RUL or AR First Baseline Life]]),"",ROUND(DeemedDashboard[[#This Row],[Existing Device RUL or AR First Baseline Life]],0))</f>
        <v/>
      </c>
      <c r="AJ26" s="327" t="str">
        <f>DeemedDashboard[[#This Row],[Measure Start Year]]</f>
        <v/>
      </c>
      <c r="AK26" s="327" t="str">
        <f>IF(DeemedDashboard[[#This Row],[MeasAppType]]&lt;&gt;const_AR,DeemedDashboard[[#This Row],[Measure Start Year]],DeemedDashboard[[#This Row],[Ext Device Retire-ment Year]]+1)</f>
        <v/>
      </c>
      <c r="AL26" s="327" t="str">
        <f>IFERROR(IF(DeemedDashboard[[#This Row],[MeasAppType]]=const_AR,DeemedDashboard[[#This Row],[Measure Start Year]]-(DeemedDashboard[[#This Row],[Existing Device EUL]]-DeemedDashboard[[#This Row],[Existing Device RUL or AR First Baseline Life]]),NA()),"")</f>
        <v/>
      </c>
      <c r="AM26" s="327" t="str">
        <f>DeemedDashboard[[#This Row],[Pre Device Install Year]]</f>
        <v/>
      </c>
      <c r="AN26" s="327" t="str">
        <f>IFERROR(IF(ISBLANK(DeemedDashboard[[#This Row],[MeasAppType]]),NA(),DeemedDashboard[[#This Row],[Measure Start Year]]+DeemedDashboard[[#This Row],[Msr EUL rounded]]-1),"")</f>
        <v/>
      </c>
      <c r="AO26" s="327" t="str">
        <f>IFERROR(DeemedDashboard[[#This Row],[Std Device Install Year]]+DeemedDashboard[[#This Row],[Counterfactual New Device EUL]]-1,"")</f>
        <v/>
      </c>
      <c r="AP26" s="327" t="str">
        <f>IFERROR(IF(AND(DeemedDashboard[[#This Row],[MeasAppType]]=const_AR,DeemedDashboard[[#This Row],[Measure Start Year]]&lt;(DeemedDashboard[[#This Row],[Pre Device Install Year]]+DeemedDashboard[[#This Row],[Existing Device EUL]]-1)),DeemedDashboard[[#This Row],[Measure Start Year]]-1,NA()),"")</f>
        <v/>
      </c>
      <c r="AQ26" s="327" t="str">
        <f>IFERROR(IF(DeemedDashboard[[#This Row],[MeasAppType]]=const_AR,DeemedDashboard[[#This Row],[Ext Device Install Year]]+DeemedDashboard[[#This Row],[Existing Device EUL]]-1,NA()),"")</f>
        <v/>
      </c>
      <c r="AR26" s="327" t="str">
        <f>IFERROR(IF(ISBLANK(DeemedDashboard[[#This Row],[MeasAppType]]),NA(),0),"")</f>
        <v/>
      </c>
      <c r="AS26" s="327" t="str">
        <f>IFERROR(IF(ISBLANK(DeemedDashboard[[#This Row],[MeasAppType]]),NA(),0),"")</f>
        <v/>
      </c>
      <c r="AT26" s="327" t="str">
        <f>IF(ISBLANK(DeemedDashboard[[#This Row],[MeasAppType]]),"",IF(DeemedDashboard[[#This Row],[MeasAppType]]&lt;&gt;const_AR,"",(DeemedDashboard[[#This Row],[Pre Device Install Year]]+DeemedDashboard[[#This Row],[Existing Device EUL]]-1)-DeemedDashboard[[#This Row],[Pre Device Retire-ment Year]]))</f>
        <v/>
      </c>
      <c r="AU26" s="327" t="str">
        <f>IF(ISBLANK(DeemedDashboard[[#This Row],[MeasAppType]]),"",IF(DeemedDashboard[[#This Row],[MeasAppType]]=const_AR,0,""))</f>
        <v/>
      </c>
      <c r="AV26" s="328" t="str">
        <f>IF(ISBLANK(DeemedDashboard[[#This Row],[MeasAppType]]),"",MAX((1+MIN(DeemedDashboard[[#This Row],[Msr Device Retire-ment Year]],DeemedDashboard[[#This Row],[Measure End 
Year]])-MAX(DeemedDashboard[[#This Row],[Msr Device Install Year]],DeemedDashboard[[#This Row],[Measure Start Year]])),0))</f>
        <v/>
      </c>
      <c r="AW26" s="328" t="str">
        <f>IF(ISBLANK(DeemedDashboard[[#This Row],[MeasAppType]]),"",MAX((1+MIN(DeemedDashboard[[#This Row],[Std Device Retire-ment Year]],DeemedDashboard[[#This Row],[Measure End 
Year]])-MAX(DeemedDashboard[[#This Row],[Std Device Install Year]],DeemedDashboard[[#This Row],[Measure Start Year]])),0))</f>
        <v/>
      </c>
      <c r="AX2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6"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6" s="329" t="str">
        <f>IF(ISBLANK(DeemedDashboard[[#This Row],[MeasAppType]]),"",IF(DeemedDashboard[[#This Row],[Msr Device Years Over-lapping with Measure Years]]=0,0,DeemedDashboard[[#This Row],[Msr Device Years Over-lapping with Measure Years]]/DeemedDashboard[[#This Row],[Msr EUL rounded]]))</f>
        <v/>
      </c>
      <c r="BA26" s="329" t="str">
        <f>IF(ISBLANK(DeemedDashboard[[#This Row],[MeasAppType]]),"",IF(DeemedDashboard[[#This Row],[Std Device Years Over-lapping with Measure Years]]=0,0,DeemedDashboard[[#This Row],[Std Device Years Over-lapping with Measure Years]]/DeemedDashboard[[#This Row],[Counterfactual New Device EUL]]))</f>
        <v/>
      </c>
      <c r="BB26" s="329" t="str">
        <f>IF(ISBLANK(DeemedDashboard[[#This Row],[MeasAppType]]),"",IFERROR(IF(DeemedDashboard[[#This Row],[Pre Device Years Over-lapping with Measure Years]]=0,0,DeemedDashboard[[#This Row],[Pre Device Years Over-lapping with Measure Years]]/DeemedDashboard[[#This Row],[Existing Device EUL]]),""))</f>
        <v/>
      </c>
      <c r="BC26" s="331" t="str">
        <f>IFERROR(IF(DeemedDashboard[[#This Row],[Ext Device Years Over-lapping with Measure Years]]=0,0,DeemedDashboard[[#This Row],[Ext Device Years Over-lapping with Measure Years]]/DeemedDashboard[[#This Row],[Existing Device EUL]]),"")</f>
        <v/>
      </c>
      <c r="BD26" s="329" t="str">
        <f>IFERROR(IF(DeemedDashboard[[#This Row],[Msr Number of Years device retired early]]=0,0,DeemedDashboard[[#This Row],[Msr Number of Years device retired early]]/DeemedDashboard[[#This Row],[Msr EUL rounded]]),"")</f>
        <v/>
      </c>
      <c r="BE26" s="329" t="str">
        <f>IFERROR(IF(DeemedDashboard[[#This Row],[Std Number of Years device retired early]]=0,0,DeemedDashboard[[#This Row],[Std Number of Years device retired early]]/DeemedDashboard[[#This Row],[Msr EUL rounded]]),"")</f>
        <v/>
      </c>
      <c r="BF26" s="329" t="str">
        <f>IFERROR(IF(DeemedDashboard[[#This Row],[MeasAppType]]&lt;&gt;const_AR,"",IF(DeemedDashboard[[#This Row],[Pre Number of Years device retired early]]=0,0,DeemedDashboard[[#This Row],[Pre Number of Years device retired early]]/DeemedDashboard[[#This Row],[Existing Device EUL]])),"")</f>
        <v/>
      </c>
      <c r="BG26" s="331" t="str">
        <f>IFERROR(IF(DeemedDashboard[[#This Row],[Ext Number of Years device retired early]]=0,0,DeemedDashboard[[#This Row],[Ext Number of Years device retired early]]/DeemedDashboard[[#This Row],[Existing Device EUL]]),"")</f>
        <v/>
      </c>
      <c r="BH26" s="325" t="str">
        <f>IFERROR(1-DeemedDashboard[[#This Row],[Msr annual refrigerant leakage %]]*DeemedDashboard[[#This Row],[Msr t_EOL]],"")</f>
        <v/>
      </c>
      <c r="BI26" s="325" t="str">
        <f>IFERROR(1-DeemedDashboard[[#This Row],[Std annual refrigerant leakage %]]*DeemedDashboard[[#This Row],[Std t_EOL]],"")</f>
        <v/>
      </c>
      <c r="BJ26" s="325" t="str">
        <f>IFERROR(1-DeemedDashboard[[#This Row],[Pre/Ext annual refrigerant leakage %]]*DeemedDashboard[[#This Row],[Pre/Ext t_EOL]],"")</f>
        <v/>
      </c>
      <c r="BK26" s="325" t="str">
        <f>IFERROR(1-DeemedDashboard[[#This Row],[Pre/Ext annual refrigerant leakage %]]*DeemedDashboard[[#This Row],[Pre/Ext t_EOL]],"")</f>
        <v/>
      </c>
      <c r="BL26" s="325" t="str">
        <f>IFERROR(DeemedDashboard[[#This Row],[Msr charging remaining (%)]]*DeemedDashboard[[#This Row],[Msr gross EOL refrigerant leakage %]],"")</f>
        <v/>
      </c>
      <c r="BM26" s="325" t="str">
        <f>IFERROR(DeemedDashboard[[#This Row],[Std charging remaining (%)]]*DeemedDashboard[[#This Row],[Std gross EOL refrigerant leakage %]],"")</f>
        <v/>
      </c>
      <c r="BN26" s="325" t="str">
        <f>IFERROR(DeemedDashboard[[#This Row],[Pre charging remaining (%)]]*DeemedDashboard[[#This Row],[Pre/Ext gross EOL refrigerant leakage %]],"")</f>
        <v/>
      </c>
      <c r="BO26" s="325" t="str">
        <f>IFERROR(DeemedDashboard[[#This Row],[Ext charging remaining (%)]]*DeemedDashboard[[#This Row],[Pre/Ext gross EOL refrigerant leakage %]],"")</f>
        <v/>
      </c>
      <c r="BP26" s="330" t="str">
        <f>IFERROR((DeemedDashboard[[#This Row],[Msr refrigerant charge (lb) per NormUnit]]/pounds_per_metric_ton)*DeemedDashboard[[#This Row],[Msr annual refrigerant leakage %]]*DeemedDashboard[[#This Row],[Msr GWP]],"")</f>
        <v/>
      </c>
      <c r="BQ26" s="330" t="str">
        <f>IFERROR((DeemedDashboard[[#This Row],[Std refrigerant charge (lb) per NormUnit]]/pounds_per_metric_ton)*DeemedDashboard[[#This Row],[Std annual refrigerant leakage %]]*DeemedDashboard[[#This Row],[Std GWP]],"")</f>
        <v/>
      </c>
      <c r="BR26" s="330" t="str">
        <f>IF(DeemedDashboard[[#This Row],[MeasAppType]]=const_AR,(DeemedDashboard[[#This Row],[Pre/Ext refrigerant charge (lb) per NormUnit]]/pounds_per_metric_ton)*DeemedDashboard[[#This Row],[Pre/Ext annual refrigerant leakage %]]*DeemedDashboard[[#This Row],[Pre/Ext GWP]],"")</f>
        <v/>
      </c>
      <c r="BS26" s="330" t="str">
        <f>IF(DeemedDashboard[[#This Row],[MeasAppType]]=const_AR,(DeemedDashboard[[#This Row],[Pre/Ext refrigerant charge (lb) per NormUnit]]/pounds_per_metric_ton)*DeemedDashboard[[#This Row],[Pre/Ext annual refrigerant leakage %]]*DeemedDashboard[[#This Row],[Pre/Ext GWP]],"")</f>
        <v/>
      </c>
      <c r="BT26" s="330" t="str">
        <f>IFERROR((DeemedDashboard[[#This Row],[Msr refrigerant charge (lb) per NormUnit]]/pounds_per_metric_ton)*DeemedDashboard[[#This Row],[Msr net EOL refrigerant leakage (%)]]*DeemedDashboard[[#This Row],[Msr GWP]],"")</f>
        <v/>
      </c>
      <c r="BU26" s="330" t="str">
        <f>IFERROR((DeemedDashboard[[#This Row],[Std refrigerant charge (lb) per NormUnit]]/pounds_per_metric_ton)*DeemedDashboard[[#This Row],[Std net EOL refrigerant leakage (%)]]*DeemedDashboard[[#This Row],[Std GWP]],"")</f>
        <v/>
      </c>
      <c r="BV26" s="330" t="str">
        <f>IFERROR((DeemedDashboard[[#This Row],[Pre/Ext refrigerant charge (lb) per NormUnit]]/pounds_per_metric_ton)*DeemedDashboard[[#This Row],[Pre net EOL refrigerant leakage (%)]]*DeemedDashboard[[#This Row],[Pre/Ext GWP]],"")</f>
        <v/>
      </c>
      <c r="BW26" s="330" t="str">
        <f>IFERROR((DeemedDashboard[[#This Row],[Pre/Ext refrigerant charge (lb) per NormUnit]]/pounds_per_metric_ton)*DeemedDashboard[[#This Row],[Ext net EOL refrigerant leakage (%)]]*DeemedDashboard[[#This Row],[Pre/Ext GWP]],"")</f>
        <v/>
      </c>
      <c r="BX26" s="299" t="str" cm="1">
        <f t="array" aca="1" ref="BX2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6" s="305" t="str" cm="1">
        <f t="array" aca="1" ref="BY2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6" s="299" t="str">
        <f>IFERROR(IF(OR(DeemedDashboard[[#This Row],[MeasAppType]]&lt;&gt;const_AR,ISBLANK(DeemedDashboard[[#This Row],[MeasAppType]])),NA(),0),"")</f>
        <v/>
      </c>
      <c r="CA26" s="305" t="str" cm="1">
        <f t="array" aca="1" ref="CA2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6" s="296" t="str">
        <f ca="1">IFERROR((DeemedDashboard[[#This Row],[Msr EOL leakage tons CO2e]]*OFFSET(GHG_Adder_dollar_per_tonne,0,(DeemedDashboard[[#This Row],[Msr Device Retire-ment Year]]-DY+1),1,1))/(1+WACC)^(DeemedDashboard[[#This Row],[Msr Device Retire-ment Year]]-DeemedDashboard[[#This Row],[Measure Start Year]]+0.5),"")</f>
        <v/>
      </c>
      <c r="CC26" s="296" t="str">
        <f ca="1">IFERROR((DeemedDashboard[[#This Row],[Std EOL leakage tons CO2e]]*OFFSET(GHG_Adder_dollar_per_tonne,0,(DeemedDashboard[[#This Row],[Std Device Retire-ment Year]]-DY+1),1,1))/(1+WACC)^(DeemedDashboard[[#This Row],[Std Device Retire-ment Year]]-DeemedDashboard[[#This Row],[Measure Start Year]]+0.5),"")</f>
        <v/>
      </c>
      <c r="CD26" s="296" t="str">
        <f ca="1">IFERROR((DeemedDashboard[[#This Row],[Pre EOL leakage tons CO2e]]*OFFSET(GHG_Adder_dollar_per_tonne,0,(DeemedDashboard[[#This Row],[Measure Start Year]]-DY),1,1))/(1+WACC)^(-0.5),"")</f>
        <v/>
      </c>
      <c r="CE2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6" s="296" t="str">
        <f ca="1">IFERROR(DeemedDashboard[[#This Row],[Msr NPV Cost of Annual Leakage]]/(1+ACC_Inflation_Rate)^(DeemedDashboard[[#This Row],[Measure Start Year]]-DY),"")</f>
        <v/>
      </c>
      <c r="CG26" s="296" t="str">
        <f ca="1">IFERROR(DeemedDashboard[[#This Row],[Std NPV Cost of Annual Leakage]]/(1+ACC_Inflation_Rate)^(DeemedDashboard[[#This Row],[Measure Start Year]]-DY),"")</f>
        <v/>
      </c>
      <c r="CH26" s="296" t="str">
        <f>IFERROR(IF(ISBLANK(DeemedDashboard[[#This Row],[MeasAppType]]),NA(),IF(DeemedDashboard[[#This Row],[MeasAppType]]=const_AR,DeemedDashboard[[#This Row],[Pre NPV Cost of Annual Leakage]]/(1+ACC_Inflation_Rate)^(DeemedDashboard[[#This Row],[Measure Start Year]]-DY),"")),"")</f>
        <v/>
      </c>
      <c r="CI26" s="296" t="str">
        <f>IFERROR(IF(ISBLANK(DeemedDashboard[[#This Row],[MeasAppType]]),NA(),IF(DeemedDashboard[[#This Row],[MeasAppType]]=const_AR,DeemedDashboard[[#This Row],[Ext NPV Cost of Annual Leakage]]/(1+ACC_Inflation_Rate)^(DeemedDashboard[[#This Row],[Measure Start Year]]-DY),"")),"")</f>
        <v/>
      </c>
      <c r="CJ26" s="296" t="str">
        <f ca="1">IFERROR((DeemedDashboard[[#This Row],[Msr % of device lifetime during measure years]]+DeemedDashboard[[#This Row],[Msr % of device lifetime retired early]])*DeemedDashboard[[#This Row],[Msr NPV Cost of EOL Leakage]]/(1+ACC_Inflation_Rate)^(DeemedDashboard[[#This Row],[Measure Start Year]]-DY),"")</f>
        <v/>
      </c>
      <c r="CK26" s="296" t="str">
        <f ca="1">IFERROR((DeemedDashboard[[#This Row],[Std % of device lifetime during measure years]]+DeemedDashboard[[#This Row],[Std % of device lifetime retired early]])*DeemedDashboard[[#This Row],[Std NPV Cost of EOL Leakage]]/(1+ACC_Inflation_Rate)^(DeemedDashboard[[#This Row],[Measure Start Year]]-DY),"")</f>
        <v/>
      </c>
      <c r="CL2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6" s="299" t="str">
        <f ca="1">IFERROR(DeemedDashboard[[#This Row],[Counter-factual total 
NPV cost]]-DeemedDashboard[[#This Row],[Measure total 
NPV cost]],"")</f>
        <v/>
      </c>
      <c r="CQ26" s="299" t="str">
        <f>IF(ISBLANK(DeemedDashboard[[#This Row],[MeasAppType]]),"",DeemedDashboard[[#This Row],[Refrigerant
NPV costs
avoided]]&gt;0)</f>
        <v/>
      </c>
      <c r="CR26" s="299" t="str">
        <f ca="1">IFERROR(DeemedDashboard[[#This Row],[Msr Adj NPV Cost of Annual Leakage]]+DeemedDashboard[[#This Row],[Msr Adj NPV Cost of EOL Leakage]],"")</f>
        <v/>
      </c>
      <c r="CS26" s="299" t="str">
        <f ca="1">IFERROR(DeemedDashboard[[#This Row],[Std Adj NPV Cost of Annual Leakage]]+DeemedDashboard[[#This Row],[Std Adj NPV Cost of EOL Leakage]],"")</f>
        <v/>
      </c>
      <c r="CT26" s="299" t="str">
        <f>IFERROR(IF((DeemedDashboard[[#This Row],[Pre Adj NPV Cost of Annual Leakage]]+DeemedDashboard[[#This Row],[Pre Adj NPV Cost of EOL Leakage]])=0,"",DeemedDashboard[[#This Row],[Pre Adj NPV Cost of Annual Leakage]]+DeemedDashboard[[#This Row],[Pre Adj NPV Cost of EOL Leakage]]),"")</f>
        <v/>
      </c>
      <c r="CU26" s="299" t="str">
        <f>IFERROR(IF((DeemedDashboard[[#This Row],[Ext Adj NPV Cost of Annual Leakage]]+DeemedDashboard[[#This Row],[Ext Adj NPV Cost of EOL Leakage]])=0,"",DeemedDashboard[[#This Row],[Ext Adj NPV Cost of Annual Leakage]]+DeemedDashboard[[#This Row],[Ext Adj NPV Cost of EOL Leakage]]),"")</f>
        <v/>
      </c>
      <c r="CV26" s="299" t="str">
        <f>IFERROR(IF(DeemedDashboard[[#This Row],[Is Avoided Net Cost &gt;0?]],"",-DeemedDashboard[[#This Row],[Refrigerant
NPV costs
avoided]]),"")</f>
        <v/>
      </c>
      <c r="CW26" s="299" t="str">
        <f>IFERROR(IF(DeemedDashboard[[#This Row],[Is Avoided Net Cost &gt;0?]],DeemedDashboard[[#This Row],[Refrigerant
NPV costs
avoided]],""),"")</f>
        <v/>
      </c>
      <c r="CX26" s="391">
        <f ca="1">IFERROR(MATCH(DeemedDashboard[[#This Row],[TechGroup and NormUnit]],TechGroup_and_NormUnit,0),1)</f>
        <v>1</v>
      </c>
      <c r="CY26" s="391" cm="1">
        <f t="array" aca="1" ref="CY26" ca="1">IFERROR(INDEX(TGRows,DeemedDashboard[[#This Row],[TGIndex]]),"")</f>
        <v>2</v>
      </c>
      <c r="CZ26" s="391">
        <f ca="1">IF(DeemedDashboard[[#This Row],[MeasAppType]]=const_AR,DeemedDashboard[[#This Row],[TGRows]],DeemedDashboard[[#This Row],[TGRows]]+1)</f>
        <v>3</v>
      </c>
      <c r="DA26" s="391" t="str">
        <f>IF(ISBLANK(DeemedDashboard[[#This Row],[MeasAppType]]),"",IF(DeemedDashboard[[#This Row],[Index]]=User_Specified_Refrigerant[[#This Row],[Index]],"OK","ERROR"))</f>
        <v/>
      </c>
    </row>
    <row r="27" spans="1:105" s="320" customFormat="1" x14ac:dyDescent="0.25">
      <c r="A27" s="297">
        <f>ROW(DeemedDashboard[[#This Row],[Index]])-ROW(DeemedDashboard[[#Headers],[Index]])</f>
        <v>18</v>
      </c>
      <c r="B27" s="298"/>
      <c r="C27" s="321"/>
      <c r="D27" s="403"/>
      <c r="E27" s="403"/>
      <c r="F27" s="403"/>
      <c r="G27" s="403"/>
      <c r="H27" s="365"/>
      <c r="I27" s="339"/>
      <c r="J27" s="339"/>
      <c r="K27" s="339"/>
      <c r="L27" s="322"/>
      <c r="M27" s="322"/>
      <c r="N27" s="322"/>
      <c r="O2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7" s="582" t="str" cm="1">
        <f t="array" ref="R27">IFERROR(IF(DeemedDashboard[[#This Row],[Msr device type]]=const_device_nonrefrig,0,INDEX(_xlfn.SWITCH($E$4,const_20_yr,GWP_Values_20_year_AR4,const_100_yr,GWP_Values_100_year_AR4),MATCH(DeemedDashboard[[#This Row],[Msr refrigerant Type]],RefrigDropdownList,0))),"")</f>
        <v/>
      </c>
      <c r="S27" s="582" t="str" cm="1">
        <f t="array" ref="S27">IFERROR(IF(DeemedDashboard[[#This Row],[Std device type]]=const_device_nonrefrig,0,INDEX(_xlfn.SWITCH($E$4,const_20_yr,GWP_Values_20_year_AR4,const_100_yr,GWP_Values_100_year_AR4),MATCH(DeemedDashboard[[#This Row],[Std refrigerant Type]],RefrigDropdownList,0))),"")</f>
        <v/>
      </c>
      <c r="T27" s="582" t="str" cm="1">
        <f t="array" ref="T27">IFERROR(IF(DeemedDashboard[[#This Row],[Pre/Ext device type]]=const_device_nonrefrig,0,INDEX(_xlfn.SWITCH($E$4,const_20_yr,GWP_Values_20_year_AR4,const_100_yr,GWP_Values_100_year_AR4),MATCH(DeemedDashboard[[#This Row],[Pre/Ext refrigerant Type]],RefrigDropdownList,0))),"")</f>
        <v/>
      </c>
      <c r="U2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7" s="326" t="str">
        <f>IFERROR(IF(DeemedDashboard[[#This Row],[Msr device type]]=const_userspec,IF(ISBLANK(User_Specified_Refrigerant[[#This Row],[Msr t_EOL]]),"",User_Specified_Refrigerant[[#This Row],[Msr t_EOL]]),INDEX(TechGroup_NormUnit_Table[t_EOL],MATCH(DeemedDashboard[[#This Row],[Msr device type]],DropdownRefrigTech,0))),"")</f>
        <v/>
      </c>
      <c r="AB27" s="326" t="str">
        <f>IFERROR(IF(DeemedDashboard[[#This Row],[Std device type]]=const_userspec,IF(ISBLANK(User_Specified_Refrigerant[[#This Row],[Std t_EOL]]),"",User_Specified_Refrigerant[[#This Row],[Std t_EOL]]),INDEX(TechGroup_NormUnit_Table[t_EOL],MATCH(DeemedDashboard[[#This Row],[Std device type]],DropdownRefrigTech,0))),"")</f>
        <v/>
      </c>
      <c r="AC2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7" s="395" t="str">
        <f>IF(ISBLANK(DeemedDashboard[[#This Row],[MeasAppType]]),"",$E$2)</f>
        <v/>
      </c>
      <c r="AE27" s="395" t="str">
        <f>IFERROR(IF(ISBLANK(DeemedDashboard[[#This Row],[MeasAppType]]),NA(),DeemedDashboard[[#This Row],[Measure Start Year]]+DeemedDashboard[[#This Row],[Msr EUL rounded]]-1),"")</f>
        <v/>
      </c>
      <c r="AF27" s="323" t="str">
        <f>IF(ISBLANK(DeemedDashboard[[#This Row],[Measure New Device EUL]]),"",ROUND(DeemedDashboard[[#This Row],[Measure New Device EUL]],0))</f>
        <v/>
      </c>
      <c r="AG27" s="323" t="str">
        <f>IF(ISBLANK(DeemedDashboard[[#This Row],[Counterfactual New Device EUL]]),"",ROUND(DeemedDashboard[[#This Row],[Counterfactual New Device EUL]],0))</f>
        <v/>
      </c>
      <c r="AH27" s="323" t="str">
        <f>IF(ISBLANK(DeemedDashboard[[#This Row],[Existing Device EUL]]),"",ROUND(DeemedDashboard[[#This Row],[Existing Device EUL]],0))</f>
        <v/>
      </c>
      <c r="AI27" s="323" t="str">
        <f>IF(ISBLANK(DeemedDashboard[[#This Row],[Existing Device RUL or AR First Baseline Life]]),"",ROUND(DeemedDashboard[[#This Row],[Existing Device RUL or AR First Baseline Life]],0))</f>
        <v/>
      </c>
      <c r="AJ27" s="327" t="str">
        <f>DeemedDashboard[[#This Row],[Measure Start Year]]</f>
        <v/>
      </c>
      <c r="AK27" s="327" t="str">
        <f>IF(DeemedDashboard[[#This Row],[MeasAppType]]&lt;&gt;const_AR,DeemedDashboard[[#This Row],[Measure Start Year]],DeemedDashboard[[#This Row],[Ext Device Retire-ment Year]]+1)</f>
        <v/>
      </c>
      <c r="AL27" s="327" t="str">
        <f>IFERROR(IF(DeemedDashboard[[#This Row],[MeasAppType]]=const_AR,DeemedDashboard[[#This Row],[Measure Start Year]]-(DeemedDashboard[[#This Row],[Existing Device EUL]]-DeemedDashboard[[#This Row],[Existing Device RUL or AR First Baseline Life]]),NA()),"")</f>
        <v/>
      </c>
      <c r="AM27" s="327" t="str">
        <f>DeemedDashboard[[#This Row],[Pre Device Install Year]]</f>
        <v/>
      </c>
      <c r="AN27" s="327" t="str">
        <f>IFERROR(IF(ISBLANK(DeemedDashboard[[#This Row],[MeasAppType]]),NA(),DeemedDashboard[[#This Row],[Measure Start Year]]+DeemedDashboard[[#This Row],[Msr EUL rounded]]-1),"")</f>
        <v/>
      </c>
      <c r="AO27" s="327" t="str">
        <f>IFERROR(DeemedDashboard[[#This Row],[Std Device Install Year]]+DeemedDashboard[[#This Row],[Counterfactual New Device EUL]]-1,"")</f>
        <v/>
      </c>
      <c r="AP27" s="327" t="str">
        <f>IFERROR(IF(AND(DeemedDashboard[[#This Row],[MeasAppType]]=const_AR,DeemedDashboard[[#This Row],[Measure Start Year]]&lt;(DeemedDashboard[[#This Row],[Pre Device Install Year]]+DeemedDashboard[[#This Row],[Existing Device EUL]]-1)),DeemedDashboard[[#This Row],[Measure Start Year]]-1,NA()),"")</f>
        <v/>
      </c>
      <c r="AQ27" s="327" t="str">
        <f>IFERROR(IF(DeemedDashboard[[#This Row],[MeasAppType]]=const_AR,DeemedDashboard[[#This Row],[Ext Device Install Year]]+DeemedDashboard[[#This Row],[Existing Device EUL]]-1,NA()),"")</f>
        <v/>
      </c>
      <c r="AR27" s="327" t="str">
        <f>IFERROR(IF(ISBLANK(DeemedDashboard[[#This Row],[MeasAppType]]),NA(),0),"")</f>
        <v/>
      </c>
      <c r="AS27" s="327" t="str">
        <f>IFERROR(IF(ISBLANK(DeemedDashboard[[#This Row],[MeasAppType]]),NA(),0),"")</f>
        <v/>
      </c>
      <c r="AT27" s="327" t="str">
        <f>IF(ISBLANK(DeemedDashboard[[#This Row],[MeasAppType]]),"",IF(DeemedDashboard[[#This Row],[MeasAppType]]&lt;&gt;const_AR,"",(DeemedDashboard[[#This Row],[Pre Device Install Year]]+DeemedDashboard[[#This Row],[Existing Device EUL]]-1)-DeemedDashboard[[#This Row],[Pre Device Retire-ment Year]]))</f>
        <v/>
      </c>
      <c r="AU27" s="327" t="str">
        <f>IF(ISBLANK(DeemedDashboard[[#This Row],[MeasAppType]]),"",IF(DeemedDashboard[[#This Row],[MeasAppType]]=const_AR,0,""))</f>
        <v/>
      </c>
      <c r="AV27" s="328" t="str">
        <f>IF(ISBLANK(DeemedDashboard[[#This Row],[MeasAppType]]),"",MAX((1+MIN(DeemedDashboard[[#This Row],[Msr Device Retire-ment Year]],DeemedDashboard[[#This Row],[Measure End 
Year]])-MAX(DeemedDashboard[[#This Row],[Msr Device Install Year]],DeemedDashboard[[#This Row],[Measure Start Year]])),0))</f>
        <v/>
      </c>
      <c r="AW27" s="328" t="str">
        <f>IF(ISBLANK(DeemedDashboard[[#This Row],[MeasAppType]]),"",MAX((1+MIN(DeemedDashboard[[#This Row],[Std Device Retire-ment Year]],DeemedDashboard[[#This Row],[Measure End 
Year]])-MAX(DeemedDashboard[[#This Row],[Std Device Install Year]],DeemedDashboard[[#This Row],[Measure Start Year]])),0))</f>
        <v/>
      </c>
      <c r="AX2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7"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7" s="329" t="str">
        <f>IF(ISBLANK(DeemedDashboard[[#This Row],[MeasAppType]]),"",IF(DeemedDashboard[[#This Row],[Msr Device Years Over-lapping with Measure Years]]=0,0,DeemedDashboard[[#This Row],[Msr Device Years Over-lapping with Measure Years]]/DeemedDashboard[[#This Row],[Msr EUL rounded]]))</f>
        <v/>
      </c>
      <c r="BA27" s="329" t="str">
        <f>IF(ISBLANK(DeemedDashboard[[#This Row],[MeasAppType]]),"",IF(DeemedDashboard[[#This Row],[Std Device Years Over-lapping with Measure Years]]=0,0,DeemedDashboard[[#This Row],[Std Device Years Over-lapping with Measure Years]]/DeemedDashboard[[#This Row],[Counterfactual New Device EUL]]))</f>
        <v/>
      </c>
      <c r="BB27" s="329" t="str">
        <f>IF(ISBLANK(DeemedDashboard[[#This Row],[MeasAppType]]),"",IFERROR(IF(DeemedDashboard[[#This Row],[Pre Device Years Over-lapping with Measure Years]]=0,0,DeemedDashboard[[#This Row],[Pre Device Years Over-lapping with Measure Years]]/DeemedDashboard[[#This Row],[Existing Device EUL]]),""))</f>
        <v/>
      </c>
      <c r="BC27" s="331" t="str">
        <f>IFERROR(IF(DeemedDashboard[[#This Row],[Ext Device Years Over-lapping with Measure Years]]=0,0,DeemedDashboard[[#This Row],[Ext Device Years Over-lapping with Measure Years]]/DeemedDashboard[[#This Row],[Existing Device EUL]]),"")</f>
        <v/>
      </c>
      <c r="BD27" s="329" t="str">
        <f>IFERROR(IF(DeemedDashboard[[#This Row],[Msr Number of Years device retired early]]=0,0,DeemedDashboard[[#This Row],[Msr Number of Years device retired early]]/DeemedDashboard[[#This Row],[Msr EUL rounded]]),"")</f>
        <v/>
      </c>
      <c r="BE27" s="329" t="str">
        <f>IFERROR(IF(DeemedDashboard[[#This Row],[Std Number of Years device retired early]]=0,0,DeemedDashboard[[#This Row],[Std Number of Years device retired early]]/DeemedDashboard[[#This Row],[Msr EUL rounded]]),"")</f>
        <v/>
      </c>
      <c r="BF27" s="329" t="str">
        <f>IFERROR(IF(DeemedDashboard[[#This Row],[MeasAppType]]&lt;&gt;const_AR,"",IF(DeemedDashboard[[#This Row],[Pre Number of Years device retired early]]=0,0,DeemedDashboard[[#This Row],[Pre Number of Years device retired early]]/DeemedDashboard[[#This Row],[Existing Device EUL]])),"")</f>
        <v/>
      </c>
      <c r="BG27" s="331" t="str">
        <f>IFERROR(IF(DeemedDashboard[[#This Row],[Ext Number of Years device retired early]]=0,0,DeemedDashboard[[#This Row],[Ext Number of Years device retired early]]/DeemedDashboard[[#This Row],[Existing Device EUL]]),"")</f>
        <v/>
      </c>
      <c r="BH27" s="325" t="str">
        <f>IFERROR(1-DeemedDashboard[[#This Row],[Msr annual refrigerant leakage %]]*DeemedDashboard[[#This Row],[Msr t_EOL]],"")</f>
        <v/>
      </c>
      <c r="BI27" s="325" t="str">
        <f>IFERROR(1-DeemedDashboard[[#This Row],[Std annual refrigerant leakage %]]*DeemedDashboard[[#This Row],[Std t_EOL]],"")</f>
        <v/>
      </c>
      <c r="BJ27" s="325" t="str">
        <f>IFERROR(1-DeemedDashboard[[#This Row],[Pre/Ext annual refrigerant leakage %]]*DeemedDashboard[[#This Row],[Pre/Ext t_EOL]],"")</f>
        <v/>
      </c>
      <c r="BK27" s="325" t="str">
        <f>IFERROR(1-DeemedDashboard[[#This Row],[Pre/Ext annual refrigerant leakage %]]*DeemedDashboard[[#This Row],[Pre/Ext t_EOL]],"")</f>
        <v/>
      </c>
      <c r="BL27" s="325" t="str">
        <f>IFERROR(DeemedDashboard[[#This Row],[Msr charging remaining (%)]]*DeemedDashboard[[#This Row],[Msr gross EOL refrigerant leakage %]],"")</f>
        <v/>
      </c>
      <c r="BM27" s="325" t="str">
        <f>IFERROR(DeemedDashboard[[#This Row],[Std charging remaining (%)]]*DeemedDashboard[[#This Row],[Std gross EOL refrigerant leakage %]],"")</f>
        <v/>
      </c>
      <c r="BN27" s="325" t="str">
        <f>IFERROR(DeemedDashboard[[#This Row],[Pre charging remaining (%)]]*DeemedDashboard[[#This Row],[Pre/Ext gross EOL refrigerant leakage %]],"")</f>
        <v/>
      </c>
      <c r="BO27" s="325" t="str">
        <f>IFERROR(DeemedDashboard[[#This Row],[Ext charging remaining (%)]]*DeemedDashboard[[#This Row],[Pre/Ext gross EOL refrigerant leakage %]],"")</f>
        <v/>
      </c>
      <c r="BP27" s="330" t="str">
        <f>IFERROR((DeemedDashboard[[#This Row],[Msr refrigerant charge (lb) per NormUnit]]/pounds_per_metric_ton)*DeemedDashboard[[#This Row],[Msr annual refrigerant leakage %]]*DeemedDashboard[[#This Row],[Msr GWP]],"")</f>
        <v/>
      </c>
      <c r="BQ27" s="330" t="str">
        <f>IFERROR((DeemedDashboard[[#This Row],[Std refrigerant charge (lb) per NormUnit]]/pounds_per_metric_ton)*DeemedDashboard[[#This Row],[Std annual refrigerant leakage %]]*DeemedDashboard[[#This Row],[Std GWP]],"")</f>
        <v/>
      </c>
      <c r="BR27" s="330" t="str">
        <f>IF(DeemedDashboard[[#This Row],[MeasAppType]]=const_AR,(DeemedDashboard[[#This Row],[Pre/Ext refrigerant charge (lb) per NormUnit]]/pounds_per_metric_ton)*DeemedDashboard[[#This Row],[Pre/Ext annual refrigerant leakage %]]*DeemedDashboard[[#This Row],[Pre/Ext GWP]],"")</f>
        <v/>
      </c>
      <c r="BS27" s="330" t="str">
        <f>IF(DeemedDashboard[[#This Row],[MeasAppType]]=const_AR,(DeemedDashboard[[#This Row],[Pre/Ext refrigerant charge (lb) per NormUnit]]/pounds_per_metric_ton)*DeemedDashboard[[#This Row],[Pre/Ext annual refrigerant leakage %]]*DeemedDashboard[[#This Row],[Pre/Ext GWP]],"")</f>
        <v/>
      </c>
      <c r="BT27" s="330" t="str">
        <f>IFERROR((DeemedDashboard[[#This Row],[Msr refrigerant charge (lb) per NormUnit]]/pounds_per_metric_ton)*DeemedDashboard[[#This Row],[Msr net EOL refrigerant leakage (%)]]*DeemedDashboard[[#This Row],[Msr GWP]],"")</f>
        <v/>
      </c>
      <c r="BU27" s="330" t="str">
        <f>IFERROR((DeemedDashboard[[#This Row],[Std refrigerant charge (lb) per NormUnit]]/pounds_per_metric_ton)*DeemedDashboard[[#This Row],[Std net EOL refrigerant leakage (%)]]*DeemedDashboard[[#This Row],[Std GWP]],"")</f>
        <v/>
      </c>
      <c r="BV27" s="330" t="str">
        <f>IFERROR((DeemedDashboard[[#This Row],[Pre/Ext refrigerant charge (lb) per NormUnit]]/pounds_per_metric_ton)*DeemedDashboard[[#This Row],[Pre net EOL refrigerant leakage (%)]]*DeemedDashboard[[#This Row],[Pre/Ext GWP]],"")</f>
        <v/>
      </c>
      <c r="BW27" s="330" t="str">
        <f>IFERROR((DeemedDashboard[[#This Row],[Pre/Ext refrigerant charge (lb) per NormUnit]]/pounds_per_metric_ton)*DeemedDashboard[[#This Row],[Ext net EOL refrigerant leakage (%)]]*DeemedDashboard[[#This Row],[Pre/Ext GWP]],"")</f>
        <v/>
      </c>
      <c r="BX27" s="299" t="str" cm="1">
        <f t="array" aca="1" ref="BX2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7" s="305" t="str" cm="1">
        <f t="array" aca="1" ref="BY2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7" s="299" t="str">
        <f>IFERROR(IF(OR(DeemedDashboard[[#This Row],[MeasAppType]]&lt;&gt;const_AR,ISBLANK(DeemedDashboard[[#This Row],[MeasAppType]])),NA(),0),"")</f>
        <v/>
      </c>
      <c r="CA27" s="305" t="str" cm="1">
        <f t="array" aca="1" ref="CA2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7" s="296" t="str">
        <f ca="1">IFERROR((DeemedDashboard[[#This Row],[Msr EOL leakage tons CO2e]]*OFFSET(GHG_Adder_dollar_per_tonne,0,(DeemedDashboard[[#This Row],[Msr Device Retire-ment Year]]-DY+1),1,1))/(1+WACC)^(DeemedDashboard[[#This Row],[Msr Device Retire-ment Year]]-DeemedDashboard[[#This Row],[Measure Start Year]]+0.5),"")</f>
        <v/>
      </c>
      <c r="CC27" s="296" t="str">
        <f ca="1">IFERROR((DeemedDashboard[[#This Row],[Std EOL leakage tons CO2e]]*OFFSET(GHG_Adder_dollar_per_tonne,0,(DeemedDashboard[[#This Row],[Std Device Retire-ment Year]]-DY+1),1,1))/(1+WACC)^(DeemedDashboard[[#This Row],[Std Device Retire-ment Year]]-DeemedDashboard[[#This Row],[Measure Start Year]]+0.5),"")</f>
        <v/>
      </c>
      <c r="CD27" s="296" t="str">
        <f ca="1">IFERROR((DeemedDashboard[[#This Row],[Pre EOL leakage tons CO2e]]*OFFSET(GHG_Adder_dollar_per_tonne,0,(DeemedDashboard[[#This Row],[Measure Start Year]]-DY),1,1))/(1+WACC)^(-0.5),"")</f>
        <v/>
      </c>
      <c r="CE2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7" s="296" t="str">
        <f ca="1">IFERROR(DeemedDashboard[[#This Row],[Msr NPV Cost of Annual Leakage]]/(1+ACC_Inflation_Rate)^(DeemedDashboard[[#This Row],[Measure Start Year]]-DY),"")</f>
        <v/>
      </c>
      <c r="CG27" s="296" t="str">
        <f ca="1">IFERROR(DeemedDashboard[[#This Row],[Std NPV Cost of Annual Leakage]]/(1+ACC_Inflation_Rate)^(DeemedDashboard[[#This Row],[Measure Start Year]]-DY),"")</f>
        <v/>
      </c>
      <c r="CH27" s="296" t="str">
        <f>IFERROR(IF(ISBLANK(DeemedDashboard[[#This Row],[MeasAppType]]),NA(),IF(DeemedDashboard[[#This Row],[MeasAppType]]=const_AR,DeemedDashboard[[#This Row],[Pre NPV Cost of Annual Leakage]]/(1+ACC_Inflation_Rate)^(DeemedDashboard[[#This Row],[Measure Start Year]]-DY),"")),"")</f>
        <v/>
      </c>
      <c r="CI27" s="296" t="str">
        <f>IFERROR(IF(ISBLANK(DeemedDashboard[[#This Row],[MeasAppType]]),NA(),IF(DeemedDashboard[[#This Row],[MeasAppType]]=const_AR,DeemedDashboard[[#This Row],[Ext NPV Cost of Annual Leakage]]/(1+ACC_Inflation_Rate)^(DeemedDashboard[[#This Row],[Measure Start Year]]-DY),"")),"")</f>
        <v/>
      </c>
      <c r="CJ27" s="296" t="str">
        <f ca="1">IFERROR((DeemedDashboard[[#This Row],[Msr % of device lifetime during measure years]]+DeemedDashboard[[#This Row],[Msr % of device lifetime retired early]])*DeemedDashboard[[#This Row],[Msr NPV Cost of EOL Leakage]]/(1+ACC_Inflation_Rate)^(DeemedDashboard[[#This Row],[Measure Start Year]]-DY),"")</f>
        <v/>
      </c>
      <c r="CK27" s="296" t="str">
        <f ca="1">IFERROR((DeemedDashboard[[#This Row],[Std % of device lifetime during measure years]]+DeemedDashboard[[#This Row],[Std % of device lifetime retired early]])*DeemedDashboard[[#This Row],[Std NPV Cost of EOL Leakage]]/(1+ACC_Inflation_Rate)^(DeemedDashboard[[#This Row],[Measure Start Year]]-DY),"")</f>
        <v/>
      </c>
      <c r="CL2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7" s="299" t="str">
        <f ca="1">IFERROR(DeemedDashboard[[#This Row],[Counter-factual total 
NPV cost]]-DeemedDashboard[[#This Row],[Measure total 
NPV cost]],"")</f>
        <v/>
      </c>
      <c r="CQ27" s="299" t="str">
        <f>IF(ISBLANK(DeemedDashboard[[#This Row],[MeasAppType]]),"",DeemedDashboard[[#This Row],[Refrigerant
NPV costs
avoided]]&gt;0)</f>
        <v/>
      </c>
      <c r="CR27" s="299" t="str">
        <f ca="1">IFERROR(DeemedDashboard[[#This Row],[Msr Adj NPV Cost of Annual Leakage]]+DeemedDashboard[[#This Row],[Msr Adj NPV Cost of EOL Leakage]],"")</f>
        <v/>
      </c>
      <c r="CS27" s="299" t="str">
        <f ca="1">IFERROR(DeemedDashboard[[#This Row],[Std Adj NPV Cost of Annual Leakage]]+DeemedDashboard[[#This Row],[Std Adj NPV Cost of EOL Leakage]],"")</f>
        <v/>
      </c>
      <c r="CT27" s="299" t="str">
        <f>IFERROR(IF((DeemedDashboard[[#This Row],[Pre Adj NPV Cost of Annual Leakage]]+DeemedDashboard[[#This Row],[Pre Adj NPV Cost of EOL Leakage]])=0,"",DeemedDashboard[[#This Row],[Pre Adj NPV Cost of Annual Leakage]]+DeemedDashboard[[#This Row],[Pre Adj NPV Cost of EOL Leakage]]),"")</f>
        <v/>
      </c>
      <c r="CU27" s="299" t="str">
        <f>IFERROR(IF((DeemedDashboard[[#This Row],[Ext Adj NPV Cost of Annual Leakage]]+DeemedDashboard[[#This Row],[Ext Adj NPV Cost of EOL Leakage]])=0,"",DeemedDashboard[[#This Row],[Ext Adj NPV Cost of Annual Leakage]]+DeemedDashboard[[#This Row],[Ext Adj NPV Cost of EOL Leakage]]),"")</f>
        <v/>
      </c>
      <c r="CV27" s="299" t="str">
        <f>IFERROR(IF(DeemedDashboard[[#This Row],[Is Avoided Net Cost &gt;0?]],"",-DeemedDashboard[[#This Row],[Refrigerant
NPV costs
avoided]]),"")</f>
        <v/>
      </c>
      <c r="CW27" s="299" t="str">
        <f>IFERROR(IF(DeemedDashboard[[#This Row],[Is Avoided Net Cost &gt;0?]],DeemedDashboard[[#This Row],[Refrigerant
NPV costs
avoided]],""),"")</f>
        <v/>
      </c>
      <c r="CX27" s="391">
        <f ca="1">IFERROR(MATCH(DeemedDashboard[[#This Row],[TechGroup and NormUnit]],TechGroup_and_NormUnit,0),1)</f>
        <v>1</v>
      </c>
      <c r="CY27" s="391" cm="1">
        <f t="array" aca="1" ref="CY27" ca="1">IFERROR(INDEX(TGRows,DeemedDashboard[[#This Row],[TGIndex]]),"")</f>
        <v>2</v>
      </c>
      <c r="CZ27" s="391">
        <f ca="1">IF(DeemedDashboard[[#This Row],[MeasAppType]]=const_AR,DeemedDashboard[[#This Row],[TGRows]],DeemedDashboard[[#This Row],[TGRows]]+1)</f>
        <v>3</v>
      </c>
      <c r="DA27" s="391" t="str">
        <f>IF(ISBLANK(DeemedDashboard[[#This Row],[MeasAppType]]),"",IF(DeemedDashboard[[#This Row],[Index]]=User_Specified_Refrigerant[[#This Row],[Index]],"OK","ERROR"))</f>
        <v/>
      </c>
    </row>
    <row r="28" spans="1:105" s="320" customFormat="1" x14ac:dyDescent="0.25">
      <c r="A28" s="297">
        <f>ROW(DeemedDashboard[[#This Row],[Index]])-ROW(DeemedDashboard[[#Headers],[Index]])</f>
        <v>19</v>
      </c>
      <c r="B28" s="298"/>
      <c r="C28" s="321"/>
      <c r="D28" s="403"/>
      <c r="E28" s="403"/>
      <c r="F28" s="403"/>
      <c r="G28" s="403"/>
      <c r="H28" s="365"/>
      <c r="I28" s="339"/>
      <c r="J28" s="339"/>
      <c r="K28" s="339"/>
      <c r="L28" s="322"/>
      <c r="M28" s="322"/>
      <c r="N28" s="322"/>
      <c r="O2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8" s="582" t="str" cm="1">
        <f t="array" ref="R28">IFERROR(IF(DeemedDashboard[[#This Row],[Msr device type]]=const_device_nonrefrig,0,INDEX(_xlfn.SWITCH($E$4,const_20_yr,GWP_Values_20_year_AR4,const_100_yr,GWP_Values_100_year_AR4),MATCH(DeemedDashboard[[#This Row],[Msr refrigerant Type]],RefrigDropdownList,0))),"")</f>
        <v/>
      </c>
      <c r="S28" s="582" t="str" cm="1">
        <f t="array" ref="S28">IFERROR(IF(DeemedDashboard[[#This Row],[Std device type]]=const_device_nonrefrig,0,INDEX(_xlfn.SWITCH($E$4,const_20_yr,GWP_Values_20_year_AR4,const_100_yr,GWP_Values_100_year_AR4),MATCH(DeemedDashboard[[#This Row],[Std refrigerant Type]],RefrigDropdownList,0))),"")</f>
        <v/>
      </c>
      <c r="T28" s="582" t="str" cm="1">
        <f t="array" ref="T28">IFERROR(IF(DeemedDashboard[[#This Row],[Pre/Ext device type]]=const_device_nonrefrig,0,INDEX(_xlfn.SWITCH($E$4,const_20_yr,GWP_Values_20_year_AR4,const_100_yr,GWP_Values_100_year_AR4),MATCH(DeemedDashboard[[#This Row],[Pre/Ext refrigerant Type]],RefrigDropdownList,0))),"")</f>
        <v/>
      </c>
      <c r="U2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8" s="326" t="str">
        <f>IFERROR(IF(DeemedDashboard[[#This Row],[Msr device type]]=const_userspec,IF(ISBLANK(User_Specified_Refrigerant[[#This Row],[Msr t_EOL]]),"",User_Specified_Refrigerant[[#This Row],[Msr t_EOL]]),INDEX(TechGroup_NormUnit_Table[t_EOL],MATCH(DeemedDashboard[[#This Row],[Msr device type]],DropdownRefrigTech,0))),"")</f>
        <v/>
      </c>
      <c r="AB28" s="326" t="str">
        <f>IFERROR(IF(DeemedDashboard[[#This Row],[Std device type]]=const_userspec,IF(ISBLANK(User_Specified_Refrigerant[[#This Row],[Std t_EOL]]),"",User_Specified_Refrigerant[[#This Row],[Std t_EOL]]),INDEX(TechGroup_NormUnit_Table[t_EOL],MATCH(DeemedDashboard[[#This Row],[Std device type]],DropdownRefrigTech,0))),"")</f>
        <v/>
      </c>
      <c r="AC2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8" s="395" t="str">
        <f>IF(ISBLANK(DeemedDashboard[[#This Row],[MeasAppType]]),"",$E$2)</f>
        <v/>
      </c>
      <c r="AE28" s="395" t="str">
        <f>IFERROR(IF(ISBLANK(DeemedDashboard[[#This Row],[MeasAppType]]),NA(),DeemedDashboard[[#This Row],[Measure Start Year]]+DeemedDashboard[[#This Row],[Msr EUL rounded]]-1),"")</f>
        <v/>
      </c>
      <c r="AF28" s="323" t="str">
        <f>IF(ISBLANK(DeemedDashboard[[#This Row],[Measure New Device EUL]]),"",ROUND(DeemedDashboard[[#This Row],[Measure New Device EUL]],0))</f>
        <v/>
      </c>
      <c r="AG28" s="323" t="str">
        <f>IF(ISBLANK(DeemedDashboard[[#This Row],[Counterfactual New Device EUL]]),"",ROUND(DeemedDashboard[[#This Row],[Counterfactual New Device EUL]],0))</f>
        <v/>
      </c>
      <c r="AH28" s="323" t="str">
        <f>IF(ISBLANK(DeemedDashboard[[#This Row],[Existing Device EUL]]),"",ROUND(DeemedDashboard[[#This Row],[Existing Device EUL]],0))</f>
        <v/>
      </c>
      <c r="AI28" s="323" t="str">
        <f>IF(ISBLANK(DeemedDashboard[[#This Row],[Existing Device RUL or AR First Baseline Life]]),"",ROUND(DeemedDashboard[[#This Row],[Existing Device RUL or AR First Baseline Life]],0))</f>
        <v/>
      </c>
      <c r="AJ28" s="327" t="str">
        <f>DeemedDashboard[[#This Row],[Measure Start Year]]</f>
        <v/>
      </c>
      <c r="AK28" s="327" t="str">
        <f>IF(DeemedDashboard[[#This Row],[MeasAppType]]&lt;&gt;const_AR,DeemedDashboard[[#This Row],[Measure Start Year]],DeemedDashboard[[#This Row],[Ext Device Retire-ment Year]]+1)</f>
        <v/>
      </c>
      <c r="AL28" s="327" t="str">
        <f>IFERROR(IF(DeemedDashboard[[#This Row],[MeasAppType]]=const_AR,DeemedDashboard[[#This Row],[Measure Start Year]]-(DeemedDashboard[[#This Row],[Existing Device EUL]]-DeemedDashboard[[#This Row],[Existing Device RUL or AR First Baseline Life]]),NA()),"")</f>
        <v/>
      </c>
      <c r="AM28" s="327" t="str">
        <f>DeemedDashboard[[#This Row],[Pre Device Install Year]]</f>
        <v/>
      </c>
      <c r="AN28" s="327" t="str">
        <f>IFERROR(IF(ISBLANK(DeemedDashboard[[#This Row],[MeasAppType]]),NA(),DeemedDashboard[[#This Row],[Measure Start Year]]+DeemedDashboard[[#This Row],[Msr EUL rounded]]-1),"")</f>
        <v/>
      </c>
      <c r="AO28" s="327" t="str">
        <f>IFERROR(DeemedDashboard[[#This Row],[Std Device Install Year]]+DeemedDashboard[[#This Row],[Counterfactual New Device EUL]]-1,"")</f>
        <v/>
      </c>
      <c r="AP28" s="327" t="str">
        <f>IFERROR(IF(AND(DeemedDashboard[[#This Row],[MeasAppType]]=const_AR,DeemedDashboard[[#This Row],[Measure Start Year]]&lt;(DeemedDashboard[[#This Row],[Pre Device Install Year]]+DeemedDashboard[[#This Row],[Existing Device EUL]]-1)),DeemedDashboard[[#This Row],[Measure Start Year]]-1,NA()),"")</f>
        <v/>
      </c>
      <c r="AQ28" s="327" t="str">
        <f>IFERROR(IF(DeemedDashboard[[#This Row],[MeasAppType]]=const_AR,DeemedDashboard[[#This Row],[Ext Device Install Year]]+DeemedDashboard[[#This Row],[Existing Device EUL]]-1,NA()),"")</f>
        <v/>
      </c>
      <c r="AR28" s="327" t="str">
        <f>IFERROR(IF(ISBLANK(DeemedDashboard[[#This Row],[MeasAppType]]),NA(),0),"")</f>
        <v/>
      </c>
      <c r="AS28" s="327" t="str">
        <f>IFERROR(IF(ISBLANK(DeemedDashboard[[#This Row],[MeasAppType]]),NA(),0),"")</f>
        <v/>
      </c>
      <c r="AT28" s="327" t="str">
        <f>IF(ISBLANK(DeemedDashboard[[#This Row],[MeasAppType]]),"",IF(DeemedDashboard[[#This Row],[MeasAppType]]&lt;&gt;const_AR,"",(DeemedDashboard[[#This Row],[Pre Device Install Year]]+DeemedDashboard[[#This Row],[Existing Device EUL]]-1)-DeemedDashboard[[#This Row],[Pre Device Retire-ment Year]]))</f>
        <v/>
      </c>
      <c r="AU28" s="327" t="str">
        <f>IF(ISBLANK(DeemedDashboard[[#This Row],[MeasAppType]]),"",IF(DeemedDashboard[[#This Row],[MeasAppType]]=const_AR,0,""))</f>
        <v/>
      </c>
      <c r="AV28" s="328" t="str">
        <f>IF(ISBLANK(DeemedDashboard[[#This Row],[MeasAppType]]),"",MAX((1+MIN(DeemedDashboard[[#This Row],[Msr Device Retire-ment Year]],DeemedDashboard[[#This Row],[Measure End 
Year]])-MAX(DeemedDashboard[[#This Row],[Msr Device Install Year]],DeemedDashboard[[#This Row],[Measure Start Year]])),0))</f>
        <v/>
      </c>
      <c r="AW28" s="328" t="str">
        <f>IF(ISBLANK(DeemedDashboard[[#This Row],[MeasAppType]]),"",MAX((1+MIN(DeemedDashboard[[#This Row],[Std Device Retire-ment Year]],DeemedDashboard[[#This Row],[Measure End 
Year]])-MAX(DeemedDashboard[[#This Row],[Std Device Install Year]],DeemedDashboard[[#This Row],[Measure Start Year]])),0))</f>
        <v/>
      </c>
      <c r="AX2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8"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8" s="329" t="str">
        <f>IF(ISBLANK(DeemedDashboard[[#This Row],[MeasAppType]]),"",IF(DeemedDashboard[[#This Row],[Msr Device Years Over-lapping with Measure Years]]=0,0,DeemedDashboard[[#This Row],[Msr Device Years Over-lapping with Measure Years]]/DeemedDashboard[[#This Row],[Msr EUL rounded]]))</f>
        <v/>
      </c>
      <c r="BA28" s="329" t="str">
        <f>IF(ISBLANK(DeemedDashboard[[#This Row],[MeasAppType]]),"",IF(DeemedDashboard[[#This Row],[Std Device Years Over-lapping with Measure Years]]=0,0,DeemedDashboard[[#This Row],[Std Device Years Over-lapping with Measure Years]]/DeemedDashboard[[#This Row],[Counterfactual New Device EUL]]))</f>
        <v/>
      </c>
      <c r="BB28" s="329" t="str">
        <f>IF(ISBLANK(DeemedDashboard[[#This Row],[MeasAppType]]),"",IFERROR(IF(DeemedDashboard[[#This Row],[Pre Device Years Over-lapping with Measure Years]]=0,0,DeemedDashboard[[#This Row],[Pre Device Years Over-lapping with Measure Years]]/DeemedDashboard[[#This Row],[Existing Device EUL]]),""))</f>
        <v/>
      </c>
      <c r="BC28" s="331" t="str">
        <f>IFERROR(IF(DeemedDashboard[[#This Row],[Ext Device Years Over-lapping with Measure Years]]=0,0,DeemedDashboard[[#This Row],[Ext Device Years Over-lapping with Measure Years]]/DeemedDashboard[[#This Row],[Existing Device EUL]]),"")</f>
        <v/>
      </c>
      <c r="BD28" s="329" t="str">
        <f>IFERROR(IF(DeemedDashboard[[#This Row],[Msr Number of Years device retired early]]=0,0,DeemedDashboard[[#This Row],[Msr Number of Years device retired early]]/DeemedDashboard[[#This Row],[Msr EUL rounded]]),"")</f>
        <v/>
      </c>
      <c r="BE28" s="329" t="str">
        <f>IFERROR(IF(DeemedDashboard[[#This Row],[Std Number of Years device retired early]]=0,0,DeemedDashboard[[#This Row],[Std Number of Years device retired early]]/DeemedDashboard[[#This Row],[Msr EUL rounded]]),"")</f>
        <v/>
      </c>
      <c r="BF28" s="329" t="str">
        <f>IFERROR(IF(DeemedDashboard[[#This Row],[MeasAppType]]&lt;&gt;const_AR,"",IF(DeemedDashboard[[#This Row],[Pre Number of Years device retired early]]=0,0,DeemedDashboard[[#This Row],[Pre Number of Years device retired early]]/DeemedDashboard[[#This Row],[Existing Device EUL]])),"")</f>
        <v/>
      </c>
      <c r="BG28" s="331" t="str">
        <f>IFERROR(IF(DeemedDashboard[[#This Row],[Ext Number of Years device retired early]]=0,0,DeemedDashboard[[#This Row],[Ext Number of Years device retired early]]/DeemedDashboard[[#This Row],[Existing Device EUL]]),"")</f>
        <v/>
      </c>
      <c r="BH28" s="325" t="str">
        <f>IFERROR(1-DeemedDashboard[[#This Row],[Msr annual refrigerant leakage %]]*DeemedDashboard[[#This Row],[Msr t_EOL]],"")</f>
        <v/>
      </c>
      <c r="BI28" s="325" t="str">
        <f>IFERROR(1-DeemedDashboard[[#This Row],[Std annual refrigerant leakage %]]*DeemedDashboard[[#This Row],[Std t_EOL]],"")</f>
        <v/>
      </c>
      <c r="BJ28" s="325" t="str">
        <f>IFERROR(1-DeemedDashboard[[#This Row],[Pre/Ext annual refrigerant leakage %]]*DeemedDashboard[[#This Row],[Pre/Ext t_EOL]],"")</f>
        <v/>
      </c>
      <c r="BK28" s="325" t="str">
        <f>IFERROR(1-DeemedDashboard[[#This Row],[Pre/Ext annual refrigerant leakage %]]*DeemedDashboard[[#This Row],[Pre/Ext t_EOL]],"")</f>
        <v/>
      </c>
      <c r="BL28" s="325" t="str">
        <f>IFERROR(DeemedDashboard[[#This Row],[Msr charging remaining (%)]]*DeemedDashboard[[#This Row],[Msr gross EOL refrigerant leakage %]],"")</f>
        <v/>
      </c>
      <c r="BM28" s="325" t="str">
        <f>IFERROR(DeemedDashboard[[#This Row],[Std charging remaining (%)]]*DeemedDashboard[[#This Row],[Std gross EOL refrigerant leakage %]],"")</f>
        <v/>
      </c>
      <c r="BN28" s="325" t="str">
        <f>IFERROR(DeemedDashboard[[#This Row],[Pre charging remaining (%)]]*DeemedDashboard[[#This Row],[Pre/Ext gross EOL refrigerant leakage %]],"")</f>
        <v/>
      </c>
      <c r="BO28" s="325" t="str">
        <f>IFERROR(DeemedDashboard[[#This Row],[Ext charging remaining (%)]]*DeemedDashboard[[#This Row],[Pre/Ext gross EOL refrigerant leakage %]],"")</f>
        <v/>
      </c>
      <c r="BP28" s="330" t="str">
        <f>IFERROR((DeemedDashboard[[#This Row],[Msr refrigerant charge (lb) per NormUnit]]/pounds_per_metric_ton)*DeemedDashboard[[#This Row],[Msr annual refrigerant leakage %]]*DeemedDashboard[[#This Row],[Msr GWP]],"")</f>
        <v/>
      </c>
      <c r="BQ28" s="330" t="str">
        <f>IFERROR((DeemedDashboard[[#This Row],[Std refrigerant charge (lb) per NormUnit]]/pounds_per_metric_ton)*DeemedDashboard[[#This Row],[Std annual refrigerant leakage %]]*DeemedDashboard[[#This Row],[Std GWP]],"")</f>
        <v/>
      </c>
      <c r="BR28" s="330" t="str">
        <f>IF(DeemedDashboard[[#This Row],[MeasAppType]]=const_AR,(DeemedDashboard[[#This Row],[Pre/Ext refrigerant charge (lb) per NormUnit]]/pounds_per_metric_ton)*DeemedDashboard[[#This Row],[Pre/Ext annual refrigerant leakage %]]*DeemedDashboard[[#This Row],[Pre/Ext GWP]],"")</f>
        <v/>
      </c>
      <c r="BS28" s="330" t="str">
        <f>IF(DeemedDashboard[[#This Row],[MeasAppType]]=const_AR,(DeemedDashboard[[#This Row],[Pre/Ext refrigerant charge (lb) per NormUnit]]/pounds_per_metric_ton)*DeemedDashboard[[#This Row],[Pre/Ext annual refrigerant leakage %]]*DeemedDashboard[[#This Row],[Pre/Ext GWP]],"")</f>
        <v/>
      </c>
      <c r="BT28" s="330" t="str">
        <f>IFERROR((DeemedDashboard[[#This Row],[Msr refrigerant charge (lb) per NormUnit]]/pounds_per_metric_ton)*DeemedDashboard[[#This Row],[Msr net EOL refrigerant leakage (%)]]*DeemedDashboard[[#This Row],[Msr GWP]],"")</f>
        <v/>
      </c>
      <c r="BU28" s="330" t="str">
        <f>IFERROR((DeemedDashboard[[#This Row],[Std refrigerant charge (lb) per NormUnit]]/pounds_per_metric_ton)*DeemedDashboard[[#This Row],[Std net EOL refrigerant leakage (%)]]*DeemedDashboard[[#This Row],[Std GWP]],"")</f>
        <v/>
      </c>
      <c r="BV28" s="330" t="str">
        <f>IFERROR((DeemedDashboard[[#This Row],[Pre/Ext refrigerant charge (lb) per NormUnit]]/pounds_per_metric_ton)*DeemedDashboard[[#This Row],[Pre net EOL refrigerant leakage (%)]]*DeemedDashboard[[#This Row],[Pre/Ext GWP]],"")</f>
        <v/>
      </c>
      <c r="BW28" s="330" t="str">
        <f>IFERROR((DeemedDashboard[[#This Row],[Pre/Ext refrigerant charge (lb) per NormUnit]]/pounds_per_metric_ton)*DeemedDashboard[[#This Row],[Ext net EOL refrigerant leakage (%)]]*DeemedDashboard[[#This Row],[Pre/Ext GWP]],"")</f>
        <v/>
      </c>
      <c r="BX28" s="299" t="str" cm="1">
        <f t="array" aca="1" ref="BX2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8" s="305" t="str" cm="1">
        <f t="array" aca="1" ref="BY2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8" s="299" t="str">
        <f>IFERROR(IF(OR(DeemedDashboard[[#This Row],[MeasAppType]]&lt;&gt;const_AR,ISBLANK(DeemedDashboard[[#This Row],[MeasAppType]])),NA(),0),"")</f>
        <v/>
      </c>
      <c r="CA28" s="305" t="str" cm="1">
        <f t="array" aca="1" ref="CA2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8" s="296" t="str">
        <f ca="1">IFERROR((DeemedDashboard[[#This Row],[Msr EOL leakage tons CO2e]]*OFFSET(GHG_Adder_dollar_per_tonne,0,(DeemedDashboard[[#This Row],[Msr Device Retire-ment Year]]-DY+1),1,1))/(1+WACC)^(DeemedDashboard[[#This Row],[Msr Device Retire-ment Year]]-DeemedDashboard[[#This Row],[Measure Start Year]]+0.5),"")</f>
        <v/>
      </c>
      <c r="CC28" s="296" t="str">
        <f ca="1">IFERROR((DeemedDashboard[[#This Row],[Std EOL leakage tons CO2e]]*OFFSET(GHG_Adder_dollar_per_tonne,0,(DeemedDashboard[[#This Row],[Std Device Retire-ment Year]]-DY+1),1,1))/(1+WACC)^(DeemedDashboard[[#This Row],[Std Device Retire-ment Year]]-DeemedDashboard[[#This Row],[Measure Start Year]]+0.5),"")</f>
        <v/>
      </c>
      <c r="CD28" s="296" t="str">
        <f ca="1">IFERROR((DeemedDashboard[[#This Row],[Pre EOL leakage tons CO2e]]*OFFSET(GHG_Adder_dollar_per_tonne,0,(DeemedDashboard[[#This Row],[Measure Start Year]]-DY),1,1))/(1+WACC)^(-0.5),"")</f>
        <v/>
      </c>
      <c r="CE2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8" s="296" t="str">
        <f ca="1">IFERROR(DeemedDashboard[[#This Row],[Msr NPV Cost of Annual Leakage]]/(1+ACC_Inflation_Rate)^(DeemedDashboard[[#This Row],[Measure Start Year]]-DY),"")</f>
        <v/>
      </c>
      <c r="CG28" s="296" t="str">
        <f ca="1">IFERROR(DeemedDashboard[[#This Row],[Std NPV Cost of Annual Leakage]]/(1+ACC_Inflation_Rate)^(DeemedDashboard[[#This Row],[Measure Start Year]]-DY),"")</f>
        <v/>
      </c>
      <c r="CH28" s="296" t="str">
        <f>IFERROR(IF(ISBLANK(DeemedDashboard[[#This Row],[MeasAppType]]),NA(),IF(DeemedDashboard[[#This Row],[MeasAppType]]=const_AR,DeemedDashboard[[#This Row],[Pre NPV Cost of Annual Leakage]]/(1+ACC_Inflation_Rate)^(DeemedDashboard[[#This Row],[Measure Start Year]]-DY),"")),"")</f>
        <v/>
      </c>
      <c r="CI28" s="296" t="str">
        <f>IFERROR(IF(ISBLANK(DeemedDashboard[[#This Row],[MeasAppType]]),NA(),IF(DeemedDashboard[[#This Row],[MeasAppType]]=const_AR,DeemedDashboard[[#This Row],[Ext NPV Cost of Annual Leakage]]/(1+ACC_Inflation_Rate)^(DeemedDashboard[[#This Row],[Measure Start Year]]-DY),"")),"")</f>
        <v/>
      </c>
      <c r="CJ28" s="296" t="str">
        <f ca="1">IFERROR((DeemedDashboard[[#This Row],[Msr % of device lifetime during measure years]]+DeemedDashboard[[#This Row],[Msr % of device lifetime retired early]])*DeemedDashboard[[#This Row],[Msr NPV Cost of EOL Leakage]]/(1+ACC_Inflation_Rate)^(DeemedDashboard[[#This Row],[Measure Start Year]]-DY),"")</f>
        <v/>
      </c>
      <c r="CK28" s="296" t="str">
        <f ca="1">IFERROR((DeemedDashboard[[#This Row],[Std % of device lifetime during measure years]]+DeemedDashboard[[#This Row],[Std % of device lifetime retired early]])*DeemedDashboard[[#This Row],[Std NPV Cost of EOL Leakage]]/(1+ACC_Inflation_Rate)^(DeemedDashboard[[#This Row],[Measure Start Year]]-DY),"")</f>
        <v/>
      </c>
      <c r="CL2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8" s="299" t="str">
        <f ca="1">IFERROR(DeemedDashboard[[#This Row],[Counter-factual total 
NPV cost]]-DeemedDashboard[[#This Row],[Measure total 
NPV cost]],"")</f>
        <v/>
      </c>
      <c r="CQ28" s="299" t="str">
        <f>IF(ISBLANK(DeemedDashboard[[#This Row],[MeasAppType]]),"",DeemedDashboard[[#This Row],[Refrigerant
NPV costs
avoided]]&gt;0)</f>
        <v/>
      </c>
      <c r="CR28" s="299" t="str">
        <f ca="1">IFERROR(DeemedDashboard[[#This Row],[Msr Adj NPV Cost of Annual Leakage]]+DeemedDashboard[[#This Row],[Msr Adj NPV Cost of EOL Leakage]],"")</f>
        <v/>
      </c>
      <c r="CS28" s="299" t="str">
        <f ca="1">IFERROR(DeemedDashboard[[#This Row],[Std Adj NPV Cost of Annual Leakage]]+DeemedDashboard[[#This Row],[Std Adj NPV Cost of EOL Leakage]],"")</f>
        <v/>
      </c>
      <c r="CT28" s="299" t="str">
        <f>IFERROR(IF((DeemedDashboard[[#This Row],[Pre Adj NPV Cost of Annual Leakage]]+DeemedDashboard[[#This Row],[Pre Adj NPV Cost of EOL Leakage]])=0,"",DeemedDashboard[[#This Row],[Pre Adj NPV Cost of Annual Leakage]]+DeemedDashboard[[#This Row],[Pre Adj NPV Cost of EOL Leakage]]),"")</f>
        <v/>
      </c>
      <c r="CU28" s="299" t="str">
        <f>IFERROR(IF((DeemedDashboard[[#This Row],[Ext Adj NPV Cost of Annual Leakage]]+DeemedDashboard[[#This Row],[Ext Adj NPV Cost of EOL Leakage]])=0,"",DeemedDashboard[[#This Row],[Ext Adj NPV Cost of Annual Leakage]]+DeemedDashboard[[#This Row],[Ext Adj NPV Cost of EOL Leakage]]),"")</f>
        <v/>
      </c>
      <c r="CV28" s="299" t="str">
        <f>IFERROR(IF(DeemedDashboard[[#This Row],[Is Avoided Net Cost &gt;0?]],"",-DeemedDashboard[[#This Row],[Refrigerant
NPV costs
avoided]]),"")</f>
        <v/>
      </c>
      <c r="CW28" s="299" t="str">
        <f>IFERROR(IF(DeemedDashboard[[#This Row],[Is Avoided Net Cost &gt;0?]],DeemedDashboard[[#This Row],[Refrigerant
NPV costs
avoided]],""),"")</f>
        <v/>
      </c>
      <c r="CX28" s="391">
        <f ca="1">IFERROR(MATCH(DeemedDashboard[[#This Row],[TechGroup and NormUnit]],TechGroup_and_NormUnit,0),1)</f>
        <v>1</v>
      </c>
      <c r="CY28" s="391" cm="1">
        <f t="array" aca="1" ref="CY28" ca="1">IFERROR(INDEX(TGRows,DeemedDashboard[[#This Row],[TGIndex]]),"")</f>
        <v>2</v>
      </c>
      <c r="CZ28" s="391">
        <f ca="1">IF(DeemedDashboard[[#This Row],[MeasAppType]]=const_AR,DeemedDashboard[[#This Row],[TGRows]],DeemedDashboard[[#This Row],[TGRows]]+1)</f>
        <v>3</v>
      </c>
      <c r="DA28" s="391" t="str">
        <f>IF(ISBLANK(DeemedDashboard[[#This Row],[MeasAppType]]),"",IF(DeemedDashboard[[#This Row],[Index]]=User_Specified_Refrigerant[[#This Row],[Index]],"OK","ERROR"))</f>
        <v/>
      </c>
    </row>
    <row r="29" spans="1:105" s="320" customFormat="1" x14ac:dyDescent="0.25">
      <c r="A29" s="297">
        <f>ROW(DeemedDashboard[[#This Row],[Index]])-ROW(DeemedDashboard[[#Headers],[Index]])</f>
        <v>20</v>
      </c>
      <c r="B29" s="298"/>
      <c r="C29" s="321"/>
      <c r="D29" s="403"/>
      <c r="E29" s="403"/>
      <c r="F29" s="403"/>
      <c r="G29" s="403"/>
      <c r="H29" s="365"/>
      <c r="I29" s="339"/>
      <c r="J29" s="339"/>
      <c r="K29" s="339"/>
      <c r="L29" s="322"/>
      <c r="M29" s="322"/>
      <c r="N29" s="322"/>
      <c r="O2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2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2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29" s="582" t="str" cm="1">
        <f t="array" ref="R29">IFERROR(IF(DeemedDashboard[[#This Row],[Msr device type]]=const_device_nonrefrig,0,INDEX(_xlfn.SWITCH($E$4,const_20_yr,GWP_Values_20_year_AR4,const_100_yr,GWP_Values_100_year_AR4),MATCH(DeemedDashboard[[#This Row],[Msr refrigerant Type]],RefrigDropdownList,0))),"")</f>
        <v/>
      </c>
      <c r="S29" s="582" t="str" cm="1">
        <f t="array" ref="S29">IFERROR(IF(DeemedDashboard[[#This Row],[Std device type]]=const_device_nonrefrig,0,INDEX(_xlfn.SWITCH($E$4,const_20_yr,GWP_Values_20_year_AR4,const_100_yr,GWP_Values_100_year_AR4),MATCH(DeemedDashboard[[#This Row],[Std refrigerant Type]],RefrigDropdownList,0))),"")</f>
        <v/>
      </c>
      <c r="T29" s="582" t="str" cm="1">
        <f t="array" ref="T29">IFERROR(IF(DeemedDashboard[[#This Row],[Pre/Ext device type]]=const_device_nonrefrig,0,INDEX(_xlfn.SWITCH($E$4,const_20_yr,GWP_Values_20_year_AR4,const_100_yr,GWP_Values_100_year_AR4),MATCH(DeemedDashboard[[#This Row],[Pre/Ext refrigerant Type]],RefrigDropdownList,0))),"")</f>
        <v/>
      </c>
      <c r="U2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2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2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2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2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2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29" s="326" t="str">
        <f>IFERROR(IF(DeemedDashboard[[#This Row],[Msr device type]]=const_userspec,IF(ISBLANK(User_Specified_Refrigerant[[#This Row],[Msr t_EOL]]),"",User_Specified_Refrigerant[[#This Row],[Msr t_EOL]]),INDEX(TechGroup_NormUnit_Table[t_EOL],MATCH(DeemedDashboard[[#This Row],[Msr device type]],DropdownRefrigTech,0))),"")</f>
        <v/>
      </c>
      <c r="AB29" s="326" t="str">
        <f>IFERROR(IF(DeemedDashboard[[#This Row],[Std device type]]=const_userspec,IF(ISBLANK(User_Specified_Refrigerant[[#This Row],[Std t_EOL]]),"",User_Specified_Refrigerant[[#This Row],[Std t_EOL]]),INDEX(TechGroup_NormUnit_Table[t_EOL],MATCH(DeemedDashboard[[#This Row],[Std device type]],DropdownRefrigTech,0))),"")</f>
        <v/>
      </c>
      <c r="AC2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29" s="395" t="str">
        <f>IF(ISBLANK(DeemedDashboard[[#This Row],[MeasAppType]]),"",$E$2)</f>
        <v/>
      </c>
      <c r="AE29" s="395" t="str">
        <f>IFERROR(IF(ISBLANK(DeemedDashboard[[#This Row],[MeasAppType]]),NA(),DeemedDashboard[[#This Row],[Measure Start Year]]+DeemedDashboard[[#This Row],[Msr EUL rounded]]-1),"")</f>
        <v/>
      </c>
      <c r="AF29" s="323" t="str">
        <f>IF(ISBLANK(DeemedDashboard[[#This Row],[Measure New Device EUL]]),"",ROUND(DeemedDashboard[[#This Row],[Measure New Device EUL]],0))</f>
        <v/>
      </c>
      <c r="AG29" s="323" t="str">
        <f>IF(ISBLANK(DeemedDashboard[[#This Row],[Counterfactual New Device EUL]]),"",ROUND(DeemedDashboard[[#This Row],[Counterfactual New Device EUL]],0))</f>
        <v/>
      </c>
      <c r="AH29" s="323" t="str">
        <f>IF(ISBLANK(DeemedDashboard[[#This Row],[Existing Device EUL]]),"",ROUND(DeemedDashboard[[#This Row],[Existing Device EUL]],0))</f>
        <v/>
      </c>
      <c r="AI29" s="323" t="str">
        <f>IF(ISBLANK(DeemedDashboard[[#This Row],[Existing Device RUL or AR First Baseline Life]]),"",ROUND(DeemedDashboard[[#This Row],[Existing Device RUL or AR First Baseline Life]],0))</f>
        <v/>
      </c>
      <c r="AJ29" s="327" t="str">
        <f>DeemedDashboard[[#This Row],[Measure Start Year]]</f>
        <v/>
      </c>
      <c r="AK29" s="327" t="str">
        <f>IF(DeemedDashboard[[#This Row],[MeasAppType]]&lt;&gt;const_AR,DeemedDashboard[[#This Row],[Measure Start Year]],DeemedDashboard[[#This Row],[Ext Device Retire-ment Year]]+1)</f>
        <v/>
      </c>
      <c r="AL29" s="327" t="str">
        <f>IFERROR(IF(DeemedDashboard[[#This Row],[MeasAppType]]=const_AR,DeemedDashboard[[#This Row],[Measure Start Year]]-(DeemedDashboard[[#This Row],[Existing Device EUL]]-DeemedDashboard[[#This Row],[Existing Device RUL or AR First Baseline Life]]),NA()),"")</f>
        <v/>
      </c>
      <c r="AM29" s="327" t="str">
        <f>DeemedDashboard[[#This Row],[Pre Device Install Year]]</f>
        <v/>
      </c>
      <c r="AN29" s="327" t="str">
        <f>IFERROR(IF(ISBLANK(DeemedDashboard[[#This Row],[MeasAppType]]),NA(),DeemedDashboard[[#This Row],[Measure Start Year]]+DeemedDashboard[[#This Row],[Msr EUL rounded]]-1),"")</f>
        <v/>
      </c>
      <c r="AO29" s="327" t="str">
        <f>IFERROR(DeemedDashboard[[#This Row],[Std Device Install Year]]+DeemedDashboard[[#This Row],[Counterfactual New Device EUL]]-1,"")</f>
        <v/>
      </c>
      <c r="AP29" s="327" t="str">
        <f>IFERROR(IF(AND(DeemedDashboard[[#This Row],[MeasAppType]]=const_AR,DeemedDashboard[[#This Row],[Measure Start Year]]&lt;(DeemedDashboard[[#This Row],[Pre Device Install Year]]+DeemedDashboard[[#This Row],[Existing Device EUL]]-1)),DeemedDashboard[[#This Row],[Measure Start Year]]-1,NA()),"")</f>
        <v/>
      </c>
      <c r="AQ29" s="327" t="str">
        <f>IFERROR(IF(DeemedDashboard[[#This Row],[MeasAppType]]=const_AR,DeemedDashboard[[#This Row],[Ext Device Install Year]]+DeemedDashboard[[#This Row],[Existing Device EUL]]-1,NA()),"")</f>
        <v/>
      </c>
      <c r="AR29" s="327" t="str">
        <f>IFERROR(IF(ISBLANK(DeemedDashboard[[#This Row],[MeasAppType]]),NA(),0),"")</f>
        <v/>
      </c>
      <c r="AS29" s="327" t="str">
        <f>IFERROR(IF(ISBLANK(DeemedDashboard[[#This Row],[MeasAppType]]),NA(),0),"")</f>
        <v/>
      </c>
      <c r="AT29" s="327" t="str">
        <f>IF(ISBLANK(DeemedDashboard[[#This Row],[MeasAppType]]),"",IF(DeemedDashboard[[#This Row],[MeasAppType]]&lt;&gt;const_AR,"",(DeemedDashboard[[#This Row],[Pre Device Install Year]]+DeemedDashboard[[#This Row],[Existing Device EUL]]-1)-DeemedDashboard[[#This Row],[Pre Device Retire-ment Year]]))</f>
        <v/>
      </c>
      <c r="AU29" s="327" t="str">
        <f>IF(ISBLANK(DeemedDashboard[[#This Row],[MeasAppType]]),"",IF(DeemedDashboard[[#This Row],[MeasAppType]]=const_AR,0,""))</f>
        <v/>
      </c>
      <c r="AV29" s="328" t="str">
        <f>IF(ISBLANK(DeemedDashboard[[#This Row],[MeasAppType]]),"",MAX((1+MIN(DeemedDashboard[[#This Row],[Msr Device Retire-ment Year]],DeemedDashboard[[#This Row],[Measure End 
Year]])-MAX(DeemedDashboard[[#This Row],[Msr Device Install Year]],DeemedDashboard[[#This Row],[Measure Start Year]])),0))</f>
        <v/>
      </c>
      <c r="AW29" s="328" t="str">
        <f>IF(ISBLANK(DeemedDashboard[[#This Row],[MeasAppType]]),"",MAX((1+MIN(DeemedDashboard[[#This Row],[Std Device Retire-ment Year]],DeemedDashboard[[#This Row],[Measure End 
Year]])-MAX(DeemedDashboard[[#This Row],[Std Device Install Year]],DeemedDashboard[[#This Row],[Measure Start Year]])),0))</f>
        <v/>
      </c>
      <c r="AX2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2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29" s="329" t="str">
        <f>IF(ISBLANK(DeemedDashboard[[#This Row],[MeasAppType]]),"",IF(DeemedDashboard[[#This Row],[Msr Device Years Over-lapping with Measure Years]]=0,0,DeemedDashboard[[#This Row],[Msr Device Years Over-lapping with Measure Years]]/DeemedDashboard[[#This Row],[Msr EUL rounded]]))</f>
        <v/>
      </c>
      <c r="BA29" s="329" t="str">
        <f>IF(ISBLANK(DeemedDashboard[[#This Row],[MeasAppType]]),"",IF(DeemedDashboard[[#This Row],[Std Device Years Over-lapping with Measure Years]]=0,0,DeemedDashboard[[#This Row],[Std Device Years Over-lapping with Measure Years]]/DeemedDashboard[[#This Row],[Counterfactual New Device EUL]]))</f>
        <v/>
      </c>
      <c r="BB29" s="329" t="str">
        <f>IF(ISBLANK(DeemedDashboard[[#This Row],[MeasAppType]]),"",IFERROR(IF(DeemedDashboard[[#This Row],[Pre Device Years Over-lapping with Measure Years]]=0,0,DeemedDashboard[[#This Row],[Pre Device Years Over-lapping with Measure Years]]/DeemedDashboard[[#This Row],[Existing Device EUL]]),""))</f>
        <v/>
      </c>
      <c r="BC29" s="329" t="str">
        <f>IFERROR(IF(DeemedDashboard[[#This Row],[Ext Device Years Over-lapping with Measure Years]]=0,0,DeemedDashboard[[#This Row],[Ext Device Years Over-lapping with Measure Years]]/DeemedDashboard[[#This Row],[Existing Device EUL]]),"")</f>
        <v/>
      </c>
      <c r="BD29" s="329" t="str">
        <f>IFERROR(IF(DeemedDashboard[[#This Row],[Msr Number of Years device retired early]]=0,0,DeemedDashboard[[#This Row],[Msr Number of Years device retired early]]/DeemedDashboard[[#This Row],[Msr EUL rounded]]),"")</f>
        <v/>
      </c>
      <c r="BE29" s="329" t="str">
        <f>IFERROR(IF(DeemedDashboard[[#This Row],[Std Number of Years device retired early]]=0,0,DeemedDashboard[[#This Row],[Std Number of Years device retired early]]/DeemedDashboard[[#This Row],[Msr EUL rounded]]),"")</f>
        <v/>
      </c>
      <c r="BF29" s="329" t="str">
        <f>IFERROR(IF(DeemedDashboard[[#This Row],[MeasAppType]]&lt;&gt;const_AR,"",IF(DeemedDashboard[[#This Row],[Pre Number of Years device retired early]]=0,0,DeemedDashboard[[#This Row],[Pre Number of Years device retired early]]/DeemedDashboard[[#This Row],[Existing Device EUL]])),"")</f>
        <v/>
      </c>
      <c r="BG29" s="329" t="str">
        <f>IFERROR(IF(DeemedDashboard[[#This Row],[Ext Number of Years device retired early]]=0,0,DeemedDashboard[[#This Row],[Ext Number of Years device retired early]]/DeemedDashboard[[#This Row],[Existing Device EUL]]),"")</f>
        <v/>
      </c>
      <c r="BH29" s="325" t="str">
        <f>IFERROR(1-DeemedDashboard[[#This Row],[Msr annual refrigerant leakage %]]*DeemedDashboard[[#This Row],[Msr t_EOL]],"")</f>
        <v/>
      </c>
      <c r="BI29" s="325" t="str">
        <f>IFERROR(1-DeemedDashboard[[#This Row],[Std annual refrigerant leakage %]]*DeemedDashboard[[#This Row],[Std t_EOL]],"")</f>
        <v/>
      </c>
      <c r="BJ29" s="325" t="str">
        <f>IFERROR(1-DeemedDashboard[[#This Row],[Pre/Ext annual refrigerant leakage %]]*DeemedDashboard[[#This Row],[Pre/Ext t_EOL]],"")</f>
        <v/>
      </c>
      <c r="BK29" s="325" t="str">
        <f>IFERROR(1-DeemedDashboard[[#This Row],[Pre/Ext annual refrigerant leakage %]]*DeemedDashboard[[#This Row],[Pre/Ext t_EOL]],"")</f>
        <v/>
      </c>
      <c r="BL29" s="325" t="str">
        <f>IFERROR(DeemedDashboard[[#This Row],[Msr charging remaining (%)]]*DeemedDashboard[[#This Row],[Msr gross EOL refrigerant leakage %]],"")</f>
        <v/>
      </c>
      <c r="BM29" s="325" t="str">
        <f>IFERROR(DeemedDashboard[[#This Row],[Std charging remaining (%)]]*DeemedDashboard[[#This Row],[Std gross EOL refrigerant leakage %]],"")</f>
        <v/>
      </c>
      <c r="BN29" s="325" t="str">
        <f>IFERROR(DeemedDashboard[[#This Row],[Pre charging remaining (%)]]*DeemedDashboard[[#This Row],[Pre/Ext gross EOL refrigerant leakage %]],"")</f>
        <v/>
      </c>
      <c r="BO29" s="325" t="str">
        <f>IFERROR(DeemedDashboard[[#This Row],[Ext charging remaining (%)]]*DeemedDashboard[[#This Row],[Pre/Ext gross EOL refrigerant leakage %]],"")</f>
        <v/>
      </c>
      <c r="BP29" s="330" t="str">
        <f>IFERROR((DeemedDashboard[[#This Row],[Msr refrigerant charge (lb) per NormUnit]]/pounds_per_metric_ton)*DeemedDashboard[[#This Row],[Msr annual refrigerant leakage %]]*DeemedDashboard[[#This Row],[Msr GWP]],"")</f>
        <v/>
      </c>
      <c r="BQ29" s="330" t="str">
        <f>IFERROR((DeemedDashboard[[#This Row],[Std refrigerant charge (lb) per NormUnit]]/pounds_per_metric_ton)*DeemedDashboard[[#This Row],[Std annual refrigerant leakage %]]*DeemedDashboard[[#This Row],[Std GWP]],"")</f>
        <v/>
      </c>
      <c r="BR29" s="330" t="str">
        <f>IF(DeemedDashboard[[#This Row],[MeasAppType]]=const_AR,(DeemedDashboard[[#This Row],[Pre/Ext refrigerant charge (lb) per NormUnit]]/pounds_per_metric_ton)*DeemedDashboard[[#This Row],[Pre/Ext annual refrigerant leakage %]]*DeemedDashboard[[#This Row],[Pre/Ext GWP]],"")</f>
        <v/>
      </c>
      <c r="BS29" s="330" t="str">
        <f>IF(DeemedDashboard[[#This Row],[MeasAppType]]=const_AR,(DeemedDashboard[[#This Row],[Pre/Ext refrigerant charge (lb) per NormUnit]]/pounds_per_metric_ton)*DeemedDashboard[[#This Row],[Pre/Ext annual refrigerant leakage %]]*DeemedDashboard[[#This Row],[Pre/Ext GWP]],"")</f>
        <v/>
      </c>
      <c r="BT29" s="330" t="str">
        <f>IFERROR((DeemedDashboard[[#This Row],[Msr refrigerant charge (lb) per NormUnit]]/pounds_per_metric_ton)*DeemedDashboard[[#This Row],[Msr net EOL refrigerant leakage (%)]]*DeemedDashboard[[#This Row],[Msr GWP]],"")</f>
        <v/>
      </c>
      <c r="BU29" s="330" t="str">
        <f>IFERROR((DeemedDashboard[[#This Row],[Std refrigerant charge (lb) per NormUnit]]/pounds_per_metric_ton)*DeemedDashboard[[#This Row],[Std net EOL refrigerant leakage (%)]]*DeemedDashboard[[#This Row],[Std GWP]],"")</f>
        <v/>
      </c>
      <c r="BV29" s="330" t="str">
        <f>IFERROR((DeemedDashboard[[#This Row],[Pre/Ext refrigerant charge (lb) per NormUnit]]/pounds_per_metric_ton)*DeemedDashboard[[#This Row],[Pre net EOL refrigerant leakage (%)]]*DeemedDashboard[[#This Row],[Pre/Ext GWP]],"")</f>
        <v/>
      </c>
      <c r="BW29" s="330" t="str">
        <f>IFERROR((DeemedDashboard[[#This Row],[Pre/Ext refrigerant charge (lb) per NormUnit]]/pounds_per_metric_ton)*DeemedDashboard[[#This Row],[Ext net EOL refrigerant leakage (%)]]*DeemedDashboard[[#This Row],[Pre/Ext GWP]],"")</f>
        <v/>
      </c>
      <c r="BX29" s="299" t="str" cm="1">
        <f t="array" aca="1" ref="BX2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29" s="305" t="str" cm="1">
        <f t="array" aca="1" ref="BY2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29" s="299" t="str">
        <f>IFERROR(IF(OR(DeemedDashboard[[#This Row],[MeasAppType]]&lt;&gt;const_AR,ISBLANK(DeemedDashboard[[#This Row],[MeasAppType]])),NA(),0),"")</f>
        <v/>
      </c>
      <c r="CA29" s="305" t="str" cm="1">
        <f t="array" aca="1" ref="CA2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29" s="299" t="str">
        <f ca="1">IFERROR((DeemedDashboard[[#This Row],[Msr EOL leakage tons CO2e]]*OFFSET(GHG_Adder_dollar_per_tonne,0,(DeemedDashboard[[#This Row],[Msr Device Retire-ment Year]]-DY+1),1,1))/(1+WACC)^(DeemedDashboard[[#This Row],[Msr Device Retire-ment Year]]-DeemedDashboard[[#This Row],[Measure Start Year]]+0.5),"")</f>
        <v/>
      </c>
      <c r="CC29" s="299" t="str">
        <f ca="1">IFERROR((DeemedDashboard[[#This Row],[Std EOL leakage tons CO2e]]*OFFSET(GHG_Adder_dollar_per_tonne,0,(DeemedDashboard[[#This Row],[Std Device Retire-ment Year]]-DY+1),1,1))/(1+WACC)^(DeemedDashboard[[#This Row],[Std Device Retire-ment Year]]-DeemedDashboard[[#This Row],[Measure Start Year]]+0.5),"")</f>
        <v/>
      </c>
      <c r="CD29" s="299" t="str">
        <f ca="1">IFERROR((DeemedDashboard[[#This Row],[Pre EOL leakage tons CO2e]]*OFFSET(GHG_Adder_dollar_per_tonne,0,(DeemedDashboard[[#This Row],[Measure Start Year]]-DY),1,1))/(1+WACC)^(-0.5),"")</f>
        <v/>
      </c>
      <c r="CE2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29" s="299" t="str">
        <f ca="1">IFERROR(DeemedDashboard[[#This Row],[Msr NPV Cost of Annual Leakage]]/(1+ACC_Inflation_Rate)^(DeemedDashboard[[#This Row],[Measure Start Year]]-DY),"")</f>
        <v/>
      </c>
      <c r="CG29" s="299" t="str">
        <f ca="1">IFERROR(DeemedDashboard[[#This Row],[Std NPV Cost of Annual Leakage]]/(1+ACC_Inflation_Rate)^(DeemedDashboard[[#This Row],[Measure Start Year]]-DY),"")</f>
        <v/>
      </c>
      <c r="CH29" s="299" t="str">
        <f>IFERROR(IF(ISBLANK(DeemedDashboard[[#This Row],[MeasAppType]]),NA(),IF(DeemedDashboard[[#This Row],[MeasAppType]]=const_AR,DeemedDashboard[[#This Row],[Pre NPV Cost of Annual Leakage]]/(1+ACC_Inflation_Rate)^(DeemedDashboard[[#This Row],[Measure Start Year]]-DY),"")),"")</f>
        <v/>
      </c>
      <c r="CI29" s="296" t="str">
        <f>IFERROR(IF(ISBLANK(DeemedDashboard[[#This Row],[MeasAppType]]),NA(),IF(DeemedDashboard[[#This Row],[MeasAppType]]=const_AR,DeemedDashboard[[#This Row],[Ext NPV Cost of Annual Leakage]]/(1+ACC_Inflation_Rate)^(DeemedDashboard[[#This Row],[Measure Start Year]]-DY),"")),"")</f>
        <v/>
      </c>
      <c r="CJ29" s="296" t="str">
        <f ca="1">IFERROR((DeemedDashboard[[#This Row],[Msr % of device lifetime during measure years]]+DeemedDashboard[[#This Row],[Msr % of device lifetime retired early]])*DeemedDashboard[[#This Row],[Msr NPV Cost of EOL Leakage]]/(1+ACC_Inflation_Rate)^(DeemedDashboard[[#This Row],[Measure Start Year]]-DY),"")</f>
        <v/>
      </c>
      <c r="CK29" s="296" t="str">
        <f ca="1">IFERROR((DeemedDashboard[[#This Row],[Std % of device lifetime during measure years]]+DeemedDashboard[[#This Row],[Std % of device lifetime retired early]])*DeemedDashboard[[#This Row],[Std NPV Cost of EOL Leakage]]/(1+ACC_Inflation_Rate)^(DeemedDashboard[[#This Row],[Measure Start Year]]-DY),"")</f>
        <v/>
      </c>
      <c r="CL2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2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2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2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29" s="299" t="str">
        <f ca="1">IFERROR(DeemedDashboard[[#This Row],[Counter-factual total 
NPV cost]]-DeemedDashboard[[#This Row],[Measure total 
NPV cost]],"")</f>
        <v/>
      </c>
      <c r="CQ29" s="299" t="str">
        <f>IF(ISBLANK(DeemedDashboard[[#This Row],[MeasAppType]]),"",DeemedDashboard[[#This Row],[Refrigerant
NPV costs
avoided]]&gt;0)</f>
        <v/>
      </c>
      <c r="CR29" s="299" t="str">
        <f ca="1">IFERROR(DeemedDashboard[[#This Row],[Msr Adj NPV Cost of Annual Leakage]]+DeemedDashboard[[#This Row],[Msr Adj NPV Cost of EOL Leakage]],"")</f>
        <v/>
      </c>
      <c r="CS29" s="299" t="str">
        <f ca="1">IFERROR(DeemedDashboard[[#This Row],[Std Adj NPV Cost of Annual Leakage]]+DeemedDashboard[[#This Row],[Std Adj NPV Cost of EOL Leakage]],"")</f>
        <v/>
      </c>
      <c r="CT29" s="299" t="str">
        <f>IFERROR(IF((DeemedDashboard[[#This Row],[Pre Adj NPV Cost of Annual Leakage]]+DeemedDashboard[[#This Row],[Pre Adj NPV Cost of EOL Leakage]])=0,"",DeemedDashboard[[#This Row],[Pre Adj NPV Cost of Annual Leakage]]+DeemedDashboard[[#This Row],[Pre Adj NPV Cost of EOL Leakage]]),"")</f>
        <v/>
      </c>
      <c r="CU29" s="299" t="str">
        <f>IFERROR(IF((DeemedDashboard[[#This Row],[Ext Adj NPV Cost of Annual Leakage]]+DeemedDashboard[[#This Row],[Ext Adj NPV Cost of EOL Leakage]])=0,"",DeemedDashboard[[#This Row],[Ext Adj NPV Cost of Annual Leakage]]+DeemedDashboard[[#This Row],[Ext Adj NPV Cost of EOL Leakage]]),"")</f>
        <v/>
      </c>
      <c r="CV29" s="299" t="str">
        <f>IFERROR(IF(DeemedDashboard[[#This Row],[Is Avoided Net Cost &gt;0?]],"",-DeemedDashboard[[#This Row],[Refrigerant
NPV costs
avoided]]),"")</f>
        <v/>
      </c>
      <c r="CW29" s="299" t="str">
        <f>IFERROR(IF(DeemedDashboard[[#This Row],[Is Avoided Net Cost &gt;0?]],DeemedDashboard[[#This Row],[Refrigerant
NPV costs
avoided]],""),"")</f>
        <v/>
      </c>
      <c r="CX29" s="391">
        <f ca="1">IFERROR(MATCH(DeemedDashboard[[#This Row],[TechGroup and NormUnit]],TechGroup_and_NormUnit,0),1)</f>
        <v>1</v>
      </c>
      <c r="CY29" s="391" cm="1">
        <f t="array" aca="1" ref="CY29" ca="1">IFERROR(INDEX(TGRows,DeemedDashboard[[#This Row],[TGIndex]]),"")</f>
        <v>2</v>
      </c>
      <c r="CZ29" s="391">
        <f ca="1">IF(DeemedDashboard[[#This Row],[MeasAppType]]=const_AR,DeemedDashboard[[#This Row],[TGRows]],DeemedDashboard[[#This Row],[TGRows]]+1)</f>
        <v>3</v>
      </c>
      <c r="DA29" s="391" t="str">
        <f>IF(ISBLANK(DeemedDashboard[[#This Row],[MeasAppType]]),"",IF(DeemedDashboard[[#This Row],[Index]]=User_Specified_Refrigerant[[#This Row],[Index]],"OK","ERROR"))</f>
        <v/>
      </c>
    </row>
    <row r="30" spans="1:105" s="320" customFormat="1" x14ac:dyDescent="0.25">
      <c r="A30" s="297">
        <f>ROW(DeemedDashboard[[#This Row],[Index]])-ROW(DeemedDashboard[[#Headers],[Index]])</f>
        <v>21</v>
      </c>
      <c r="B30" s="298"/>
      <c r="C30" s="321"/>
      <c r="D30" s="403"/>
      <c r="E30" s="403"/>
      <c r="F30" s="403"/>
      <c r="G30" s="403"/>
      <c r="H30" s="365"/>
      <c r="I30" s="339"/>
      <c r="J30" s="339"/>
      <c r="K30" s="339"/>
      <c r="L30" s="322"/>
      <c r="M30" s="322"/>
      <c r="N30" s="322"/>
      <c r="O3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0" s="582" t="str" cm="1">
        <f t="array" ref="R30">IFERROR(IF(DeemedDashboard[[#This Row],[Msr device type]]=const_device_nonrefrig,0,INDEX(_xlfn.SWITCH($E$4,const_20_yr,GWP_Values_20_year_AR4,const_100_yr,GWP_Values_100_year_AR4),MATCH(DeemedDashboard[[#This Row],[Msr refrigerant Type]],RefrigDropdownList,0))),"")</f>
        <v/>
      </c>
      <c r="S30" s="582" t="str" cm="1">
        <f t="array" ref="S30">IFERROR(IF(DeemedDashboard[[#This Row],[Std device type]]=const_device_nonrefrig,0,INDEX(_xlfn.SWITCH($E$4,const_20_yr,GWP_Values_20_year_AR4,const_100_yr,GWP_Values_100_year_AR4),MATCH(DeemedDashboard[[#This Row],[Std refrigerant Type]],RefrigDropdownList,0))),"")</f>
        <v/>
      </c>
      <c r="T30" s="582" t="str" cm="1">
        <f t="array" ref="T30">IFERROR(IF(DeemedDashboard[[#This Row],[Pre/Ext device type]]=const_device_nonrefrig,0,INDEX(_xlfn.SWITCH($E$4,const_20_yr,GWP_Values_20_year_AR4,const_100_yr,GWP_Values_100_year_AR4),MATCH(DeemedDashboard[[#This Row],[Pre/Ext refrigerant Type]],RefrigDropdownList,0))),"")</f>
        <v/>
      </c>
      <c r="U3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0" s="326" t="str">
        <f>IFERROR(IF(DeemedDashboard[[#This Row],[Msr device type]]=const_userspec,IF(ISBLANK(User_Specified_Refrigerant[[#This Row],[Msr t_EOL]]),"",User_Specified_Refrigerant[[#This Row],[Msr t_EOL]]),INDEX(TechGroup_NormUnit_Table[t_EOL],MATCH(DeemedDashboard[[#This Row],[Msr device type]],DropdownRefrigTech,0))),"")</f>
        <v/>
      </c>
      <c r="AB30" s="326" t="str">
        <f>IFERROR(IF(DeemedDashboard[[#This Row],[Std device type]]=const_userspec,IF(ISBLANK(User_Specified_Refrigerant[[#This Row],[Std t_EOL]]),"",User_Specified_Refrigerant[[#This Row],[Std t_EOL]]),INDEX(TechGroup_NormUnit_Table[t_EOL],MATCH(DeemedDashboard[[#This Row],[Std device type]],DropdownRefrigTech,0))),"")</f>
        <v/>
      </c>
      <c r="AC3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0" s="395" t="str">
        <f>IF(ISBLANK(DeemedDashboard[[#This Row],[MeasAppType]]),"",$E$2)</f>
        <v/>
      </c>
      <c r="AE30" s="395" t="str">
        <f>IFERROR(IF(ISBLANK(DeemedDashboard[[#This Row],[MeasAppType]]),NA(),DeemedDashboard[[#This Row],[Measure Start Year]]+DeemedDashboard[[#This Row],[Msr EUL rounded]]-1),"")</f>
        <v/>
      </c>
      <c r="AF30" s="323" t="str">
        <f>IF(ISBLANK(DeemedDashboard[[#This Row],[Measure New Device EUL]]),"",ROUND(DeemedDashboard[[#This Row],[Measure New Device EUL]],0))</f>
        <v/>
      </c>
      <c r="AG30" s="323" t="str">
        <f>IF(ISBLANK(DeemedDashboard[[#This Row],[Counterfactual New Device EUL]]),"",ROUND(DeemedDashboard[[#This Row],[Counterfactual New Device EUL]],0))</f>
        <v/>
      </c>
      <c r="AH30" s="323" t="str">
        <f>IF(ISBLANK(DeemedDashboard[[#This Row],[Existing Device EUL]]),"",ROUND(DeemedDashboard[[#This Row],[Existing Device EUL]],0))</f>
        <v/>
      </c>
      <c r="AI30" s="323" t="str">
        <f>IF(ISBLANK(DeemedDashboard[[#This Row],[Existing Device RUL or AR First Baseline Life]]),"",ROUND(DeemedDashboard[[#This Row],[Existing Device RUL or AR First Baseline Life]],0))</f>
        <v/>
      </c>
      <c r="AJ30" s="327" t="str">
        <f>DeemedDashboard[[#This Row],[Measure Start Year]]</f>
        <v/>
      </c>
      <c r="AK30" s="327" t="str">
        <f>IF(DeemedDashboard[[#This Row],[MeasAppType]]&lt;&gt;const_AR,DeemedDashboard[[#This Row],[Measure Start Year]],DeemedDashboard[[#This Row],[Ext Device Retire-ment Year]]+1)</f>
        <v/>
      </c>
      <c r="AL30" s="327" t="str">
        <f>IFERROR(IF(DeemedDashboard[[#This Row],[MeasAppType]]=const_AR,DeemedDashboard[[#This Row],[Measure Start Year]]-(DeemedDashboard[[#This Row],[Existing Device EUL]]-DeemedDashboard[[#This Row],[Existing Device RUL or AR First Baseline Life]]),NA()),"")</f>
        <v/>
      </c>
      <c r="AM30" s="327" t="str">
        <f>DeemedDashboard[[#This Row],[Pre Device Install Year]]</f>
        <v/>
      </c>
      <c r="AN30" s="327" t="str">
        <f>IFERROR(IF(ISBLANK(DeemedDashboard[[#This Row],[MeasAppType]]),NA(),DeemedDashboard[[#This Row],[Measure Start Year]]+DeemedDashboard[[#This Row],[Msr EUL rounded]]-1),"")</f>
        <v/>
      </c>
      <c r="AO30" s="327" t="str">
        <f>IFERROR(DeemedDashboard[[#This Row],[Std Device Install Year]]+DeemedDashboard[[#This Row],[Counterfactual New Device EUL]]-1,"")</f>
        <v/>
      </c>
      <c r="AP30" s="327" t="str">
        <f>IFERROR(IF(AND(DeemedDashboard[[#This Row],[MeasAppType]]=const_AR,DeemedDashboard[[#This Row],[Measure Start Year]]&lt;(DeemedDashboard[[#This Row],[Pre Device Install Year]]+DeemedDashboard[[#This Row],[Existing Device EUL]]-1)),DeemedDashboard[[#This Row],[Measure Start Year]]-1,NA()),"")</f>
        <v/>
      </c>
      <c r="AQ30" s="327" t="str">
        <f>IFERROR(IF(DeemedDashboard[[#This Row],[MeasAppType]]=const_AR,DeemedDashboard[[#This Row],[Ext Device Install Year]]+DeemedDashboard[[#This Row],[Existing Device EUL]]-1,NA()),"")</f>
        <v/>
      </c>
      <c r="AR30" s="327" t="str">
        <f>IFERROR(IF(ISBLANK(DeemedDashboard[[#This Row],[MeasAppType]]),NA(),0),"")</f>
        <v/>
      </c>
      <c r="AS30" s="327" t="str">
        <f>IFERROR(IF(ISBLANK(DeemedDashboard[[#This Row],[MeasAppType]]),NA(),0),"")</f>
        <v/>
      </c>
      <c r="AT30" s="327" t="str">
        <f>IF(ISBLANK(DeemedDashboard[[#This Row],[MeasAppType]]),"",IF(DeemedDashboard[[#This Row],[MeasAppType]]&lt;&gt;const_AR,"",(DeemedDashboard[[#This Row],[Pre Device Install Year]]+DeemedDashboard[[#This Row],[Existing Device EUL]]-1)-DeemedDashboard[[#This Row],[Pre Device Retire-ment Year]]))</f>
        <v/>
      </c>
      <c r="AU30" s="327" t="str">
        <f>IF(ISBLANK(DeemedDashboard[[#This Row],[MeasAppType]]),"",IF(DeemedDashboard[[#This Row],[MeasAppType]]=const_AR,0,""))</f>
        <v/>
      </c>
      <c r="AV30" s="328" t="str">
        <f>IF(ISBLANK(DeemedDashboard[[#This Row],[MeasAppType]]),"",MAX((1+MIN(DeemedDashboard[[#This Row],[Msr Device Retire-ment Year]],DeemedDashboard[[#This Row],[Measure End 
Year]])-MAX(DeemedDashboard[[#This Row],[Msr Device Install Year]],DeemedDashboard[[#This Row],[Measure Start Year]])),0))</f>
        <v/>
      </c>
      <c r="AW30" s="328" t="str">
        <f>IF(ISBLANK(DeemedDashboard[[#This Row],[MeasAppType]]),"",MAX((1+MIN(DeemedDashboard[[#This Row],[Std Device Retire-ment Year]],DeemedDashboard[[#This Row],[Measure End 
Year]])-MAX(DeemedDashboard[[#This Row],[Std Device Install Year]],DeemedDashboard[[#This Row],[Measure Start Year]])),0))</f>
        <v/>
      </c>
      <c r="AX3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0"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0" s="329" t="str">
        <f>IF(ISBLANK(DeemedDashboard[[#This Row],[MeasAppType]]),"",IF(DeemedDashboard[[#This Row],[Msr Device Years Over-lapping with Measure Years]]=0,0,DeemedDashboard[[#This Row],[Msr Device Years Over-lapping with Measure Years]]/DeemedDashboard[[#This Row],[Msr EUL rounded]]))</f>
        <v/>
      </c>
      <c r="BA30" s="329" t="str">
        <f>IF(ISBLANK(DeemedDashboard[[#This Row],[MeasAppType]]),"",IF(DeemedDashboard[[#This Row],[Std Device Years Over-lapping with Measure Years]]=0,0,DeemedDashboard[[#This Row],[Std Device Years Over-lapping with Measure Years]]/DeemedDashboard[[#This Row],[Counterfactual New Device EUL]]))</f>
        <v/>
      </c>
      <c r="BB30" s="329" t="str">
        <f>IF(ISBLANK(DeemedDashboard[[#This Row],[MeasAppType]]),"",IFERROR(IF(DeemedDashboard[[#This Row],[Pre Device Years Over-lapping with Measure Years]]=0,0,DeemedDashboard[[#This Row],[Pre Device Years Over-lapping with Measure Years]]/DeemedDashboard[[#This Row],[Existing Device EUL]]),""))</f>
        <v/>
      </c>
      <c r="BC30" s="331" t="str">
        <f>IFERROR(IF(DeemedDashboard[[#This Row],[Ext Device Years Over-lapping with Measure Years]]=0,0,DeemedDashboard[[#This Row],[Ext Device Years Over-lapping with Measure Years]]/DeemedDashboard[[#This Row],[Existing Device EUL]]),"")</f>
        <v/>
      </c>
      <c r="BD30" s="329" t="str">
        <f>IFERROR(IF(DeemedDashboard[[#This Row],[Msr Number of Years device retired early]]=0,0,DeemedDashboard[[#This Row],[Msr Number of Years device retired early]]/DeemedDashboard[[#This Row],[Msr EUL rounded]]),"")</f>
        <v/>
      </c>
      <c r="BE30" s="329" t="str">
        <f>IFERROR(IF(DeemedDashboard[[#This Row],[Std Number of Years device retired early]]=0,0,DeemedDashboard[[#This Row],[Std Number of Years device retired early]]/DeemedDashboard[[#This Row],[Msr EUL rounded]]),"")</f>
        <v/>
      </c>
      <c r="BF30" s="329" t="str">
        <f>IFERROR(IF(DeemedDashboard[[#This Row],[MeasAppType]]&lt;&gt;const_AR,"",IF(DeemedDashboard[[#This Row],[Pre Number of Years device retired early]]=0,0,DeemedDashboard[[#This Row],[Pre Number of Years device retired early]]/DeemedDashboard[[#This Row],[Existing Device EUL]])),"")</f>
        <v/>
      </c>
      <c r="BG30" s="331" t="str">
        <f>IFERROR(IF(DeemedDashboard[[#This Row],[Ext Number of Years device retired early]]=0,0,DeemedDashboard[[#This Row],[Ext Number of Years device retired early]]/DeemedDashboard[[#This Row],[Existing Device EUL]]),"")</f>
        <v/>
      </c>
      <c r="BH30" s="325" t="str">
        <f>IFERROR(1-DeemedDashboard[[#This Row],[Msr annual refrigerant leakage %]]*DeemedDashboard[[#This Row],[Msr t_EOL]],"")</f>
        <v/>
      </c>
      <c r="BI30" s="325" t="str">
        <f>IFERROR(1-DeemedDashboard[[#This Row],[Std annual refrigerant leakage %]]*DeemedDashboard[[#This Row],[Std t_EOL]],"")</f>
        <v/>
      </c>
      <c r="BJ30" s="325" t="str">
        <f>IFERROR(1-DeemedDashboard[[#This Row],[Pre/Ext annual refrigerant leakage %]]*DeemedDashboard[[#This Row],[Pre/Ext t_EOL]],"")</f>
        <v/>
      </c>
      <c r="BK30" s="325" t="str">
        <f>IFERROR(1-DeemedDashboard[[#This Row],[Pre/Ext annual refrigerant leakage %]]*DeemedDashboard[[#This Row],[Pre/Ext t_EOL]],"")</f>
        <v/>
      </c>
      <c r="BL30" s="325" t="str">
        <f>IFERROR(DeemedDashboard[[#This Row],[Msr charging remaining (%)]]*DeemedDashboard[[#This Row],[Msr gross EOL refrigerant leakage %]],"")</f>
        <v/>
      </c>
      <c r="BM30" s="325" t="str">
        <f>IFERROR(DeemedDashboard[[#This Row],[Std charging remaining (%)]]*DeemedDashboard[[#This Row],[Std gross EOL refrigerant leakage %]],"")</f>
        <v/>
      </c>
      <c r="BN30" s="325" t="str">
        <f>IFERROR(DeemedDashboard[[#This Row],[Pre charging remaining (%)]]*DeemedDashboard[[#This Row],[Pre/Ext gross EOL refrigerant leakage %]],"")</f>
        <v/>
      </c>
      <c r="BO30" s="325" t="str">
        <f>IFERROR(DeemedDashboard[[#This Row],[Ext charging remaining (%)]]*DeemedDashboard[[#This Row],[Pre/Ext gross EOL refrigerant leakage %]],"")</f>
        <v/>
      </c>
      <c r="BP30" s="330" t="str">
        <f>IFERROR((DeemedDashboard[[#This Row],[Msr refrigerant charge (lb) per NormUnit]]/pounds_per_metric_ton)*DeemedDashboard[[#This Row],[Msr annual refrigerant leakage %]]*DeemedDashboard[[#This Row],[Msr GWP]],"")</f>
        <v/>
      </c>
      <c r="BQ30" s="330" t="str">
        <f>IFERROR((DeemedDashboard[[#This Row],[Std refrigerant charge (lb) per NormUnit]]/pounds_per_metric_ton)*DeemedDashboard[[#This Row],[Std annual refrigerant leakage %]]*DeemedDashboard[[#This Row],[Std GWP]],"")</f>
        <v/>
      </c>
      <c r="BR30" s="330" t="str">
        <f>IF(DeemedDashboard[[#This Row],[MeasAppType]]=const_AR,(DeemedDashboard[[#This Row],[Pre/Ext refrigerant charge (lb) per NormUnit]]/pounds_per_metric_ton)*DeemedDashboard[[#This Row],[Pre/Ext annual refrigerant leakage %]]*DeemedDashboard[[#This Row],[Pre/Ext GWP]],"")</f>
        <v/>
      </c>
      <c r="BS30" s="330" t="str">
        <f>IF(DeemedDashboard[[#This Row],[MeasAppType]]=const_AR,(DeemedDashboard[[#This Row],[Pre/Ext refrigerant charge (lb) per NormUnit]]/pounds_per_metric_ton)*DeemedDashboard[[#This Row],[Pre/Ext annual refrigerant leakage %]]*DeemedDashboard[[#This Row],[Pre/Ext GWP]],"")</f>
        <v/>
      </c>
      <c r="BT30" s="330" t="str">
        <f>IFERROR((DeemedDashboard[[#This Row],[Msr refrigerant charge (lb) per NormUnit]]/pounds_per_metric_ton)*DeemedDashboard[[#This Row],[Msr net EOL refrigerant leakage (%)]]*DeemedDashboard[[#This Row],[Msr GWP]],"")</f>
        <v/>
      </c>
      <c r="BU30" s="330" t="str">
        <f>IFERROR((DeemedDashboard[[#This Row],[Std refrigerant charge (lb) per NormUnit]]/pounds_per_metric_ton)*DeemedDashboard[[#This Row],[Std net EOL refrigerant leakage (%)]]*DeemedDashboard[[#This Row],[Std GWP]],"")</f>
        <v/>
      </c>
      <c r="BV30" s="330" t="str">
        <f>IFERROR((DeemedDashboard[[#This Row],[Pre/Ext refrigerant charge (lb) per NormUnit]]/pounds_per_metric_ton)*DeemedDashboard[[#This Row],[Pre net EOL refrigerant leakage (%)]]*DeemedDashboard[[#This Row],[Pre/Ext GWP]],"")</f>
        <v/>
      </c>
      <c r="BW30" s="330" t="str">
        <f>IFERROR((DeemedDashboard[[#This Row],[Pre/Ext refrigerant charge (lb) per NormUnit]]/pounds_per_metric_ton)*DeemedDashboard[[#This Row],[Ext net EOL refrigerant leakage (%)]]*DeemedDashboard[[#This Row],[Pre/Ext GWP]],"")</f>
        <v/>
      </c>
      <c r="BX30" s="299" t="str" cm="1">
        <f t="array" aca="1" ref="BX3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0" s="305" t="str" cm="1">
        <f t="array" aca="1" ref="BY3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0" s="299" t="str">
        <f>IFERROR(IF(OR(DeemedDashboard[[#This Row],[MeasAppType]]&lt;&gt;const_AR,ISBLANK(DeemedDashboard[[#This Row],[MeasAppType]])),NA(),0),"")</f>
        <v/>
      </c>
      <c r="CA30" s="305" t="str" cm="1">
        <f t="array" aca="1" ref="CA3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0" s="296" t="str">
        <f ca="1">IFERROR((DeemedDashboard[[#This Row],[Msr EOL leakage tons CO2e]]*OFFSET(GHG_Adder_dollar_per_tonne,0,(DeemedDashboard[[#This Row],[Msr Device Retire-ment Year]]-DY+1),1,1))/(1+WACC)^(DeemedDashboard[[#This Row],[Msr Device Retire-ment Year]]-DeemedDashboard[[#This Row],[Measure Start Year]]+0.5),"")</f>
        <v/>
      </c>
      <c r="CC30" s="296" t="str">
        <f ca="1">IFERROR((DeemedDashboard[[#This Row],[Std EOL leakage tons CO2e]]*OFFSET(GHG_Adder_dollar_per_tonne,0,(DeemedDashboard[[#This Row],[Std Device Retire-ment Year]]-DY+1),1,1))/(1+WACC)^(DeemedDashboard[[#This Row],[Std Device Retire-ment Year]]-DeemedDashboard[[#This Row],[Measure Start Year]]+0.5),"")</f>
        <v/>
      </c>
      <c r="CD30" s="296" t="str">
        <f ca="1">IFERROR((DeemedDashboard[[#This Row],[Pre EOL leakage tons CO2e]]*OFFSET(GHG_Adder_dollar_per_tonne,0,(DeemedDashboard[[#This Row],[Measure Start Year]]-DY),1,1))/(1+WACC)^(-0.5),"")</f>
        <v/>
      </c>
      <c r="CE3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0" s="296" t="str">
        <f ca="1">IFERROR(DeemedDashboard[[#This Row],[Msr NPV Cost of Annual Leakage]]/(1+ACC_Inflation_Rate)^(DeemedDashboard[[#This Row],[Measure Start Year]]-DY),"")</f>
        <v/>
      </c>
      <c r="CG30" s="296" t="str">
        <f ca="1">IFERROR(DeemedDashboard[[#This Row],[Std NPV Cost of Annual Leakage]]/(1+ACC_Inflation_Rate)^(DeemedDashboard[[#This Row],[Measure Start Year]]-DY),"")</f>
        <v/>
      </c>
      <c r="CH30" s="296" t="str">
        <f>IFERROR(IF(ISBLANK(DeemedDashboard[[#This Row],[MeasAppType]]),NA(),IF(DeemedDashboard[[#This Row],[MeasAppType]]=const_AR,DeemedDashboard[[#This Row],[Pre NPV Cost of Annual Leakage]]/(1+ACC_Inflation_Rate)^(DeemedDashboard[[#This Row],[Measure Start Year]]-DY),"")),"")</f>
        <v/>
      </c>
      <c r="CI30" s="296" t="str">
        <f>IFERROR(IF(ISBLANK(DeemedDashboard[[#This Row],[MeasAppType]]),NA(),IF(DeemedDashboard[[#This Row],[MeasAppType]]=const_AR,DeemedDashboard[[#This Row],[Ext NPV Cost of Annual Leakage]]/(1+ACC_Inflation_Rate)^(DeemedDashboard[[#This Row],[Measure Start Year]]-DY),"")),"")</f>
        <v/>
      </c>
      <c r="CJ30" s="296" t="str">
        <f ca="1">IFERROR((DeemedDashboard[[#This Row],[Msr % of device lifetime during measure years]]+DeemedDashboard[[#This Row],[Msr % of device lifetime retired early]])*DeemedDashboard[[#This Row],[Msr NPV Cost of EOL Leakage]]/(1+ACC_Inflation_Rate)^(DeemedDashboard[[#This Row],[Measure Start Year]]-DY),"")</f>
        <v/>
      </c>
      <c r="CK30" s="296" t="str">
        <f ca="1">IFERROR((DeemedDashboard[[#This Row],[Std % of device lifetime during measure years]]+DeemedDashboard[[#This Row],[Std % of device lifetime retired early]])*DeemedDashboard[[#This Row],[Std NPV Cost of EOL Leakage]]/(1+ACC_Inflation_Rate)^(DeemedDashboard[[#This Row],[Measure Start Year]]-DY),"")</f>
        <v/>
      </c>
      <c r="CL3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0" s="299" t="str">
        <f ca="1">IFERROR(DeemedDashboard[[#This Row],[Counter-factual total 
NPV cost]]-DeemedDashboard[[#This Row],[Measure total 
NPV cost]],"")</f>
        <v/>
      </c>
      <c r="CQ30" s="299" t="str">
        <f>IF(ISBLANK(DeemedDashboard[[#This Row],[MeasAppType]]),"",DeemedDashboard[[#This Row],[Refrigerant
NPV costs
avoided]]&gt;0)</f>
        <v/>
      </c>
      <c r="CR30" s="299" t="str">
        <f ca="1">IFERROR(DeemedDashboard[[#This Row],[Msr Adj NPV Cost of Annual Leakage]]+DeemedDashboard[[#This Row],[Msr Adj NPV Cost of EOL Leakage]],"")</f>
        <v/>
      </c>
      <c r="CS30" s="299" t="str">
        <f ca="1">IFERROR(DeemedDashboard[[#This Row],[Std Adj NPV Cost of Annual Leakage]]+DeemedDashboard[[#This Row],[Std Adj NPV Cost of EOL Leakage]],"")</f>
        <v/>
      </c>
      <c r="CT30" s="299" t="str">
        <f>IFERROR(IF((DeemedDashboard[[#This Row],[Pre Adj NPV Cost of Annual Leakage]]+DeemedDashboard[[#This Row],[Pre Adj NPV Cost of EOL Leakage]])=0,"",DeemedDashboard[[#This Row],[Pre Adj NPV Cost of Annual Leakage]]+DeemedDashboard[[#This Row],[Pre Adj NPV Cost of EOL Leakage]]),"")</f>
        <v/>
      </c>
      <c r="CU30" s="299" t="str">
        <f>IFERROR(IF((DeemedDashboard[[#This Row],[Ext Adj NPV Cost of Annual Leakage]]+DeemedDashboard[[#This Row],[Ext Adj NPV Cost of EOL Leakage]])=0,"",DeemedDashboard[[#This Row],[Ext Adj NPV Cost of Annual Leakage]]+DeemedDashboard[[#This Row],[Ext Adj NPV Cost of EOL Leakage]]),"")</f>
        <v/>
      </c>
      <c r="CV30" s="299" t="str">
        <f>IFERROR(IF(DeemedDashboard[[#This Row],[Is Avoided Net Cost &gt;0?]],"",-DeemedDashboard[[#This Row],[Refrigerant
NPV costs
avoided]]),"")</f>
        <v/>
      </c>
      <c r="CW30" s="299" t="str">
        <f>IFERROR(IF(DeemedDashboard[[#This Row],[Is Avoided Net Cost &gt;0?]],DeemedDashboard[[#This Row],[Refrigerant
NPV costs
avoided]],""),"")</f>
        <v/>
      </c>
      <c r="CX30" s="391">
        <f ca="1">IFERROR(MATCH(DeemedDashboard[[#This Row],[TechGroup and NormUnit]],TechGroup_and_NormUnit,0),1)</f>
        <v>1</v>
      </c>
      <c r="CY30" s="391" cm="1">
        <f t="array" aca="1" ref="CY30" ca="1">IFERROR(INDEX(TGRows,DeemedDashboard[[#This Row],[TGIndex]]),"")</f>
        <v>2</v>
      </c>
      <c r="CZ30" s="391">
        <f ca="1">IF(DeemedDashboard[[#This Row],[MeasAppType]]=const_AR,DeemedDashboard[[#This Row],[TGRows]],DeemedDashboard[[#This Row],[TGRows]]+1)</f>
        <v>3</v>
      </c>
      <c r="DA30" s="391" t="str">
        <f>IF(ISBLANK(DeemedDashboard[[#This Row],[MeasAppType]]),"",IF(DeemedDashboard[[#This Row],[Index]]=User_Specified_Refrigerant[[#This Row],[Index]],"OK","ERROR"))</f>
        <v/>
      </c>
    </row>
    <row r="31" spans="1:105" s="320" customFormat="1" x14ac:dyDescent="0.25">
      <c r="A31" s="297">
        <f>ROW(DeemedDashboard[[#This Row],[Index]])-ROW(DeemedDashboard[[#Headers],[Index]])</f>
        <v>22</v>
      </c>
      <c r="B31" s="298"/>
      <c r="C31" s="321"/>
      <c r="D31" s="403"/>
      <c r="E31" s="403"/>
      <c r="F31" s="403"/>
      <c r="G31" s="403"/>
      <c r="H31" s="365"/>
      <c r="I31" s="339"/>
      <c r="J31" s="339"/>
      <c r="K31" s="339"/>
      <c r="L31" s="322"/>
      <c r="M31" s="322"/>
      <c r="N31" s="322"/>
      <c r="O3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1" s="582" t="str" cm="1">
        <f t="array" ref="R31">IFERROR(IF(DeemedDashboard[[#This Row],[Msr device type]]=const_device_nonrefrig,0,INDEX(_xlfn.SWITCH($E$4,const_20_yr,GWP_Values_20_year_AR4,const_100_yr,GWP_Values_100_year_AR4),MATCH(DeemedDashboard[[#This Row],[Msr refrigerant Type]],RefrigDropdownList,0))),"")</f>
        <v/>
      </c>
      <c r="S31" s="582" t="str" cm="1">
        <f t="array" ref="S31">IFERROR(IF(DeemedDashboard[[#This Row],[Std device type]]=const_device_nonrefrig,0,INDEX(_xlfn.SWITCH($E$4,const_20_yr,GWP_Values_20_year_AR4,const_100_yr,GWP_Values_100_year_AR4),MATCH(DeemedDashboard[[#This Row],[Std refrigerant Type]],RefrigDropdownList,0))),"")</f>
        <v/>
      </c>
      <c r="T31" s="582" t="str" cm="1">
        <f t="array" ref="T31">IFERROR(IF(DeemedDashboard[[#This Row],[Pre/Ext device type]]=const_device_nonrefrig,0,INDEX(_xlfn.SWITCH($E$4,const_20_yr,GWP_Values_20_year_AR4,const_100_yr,GWP_Values_100_year_AR4),MATCH(DeemedDashboard[[#This Row],[Pre/Ext refrigerant Type]],RefrigDropdownList,0))),"")</f>
        <v/>
      </c>
      <c r="U3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1" s="326" t="str">
        <f>IFERROR(IF(DeemedDashboard[[#This Row],[Msr device type]]=const_userspec,IF(ISBLANK(User_Specified_Refrigerant[[#This Row],[Msr t_EOL]]),"",User_Specified_Refrigerant[[#This Row],[Msr t_EOL]]),INDEX(TechGroup_NormUnit_Table[t_EOL],MATCH(DeemedDashboard[[#This Row],[Msr device type]],DropdownRefrigTech,0))),"")</f>
        <v/>
      </c>
      <c r="AB31" s="326" t="str">
        <f>IFERROR(IF(DeemedDashboard[[#This Row],[Std device type]]=const_userspec,IF(ISBLANK(User_Specified_Refrigerant[[#This Row],[Std t_EOL]]),"",User_Specified_Refrigerant[[#This Row],[Std t_EOL]]),INDEX(TechGroup_NormUnit_Table[t_EOL],MATCH(DeemedDashboard[[#This Row],[Std device type]],DropdownRefrigTech,0))),"")</f>
        <v/>
      </c>
      <c r="AC3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1" s="395" t="str">
        <f>IF(ISBLANK(DeemedDashboard[[#This Row],[MeasAppType]]),"",$E$2)</f>
        <v/>
      </c>
      <c r="AE31" s="395" t="str">
        <f>IFERROR(IF(ISBLANK(DeemedDashboard[[#This Row],[MeasAppType]]),NA(),DeemedDashboard[[#This Row],[Measure Start Year]]+DeemedDashboard[[#This Row],[Msr EUL rounded]]-1),"")</f>
        <v/>
      </c>
      <c r="AF31" s="323" t="str">
        <f>IF(ISBLANK(DeemedDashboard[[#This Row],[Measure New Device EUL]]),"",ROUND(DeemedDashboard[[#This Row],[Measure New Device EUL]],0))</f>
        <v/>
      </c>
      <c r="AG31" s="323" t="str">
        <f>IF(ISBLANK(DeemedDashboard[[#This Row],[Counterfactual New Device EUL]]),"",ROUND(DeemedDashboard[[#This Row],[Counterfactual New Device EUL]],0))</f>
        <v/>
      </c>
      <c r="AH31" s="323" t="str">
        <f>IF(ISBLANK(DeemedDashboard[[#This Row],[Existing Device EUL]]),"",ROUND(DeemedDashboard[[#This Row],[Existing Device EUL]],0))</f>
        <v/>
      </c>
      <c r="AI31" s="323" t="str">
        <f>IF(ISBLANK(DeemedDashboard[[#This Row],[Existing Device RUL or AR First Baseline Life]]),"",ROUND(DeemedDashboard[[#This Row],[Existing Device RUL or AR First Baseline Life]],0))</f>
        <v/>
      </c>
      <c r="AJ31" s="327" t="str">
        <f>DeemedDashboard[[#This Row],[Measure Start Year]]</f>
        <v/>
      </c>
      <c r="AK31" s="327" t="str">
        <f>IF(DeemedDashboard[[#This Row],[MeasAppType]]&lt;&gt;const_AR,DeemedDashboard[[#This Row],[Measure Start Year]],DeemedDashboard[[#This Row],[Ext Device Retire-ment Year]]+1)</f>
        <v/>
      </c>
      <c r="AL31" s="327" t="str">
        <f>IFERROR(IF(DeemedDashboard[[#This Row],[MeasAppType]]=const_AR,DeemedDashboard[[#This Row],[Measure Start Year]]-(DeemedDashboard[[#This Row],[Existing Device EUL]]-DeemedDashboard[[#This Row],[Existing Device RUL or AR First Baseline Life]]),NA()),"")</f>
        <v/>
      </c>
      <c r="AM31" s="327" t="str">
        <f>DeemedDashboard[[#This Row],[Pre Device Install Year]]</f>
        <v/>
      </c>
      <c r="AN31" s="327" t="str">
        <f>IFERROR(IF(ISBLANK(DeemedDashboard[[#This Row],[MeasAppType]]),NA(),DeemedDashboard[[#This Row],[Measure Start Year]]+DeemedDashboard[[#This Row],[Msr EUL rounded]]-1),"")</f>
        <v/>
      </c>
      <c r="AO31" s="327" t="str">
        <f>IFERROR(DeemedDashboard[[#This Row],[Std Device Install Year]]+DeemedDashboard[[#This Row],[Counterfactual New Device EUL]]-1,"")</f>
        <v/>
      </c>
      <c r="AP31" s="327" t="str">
        <f>IFERROR(IF(AND(DeemedDashboard[[#This Row],[MeasAppType]]=const_AR,DeemedDashboard[[#This Row],[Measure Start Year]]&lt;(DeemedDashboard[[#This Row],[Pre Device Install Year]]+DeemedDashboard[[#This Row],[Existing Device EUL]]-1)),DeemedDashboard[[#This Row],[Measure Start Year]]-1,NA()),"")</f>
        <v/>
      </c>
      <c r="AQ31" s="327" t="str">
        <f>IFERROR(IF(DeemedDashboard[[#This Row],[MeasAppType]]=const_AR,DeemedDashboard[[#This Row],[Ext Device Install Year]]+DeemedDashboard[[#This Row],[Existing Device EUL]]-1,NA()),"")</f>
        <v/>
      </c>
      <c r="AR31" s="327" t="str">
        <f>IFERROR(IF(ISBLANK(DeemedDashboard[[#This Row],[MeasAppType]]),NA(),0),"")</f>
        <v/>
      </c>
      <c r="AS31" s="327" t="str">
        <f>IFERROR(IF(ISBLANK(DeemedDashboard[[#This Row],[MeasAppType]]),NA(),0),"")</f>
        <v/>
      </c>
      <c r="AT31" s="327" t="str">
        <f>IF(ISBLANK(DeemedDashboard[[#This Row],[MeasAppType]]),"",IF(DeemedDashboard[[#This Row],[MeasAppType]]&lt;&gt;const_AR,"",(DeemedDashboard[[#This Row],[Pre Device Install Year]]+DeemedDashboard[[#This Row],[Existing Device EUL]]-1)-DeemedDashboard[[#This Row],[Pre Device Retire-ment Year]]))</f>
        <v/>
      </c>
      <c r="AU31" s="327" t="str">
        <f>IF(ISBLANK(DeemedDashboard[[#This Row],[MeasAppType]]),"",IF(DeemedDashboard[[#This Row],[MeasAppType]]=const_AR,0,""))</f>
        <v/>
      </c>
      <c r="AV31" s="328" t="str">
        <f>IF(ISBLANK(DeemedDashboard[[#This Row],[MeasAppType]]),"",MAX((1+MIN(DeemedDashboard[[#This Row],[Msr Device Retire-ment Year]],DeemedDashboard[[#This Row],[Measure End 
Year]])-MAX(DeemedDashboard[[#This Row],[Msr Device Install Year]],DeemedDashboard[[#This Row],[Measure Start Year]])),0))</f>
        <v/>
      </c>
      <c r="AW31" s="328" t="str">
        <f>IF(ISBLANK(DeemedDashboard[[#This Row],[MeasAppType]]),"",MAX((1+MIN(DeemedDashboard[[#This Row],[Std Device Retire-ment Year]],DeemedDashboard[[#This Row],[Measure End 
Year]])-MAX(DeemedDashboard[[#This Row],[Std Device Install Year]],DeemedDashboard[[#This Row],[Measure Start Year]])),0))</f>
        <v/>
      </c>
      <c r="AX3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1"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1" s="329" t="str">
        <f>IF(ISBLANK(DeemedDashboard[[#This Row],[MeasAppType]]),"",IF(DeemedDashboard[[#This Row],[Msr Device Years Over-lapping with Measure Years]]=0,0,DeemedDashboard[[#This Row],[Msr Device Years Over-lapping with Measure Years]]/DeemedDashboard[[#This Row],[Msr EUL rounded]]))</f>
        <v/>
      </c>
      <c r="BA31" s="329" t="str">
        <f>IF(ISBLANK(DeemedDashboard[[#This Row],[MeasAppType]]),"",IF(DeemedDashboard[[#This Row],[Std Device Years Over-lapping with Measure Years]]=0,0,DeemedDashboard[[#This Row],[Std Device Years Over-lapping with Measure Years]]/DeemedDashboard[[#This Row],[Counterfactual New Device EUL]]))</f>
        <v/>
      </c>
      <c r="BB31" s="329" t="str">
        <f>IF(ISBLANK(DeemedDashboard[[#This Row],[MeasAppType]]),"",IFERROR(IF(DeemedDashboard[[#This Row],[Pre Device Years Over-lapping with Measure Years]]=0,0,DeemedDashboard[[#This Row],[Pre Device Years Over-lapping with Measure Years]]/DeemedDashboard[[#This Row],[Existing Device EUL]]),""))</f>
        <v/>
      </c>
      <c r="BC31" s="331" t="str">
        <f>IFERROR(IF(DeemedDashboard[[#This Row],[Ext Device Years Over-lapping with Measure Years]]=0,0,DeemedDashboard[[#This Row],[Ext Device Years Over-lapping with Measure Years]]/DeemedDashboard[[#This Row],[Existing Device EUL]]),"")</f>
        <v/>
      </c>
      <c r="BD31" s="329" t="str">
        <f>IFERROR(IF(DeemedDashboard[[#This Row],[Msr Number of Years device retired early]]=0,0,DeemedDashboard[[#This Row],[Msr Number of Years device retired early]]/DeemedDashboard[[#This Row],[Msr EUL rounded]]),"")</f>
        <v/>
      </c>
      <c r="BE31" s="329" t="str">
        <f>IFERROR(IF(DeemedDashboard[[#This Row],[Std Number of Years device retired early]]=0,0,DeemedDashboard[[#This Row],[Std Number of Years device retired early]]/DeemedDashboard[[#This Row],[Msr EUL rounded]]),"")</f>
        <v/>
      </c>
      <c r="BF31" s="329" t="str">
        <f>IFERROR(IF(DeemedDashboard[[#This Row],[MeasAppType]]&lt;&gt;const_AR,"",IF(DeemedDashboard[[#This Row],[Pre Number of Years device retired early]]=0,0,DeemedDashboard[[#This Row],[Pre Number of Years device retired early]]/DeemedDashboard[[#This Row],[Existing Device EUL]])),"")</f>
        <v/>
      </c>
      <c r="BG31" s="331" t="str">
        <f>IFERROR(IF(DeemedDashboard[[#This Row],[Ext Number of Years device retired early]]=0,0,DeemedDashboard[[#This Row],[Ext Number of Years device retired early]]/DeemedDashboard[[#This Row],[Existing Device EUL]]),"")</f>
        <v/>
      </c>
      <c r="BH31" s="325" t="str">
        <f>IFERROR(1-DeemedDashboard[[#This Row],[Msr annual refrigerant leakage %]]*DeemedDashboard[[#This Row],[Msr t_EOL]],"")</f>
        <v/>
      </c>
      <c r="BI31" s="325" t="str">
        <f>IFERROR(1-DeemedDashboard[[#This Row],[Std annual refrigerant leakage %]]*DeemedDashboard[[#This Row],[Std t_EOL]],"")</f>
        <v/>
      </c>
      <c r="BJ31" s="325" t="str">
        <f>IFERROR(1-DeemedDashboard[[#This Row],[Pre/Ext annual refrigerant leakage %]]*DeemedDashboard[[#This Row],[Pre/Ext t_EOL]],"")</f>
        <v/>
      </c>
      <c r="BK31" s="325" t="str">
        <f>IFERROR(1-DeemedDashboard[[#This Row],[Pre/Ext annual refrigerant leakage %]]*DeemedDashboard[[#This Row],[Pre/Ext t_EOL]],"")</f>
        <v/>
      </c>
      <c r="BL31" s="325" t="str">
        <f>IFERROR(DeemedDashboard[[#This Row],[Msr charging remaining (%)]]*DeemedDashboard[[#This Row],[Msr gross EOL refrigerant leakage %]],"")</f>
        <v/>
      </c>
      <c r="BM31" s="325" t="str">
        <f>IFERROR(DeemedDashboard[[#This Row],[Std charging remaining (%)]]*DeemedDashboard[[#This Row],[Std gross EOL refrigerant leakage %]],"")</f>
        <v/>
      </c>
      <c r="BN31" s="325" t="str">
        <f>IFERROR(DeemedDashboard[[#This Row],[Pre charging remaining (%)]]*DeemedDashboard[[#This Row],[Pre/Ext gross EOL refrigerant leakage %]],"")</f>
        <v/>
      </c>
      <c r="BO31" s="325" t="str">
        <f>IFERROR(DeemedDashboard[[#This Row],[Ext charging remaining (%)]]*DeemedDashboard[[#This Row],[Pre/Ext gross EOL refrigerant leakage %]],"")</f>
        <v/>
      </c>
      <c r="BP31" s="330" t="str">
        <f>IFERROR((DeemedDashboard[[#This Row],[Msr refrigerant charge (lb) per NormUnit]]/pounds_per_metric_ton)*DeemedDashboard[[#This Row],[Msr annual refrigerant leakage %]]*DeemedDashboard[[#This Row],[Msr GWP]],"")</f>
        <v/>
      </c>
      <c r="BQ31" s="330" t="str">
        <f>IFERROR((DeemedDashboard[[#This Row],[Std refrigerant charge (lb) per NormUnit]]/pounds_per_metric_ton)*DeemedDashboard[[#This Row],[Std annual refrigerant leakage %]]*DeemedDashboard[[#This Row],[Std GWP]],"")</f>
        <v/>
      </c>
      <c r="BR31" s="330" t="str">
        <f>IF(DeemedDashboard[[#This Row],[MeasAppType]]=const_AR,(DeemedDashboard[[#This Row],[Pre/Ext refrigerant charge (lb) per NormUnit]]/pounds_per_metric_ton)*DeemedDashboard[[#This Row],[Pre/Ext annual refrigerant leakage %]]*DeemedDashboard[[#This Row],[Pre/Ext GWP]],"")</f>
        <v/>
      </c>
      <c r="BS31" s="330" t="str">
        <f>IF(DeemedDashboard[[#This Row],[MeasAppType]]=const_AR,(DeemedDashboard[[#This Row],[Pre/Ext refrigerant charge (lb) per NormUnit]]/pounds_per_metric_ton)*DeemedDashboard[[#This Row],[Pre/Ext annual refrigerant leakage %]]*DeemedDashboard[[#This Row],[Pre/Ext GWP]],"")</f>
        <v/>
      </c>
      <c r="BT31" s="330" t="str">
        <f>IFERROR((DeemedDashboard[[#This Row],[Msr refrigerant charge (lb) per NormUnit]]/pounds_per_metric_ton)*DeemedDashboard[[#This Row],[Msr net EOL refrigerant leakage (%)]]*DeemedDashboard[[#This Row],[Msr GWP]],"")</f>
        <v/>
      </c>
      <c r="BU31" s="330" t="str">
        <f>IFERROR((DeemedDashboard[[#This Row],[Std refrigerant charge (lb) per NormUnit]]/pounds_per_metric_ton)*DeemedDashboard[[#This Row],[Std net EOL refrigerant leakage (%)]]*DeemedDashboard[[#This Row],[Std GWP]],"")</f>
        <v/>
      </c>
      <c r="BV31" s="330" t="str">
        <f>IFERROR((DeemedDashboard[[#This Row],[Pre/Ext refrigerant charge (lb) per NormUnit]]/pounds_per_metric_ton)*DeemedDashboard[[#This Row],[Pre net EOL refrigerant leakage (%)]]*DeemedDashboard[[#This Row],[Pre/Ext GWP]],"")</f>
        <v/>
      </c>
      <c r="BW31" s="330" t="str">
        <f>IFERROR((DeemedDashboard[[#This Row],[Pre/Ext refrigerant charge (lb) per NormUnit]]/pounds_per_metric_ton)*DeemedDashboard[[#This Row],[Ext net EOL refrigerant leakage (%)]]*DeemedDashboard[[#This Row],[Pre/Ext GWP]],"")</f>
        <v/>
      </c>
      <c r="BX31" s="299" t="str" cm="1">
        <f t="array" aca="1" ref="BX3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1" s="305" t="str" cm="1">
        <f t="array" aca="1" ref="BY3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1" s="299" t="str">
        <f>IFERROR(IF(OR(DeemedDashboard[[#This Row],[MeasAppType]]&lt;&gt;const_AR,ISBLANK(DeemedDashboard[[#This Row],[MeasAppType]])),NA(),0),"")</f>
        <v/>
      </c>
      <c r="CA31" s="305" t="str" cm="1">
        <f t="array" aca="1" ref="CA3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1" s="296" t="str">
        <f ca="1">IFERROR((DeemedDashboard[[#This Row],[Msr EOL leakage tons CO2e]]*OFFSET(GHG_Adder_dollar_per_tonne,0,(DeemedDashboard[[#This Row],[Msr Device Retire-ment Year]]-DY+1),1,1))/(1+WACC)^(DeemedDashboard[[#This Row],[Msr Device Retire-ment Year]]-DeemedDashboard[[#This Row],[Measure Start Year]]+0.5),"")</f>
        <v/>
      </c>
      <c r="CC31" s="296" t="str">
        <f ca="1">IFERROR((DeemedDashboard[[#This Row],[Std EOL leakage tons CO2e]]*OFFSET(GHG_Adder_dollar_per_tonne,0,(DeemedDashboard[[#This Row],[Std Device Retire-ment Year]]-DY+1),1,1))/(1+WACC)^(DeemedDashboard[[#This Row],[Std Device Retire-ment Year]]-DeemedDashboard[[#This Row],[Measure Start Year]]+0.5),"")</f>
        <v/>
      </c>
      <c r="CD31" s="296" t="str">
        <f ca="1">IFERROR((DeemedDashboard[[#This Row],[Pre EOL leakage tons CO2e]]*OFFSET(GHG_Adder_dollar_per_tonne,0,(DeemedDashboard[[#This Row],[Measure Start Year]]-DY),1,1))/(1+WACC)^(-0.5),"")</f>
        <v/>
      </c>
      <c r="CE3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1" s="296" t="str">
        <f ca="1">IFERROR(DeemedDashboard[[#This Row],[Msr NPV Cost of Annual Leakage]]/(1+ACC_Inflation_Rate)^(DeemedDashboard[[#This Row],[Measure Start Year]]-DY),"")</f>
        <v/>
      </c>
      <c r="CG31" s="296" t="str">
        <f ca="1">IFERROR(DeemedDashboard[[#This Row],[Std NPV Cost of Annual Leakage]]/(1+ACC_Inflation_Rate)^(DeemedDashboard[[#This Row],[Measure Start Year]]-DY),"")</f>
        <v/>
      </c>
      <c r="CH31" s="296" t="str">
        <f>IFERROR(IF(ISBLANK(DeemedDashboard[[#This Row],[MeasAppType]]),NA(),IF(DeemedDashboard[[#This Row],[MeasAppType]]=const_AR,DeemedDashboard[[#This Row],[Pre NPV Cost of Annual Leakage]]/(1+ACC_Inflation_Rate)^(DeemedDashboard[[#This Row],[Measure Start Year]]-DY),"")),"")</f>
        <v/>
      </c>
      <c r="CI31" s="296" t="str">
        <f>IFERROR(IF(ISBLANK(DeemedDashboard[[#This Row],[MeasAppType]]),NA(),IF(DeemedDashboard[[#This Row],[MeasAppType]]=const_AR,DeemedDashboard[[#This Row],[Ext NPV Cost of Annual Leakage]]/(1+ACC_Inflation_Rate)^(DeemedDashboard[[#This Row],[Measure Start Year]]-DY),"")),"")</f>
        <v/>
      </c>
      <c r="CJ31" s="296" t="str">
        <f ca="1">IFERROR((DeemedDashboard[[#This Row],[Msr % of device lifetime during measure years]]+DeemedDashboard[[#This Row],[Msr % of device lifetime retired early]])*DeemedDashboard[[#This Row],[Msr NPV Cost of EOL Leakage]]/(1+ACC_Inflation_Rate)^(DeemedDashboard[[#This Row],[Measure Start Year]]-DY),"")</f>
        <v/>
      </c>
      <c r="CK31" s="296" t="str">
        <f ca="1">IFERROR((DeemedDashboard[[#This Row],[Std % of device lifetime during measure years]]+DeemedDashboard[[#This Row],[Std % of device lifetime retired early]])*DeemedDashboard[[#This Row],[Std NPV Cost of EOL Leakage]]/(1+ACC_Inflation_Rate)^(DeemedDashboard[[#This Row],[Measure Start Year]]-DY),"")</f>
        <v/>
      </c>
      <c r="CL3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1" s="299" t="str">
        <f ca="1">IFERROR(DeemedDashboard[[#This Row],[Counter-factual total 
NPV cost]]-DeemedDashboard[[#This Row],[Measure total 
NPV cost]],"")</f>
        <v/>
      </c>
      <c r="CQ31" s="299" t="str">
        <f>IF(ISBLANK(DeemedDashboard[[#This Row],[MeasAppType]]),"",DeemedDashboard[[#This Row],[Refrigerant
NPV costs
avoided]]&gt;0)</f>
        <v/>
      </c>
      <c r="CR31" s="299" t="str">
        <f ca="1">IFERROR(DeemedDashboard[[#This Row],[Msr Adj NPV Cost of Annual Leakage]]+DeemedDashboard[[#This Row],[Msr Adj NPV Cost of EOL Leakage]],"")</f>
        <v/>
      </c>
      <c r="CS31" s="299" t="str">
        <f ca="1">IFERROR(DeemedDashboard[[#This Row],[Std Adj NPV Cost of Annual Leakage]]+DeemedDashboard[[#This Row],[Std Adj NPV Cost of EOL Leakage]],"")</f>
        <v/>
      </c>
      <c r="CT31" s="299" t="str">
        <f>IFERROR(IF((DeemedDashboard[[#This Row],[Pre Adj NPV Cost of Annual Leakage]]+DeemedDashboard[[#This Row],[Pre Adj NPV Cost of EOL Leakage]])=0,"",DeemedDashboard[[#This Row],[Pre Adj NPV Cost of Annual Leakage]]+DeemedDashboard[[#This Row],[Pre Adj NPV Cost of EOL Leakage]]),"")</f>
        <v/>
      </c>
      <c r="CU31" s="299" t="str">
        <f>IFERROR(IF((DeemedDashboard[[#This Row],[Ext Adj NPV Cost of Annual Leakage]]+DeemedDashboard[[#This Row],[Ext Adj NPV Cost of EOL Leakage]])=0,"",DeemedDashboard[[#This Row],[Ext Adj NPV Cost of Annual Leakage]]+DeemedDashboard[[#This Row],[Ext Adj NPV Cost of EOL Leakage]]),"")</f>
        <v/>
      </c>
      <c r="CV31" s="299" t="str">
        <f>IFERROR(IF(DeemedDashboard[[#This Row],[Is Avoided Net Cost &gt;0?]],"",-DeemedDashboard[[#This Row],[Refrigerant
NPV costs
avoided]]),"")</f>
        <v/>
      </c>
      <c r="CW31" s="299" t="str">
        <f>IFERROR(IF(DeemedDashboard[[#This Row],[Is Avoided Net Cost &gt;0?]],DeemedDashboard[[#This Row],[Refrigerant
NPV costs
avoided]],""),"")</f>
        <v/>
      </c>
      <c r="CX31" s="391">
        <f ca="1">IFERROR(MATCH(DeemedDashboard[[#This Row],[TechGroup and NormUnit]],TechGroup_and_NormUnit,0),1)</f>
        <v>1</v>
      </c>
      <c r="CY31" s="391" cm="1">
        <f t="array" aca="1" ref="CY31" ca="1">IFERROR(INDEX(TGRows,DeemedDashboard[[#This Row],[TGIndex]]),"")</f>
        <v>2</v>
      </c>
      <c r="CZ31" s="391">
        <f ca="1">IF(DeemedDashboard[[#This Row],[MeasAppType]]=const_AR,DeemedDashboard[[#This Row],[TGRows]],DeemedDashboard[[#This Row],[TGRows]]+1)</f>
        <v>3</v>
      </c>
      <c r="DA31" s="391" t="str">
        <f>IF(ISBLANK(DeemedDashboard[[#This Row],[MeasAppType]]),"",IF(DeemedDashboard[[#This Row],[Index]]=User_Specified_Refrigerant[[#This Row],[Index]],"OK","ERROR"))</f>
        <v/>
      </c>
    </row>
    <row r="32" spans="1:105" s="320" customFormat="1" x14ac:dyDescent="0.25">
      <c r="A32" s="297">
        <f>ROW(DeemedDashboard[[#This Row],[Index]])-ROW(DeemedDashboard[[#Headers],[Index]])</f>
        <v>23</v>
      </c>
      <c r="B32" s="298"/>
      <c r="C32" s="321"/>
      <c r="D32" s="403"/>
      <c r="E32" s="403"/>
      <c r="F32" s="403"/>
      <c r="G32" s="403"/>
      <c r="H32" s="365"/>
      <c r="I32" s="339"/>
      <c r="J32" s="339"/>
      <c r="K32" s="339"/>
      <c r="L32" s="322"/>
      <c r="M32" s="322"/>
      <c r="N32" s="322"/>
      <c r="O3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2" s="582" t="str" cm="1">
        <f t="array" ref="R32">IFERROR(IF(DeemedDashboard[[#This Row],[Msr device type]]=const_device_nonrefrig,0,INDEX(_xlfn.SWITCH($E$4,const_20_yr,GWP_Values_20_year_AR4,const_100_yr,GWP_Values_100_year_AR4),MATCH(DeemedDashboard[[#This Row],[Msr refrigerant Type]],RefrigDropdownList,0))),"")</f>
        <v/>
      </c>
      <c r="S32" s="582" t="str" cm="1">
        <f t="array" ref="S32">IFERROR(IF(DeemedDashboard[[#This Row],[Std device type]]=const_device_nonrefrig,0,INDEX(_xlfn.SWITCH($E$4,const_20_yr,GWP_Values_20_year_AR4,const_100_yr,GWP_Values_100_year_AR4),MATCH(DeemedDashboard[[#This Row],[Std refrigerant Type]],RefrigDropdownList,0))),"")</f>
        <v/>
      </c>
      <c r="T32" s="582" t="str" cm="1">
        <f t="array" ref="T32">IFERROR(IF(DeemedDashboard[[#This Row],[Pre/Ext device type]]=const_device_nonrefrig,0,INDEX(_xlfn.SWITCH($E$4,const_20_yr,GWP_Values_20_year_AR4,const_100_yr,GWP_Values_100_year_AR4),MATCH(DeemedDashboard[[#This Row],[Pre/Ext refrigerant Type]],RefrigDropdownList,0))),"")</f>
        <v/>
      </c>
      <c r="U3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2" s="326" t="str">
        <f>IFERROR(IF(DeemedDashboard[[#This Row],[Msr device type]]=const_userspec,IF(ISBLANK(User_Specified_Refrigerant[[#This Row],[Msr t_EOL]]),"",User_Specified_Refrigerant[[#This Row],[Msr t_EOL]]),INDEX(TechGroup_NormUnit_Table[t_EOL],MATCH(DeemedDashboard[[#This Row],[Msr device type]],DropdownRefrigTech,0))),"")</f>
        <v/>
      </c>
      <c r="AB32" s="326" t="str">
        <f>IFERROR(IF(DeemedDashboard[[#This Row],[Std device type]]=const_userspec,IF(ISBLANK(User_Specified_Refrigerant[[#This Row],[Std t_EOL]]),"",User_Specified_Refrigerant[[#This Row],[Std t_EOL]]),INDEX(TechGroup_NormUnit_Table[t_EOL],MATCH(DeemedDashboard[[#This Row],[Std device type]],DropdownRefrigTech,0))),"")</f>
        <v/>
      </c>
      <c r="AC3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2" s="395" t="str">
        <f>IF(ISBLANK(DeemedDashboard[[#This Row],[MeasAppType]]),"",$E$2)</f>
        <v/>
      </c>
      <c r="AE32" s="395" t="str">
        <f>IFERROR(IF(ISBLANK(DeemedDashboard[[#This Row],[MeasAppType]]),NA(),DeemedDashboard[[#This Row],[Measure Start Year]]+DeemedDashboard[[#This Row],[Msr EUL rounded]]-1),"")</f>
        <v/>
      </c>
      <c r="AF32" s="323" t="str">
        <f>IF(ISBLANK(DeemedDashboard[[#This Row],[Measure New Device EUL]]),"",ROUND(DeemedDashboard[[#This Row],[Measure New Device EUL]],0))</f>
        <v/>
      </c>
      <c r="AG32" s="323" t="str">
        <f>IF(ISBLANK(DeemedDashboard[[#This Row],[Counterfactual New Device EUL]]),"",ROUND(DeemedDashboard[[#This Row],[Counterfactual New Device EUL]],0))</f>
        <v/>
      </c>
      <c r="AH32" s="323" t="str">
        <f>IF(ISBLANK(DeemedDashboard[[#This Row],[Existing Device EUL]]),"",ROUND(DeemedDashboard[[#This Row],[Existing Device EUL]],0))</f>
        <v/>
      </c>
      <c r="AI32" s="323" t="str">
        <f>IF(ISBLANK(DeemedDashboard[[#This Row],[Existing Device RUL or AR First Baseline Life]]),"",ROUND(DeemedDashboard[[#This Row],[Existing Device RUL or AR First Baseline Life]],0))</f>
        <v/>
      </c>
      <c r="AJ32" s="327" t="str">
        <f>DeemedDashboard[[#This Row],[Measure Start Year]]</f>
        <v/>
      </c>
      <c r="AK32" s="327" t="str">
        <f>IF(DeemedDashboard[[#This Row],[MeasAppType]]&lt;&gt;const_AR,DeemedDashboard[[#This Row],[Measure Start Year]],DeemedDashboard[[#This Row],[Ext Device Retire-ment Year]]+1)</f>
        <v/>
      </c>
      <c r="AL32" s="327" t="str">
        <f>IFERROR(IF(DeemedDashboard[[#This Row],[MeasAppType]]=const_AR,DeemedDashboard[[#This Row],[Measure Start Year]]-(DeemedDashboard[[#This Row],[Existing Device EUL]]-DeemedDashboard[[#This Row],[Existing Device RUL or AR First Baseline Life]]),NA()),"")</f>
        <v/>
      </c>
      <c r="AM32" s="327" t="str">
        <f>DeemedDashboard[[#This Row],[Pre Device Install Year]]</f>
        <v/>
      </c>
      <c r="AN32" s="327" t="str">
        <f>IFERROR(IF(ISBLANK(DeemedDashboard[[#This Row],[MeasAppType]]),NA(),DeemedDashboard[[#This Row],[Measure Start Year]]+DeemedDashboard[[#This Row],[Msr EUL rounded]]-1),"")</f>
        <v/>
      </c>
      <c r="AO32" s="327" t="str">
        <f>IFERROR(DeemedDashboard[[#This Row],[Std Device Install Year]]+DeemedDashboard[[#This Row],[Counterfactual New Device EUL]]-1,"")</f>
        <v/>
      </c>
      <c r="AP32" s="327" t="str">
        <f>IFERROR(IF(AND(DeemedDashboard[[#This Row],[MeasAppType]]=const_AR,DeemedDashboard[[#This Row],[Measure Start Year]]&lt;(DeemedDashboard[[#This Row],[Pre Device Install Year]]+DeemedDashboard[[#This Row],[Existing Device EUL]]-1)),DeemedDashboard[[#This Row],[Measure Start Year]]-1,NA()),"")</f>
        <v/>
      </c>
      <c r="AQ32" s="327" t="str">
        <f>IFERROR(IF(DeemedDashboard[[#This Row],[MeasAppType]]=const_AR,DeemedDashboard[[#This Row],[Ext Device Install Year]]+DeemedDashboard[[#This Row],[Existing Device EUL]]-1,NA()),"")</f>
        <v/>
      </c>
      <c r="AR32" s="327" t="str">
        <f>IFERROR(IF(ISBLANK(DeemedDashboard[[#This Row],[MeasAppType]]),NA(),0),"")</f>
        <v/>
      </c>
      <c r="AS32" s="327" t="str">
        <f>IFERROR(IF(ISBLANK(DeemedDashboard[[#This Row],[MeasAppType]]),NA(),0),"")</f>
        <v/>
      </c>
      <c r="AT32" s="327" t="str">
        <f>IF(ISBLANK(DeemedDashboard[[#This Row],[MeasAppType]]),"",IF(DeemedDashboard[[#This Row],[MeasAppType]]&lt;&gt;const_AR,"",(DeemedDashboard[[#This Row],[Pre Device Install Year]]+DeemedDashboard[[#This Row],[Existing Device EUL]]-1)-DeemedDashboard[[#This Row],[Pre Device Retire-ment Year]]))</f>
        <v/>
      </c>
      <c r="AU32" s="327" t="str">
        <f>IF(ISBLANK(DeemedDashboard[[#This Row],[MeasAppType]]),"",IF(DeemedDashboard[[#This Row],[MeasAppType]]=const_AR,0,""))</f>
        <v/>
      </c>
      <c r="AV32" s="328" t="str">
        <f>IF(ISBLANK(DeemedDashboard[[#This Row],[MeasAppType]]),"",MAX((1+MIN(DeemedDashboard[[#This Row],[Msr Device Retire-ment Year]],DeemedDashboard[[#This Row],[Measure End 
Year]])-MAX(DeemedDashboard[[#This Row],[Msr Device Install Year]],DeemedDashboard[[#This Row],[Measure Start Year]])),0))</f>
        <v/>
      </c>
      <c r="AW32" s="328" t="str">
        <f>IF(ISBLANK(DeemedDashboard[[#This Row],[MeasAppType]]),"",MAX((1+MIN(DeemedDashboard[[#This Row],[Std Device Retire-ment Year]],DeemedDashboard[[#This Row],[Measure End 
Year]])-MAX(DeemedDashboard[[#This Row],[Std Device Install Year]],DeemedDashboard[[#This Row],[Measure Start Year]])),0))</f>
        <v/>
      </c>
      <c r="AX3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2"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2" s="329" t="str">
        <f>IF(ISBLANK(DeemedDashboard[[#This Row],[MeasAppType]]),"",IF(DeemedDashboard[[#This Row],[Msr Device Years Over-lapping with Measure Years]]=0,0,DeemedDashboard[[#This Row],[Msr Device Years Over-lapping with Measure Years]]/DeemedDashboard[[#This Row],[Msr EUL rounded]]))</f>
        <v/>
      </c>
      <c r="BA32" s="329" t="str">
        <f>IF(ISBLANK(DeemedDashboard[[#This Row],[MeasAppType]]),"",IF(DeemedDashboard[[#This Row],[Std Device Years Over-lapping with Measure Years]]=0,0,DeemedDashboard[[#This Row],[Std Device Years Over-lapping with Measure Years]]/DeemedDashboard[[#This Row],[Counterfactual New Device EUL]]))</f>
        <v/>
      </c>
      <c r="BB32" s="329" t="str">
        <f>IF(ISBLANK(DeemedDashboard[[#This Row],[MeasAppType]]),"",IFERROR(IF(DeemedDashboard[[#This Row],[Pre Device Years Over-lapping with Measure Years]]=0,0,DeemedDashboard[[#This Row],[Pre Device Years Over-lapping with Measure Years]]/DeemedDashboard[[#This Row],[Existing Device EUL]]),""))</f>
        <v/>
      </c>
      <c r="BC32" s="331" t="str">
        <f>IFERROR(IF(DeemedDashboard[[#This Row],[Ext Device Years Over-lapping with Measure Years]]=0,0,DeemedDashboard[[#This Row],[Ext Device Years Over-lapping with Measure Years]]/DeemedDashboard[[#This Row],[Existing Device EUL]]),"")</f>
        <v/>
      </c>
      <c r="BD32" s="329" t="str">
        <f>IFERROR(IF(DeemedDashboard[[#This Row],[Msr Number of Years device retired early]]=0,0,DeemedDashboard[[#This Row],[Msr Number of Years device retired early]]/DeemedDashboard[[#This Row],[Msr EUL rounded]]),"")</f>
        <v/>
      </c>
      <c r="BE32" s="329" t="str">
        <f>IFERROR(IF(DeemedDashboard[[#This Row],[Std Number of Years device retired early]]=0,0,DeemedDashboard[[#This Row],[Std Number of Years device retired early]]/DeemedDashboard[[#This Row],[Msr EUL rounded]]),"")</f>
        <v/>
      </c>
      <c r="BF32" s="329" t="str">
        <f>IFERROR(IF(DeemedDashboard[[#This Row],[MeasAppType]]&lt;&gt;const_AR,"",IF(DeemedDashboard[[#This Row],[Pre Number of Years device retired early]]=0,0,DeemedDashboard[[#This Row],[Pre Number of Years device retired early]]/DeemedDashboard[[#This Row],[Existing Device EUL]])),"")</f>
        <v/>
      </c>
      <c r="BG32" s="331" t="str">
        <f>IFERROR(IF(DeemedDashboard[[#This Row],[Ext Number of Years device retired early]]=0,0,DeemedDashboard[[#This Row],[Ext Number of Years device retired early]]/DeemedDashboard[[#This Row],[Existing Device EUL]]),"")</f>
        <v/>
      </c>
      <c r="BH32" s="325" t="str">
        <f>IFERROR(1-DeemedDashboard[[#This Row],[Msr annual refrigerant leakage %]]*DeemedDashboard[[#This Row],[Msr t_EOL]],"")</f>
        <v/>
      </c>
      <c r="BI32" s="325" t="str">
        <f>IFERROR(1-DeemedDashboard[[#This Row],[Std annual refrigerant leakage %]]*DeemedDashboard[[#This Row],[Std t_EOL]],"")</f>
        <v/>
      </c>
      <c r="BJ32" s="325" t="str">
        <f>IFERROR(1-DeemedDashboard[[#This Row],[Pre/Ext annual refrigerant leakage %]]*DeemedDashboard[[#This Row],[Pre/Ext t_EOL]],"")</f>
        <v/>
      </c>
      <c r="BK32" s="325" t="str">
        <f>IFERROR(1-DeemedDashboard[[#This Row],[Pre/Ext annual refrigerant leakage %]]*DeemedDashboard[[#This Row],[Pre/Ext t_EOL]],"")</f>
        <v/>
      </c>
      <c r="BL32" s="325" t="str">
        <f>IFERROR(DeemedDashboard[[#This Row],[Msr charging remaining (%)]]*DeemedDashboard[[#This Row],[Msr gross EOL refrigerant leakage %]],"")</f>
        <v/>
      </c>
      <c r="BM32" s="325" t="str">
        <f>IFERROR(DeemedDashboard[[#This Row],[Std charging remaining (%)]]*DeemedDashboard[[#This Row],[Std gross EOL refrigerant leakage %]],"")</f>
        <v/>
      </c>
      <c r="BN32" s="325" t="str">
        <f>IFERROR(DeemedDashboard[[#This Row],[Pre charging remaining (%)]]*DeemedDashboard[[#This Row],[Pre/Ext gross EOL refrigerant leakage %]],"")</f>
        <v/>
      </c>
      <c r="BO32" s="325" t="str">
        <f>IFERROR(DeemedDashboard[[#This Row],[Ext charging remaining (%)]]*DeemedDashboard[[#This Row],[Pre/Ext gross EOL refrigerant leakage %]],"")</f>
        <v/>
      </c>
      <c r="BP32" s="330" t="str">
        <f>IFERROR((DeemedDashboard[[#This Row],[Msr refrigerant charge (lb) per NormUnit]]/pounds_per_metric_ton)*DeemedDashboard[[#This Row],[Msr annual refrigerant leakage %]]*DeemedDashboard[[#This Row],[Msr GWP]],"")</f>
        <v/>
      </c>
      <c r="BQ32" s="330" t="str">
        <f>IFERROR((DeemedDashboard[[#This Row],[Std refrigerant charge (lb) per NormUnit]]/pounds_per_metric_ton)*DeemedDashboard[[#This Row],[Std annual refrigerant leakage %]]*DeemedDashboard[[#This Row],[Std GWP]],"")</f>
        <v/>
      </c>
      <c r="BR32" s="330" t="str">
        <f>IF(DeemedDashboard[[#This Row],[MeasAppType]]=const_AR,(DeemedDashboard[[#This Row],[Pre/Ext refrigerant charge (lb) per NormUnit]]/pounds_per_metric_ton)*DeemedDashboard[[#This Row],[Pre/Ext annual refrigerant leakage %]]*DeemedDashboard[[#This Row],[Pre/Ext GWP]],"")</f>
        <v/>
      </c>
      <c r="BS32" s="330" t="str">
        <f>IF(DeemedDashboard[[#This Row],[MeasAppType]]=const_AR,(DeemedDashboard[[#This Row],[Pre/Ext refrigerant charge (lb) per NormUnit]]/pounds_per_metric_ton)*DeemedDashboard[[#This Row],[Pre/Ext annual refrigerant leakage %]]*DeemedDashboard[[#This Row],[Pre/Ext GWP]],"")</f>
        <v/>
      </c>
      <c r="BT32" s="330" t="str">
        <f>IFERROR((DeemedDashboard[[#This Row],[Msr refrigerant charge (lb) per NormUnit]]/pounds_per_metric_ton)*DeemedDashboard[[#This Row],[Msr net EOL refrigerant leakage (%)]]*DeemedDashboard[[#This Row],[Msr GWP]],"")</f>
        <v/>
      </c>
      <c r="BU32" s="330" t="str">
        <f>IFERROR((DeemedDashboard[[#This Row],[Std refrigerant charge (lb) per NormUnit]]/pounds_per_metric_ton)*DeemedDashboard[[#This Row],[Std net EOL refrigerant leakage (%)]]*DeemedDashboard[[#This Row],[Std GWP]],"")</f>
        <v/>
      </c>
      <c r="BV32" s="330" t="str">
        <f>IFERROR((DeemedDashboard[[#This Row],[Pre/Ext refrigerant charge (lb) per NormUnit]]/pounds_per_metric_ton)*DeemedDashboard[[#This Row],[Pre net EOL refrigerant leakage (%)]]*DeemedDashboard[[#This Row],[Pre/Ext GWP]],"")</f>
        <v/>
      </c>
      <c r="BW32" s="330" t="str">
        <f>IFERROR((DeemedDashboard[[#This Row],[Pre/Ext refrigerant charge (lb) per NormUnit]]/pounds_per_metric_ton)*DeemedDashboard[[#This Row],[Ext net EOL refrigerant leakage (%)]]*DeemedDashboard[[#This Row],[Pre/Ext GWP]],"")</f>
        <v/>
      </c>
      <c r="BX32" s="299" t="str" cm="1">
        <f t="array" aca="1" ref="BX3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2" s="305" t="str" cm="1">
        <f t="array" aca="1" ref="BY3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2" s="299" t="str">
        <f>IFERROR(IF(OR(DeemedDashboard[[#This Row],[MeasAppType]]&lt;&gt;const_AR,ISBLANK(DeemedDashboard[[#This Row],[MeasAppType]])),NA(),0),"")</f>
        <v/>
      </c>
      <c r="CA32" s="305" t="str" cm="1">
        <f t="array" aca="1" ref="CA3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2" s="296" t="str">
        <f ca="1">IFERROR((DeemedDashboard[[#This Row],[Msr EOL leakage tons CO2e]]*OFFSET(GHG_Adder_dollar_per_tonne,0,(DeemedDashboard[[#This Row],[Msr Device Retire-ment Year]]-DY+1),1,1))/(1+WACC)^(DeemedDashboard[[#This Row],[Msr Device Retire-ment Year]]-DeemedDashboard[[#This Row],[Measure Start Year]]+0.5),"")</f>
        <v/>
      </c>
      <c r="CC32" s="296" t="str">
        <f ca="1">IFERROR((DeemedDashboard[[#This Row],[Std EOL leakage tons CO2e]]*OFFSET(GHG_Adder_dollar_per_tonne,0,(DeemedDashboard[[#This Row],[Std Device Retire-ment Year]]-DY+1),1,1))/(1+WACC)^(DeemedDashboard[[#This Row],[Std Device Retire-ment Year]]-DeemedDashboard[[#This Row],[Measure Start Year]]+0.5),"")</f>
        <v/>
      </c>
      <c r="CD32" s="296" t="str">
        <f ca="1">IFERROR((DeemedDashboard[[#This Row],[Pre EOL leakage tons CO2e]]*OFFSET(GHG_Adder_dollar_per_tonne,0,(DeemedDashboard[[#This Row],[Measure Start Year]]-DY),1,1))/(1+WACC)^(-0.5),"")</f>
        <v/>
      </c>
      <c r="CE3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2" s="296" t="str">
        <f ca="1">IFERROR(DeemedDashboard[[#This Row],[Msr NPV Cost of Annual Leakage]]/(1+ACC_Inflation_Rate)^(DeemedDashboard[[#This Row],[Measure Start Year]]-DY),"")</f>
        <v/>
      </c>
      <c r="CG32" s="296" t="str">
        <f ca="1">IFERROR(DeemedDashboard[[#This Row],[Std NPV Cost of Annual Leakage]]/(1+ACC_Inflation_Rate)^(DeemedDashboard[[#This Row],[Measure Start Year]]-DY),"")</f>
        <v/>
      </c>
      <c r="CH32" s="296" t="str">
        <f>IFERROR(IF(ISBLANK(DeemedDashboard[[#This Row],[MeasAppType]]),NA(),IF(DeemedDashboard[[#This Row],[MeasAppType]]=const_AR,DeemedDashboard[[#This Row],[Pre NPV Cost of Annual Leakage]]/(1+ACC_Inflation_Rate)^(DeemedDashboard[[#This Row],[Measure Start Year]]-DY),"")),"")</f>
        <v/>
      </c>
      <c r="CI32" s="296" t="str">
        <f>IFERROR(IF(ISBLANK(DeemedDashboard[[#This Row],[MeasAppType]]),NA(),IF(DeemedDashboard[[#This Row],[MeasAppType]]=const_AR,DeemedDashboard[[#This Row],[Ext NPV Cost of Annual Leakage]]/(1+ACC_Inflation_Rate)^(DeemedDashboard[[#This Row],[Measure Start Year]]-DY),"")),"")</f>
        <v/>
      </c>
      <c r="CJ32" s="296" t="str">
        <f ca="1">IFERROR((DeemedDashboard[[#This Row],[Msr % of device lifetime during measure years]]+DeemedDashboard[[#This Row],[Msr % of device lifetime retired early]])*DeemedDashboard[[#This Row],[Msr NPV Cost of EOL Leakage]]/(1+ACC_Inflation_Rate)^(DeemedDashboard[[#This Row],[Measure Start Year]]-DY),"")</f>
        <v/>
      </c>
      <c r="CK32" s="296" t="str">
        <f ca="1">IFERROR((DeemedDashboard[[#This Row],[Std % of device lifetime during measure years]]+DeemedDashboard[[#This Row],[Std % of device lifetime retired early]])*DeemedDashboard[[#This Row],[Std NPV Cost of EOL Leakage]]/(1+ACC_Inflation_Rate)^(DeemedDashboard[[#This Row],[Measure Start Year]]-DY),"")</f>
        <v/>
      </c>
      <c r="CL3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2" s="299" t="str">
        <f ca="1">IFERROR(DeemedDashboard[[#This Row],[Counter-factual total 
NPV cost]]-DeemedDashboard[[#This Row],[Measure total 
NPV cost]],"")</f>
        <v/>
      </c>
      <c r="CQ32" s="299" t="str">
        <f>IF(ISBLANK(DeemedDashboard[[#This Row],[MeasAppType]]),"",DeemedDashboard[[#This Row],[Refrigerant
NPV costs
avoided]]&gt;0)</f>
        <v/>
      </c>
      <c r="CR32" s="299" t="str">
        <f ca="1">IFERROR(DeemedDashboard[[#This Row],[Msr Adj NPV Cost of Annual Leakage]]+DeemedDashboard[[#This Row],[Msr Adj NPV Cost of EOL Leakage]],"")</f>
        <v/>
      </c>
      <c r="CS32" s="299" t="str">
        <f ca="1">IFERROR(DeemedDashboard[[#This Row],[Std Adj NPV Cost of Annual Leakage]]+DeemedDashboard[[#This Row],[Std Adj NPV Cost of EOL Leakage]],"")</f>
        <v/>
      </c>
      <c r="CT32" s="299" t="str">
        <f>IFERROR(IF((DeemedDashboard[[#This Row],[Pre Adj NPV Cost of Annual Leakage]]+DeemedDashboard[[#This Row],[Pre Adj NPV Cost of EOL Leakage]])=0,"",DeemedDashboard[[#This Row],[Pre Adj NPV Cost of Annual Leakage]]+DeemedDashboard[[#This Row],[Pre Adj NPV Cost of EOL Leakage]]),"")</f>
        <v/>
      </c>
      <c r="CU32" s="299" t="str">
        <f>IFERROR(IF((DeemedDashboard[[#This Row],[Ext Adj NPV Cost of Annual Leakage]]+DeemedDashboard[[#This Row],[Ext Adj NPV Cost of EOL Leakage]])=0,"",DeemedDashboard[[#This Row],[Ext Adj NPV Cost of Annual Leakage]]+DeemedDashboard[[#This Row],[Ext Adj NPV Cost of EOL Leakage]]),"")</f>
        <v/>
      </c>
      <c r="CV32" s="299" t="str">
        <f>IFERROR(IF(DeemedDashboard[[#This Row],[Is Avoided Net Cost &gt;0?]],"",-DeemedDashboard[[#This Row],[Refrigerant
NPV costs
avoided]]),"")</f>
        <v/>
      </c>
      <c r="CW32" s="299" t="str">
        <f>IFERROR(IF(DeemedDashboard[[#This Row],[Is Avoided Net Cost &gt;0?]],DeemedDashboard[[#This Row],[Refrigerant
NPV costs
avoided]],""),"")</f>
        <v/>
      </c>
      <c r="CX32" s="391">
        <f ca="1">IFERROR(MATCH(DeemedDashboard[[#This Row],[TechGroup and NormUnit]],TechGroup_and_NormUnit,0),1)</f>
        <v>1</v>
      </c>
      <c r="CY32" s="391" cm="1">
        <f t="array" aca="1" ref="CY32" ca="1">IFERROR(INDEX(TGRows,DeemedDashboard[[#This Row],[TGIndex]]),"")</f>
        <v>2</v>
      </c>
      <c r="CZ32" s="391">
        <f ca="1">IF(DeemedDashboard[[#This Row],[MeasAppType]]=const_AR,DeemedDashboard[[#This Row],[TGRows]],DeemedDashboard[[#This Row],[TGRows]]+1)</f>
        <v>3</v>
      </c>
      <c r="DA32" s="391" t="str">
        <f>IF(ISBLANK(DeemedDashboard[[#This Row],[MeasAppType]]),"",IF(DeemedDashboard[[#This Row],[Index]]=User_Specified_Refrigerant[[#This Row],[Index]],"OK","ERROR"))</f>
        <v/>
      </c>
    </row>
    <row r="33" spans="1:105" s="320" customFormat="1" x14ac:dyDescent="0.25">
      <c r="A33" s="297">
        <f>ROW(DeemedDashboard[[#This Row],[Index]])-ROW(DeemedDashboard[[#Headers],[Index]])</f>
        <v>24</v>
      </c>
      <c r="B33" s="298"/>
      <c r="C33" s="321"/>
      <c r="D33" s="403"/>
      <c r="E33" s="403"/>
      <c r="F33" s="403"/>
      <c r="G33" s="403"/>
      <c r="H33" s="365"/>
      <c r="I33" s="339"/>
      <c r="J33" s="339"/>
      <c r="K33" s="339"/>
      <c r="L33" s="322"/>
      <c r="M33" s="322"/>
      <c r="N33" s="322"/>
      <c r="O3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3" s="582" t="str" cm="1">
        <f t="array" ref="R33">IFERROR(IF(DeemedDashboard[[#This Row],[Msr device type]]=const_device_nonrefrig,0,INDEX(_xlfn.SWITCH($E$4,const_20_yr,GWP_Values_20_year_AR4,const_100_yr,GWP_Values_100_year_AR4),MATCH(DeemedDashboard[[#This Row],[Msr refrigerant Type]],RefrigDropdownList,0))),"")</f>
        <v/>
      </c>
      <c r="S33" s="582" t="str" cm="1">
        <f t="array" ref="S33">IFERROR(IF(DeemedDashboard[[#This Row],[Std device type]]=const_device_nonrefrig,0,INDEX(_xlfn.SWITCH($E$4,const_20_yr,GWP_Values_20_year_AR4,const_100_yr,GWP_Values_100_year_AR4),MATCH(DeemedDashboard[[#This Row],[Std refrigerant Type]],RefrigDropdownList,0))),"")</f>
        <v/>
      </c>
      <c r="T33" s="582" t="str" cm="1">
        <f t="array" ref="T33">IFERROR(IF(DeemedDashboard[[#This Row],[Pre/Ext device type]]=const_device_nonrefrig,0,INDEX(_xlfn.SWITCH($E$4,const_20_yr,GWP_Values_20_year_AR4,const_100_yr,GWP_Values_100_year_AR4),MATCH(DeemedDashboard[[#This Row],[Pre/Ext refrigerant Type]],RefrigDropdownList,0))),"")</f>
        <v/>
      </c>
      <c r="U3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3" s="326" t="str">
        <f>IFERROR(IF(DeemedDashboard[[#This Row],[Msr device type]]=const_userspec,IF(ISBLANK(User_Specified_Refrigerant[[#This Row],[Msr t_EOL]]),"",User_Specified_Refrigerant[[#This Row],[Msr t_EOL]]),INDEX(TechGroup_NormUnit_Table[t_EOL],MATCH(DeemedDashboard[[#This Row],[Msr device type]],DropdownRefrigTech,0))),"")</f>
        <v/>
      </c>
      <c r="AB33" s="326" t="str">
        <f>IFERROR(IF(DeemedDashboard[[#This Row],[Std device type]]=const_userspec,IF(ISBLANK(User_Specified_Refrigerant[[#This Row],[Std t_EOL]]),"",User_Specified_Refrigerant[[#This Row],[Std t_EOL]]),INDEX(TechGroup_NormUnit_Table[t_EOL],MATCH(DeemedDashboard[[#This Row],[Std device type]],DropdownRefrigTech,0))),"")</f>
        <v/>
      </c>
      <c r="AC3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3" s="395" t="str">
        <f>IF(ISBLANK(DeemedDashboard[[#This Row],[MeasAppType]]),"",$E$2)</f>
        <v/>
      </c>
      <c r="AE33" s="395" t="str">
        <f>IFERROR(IF(ISBLANK(DeemedDashboard[[#This Row],[MeasAppType]]),NA(),DeemedDashboard[[#This Row],[Measure Start Year]]+DeemedDashboard[[#This Row],[Msr EUL rounded]]-1),"")</f>
        <v/>
      </c>
      <c r="AF33" s="323" t="str">
        <f>IF(ISBLANK(DeemedDashboard[[#This Row],[Measure New Device EUL]]),"",ROUND(DeemedDashboard[[#This Row],[Measure New Device EUL]],0))</f>
        <v/>
      </c>
      <c r="AG33" s="323" t="str">
        <f>IF(ISBLANK(DeemedDashboard[[#This Row],[Counterfactual New Device EUL]]),"",ROUND(DeemedDashboard[[#This Row],[Counterfactual New Device EUL]],0))</f>
        <v/>
      </c>
      <c r="AH33" s="323" t="str">
        <f>IF(ISBLANK(DeemedDashboard[[#This Row],[Existing Device EUL]]),"",ROUND(DeemedDashboard[[#This Row],[Existing Device EUL]],0))</f>
        <v/>
      </c>
      <c r="AI33" s="323" t="str">
        <f>IF(ISBLANK(DeemedDashboard[[#This Row],[Existing Device RUL or AR First Baseline Life]]),"",ROUND(DeemedDashboard[[#This Row],[Existing Device RUL or AR First Baseline Life]],0))</f>
        <v/>
      </c>
      <c r="AJ33" s="327" t="str">
        <f>DeemedDashboard[[#This Row],[Measure Start Year]]</f>
        <v/>
      </c>
      <c r="AK33" s="327" t="str">
        <f>IF(DeemedDashboard[[#This Row],[MeasAppType]]&lt;&gt;const_AR,DeemedDashboard[[#This Row],[Measure Start Year]],DeemedDashboard[[#This Row],[Ext Device Retire-ment Year]]+1)</f>
        <v/>
      </c>
      <c r="AL33" s="327" t="str">
        <f>IFERROR(IF(DeemedDashboard[[#This Row],[MeasAppType]]=const_AR,DeemedDashboard[[#This Row],[Measure Start Year]]-(DeemedDashboard[[#This Row],[Existing Device EUL]]-DeemedDashboard[[#This Row],[Existing Device RUL or AR First Baseline Life]]),NA()),"")</f>
        <v/>
      </c>
      <c r="AM33" s="327" t="str">
        <f>DeemedDashboard[[#This Row],[Pre Device Install Year]]</f>
        <v/>
      </c>
      <c r="AN33" s="327" t="str">
        <f>IFERROR(IF(ISBLANK(DeemedDashboard[[#This Row],[MeasAppType]]),NA(),DeemedDashboard[[#This Row],[Measure Start Year]]+DeemedDashboard[[#This Row],[Msr EUL rounded]]-1),"")</f>
        <v/>
      </c>
      <c r="AO33" s="327" t="str">
        <f>IFERROR(DeemedDashboard[[#This Row],[Std Device Install Year]]+DeemedDashboard[[#This Row],[Counterfactual New Device EUL]]-1,"")</f>
        <v/>
      </c>
      <c r="AP33" s="327" t="str">
        <f>IFERROR(IF(AND(DeemedDashboard[[#This Row],[MeasAppType]]=const_AR,DeemedDashboard[[#This Row],[Measure Start Year]]&lt;(DeemedDashboard[[#This Row],[Pre Device Install Year]]+DeemedDashboard[[#This Row],[Existing Device EUL]]-1)),DeemedDashboard[[#This Row],[Measure Start Year]]-1,NA()),"")</f>
        <v/>
      </c>
      <c r="AQ33" s="327" t="str">
        <f>IFERROR(IF(DeemedDashboard[[#This Row],[MeasAppType]]=const_AR,DeemedDashboard[[#This Row],[Ext Device Install Year]]+DeemedDashboard[[#This Row],[Existing Device EUL]]-1,NA()),"")</f>
        <v/>
      </c>
      <c r="AR33" s="327" t="str">
        <f>IFERROR(IF(ISBLANK(DeemedDashboard[[#This Row],[MeasAppType]]),NA(),0),"")</f>
        <v/>
      </c>
      <c r="AS33" s="327" t="str">
        <f>IFERROR(IF(ISBLANK(DeemedDashboard[[#This Row],[MeasAppType]]),NA(),0),"")</f>
        <v/>
      </c>
      <c r="AT33" s="327" t="str">
        <f>IF(ISBLANK(DeemedDashboard[[#This Row],[MeasAppType]]),"",IF(DeemedDashboard[[#This Row],[MeasAppType]]&lt;&gt;const_AR,"",(DeemedDashboard[[#This Row],[Pre Device Install Year]]+DeemedDashboard[[#This Row],[Existing Device EUL]]-1)-DeemedDashboard[[#This Row],[Pre Device Retire-ment Year]]))</f>
        <v/>
      </c>
      <c r="AU33" s="327" t="str">
        <f>IF(ISBLANK(DeemedDashboard[[#This Row],[MeasAppType]]),"",IF(DeemedDashboard[[#This Row],[MeasAppType]]=const_AR,0,""))</f>
        <v/>
      </c>
      <c r="AV33" s="328" t="str">
        <f>IF(ISBLANK(DeemedDashboard[[#This Row],[MeasAppType]]),"",MAX((1+MIN(DeemedDashboard[[#This Row],[Msr Device Retire-ment Year]],DeemedDashboard[[#This Row],[Measure End 
Year]])-MAX(DeemedDashboard[[#This Row],[Msr Device Install Year]],DeemedDashboard[[#This Row],[Measure Start Year]])),0))</f>
        <v/>
      </c>
      <c r="AW33" s="328" t="str">
        <f>IF(ISBLANK(DeemedDashboard[[#This Row],[MeasAppType]]),"",MAX((1+MIN(DeemedDashboard[[#This Row],[Std Device Retire-ment Year]],DeemedDashboard[[#This Row],[Measure End 
Year]])-MAX(DeemedDashboard[[#This Row],[Std Device Install Year]],DeemedDashboard[[#This Row],[Measure Start Year]])),0))</f>
        <v/>
      </c>
      <c r="AX3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3"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3" s="329" t="str">
        <f>IF(ISBLANK(DeemedDashboard[[#This Row],[MeasAppType]]),"",IF(DeemedDashboard[[#This Row],[Msr Device Years Over-lapping with Measure Years]]=0,0,DeemedDashboard[[#This Row],[Msr Device Years Over-lapping with Measure Years]]/DeemedDashboard[[#This Row],[Msr EUL rounded]]))</f>
        <v/>
      </c>
      <c r="BA33" s="329" t="str">
        <f>IF(ISBLANK(DeemedDashboard[[#This Row],[MeasAppType]]),"",IF(DeemedDashboard[[#This Row],[Std Device Years Over-lapping with Measure Years]]=0,0,DeemedDashboard[[#This Row],[Std Device Years Over-lapping with Measure Years]]/DeemedDashboard[[#This Row],[Counterfactual New Device EUL]]))</f>
        <v/>
      </c>
      <c r="BB33" s="329" t="str">
        <f>IF(ISBLANK(DeemedDashboard[[#This Row],[MeasAppType]]),"",IFERROR(IF(DeemedDashboard[[#This Row],[Pre Device Years Over-lapping with Measure Years]]=0,0,DeemedDashboard[[#This Row],[Pre Device Years Over-lapping with Measure Years]]/DeemedDashboard[[#This Row],[Existing Device EUL]]),""))</f>
        <v/>
      </c>
      <c r="BC33" s="331" t="str">
        <f>IFERROR(IF(DeemedDashboard[[#This Row],[Ext Device Years Over-lapping with Measure Years]]=0,0,DeemedDashboard[[#This Row],[Ext Device Years Over-lapping with Measure Years]]/DeemedDashboard[[#This Row],[Existing Device EUL]]),"")</f>
        <v/>
      </c>
      <c r="BD33" s="329" t="str">
        <f>IFERROR(IF(DeemedDashboard[[#This Row],[Msr Number of Years device retired early]]=0,0,DeemedDashboard[[#This Row],[Msr Number of Years device retired early]]/DeemedDashboard[[#This Row],[Msr EUL rounded]]),"")</f>
        <v/>
      </c>
      <c r="BE33" s="329" t="str">
        <f>IFERROR(IF(DeemedDashboard[[#This Row],[Std Number of Years device retired early]]=0,0,DeemedDashboard[[#This Row],[Std Number of Years device retired early]]/DeemedDashboard[[#This Row],[Msr EUL rounded]]),"")</f>
        <v/>
      </c>
      <c r="BF33" s="329" t="str">
        <f>IFERROR(IF(DeemedDashboard[[#This Row],[MeasAppType]]&lt;&gt;const_AR,"",IF(DeemedDashboard[[#This Row],[Pre Number of Years device retired early]]=0,0,DeemedDashboard[[#This Row],[Pre Number of Years device retired early]]/DeemedDashboard[[#This Row],[Existing Device EUL]])),"")</f>
        <v/>
      </c>
      <c r="BG33" s="331" t="str">
        <f>IFERROR(IF(DeemedDashboard[[#This Row],[Ext Number of Years device retired early]]=0,0,DeemedDashboard[[#This Row],[Ext Number of Years device retired early]]/DeemedDashboard[[#This Row],[Existing Device EUL]]),"")</f>
        <v/>
      </c>
      <c r="BH33" s="325" t="str">
        <f>IFERROR(1-DeemedDashboard[[#This Row],[Msr annual refrigerant leakage %]]*DeemedDashboard[[#This Row],[Msr t_EOL]],"")</f>
        <v/>
      </c>
      <c r="BI33" s="325" t="str">
        <f>IFERROR(1-DeemedDashboard[[#This Row],[Std annual refrigerant leakage %]]*DeemedDashboard[[#This Row],[Std t_EOL]],"")</f>
        <v/>
      </c>
      <c r="BJ33" s="325" t="str">
        <f>IFERROR(1-DeemedDashboard[[#This Row],[Pre/Ext annual refrigerant leakage %]]*DeemedDashboard[[#This Row],[Pre/Ext t_EOL]],"")</f>
        <v/>
      </c>
      <c r="BK33" s="325" t="str">
        <f>IFERROR(1-DeemedDashboard[[#This Row],[Pre/Ext annual refrigerant leakage %]]*DeemedDashboard[[#This Row],[Pre/Ext t_EOL]],"")</f>
        <v/>
      </c>
      <c r="BL33" s="325" t="str">
        <f>IFERROR(DeemedDashboard[[#This Row],[Msr charging remaining (%)]]*DeemedDashboard[[#This Row],[Msr gross EOL refrigerant leakage %]],"")</f>
        <v/>
      </c>
      <c r="BM33" s="325" t="str">
        <f>IFERROR(DeemedDashboard[[#This Row],[Std charging remaining (%)]]*DeemedDashboard[[#This Row],[Std gross EOL refrigerant leakage %]],"")</f>
        <v/>
      </c>
      <c r="BN33" s="325" t="str">
        <f>IFERROR(DeemedDashboard[[#This Row],[Pre charging remaining (%)]]*DeemedDashboard[[#This Row],[Pre/Ext gross EOL refrigerant leakage %]],"")</f>
        <v/>
      </c>
      <c r="BO33" s="325" t="str">
        <f>IFERROR(DeemedDashboard[[#This Row],[Ext charging remaining (%)]]*DeemedDashboard[[#This Row],[Pre/Ext gross EOL refrigerant leakage %]],"")</f>
        <v/>
      </c>
      <c r="BP33" s="330" t="str">
        <f>IFERROR((DeemedDashboard[[#This Row],[Msr refrigerant charge (lb) per NormUnit]]/pounds_per_metric_ton)*DeemedDashboard[[#This Row],[Msr annual refrigerant leakage %]]*DeemedDashboard[[#This Row],[Msr GWP]],"")</f>
        <v/>
      </c>
      <c r="BQ33" s="330" t="str">
        <f>IFERROR((DeemedDashboard[[#This Row],[Std refrigerant charge (lb) per NormUnit]]/pounds_per_metric_ton)*DeemedDashboard[[#This Row],[Std annual refrigerant leakage %]]*DeemedDashboard[[#This Row],[Std GWP]],"")</f>
        <v/>
      </c>
      <c r="BR33" s="330" t="str">
        <f>IF(DeemedDashboard[[#This Row],[MeasAppType]]=const_AR,(DeemedDashboard[[#This Row],[Pre/Ext refrigerant charge (lb) per NormUnit]]/pounds_per_metric_ton)*DeemedDashboard[[#This Row],[Pre/Ext annual refrigerant leakage %]]*DeemedDashboard[[#This Row],[Pre/Ext GWP]],"")</f>
        <v/>
      </c>
      <c r="BS33" s="330" t="str">
        <f>IF(DeemedDashboard[[#This Row],[MeasAppType]]=const_AR,(DeemedDashboard[[#This Row],[Pre/Ext refrigerant charge (lb) per NormUnit]]/pounds_per_metric_ton)*DeemedDashboard[[#This Row],[Pre/Ext annual refrigerant leakage %]]*DeemedDashboard[[#This Row],[Pre/Ext GWP]],"")</f>
        <v/>
      </c>
      <c r="BT33" s="330" t="str">
        <f>IFERROR((DeemedDashboard[[#This Row],[Msr refrigerant charge (lb) per NormUnit]]/pounds_per_metric_ton)*DeemedDashboard[[#This Row],[Msr net EOL refrigerant leakage (%)]]*DeemedDashboard[[#This Row],[Msr GWP]],"")</f>
        <v/>
      </c>
      <c r="BU33" s="330" t="str">
        <f>IFERROR((DeemedDashboard[[#This Row],[Std refrigerant charge (lb) per NormUnit]]/pounds_per_metric_ton)*DeemedDashboard[[#This Row],[Std net EOL refrigerant leakage (%)]]*DeemedDashboard[[#This Row],[Std GWP]],"")</f>
        <v/>
      </c>
      <c r="BV33" s="330" t="str">
        <f>IFERROR((DeemedDashboard[[#This Row],[Pre/Ext refrigerant charge (lb) per NormUnit]]/pounds_per_metric_ton)*DeemedDashboard[[#This Row],[Pre net EOL refrigerant leakage (%)]]*DeemedDashboard[[#This Row],[Pre/Ext GWP]],"")</f>
        <v/>
      </c>
      <c r="BW33" s="330" t="str">
        <f>IFERROR((DeemedDashboard[[#This Row],[Pre/Ext refrigerant charge (lb) per NormUnit]]/pounds_per_metric_ton)*DeemedDashboard[[#This Row],[Ext net EOL refrigerant leakage (%)]]*DeemedDashboard[[#This Row],[Pre/Ext GWP]],"")</f>
        <v/>
      </c>
      <c r="BX33" s="299" t="str" cm="1">
        <f t="array" aca="1" ref="BX3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3" s="305" t="str" cm="1">
        <f t="array" aca="1" ref="BY3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3" s="299" t="str">
        <f>IFERROR(IF(OR(DeemedDashboard[[#This Row],[MeasAppType]]&lt;&gt;const_AR,ISBLANK(DeemedDashboard[[#This Row],[MeasAppType]])),NA(),0),"")</f>
        <v/>
      </c>
      <c r="CA33" s="305" t="str" cm="1">
        <f t="array" aca="1" ref="CA3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3" s="296" t="str">
        <f ca="1">IFERROR((DeemedDashboard[[#This Row],[Msr EOL leakage tons CO2e]]*OFFSET(GHG_Adder_dollar_per_tonne,0,(DeemedDashboard[[#This Row],[Msr Device Retire-ment Year]]-DY+1),1,1))/(1+WACC)^(DeemedDashboard[[#This Row],[Msr Device Retire-ment Year]]-DeemedDashboard[[#This Row],[Measure Start Year]]+0.5),"")</f>
        <v/>
      </c>
      <c r="CC33" s="296" t="str">
        <f ca="1">IFERROR((DeemedDashboard[[#This Row],[Std EOL leakage tons CO2e]]*OFFSET(GHG_Adder_dollar_per_tonne,0,(DeemedDashboard[[#This Row],[Std Device Retire-ment Year]]-DY+1),1,1))/(1+WACC)^(DeemedDashboard[[#This Row],[Std Device Retire-ment Year]]-DeemedDashboard[[#This Row],[Measure Start Year]]+0.5),"")</f>
        <v/>
      </c>
      <c r="CD33" s="296" t="str">
        <f ca="1">IFERROR((DeemedDashboard[[#This Row],[Pre EOL leakage tons CO2e]]*OFFSET(GHG_Adder_dollar_per_tonne,0,(DeemedDashboard[[#This Row],[Measure Start Year]]-DY),1,1))/(1+WACC)^(-0.5),"")</f>
        <v/>
      </c>
      <c r="CE3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3" s="296" t="str">
        <f ca="1">IFERROR(DeemedDashboard[[#This Row],[Msr NPV Cost of Annual Leakage]]/(1+ACC_Inflation_Rate)^(DeemedDashboard[[#This Row],[Measure Start Year]]-DY),"")</f>
        <v/>
      </c>
      <c r="CG33" s="296" t="str">
        <f ca="1">IFERROR(DeemedDashboard[[#This Row],[Std NPV Cost of Annual Leakage]]/(1+ACC_Inflation_Rate)^(DeemedDashboard[[#This Row],[Measure Start Year]]-DY),"")</f>
        <v/>
      </c>
      <c r="CH33" s="296" t="str">
        <f>IFERROR(IF(ISBLANK(DeemedDashboard[[#This Row],[MeasAppType]]),NA(),IF(DeemedDashboard[[#This Row],[MeasAppType]]=const_AR,DeemedDashboard[[#This Row],[Pre NPV Cost of Annual Leakage]]/(1+ACC_Inflation_Rate)^(DeemedDashboard[[#This Row],[Measure Start Year]]-DY),"")),"")</f>
        <v/>
      </c>
      <c r="CI33" s="296" t="str">
        <f>IFERROR(IF(ISBLANK(DeemedDashboard[[#This Row],[MeasAppType]]),NA(),IF(DeemedDashboard[[#This Row],[MeasAppType]]=const_AR,DeemedDashboard[[#This Row],[Ext NPV Cost of Annual Leakage]]/(1+ACC_Inflation_Rate)^(DeemedDashboard[[#This Row],[Measure Start Year]]-DY),"")),"")</f>
        <v/>
      </c>
      <c r="CJ33" s="296" t="str">
        <f ca="1">IFERROR((DeemedDashboard[[#This Row],[Msr % of device lifetime during measure years]]+DeemedDashboard[[#This Row],[Msr % of device lifetime retired early]])*DeemedDashboard[[#This Row],[Msr NPV Cost of EOL Leakage]]/(1+ACC_Inflation_Rate)^(DeemedDashboard[[#This Row],[Measure Start Year]]-DY),"")</f>
        <v/>
      </c>
      <c r="CK33" s="296" t="str">
        <f ca="1">IFERROR((DeemedDashboard[[#This Row],[Std % of device lifetime during measure years]]+DeemedDashboard[[#This Row],[Std % of device lifetime retired early]])*DeemedDashboard[[#This Row],[Std NPV Cost of EOL Leakage]]/(1+ACC_Inflation_Rate)^(DeemedDashboard[[#This Row],[Measure Start Year]]-DY),"")</f>
        <v/>
      </c>
      <c r="CL3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3" s="299" t="str">
        <f ca="1">IFERROR(DeemedDashboard[[#This Row],[Counter-factual total 
NPV cost]]-DeemedDashboard[[#This Row],[Measure total 
NPV cost]],"")</f>
        <v/>
      </c>
      <c r="CQ33" s="299" t="str">
        <f>IF(ISBLANK(DeemedDashboard[[#This Row],[MeasAppType]]),"",DeemedDashboard[[#This Row],[Refrigerant
NPV costs
avoided]]&gt;0)</f>
        <v/>
      </c>
      <c r="CR33" s="299" t="str">
        <f ca="1">IFERROR(DeemedDashboard[[#This Row],[Msr Adj NPV Cost of Annual Leakage]]+DeemedDashboard[[#This Row],[Msr Adj NPV Cost of EOL Leakage]],"")</f>
        <v/>
      </c>
      <c r="CS33" s="299" t="str">
        <f ca="1">IFERROR(DeemedDashboard[[#This Row],[Std Adj NPV Cost of Annual Leakage]]+DeemedDashboard[[#This Row],[Std Adj NPV Cost of EOL Leakage]],"")</f>
        <v/>
      </c>
      <c r="CT33" s="299" t="str">
        <f>IFERROR(IF((DeemedDashboard[[#This Row],[Pre Adj NPV Cost of Annual Leakage]]+DeemedDashboard[[#This Row],[Pre Adj NPV Cost of EOL Leakage]])=0,"",DeemedDashboard[[#This Row],[Pre Adj NPV Cost of Annual Leakage]]+DeemedDashboard[[#This Row],[Pre Adj NPV Cost of EOL Leakage]]),"")</f>
        <v/>
      </c>
      <c r="CU33" s="299" t="str">
        <f>IFERROR(IF((DeemedDashboard[[#This Row],[Ext Adj NPV Cost of Annual Leakage]]+DeemedDashboard[[#This Row],[Ext Adj NPV Cost of EOL Leakage]])=0,"",DeemedDashboard[[#This Row],[Ext Adj NPV Cost of Annual Leakage]]+DeemedDashboard[[#This Row],[Ext Adj NPV Cost of EOL Leakage]]),"")</f>
        <v/>
      </c>
      <c r="CV33" s="299" t="str">
        <f>IFERROR(IF(DeemedDashboard[[#This Row],[Is Avoided Net Cost &gt;0?]],"",-DeemedDashboard[[#This Row],[Refrigerant
NPV costs
avoided]]),"")</f>
        <v/>
      </c>
      <c r="CW33" s="299" t="str">
        <f>IFERROR(IF(DeemedDashboard[[#This Row],[Is Avoided Net Cost &gt;0?]],DeemedDashboard[[#This Row],[Refrigerant
NPV costs
avoided]],""),"")</f>
        <v/>
      </c>
      <c r="CX33" s="391">
        <f ca="1">IFERROR(MATCH(DeemedDashboard[[#This Row],[TechGroup and NormUnit]],TechGroup_and_NormUnit,0),1)</f>
        <v>1</v>
      </c>
      <c r="CY33" s="391" cm="1">
        <f t="array" aca="1" ref="CY33" ca="1">IFERROR(INDEX(TGRows,DeemedDashboard[[#This Row],[TGIndex]]),"")</f>
        <v>2</v>
      </c>
      <c r="CZ33" s="391">
        <f ca="1">IF(DeemedDashboard[[#This Row],[MeasAppType]]=const_AR,DeemedDashboard[[#This Row],[TGRows]],DeemedDashboard[[#This Row],[TGRows]]+1)</f>
        <v>3</v>
      </c>
      <c r="DA33" s="391" t="str">
        <f>IF(ISBLANK(DeemedDashboard[[#This Row],[MeasAppType]]),"",IF(DeemedDashboard[[#This Row],[Index]]=User_Specified_Refrigerant[[#This Row],[Index]],"OK","ERROR"))</f>
        <v/>
      </c>
    </row>
    <row r="34" spans="1:105" s="320" customFormat="1" x14ac:dyDescent="0.25">
      <c r="A34" s="297">
        <f>ROW(DeemedDashboard[[#This Row],[Index]])-ROW(DeemedDashboard[[#Headers],[Index]])</f>
        <v>25</v>
      </c>
      <c r="B34" s="298"/>
      <c r="C34" s="321"/>
      <c r="D34" s="403"/>
      <c r="E34" s="403"/>
      <c r="F34" s="403"/>
      <c r="G34" s="403"/>
      <c r="H34" s="365"/>
      <c r="I34" s="339"/>
      <c r="J34" s="339"/>
      <c r="K34" s="339"/>
      <c r="L34" s="322"/>
      <c r="M34" s="322"/>
      <c r="N34" s="322"/>
      <c r="O3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4" s="582" t="str" cm="1">
        <f t="array" ref="R34">IFERROR(IF(DeemedDashboard[[#This Row],[Msr device type]]=const_device_nonrefrig,0,INDEX(_xlfn.SWITCH($E$4,const_20_yr,GWP_Values_20_year_AR4,const_100_yr,GWP_Values_100_year_AR4),MATCH(DeemedDashboard[[#This Row],[Msr refrigerant Type]],RefrigDropdownList,0))),"")</f>
        <v/>
      </c>
      <c r="S34" s="582" t="str" cm="1">
        <f t="array" ref="S34">IFERROR(IF(DeemedDashboard[[#This Row],[Std device type]]=const_device_nonrefrig,0,INDEX(_xlfn.SWITCH($E$4,const_20_yr,GWP_Values_20_year_AR4,const_100_yr,GWP_Values_100_year_AR4),MATCH(DeemedDashboard[[#This Row],[Std refrigerant Type]],RefrigDropdownList,0))),"")</f>
        <v/>
      </c>
      <c r="T34" s="582" t="str" cm="1">
        <f t="array" ref="T34">IFERROR(IF(DeemedDashboard[[#This Row],[Pre/Ext device type]]=const_device_nonrefrig,0,INDEX(_xlfn.SWITCH($E$4,const_20_yr,GWP_Values_20_year_AR4,const_100_yr,GWP_Values_100_year_AR4),MATCH(DeemedDashboard[[#This Row],[Pre/Ext refrigerant Type]],RefrigDropdownList,0))),"")</f>
        <v/>
      </c>
      <c r="U3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4" s="326" t="str">
        <f>IFERROR(IF(DeemedDashboard[[#This Row],[Msr device type]]=const_userspec,IF(ISBLANK(User_Specified_Refrigerant[[#This Row],[Msr t_EOL]]),"",User_Specified_Refrigerant[[#This Row],[Msr t_EOL]]),INDEX(TechGroup_NormUnit_Table[t_EOL],MATCH(DeemedDashboard[[#This Row],[Msr device type]],DropdownRefrigTech,0))),"")</f>
        <v/>
      </c>
      <c r="AB34" s="326" t="str">
        <f>IFERROR(IF(DeemedDashboard[[#This Row],[Std device type]]=const_userspec,IF(ISBLANK(User_Specified_Refrigerant[[#This Row],[Std t_EOL]]),"",User_Specified_Refrigerant[[#This Row],[Std t_EOL]]),INDEX(TechGroup_NormUnit_Table[t_EOL],MATCH(DeemedDashboard[[#This Row],[Std device type]],DropdownRefrigTech,0))),"")</f>
        <v/>
      </c>
      <c r="AC3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4" s="395" t="str">
        <f>IF(ISBLANK(DeemedDashboard[[#This Row],[MeasAppType]]),"",$E$2)</f>
        <v/>
      </c>
      <c r="AE34" s="395" t="str">
        <f>IFERROR(IF(ISBLANK(DeemedDashboard[[#This Row],[MeasAppType]]),NA(),DeemedDashboard[[#This Row],[Measure Start Year]]+DeemedDashboard[[#This Row],[Msr EUL rounded]]-1),"")</f>
        <v/>
      </c>
      <c r="AF34" s="323" t="str">
        <f>IF(ISBLANK(DeemedDashboard[[#This Row],[Measure New Device EUL]]),"",ROUND(DeemedDashboard[[#This Row],[Measure New Device EUL]],0))</f>
        <v/>
      </c>
      <c r="AG34" s="323" t="str">
        <f>IF(ISBLANK(DeemedDashboard[[#This Row],[Counterfactual New Device EUL]]),"",ROUND(DeemedDashboard[[#This Row],[Counterfactual New Device EUL]],0))</f>
        <v/>
      </c>
      <c r="AH34" s="323" t="str">
        <f>IF(ISBLANK(DeemedDashboard[[#This Row],[Existing Device EUL]]),"",ROUND(DeemedDashboard[[#This Row],[Existing Device EUL]],0))</f>
        <v/>
      </c>
      <c r="AI34" s="323" t="str">
        <f>IF(ISBLANK(DeemedDashboard[[#This Row],[Existing Device RUL or AR First Baseline Life]]),"",ROUND(DeemedDashboard[[#This Row],[Existing Device RUL or AR First Baseline Life]],0))</f>
        <v/>
      </c>
      <c r="AJ34" s="327" t="str">
        <f>DeemedDashboard[[#This Row],[Measure Start Year]]</f>
        <v/>
      </c>
      <c r="AK34" s="327" t="str">
        <f>IF(DeemedDashboard[[#This Row],[MeasAppType]]&lt;&gt;const_AR,DeemedDashboard[[#This Row],[Measure Start Year]],DeemedDashboard[[#This Row],[Ext Device Retire-ment Year]]+1)</f>
        <v/>
      </c>
      <c r="AL34" s="327" t="str">
        <f>IFERROR(IF(DeemedDashboard[[#This Row],[MeasAppType]]=const_AR,DeemedDashboard[[#This Row],[Measure Start Year]]-(DeemedDashboard[[#This Row],[Existing Device EUL]]-DeemedDashboard[[#This Row],[Existing Device RUL or AR First Baseline Life]]),NA()),"")</f>
        <v/>
      </c>
      <c r="AM34" s="327" t="str">
        <f>DeemedDashboard[[#This Row],[Pre Device Install Year]]</f>
        <v/>
      </c>
      <c r="AN34" s="327" t="str">
        <f>IFERROR(IF(ISBLANK(DeemedDashboard[[#This Row],[MeasAppType]]),NA(),DeemedDashboard[[#This Row],[Measure Start Year]]+DeemedDashboard[[#This Row],[Msr EUL rounded]]-1),"")</f>
        <v/>
      </c>
      <c r="AO34" s="327" t="str">
        <f>IFERROR(DeemedDashboard[[#This Row],[Std Device Install Year]]+DeemedDashboard[[#This Row],[Counterfactual New Device EUL]]-1,"")</f>
        <v/>
      </c>
      <c r="AP34" s="327" t="str">
        <f>IFERROR(IF(AND(DeemedDashboard[[#This Row],[MeasAppType]]=const_AR,DeemedDashboard[[#This Row],[Measure Start Year]]&lt;(DeemedDashboard[[#This Row],[Pre Device Install Year]]+DeemedDashboard[[#This Row],[Existing Device EUL]]-1)),DeemedDashboard[[#This Row],[Measure Start Year]]-1,NA()),"")</f>
        <v/>
      </c>
      <c r="AQ34" s="327" t="str">
        <f>IFERROR(IF(DeemedDashboard[[#This Row],[MeasAppType]]=const_AR,DeemedDashboard[[#This Row],[Ext Device Install Year]]+DeemedDashboard[[#This Row],[Existing Device EUL]]-1,NA()),"")</f>
        <v/>
      </c>
      <c r="AR34" s="327" t="str">
        <f>IFERROR(IF(ISBLANK(DeemedDashboard[[#This Row],[MeasAppType]]),NA(),0),"")</f>
        <v/>
      </c>
      <c r="AS34" s="327" t="str">
        <f>IFERROR(IF(ISBLANK(DeemedDashboard[[#This Row],[MeasAppType]]),NA(),0),"")</f>
        <v/>
      </c>
      <c r="AT34" s="327" t="str">
        <f>IF(ISBLANK(DeemedDashboard[[#This Row],[MeasAppType]]),"",IF(DeemedDashboard[[#This Row],[MeasAppType]]&lt;&gt;const_AR,"",(DeemedDashboard[[#This Row],[Pre Device Install Year]]+DeemedDashboard[[#This Row],[Existing Device EUL]]-1)-DeemedDashboard[[#This Row],[Pre Device Retire-ment Year]]))</f>
        <v/>
      </c>
      <c r="AU34" s="327" t="str">
        <f>IF(ISBLANK(DeemedDashboard[[#This Row],[MeasAppType]]),"",IF(DeemedDashboard[[#This Row],[MeasAppType]]=const_AR,0,""))</f>
        <v/>
      </c>
      <c r="AV34" s="328" t="str">
        <f>IF(ISBLANK(DeemedDashboard[[#This Row],[MeasAppType]]),"",MAX((1+MIN(DeemedDashboard[[#This Row],[Msr Device Retire-ment Year]],DeemedDashboard[[#This Row],[Measure End 
Year]])-MAX(DeemedDashboard[[#This Row],[Msr Device Install Year]],DeemedDashboard[[#This Row],[Measure Start Year]])),0))</f>
        <v/>
      </c>
      <c r="AW34" s="328" t="str">
        <f>IF(ISBLANK(DeemedDashboard[[#This Row],[MeasAppType]]),"",MAX((1+MIN(DeemedDashboard[[#This Row],[Std Device Retire-ment Year]],DeemedDashboard[[#This Row],[Measure End 
Year]])-MAX(DeemedDashboard[[#This Row],[Std Device Install Year]],DeemedDashboard[[#This Row],[Measure Start Year]])),0))</f>
        <v/>
      </c>
      <c r="AX3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4"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4" s="329" t="str">
        <f>IF(ISBLANK(DeemedDashboard[[#This Row],[MeasAppType]]),"",IF(DeemedDashboard[[#This Row],[Msr Device Years Over-lapping with Measure Years]]=0,0,DeemedDashboard[[#This Row],[Msr Device Years Over-lapping with Measure Years]]/DeemedDashboard[[#This Row],[Msr EUL rounded]]))</f>
        <v/>
      </c>
      <c r="BA34" s="329" t="str">
        <f>IF(ISBLANK(DeemedDashboard[[#This Row],[MeasAppType]]),"",IF(DeemedDashboard[[#This Row],[Std Device Years Over-lapping with Measure Years]]=0,0,DeemedDashboard[[#This Row],[Std Device Years Over-lapping with Measure Years]]/DeemedDashboard[[#This Row],[Counterfactual New Device EUL]]))</f>
        <v/>
      </c>
      <c r="BB34" s="329" t="str">
        <f>IF(ISBLANK(DeemedDashboard[[#This Row],[MeasAppType]]),"",IFERROR(IF(DeemedDashboard[[#This Row],[Pre Device Years Over-lapping with Measure Years]]=0,0,DeemedDashboard[[#This Row],[Pre Device Years Over-lapping with Measure Years]]/DeemedDashboard[[#This Row],[Existing Device EUL]]),""))</f>
        <v/>
      </c>
      <c r="BC34" s="331" t="str">
        <f>IFERROR(IF(DeemedDashboard[[#This Row],[Ext Device Years Over-lapping with Measure Years]]=0,0,DeemedDashboard[[#This Row],[Ext Device Years Over-lapping with Measure Years]]/DeemedDashboard[[#This Row],[Existing Device EUL]]),"")</f>
        <v/>
      </c>
      <c r="BD34" s="329" t="str">
        <f>IFERROR(IF(DeemedDashboard[[#This Row],[Msr Number of Years device retired early]]=0,0,DeemedDashboard[[#This Row],[Msr Number of Years device retired early]]/DeemedDashboard[[#This Row],[Msr EUL rounded]]),"")</f>
        <v/>
      </c>
      <c r="BE34" s="329" t="str">
        <f>IFERROR(IF(DeemedDashboard[[#This Row],[Std Number of Years device retired early]]=0,0,DeemedDashboard[[#This Row],[Std Number of Years device retired early]]/DeemedDashboard[[#This Row],[Msr EUL rounded]]),"")</f>
        <v/>
      </c>
      <c r="BF34" s="329" t="str">
        <f>IFERROR(IF(DeemedDashboard[[#This Row],[MeasAppType]]&lt;&gt;const_AR,"",IF(DeemedDashboard[[#This Row],[Pre Number of Years device retired early]]=0,0,DeemedDashboard[[#This Row],[Pre Number of Years device retired early]]/DeemedDashboard[[#This Row],[Existing Device EUL]])),"")</f>
        <v/>
      </c>
      <c r="BG34" s="331" t="str">
        <f>IFERROR(IF(DeemedDashboard[[#This Row],[Ext Number of Years device retired early]]=0,0,DeemedDashboard[[#This Row],[Ext Number of Years device retired early]]/DeemedDashboard[[#This Row],[Existing Device EUL]]),"")</f>
        <v/>
      </c>
      <c r="BH34" s="325" t="str">
        <f>IFERROR(1-DeemedDashboard[[#This Row],[Msr annual refrigerant leakage %]]*DeemedDashboard[[#This Row],[Msr t_EOL]],"")</f>
        <v/>
      </c>
      <c r="BI34" s="325" t="str">
        <f>IFERROR(1-DeemedDashboard[[#This Row],[Std annual refrigerant leakage %]]*DeemedDashboard[[#This Row],[Std t_EOL]],"")</f>
        <v/>
      </c>
      <c r="BJ34" s="325" t="str">
        <f>IFERROR(1-DeemedDashboard[[#This Row],[Pre/Ext annual refrigerant leakage %]]*DeemedDashboard[[#This Row],[Pre/Ext t_EOL]],"")</f>
        <v/>
      </c>
      <c r="BK34" s="325" t="str">
        <f>IFERROR(1-DeemedDashboard[[#This Row],[Pre/Ext annual refrigerant leakage %]]*DeemedDashboard[[#This Row],[Pre/Ext t_EOL]],"")</f>
        <v/>
      </c>
      <c r="BL34" s="325" t="str">
        <f>IFERROR(DeemedDashboard[[#This Row],[Msr charging remaining (%)]]*DeemedDashboard[[#This Row],[Msr gross EOL refrigerant leakage %]],"")</f>
        <v/>
      </c>
      <c r="BM34" s="325" t="str">
        <f>IFERROR(DeemedDashboard[[#This Row],[Std charging remaining (%)]]*DeemedDashboard[[#This Row],[Std gross EOL refrigerant leakage %]],"")</f>
        <v/>
      </c>
      <c r="BN34" s="325" t="str">
        <f>IFERROR(DeemedDashboard[[#This Row],[Pre charging remaining (%)]]*DeemedDashboard[[#This Row],[Pre/Ext gross EOL refrigerant leakage %]],"")</f>
        <v/>
      </c>
      <c r="BO34" s="325" t="str">
        <f>IFERROR(DeemedDashboard[[#This Row],[Ext charging remaining (%)]]*DeemedDashboard[[#This Row],[Pre/Ext gross EOL refrigerant leakage %]],"")</f>
        <v/>
      </c>
      <c r="BP34" s="330" t="str">
        <f>IFERROR((DeemedDashboard[[#This Row],[Msr refrigerant charge (lb) per NormUnit]]/pounds_per_metric_ton)*DeemedDashboard[[#This Row],[Msr annual refrigerant leakage %]]*DeemedDashboard[[#This Row],[Msr GWP]],"")</f>
        <v/>
      </c>
      <c r="BQ34" s="330" t="str">
        <f>IFERROR((DeemedDashboard[[#This Row],[Std refrigerant charge (lb) per NormUnit]]/pounds_per_metric_ton)*DeemedDashboard[[#This Row],[Std annual refrigerant leakage %]]*DeemedDashboard[[#This Row],[Std GWP]],"")</f>
        <v/>
      </c>
      <c r="BR34" s="330" t="str">
        <f>IF(DeemedDashboard[[#This Row],[MeasAppType]]=const_AR,(DeemedDashboard[[#This Row],[Pre/Ext refrigerant charge (lb) per NormUnit]]/pounds_per_metric_ton)*DeemedDashboard[[#This Row],[Pre/Ext annual refrigerant leakage %]]*DeemedDashboard[[#This Row],[Pre/Ext GWP]],"")</f>
        <v/>
      </c>
      <c r="BS34" s="330" t="str">
        <f>IF(DeemedDashboard[[#This Row],[MeasAppType]]=const_AR,(DeemedDashboard[[#This Row],[Pre/Ext refrigerant charge (lb) per NormUnit]]/pounds_per_metric_ton)*DeemedDashboard[[#This Row],[Pre/Ext annual refrigerant leakage %]]*DeemedDashboard[[#This Row],[Pre/Ext GWP]],"")</f>
        <v/>
      </c>
      <c r="BT34" s="330" t="str">
        <f>IFERROR((DeemedDashboard[[#This Row],[Msr refrigerant charge (lb) per NormUnit]]/pounds_per_metric_ton)*DeemedDashboard[[#This Row],[Msr net EOL refrigerant leakage (%)]]*DeemedDashboard[[#This Row],[Msr GWP]],"")</f>
        <v/>
      </c>
      <c r="BU34" s="330" t="str">
        <f>IFERROR((DeemedDashboard[[#This Row],[Std refrigerant charge (lb) per NormUnit]]/pounds_per_metric_ton)*DeemedDashboard[[#This Row],[Std net EOL refrigerant leakage (%)]]*DeemedDashboard[[#This Row],[Std GWP]],"")</f>
        <v/>
      </c>
      <c r="BV34" s="330" t="str">
        <f>IFERROR((DeemedDashboard[[#This Row],[Pre/Ext refrigerant charge (lb) per NormUnit]]/pounds_per_metric_ton)*DeemedDashboard[[#This Row],[Pre net EOL refrigerant leakage (%)]]*DeemedDashboard[[#This Row],[Pre/Ext GWP]],"")</f>
        <v/>
      </c>
      <c r="BW34" s="330" t="str">
        <f>IFERROR((DeemedDashboard[[#This Row],[Pre/Ext refrigerant charge (lb) per NormUnit]]/pounds_per_metric_ton)*DeemedDashboard[[#This Row],[Ext net EOL refrigerant leakage (%)]]*DeemedDashboard[[#This Row],[Pre/Ext GWP]],"")</f>
        <v/>
      </c>
      <c r="BX34" s="299" t="str" cm="1">
        <f t="array" aca="1" ref="BX3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4" s="305" t="str" cm="1">
        <f t="array" aca="1" ref="BY3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4" s="299" t="str">
        <f>IFERROR(IF(OR(DeemedDashboard[[#This Row],[MeasAppType]]&lt;&gt;const_AR,ISBLANK(DeemedDashboard[[#This Row],[MeasAppType]])),NA(),0),"")</f>
        <v/>
      </c>
      <c r="CA34" s="305" t="str" cm="1">
        <f t="array" aca="1" ref="CA3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4" s="296" t="str">
        <f ca="1">IFERROR((DeemedDashboard[[#This Row],[Msr EOL leakage tons CO2e]]*OFFSET(GHG_Adder_dollar_per_tonne,0,(DeemedDashboard[[#This Row],[Msr Device Retire-ment Year]]-DY+1),1,1))/(1+WACC)^(DeemedDashboard[[#This Row],[Msr Device Retire-ment Year]]-DeemedDashboard[[#This Row],[Measure Start Year]]+0.5),"")</f>
        <v/>
      </c>
      <c r="CC34" s="296" t="str">
        <f ca="1">IFERROR((DeemedDashboard[[#This Row],[Std EOL leakage tons CO2e]]*OFFSET(GHG_Adder_dollar_per_tonne,0,(DeemedDashboard[[#This Row],[Std Device Retire-ment Year]]-DY+1),1,1))/(1+WACC)^(DeemedDashboard[[#This Row],[Std Device Retire-ment Year]]-DeemedDashboard[[#This Row],[Measure Start Year]]+0.5),"")</f>
        <v/>
      </c>
      <c r="CD34" s="296" t="str">
        <f ca="1">IFERROR((DeemedDashboard[[#This Row],[Pre EOL leakage tons CO2e]]*OFFSET(GHG_Adder_dollar_per_tonne,0,(DeemedDashboard[[#This Row],[Measure Start Year]]-DY),1,1))/(1+WACC)^(-0.5),"")</f>
        <v/>
      </c>
      <c r="CE3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4" s="296" t="str">
        <f ca="1">IFERROR(DeemedDashboard[[#This Row],[Msr NPV Cost of Annual Leakage]]/(1+ACC_Inflation_Rate)^(DeemedDashboard[[#This Row],[Measure Start Year]]-DY),"")</f>
        <v/>
      </c>
      <c r="CG34" s="296" t="str">
        <f ca="1">IFERROR(DeemedDashboard[[#This Row],[Std NPV Cost of Annual Leakage]]/(1+ACC_Inflation_Rate)^(DeemedDashboard[[#This Row],[Measure Start Year]]-DY),"")</f>
        <v/>
      </c>
      <c r="CH34" s="296" t="str">
        <f>IFERROR(IF(ISBLANK(DeemedDashboard[[#This Row],[MeasAppType]]),NA(),IF(DeemedDashboard[[#This Row],[MeasAppType]]=const_AR,DeemedDashboard[[#This Row],[Pre NPV Cost of Annual Leakage]]/(1+ACC_Inflation_Rate)^(DeemedDashboard[[#This Row],[Measure Start Year]]-DY),"")),"")</f>
        <v/>
      </c>
      <c r="CI34" s="296" t="str">
        <f>IFERROR(IF(ISBLANK(DeemedDashboard[[#This Row],[MeasAppType]]),NA(),IF(DeemedDashboard[[#This Row],[MeasAppType]]=const_AR,DeemedDashboard[[#This Row],[Ext NPV Cost of Annual Leakage]]/(1+ACC_Inflation_Rate)^(DeemedDashboard[[#This Row],[Measure Start Year]]-DY),"")),"")</f>
        <v/>
      </c>
      <c r="CJ34" s="296" t="str">
        <f ca="1">IFERROR((DeemedDashboard[[#This Row],[Msr % of device lifetime during measure years]]+DeemedDashboard[[#This Row],[Msr % of device lifetime retired early]])*DeemedDashboard[[#This Row],[Msr NPV Cost of EOL Leakage]]/(1+ACC_Inflation_Rate)^(DeemedDashboard[[#This Row],[Measure Start Year]]-DY),"")</f>
        <v/>
      </c>
      <c r="CK34" s="296" t="str">
        <f ca="1">IFERROR((DeemedDashboard[[#This Row],[Std % of device lifetime during measure years]]+DeemedDashboard[[#This Row],[Std % of device lifetime retired early]])*DeemedDashboard[[#This Row],[Std NPV Cost of EOL Leakage]]/(1+ACC_Inflation_Rate)^(DeemedDashboard[[#This Row],[Measure Start Year]]-DY),"")</f>
        <v/>
      </c>
      <c r="CL3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4" s="299" t="str">
        <f ca="1">IFERROR(DeemedDashboard[[#This Row],[Counter-factual total 
NPV cost]]-DeemedDashboard[[#This Row],[Measure total 
NPV cost]],"")</f>
        <v/>
      </c>
      <c r="CQ34" s="299" t="str">
        <f>IF(ISBLANK(DeemedDashboard[[#This Row],[MeasAppType]]),"",DeemedDashboard[[#This Row],[Refrigerant
NPV costs
avoided]]&gt;0)</f>
        <v/>
      </c>
      <c r="CR34" s="299" t="str">
        <f ca="1">IFERROR(DeemedDashboard[[#This Row],[Msr Adj NPV Cost of Annual Leakage]]+DeemedDashboard[[#This Row],[Msr Adj NPV Cost of EOL Leakage]],"")</f>
        <v/>
      </c>
      <c r="CS34" s="299" t="str">
        <f ca="1">IFERROR(DeemedDashboard[[#This Row],[Std Adj NPV Cost of Annual Leakage]]+DeemedDashboard[[#This Row],[Std Adj NPV Cost of EOL Leakage]],"")</f>
        <v/>
      </c>
      <c r="CT34" s="299" t="str">
        <f>IFERROR(IF((DeemedDashboard[[#This Row],[Pre Adj NPV Cost of Annual Leakage]]+DeemedDashboard[[#This Row],[Pre Adj NPV Cost of EOL Leakage]])=0,"",DeemedDashboard[[#This Row],[Pre Adj NPV Cost of Annual Leakage]]+DeemedDashboard[[#This Row],[Pre Adj NPV Cost of EOL Leakage]]),"")</f>
        <v/>
      </c>
      <c r="CU34" s="299" t="str">
        <f>IFERROR(IF((DeemedDashboard[[#This Row],[Ext Adj NPV Cost of Annual Leakage]]+DeemedDashboard[[#This Row],[Ext Adj NPV Cost of EOL Leakage]])=0,"",DeemedDashboard[[#This Row],[Ext Adj NPV Cost of Annual Leakage]]+DeemedDashboard[[#This Row],[Ext Adj NPV Cost of EOL Leakage]]),"")</f>
        <v/>
      </c>
      <c r="CV34" s="299" t="str">
        <f>IFERROR(IF(DeemedDashboard[[#This Row],[Is Avoided Net Cost &gt;0?]],"",-DeemedDashboard[[#This Row],[Refrigerant
NPV costs
avoided]]),"")</f>
        <v/>
      </c>
      <c r="CW34" s="299" t="str">
        <f>IFERROR(IF(DeemedDashboard[[#This Row],[Is Avoided Net Cost &gt;0?]],DeemedDashboard[[#This Row],[Refrigerant
NPV costs
avoided]],""),"")</f>
        <v/>
      </c>
      <c r="CX34" s="391">
        <f ca="1">IFERROR(MATCH(DeemedDashboard[[#This Row],[TechGroup and NormUnit]],TechGroup_and_NormUnit,0),1)</f>
        <v>1</v>
      </c>
      <c r="CY34" s="391" cm="1">
        <f t="array" aca="1" ref="CY34" ca="1">IFERROR(INDEX(TGRows,DeemedDashboard[[#This Row],[TGIndex]]),"")</f>
        <v>2</v>
      </c>
      <c r="CZ34" s="391">
        <f ca="1">IF(DeemedDashboard[[#This Row],[MeasAppType]]=const_AR,DeemedDashboard[[#This Row],[TGRows]],DeemedDashboard[[#This Row],[TGRows]]+1)</f>
        <v>3</v>
      </c>
      <c r="DA34" s="391" t="str">
        <f>IF(ISBLANK(DeemedDashboard[[#This Row],[MeasAppType]]),"",IF(DeemedDashboard[[#This Row],[Index]]=User_Specified_Refrigerant[[#This Row],[Index]],"OK","ERROR"))</f>
        <v/>
      </c>
    </row>
    <row r="35" spans="1:105" s="320" customFormat="1" x14ac:dyDescent="0.25">
      <c r="A35" s="297">
        <f>ROW(DeemedDashboard[[#This Row],[Index]])-ROW(DeemedDashboard[[#Headers],[Index]])</f>
        <v>26</v>
      </c>
      <c r="B35" s="298"/>
      <c r="C35" s="321"/>
      <c r="D35" s="403"/>
      <c r="E35" s="403"/>
      <c r="F35" s="403"/>
      <c r="G35" s="403"/>
      <c r="H35" s="365"/>
      <c r="I35" s="339"/>
      <c r="J35" s="339"/>
      <c r="K35" s="339"/>
      <c r="L35" s="322"/>
      <c r="M35" s="322"/>
      <c r="N35" s="322"/>
      <c r="O3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5" s="582" t="str" cm="1">
        <f t="array" ref="R35">IFERROR(IF(DeemedDashboard[[#This Row],[Msr device type]]=const_device_nonrefrig,0,INDEX(_xlfn.SWITCH($E$4,const_20_yr,GWP_Values_20_year_AR4,const_100_yr,GWP_Values_100_year_AR4),MATCH(DeemedDashboard[[#This Row],[Msr refrigerant Type]],RefrigDropdownList,0))),"")</f>
        <v/>
      </c>
      <c r="S35" s="582" t="str" cm="1">
        <f t="array" ref="S35">IFERROR(IF(DeemedDashboard[[#This Row],[Std device type]]=const_device_nonrefrig,0,INDEX(_xlfn.SWITCH($E$4,const_20_yr,GWP_Values_20_year_AR4,const_100_yr,GWP_Values_100_year_AR4),MATCH(DeemedDashboard[[#This Row],[Std refrigerant Type]],RefrigDropdownList,0))),"")</f>
        <v/>
      </c>
      <c r="T35" s="582" t="str" cm="1">
        <f t="array" ref="T35">IFERROR(IF(DeemedDashboard[[#This Row],[Pre/Ext device type]]=const_device_nonrefrig,0,INDEX(_xlfn.SWITCH($E$4,const_20_yr,GWP_Values_20_year_AR4,const_100_yr,GWP_Values_100_year_AR4),MATCH(DeemedDashboard[[#This Row],[Pre/Ext refrigerant Type]],RefrigDropdownList,0))),"")</f>
        <v/>
      </c>
      <c r="U3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5" s="326" t="str">
        <f>IFERROR(IF(DeemedDashboard[[#This Row],[Msr device type]]=const_userspec,IF(ISBLANK(User_Specified_Refrigerant[[#This Row],[Msr t_EOL]]),"",User_Specified_Refrigerant[[#This Row],[Msr t_EOL]]),INDEX(TechGroup_NormUnit_Table[t_EOL],MATCH(DeemedDashboard[[#This Row],[Msr device type]],DropdownRefrigTech,0))),"")</f>
        <v/>
      </c>
      <c r="AB35" s="326" t="str">
        <f>IFERROR(IF(DeemedDashboard[[#This Row],[Std device type]]=const_userspec,IF(ISBLANK(User_Specified_Refrigerant[[#This Row],[Std t_EOL]]),"",User_Specified_Refrigerant[[#This Row],[Std t_EOL]]),INDEX(TechGroup_NormUnit_Table[t_EOL],MATCH(DeemedDashboard[[#This Row],[Std device type]],DropdownRefrigTech,0))),"")</f>
        <v/>
      </c>
      <c r="AC3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5" s="395" t="str">
        <f>IF(ISBLANK(DeemedDashboard[[#This Row],[MeasAppType]]),"",$E$2)</f>
        <v/>
      </c>
      <c r="AE35" s="395" t="str">
        <f>IFERROR(IF(ISBLANK(DeemedDashboard[[#This Row],[MeasAppType]]),NA(),DeemedDashboard[[#This Row],[Measure Start Year]]+DeemedDashboard[[#This Row],[Msr EUL rounded]]-1),"")</f>
        <v/>
      </c>
      <c r="AF35" s="323" t="str">
        <f>IF(ISBLANK(DeemedDashboard[[#This Row],[Measure New Device EUL]]),"",ROUND(DeemedDashboard[[#This Row],[Measure New Device EUL]],0))</f>
        <v/>
      </c>
      <c r="AG35" s="323" t="str">
        <f>IF(ISBLANK(DeemedDashboard[[#This Row],[Counterfactual New Device EUL]]),"",ROUND(DeemedDashboard[[#This Row],[Counterfactual New Device EUL]],0))</f>
        <v/>
      </c>
      <c r="AH35" s="323" t="str">
        <f>IF(ISBLANK(DeemedDashboard[[#This Row],[Existing Device EUL]]),"",ROUND(DeemedDashboard[[#This Row],[Existing Device EUL]],0))</f>
        <v/>
      </c>
      <c r="AI35" s="323" t="str">
        <f>IF(ISBLANK(DeemedDashboard[[#This Row],[Existing Device RUL or AR First Baseline Life]]),"",ROUND(DeemedDashboard[[#This Row],[Existing Device RUL or AR First Baseline Life]],0))</f>
        <v/>
      </c>
      <c r="AJ35" s="327" t="str">
        <f>DeemedDashboard[[#This Row],[Measure Start Year]]</f>
        <v/>
      </c>
      <c r="AK35" s="327" t="str">
        <f>IF(DeemedDashboard[[#This Row],[MeasAppType]]&lt;&gt;const_AR,DeemedDashboard[[#This Row],[Measure Start Year]],DeemedDashboard[[#This Row],[Ext Device Retire-ment Year]]+1)</f>
        <v/>
      </c>
      <c r="AL35" s="327" t="str">
        <f>IFERROR(IF(DeemedDashboard[[#This Row],[MeasAppType]]=const_AR,DeemedDashboard[[#This Row],[Measure Start Year]]-(DeemedDashboard[[#This Row],[Existing Device EUL]]-DeemedDashboard[[#This Row],[Existing Device RUL or AR First Baseline Life]]),NA()),"")</f>
        <v/>
      </c>
      <c r="AM35" s="327" t="str">
        <f>DeemedDashboard[[#This Row],[Pre Device Install Year]]</f>
        <v/>
      </c>
      <c r="AN35" s="327" t="str">
        <f>IFERROR(IF(ISBLANK(DeemedDashboard[[#This Row],[MeasAppType]]),NA(),DeemedDashboard[[#This Row],[Measure Start Year]]+DeemedDashboard[[#This Row],[Msr EUL rounded]]-1),"")</f>
        <v/>
      </c>
      <c r="AO35" s="327" t="str">
        <f>IFERROR(DeemedDashboard[[#This Row],[Std Device Install Year]]+DeemedDashboard[[#This Row],[Counterfactual New Device EUL]]-1,"")</f>
        <v/>
      </c>
      <c r="AP35" s="327" t="str">
        <f>IFERROR(IF(AND(DeemedDashboard[[#This Row],[MeasAppType]]=const_AR,DeemedDashboard[[#This Row],[Measure Start Year]]&lt;(DeemedDashboard[[#This Row],[Pre Device Install Year]]+DeemedDashboard[[#This Row],[Existing Device EUL]]-1)),DeemedDashboard[[#This Row],[Measure Start Year]]-1,NA()),"")</f>
        <v/>
      </c>
      <c r="AQ35" s="327" t="str">
        <f>IFERROR(IF(DeemedDashboard[[#This Row],[MeasAppType]]=const_AR,DeemedDashboard[[#This Row],[Ext Device Install Year]]+DeemedDashboard[[#This Row],[Existing Device EUL]]-1,NA()),"")</f>
        <v/>
      </c>
      <c r="AR35" s="327" t="str">
        <f>IFERROR(IF(ISBLANK(DeemedDashboard[[#This Row],[MeasAppType]]),NA(),0),"")</f>
        <v/>
      </c>
      <c r="AS35" s="327" t="str">
        <f>IFERROR(IF(ISBLANK(DeemedDashboard[[#This Row],[MeasAppType]]),NA(),0),"")</f>
        <v/>
      </c>
      <c r="AT35" s="327" t="str">
        <f>IF(ISBLANK(DeemedDashboard[[#This Row],[MeasAppType]]),"",IF(DeemedDashboard[[#This Row],[MeasAppType]]&lt;&gt;const_AR,"",(DeemedDashboard[[#This Row],[Pre Device Install Year]]+DeemedDashboard[[#This Row],[Existing Device EUL]]-1)-DeemedDashboard[[#This Row],[Pre Device Retire-ment Year]]))</f>
        <v/>
      </c>
      <c r="AU35" s="327" t="str">
        <f>IF(ISBLANK(DeemedDashboard[[#This Row],[MeasAppType]]),"",IF(DeemedDashboard[[#This Row],[MeasAppType]]=const_AR,0,""))</f>
        <v/>
      </c>
      <c r="AV35" s="328" t="str">
        <f>IF(ISBLANK(DeemedDashboard[[#This Row],[MeasAppType]]),"",MAX((1+MIN(DeemedDashboard[[#This Row],[Msr Device Retire-ment Year]],DeemedDashboard[[#This Row],[Measure End 
Year]])-MAX(DeemedDashboard[[#This Row],[Msr Device Install Year]],DeemedDashboard[[#This Row],[Measure Start Year]])),0))</f>
        <v/>
      </c>
      <c r="AW35" s="328" t="str">
        <f>IF(ISBLANK(DeemedDashboard[[#This Row],[MeasAppType]]),"",MAX((1+MIN(DeemedDashboard[[#This Row],[Std Device Retire-ment Year]],DeemedDashboard[[#This Row],[Measure End 
Year]])-MAX(DeemedDashboard[[#This Row],[Std Device Install Year]],DeemedDashboard[[#This Row],[Measure Start Year]])),0))</f>
        <v/>
      </c>
      <c r="AX3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5"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5" s="329" t="str">
        <f>IF(ISBLANK(DeemedDashboard[[#This Row],[MeasAppType]]),"",IF(DeemedDashboard[[#This Row],[Msr Device Years Over-lapping with Measure Years]]=0,0,DeemedDashboard[[#This Row],[Msr Device Years Over-lapping with Measure Years]]/DeemedDashboard[[#This Row],[Msr EUL rounded]]))</f>
        <v/>
      </c>
      <c r="BA35" s="329" t="str">
        <f>IF(ISBLANK(DeemedDashboard[[#This Row],[MeasAppType]]),"",IF(DeemedDashboard[[#This Row],[Std Device Years Over-lapping with Measure Years]]=0,0,DeemedDashboard[[#This Row],[Std Device Years Over-lapping with Measure Years]]/DeemedDashboard[[#This Row],[Counterfactual New Device EUL]]))</f>
        <v/>
      </c>
      <c r="BB35" s="329" t="str">
        <f>IF(ISBLANK(DeemedDashboard[[#This Row],[MeasAppType]]),"",IFERROR(IF(DeemedDashboard[[#This Row],[Pre Device Years Over-lapping with Measure Years]]=0,0,DeemedDashboard[[#This Row],[Pre Device Years Over-lapping with Measure Years]]/DeemedDashboard[[#This Row],[Existing Device EUL]]),""))</f>
        <v/>
      </c>
      <c r="BC35" s="331" t="str">
        <f>IFERROR(IF(DeemedDashboard[[#This Row],[Ext Device Years Over-lapping with Measure Years]]=0,0,DeemedDashboard[[#This Row],[Ext Device Years Over-lapping with Measure Years]]/DeemedDashboard[[#This Row],[Existing Device EUL]]),"")</f>
        <v/>
      </c>
      <c r="BD35" s="329" t="str">
        <f>IFERROR(IF(DeemedDashboard[[#This Row],[Msr Number of Years device retired early]]=0,0,DeemedDashboard[[#This Row],[Msr Number of Years device retired early]]/DeemedDashboard[[#This Row],[Msr EUL rounded]]),"")</f>
        <v/>
      </c>
      <c r="BE35" s="329" t="str">
        <f>IFERROR(IF(DeemedDashboard[[#This Row],[Std Number of Years device retired early]]=0,0,DeemedDashboard[[#This Row],[Std Number of Years device retired early]]/DeemedDashboard[[#This Row],[Msr EUL rounded]]),"")</f>
        <v/>
      </c>
      <c r="BF35" s="329" t="str">
        <f>IFERROR(IF(DeemedDashboard[[#This Row],[MeasAppType]]&lt;&gt;const_AR,"",IF(DeemedDashboard[[#This Row],[Pre Number of Years device retired early]]=0,0,DeemedDashboard[[#This Row],[Pre Number of Years device retired early]]/DeemedDashboard[[#This Row],[Existing Device EUL]])),"")</f>
        <v/>
      </c>
      <c r="BG35" s="331" t="str">
        <f>IFERROR(IF(DeemedDashboard[[#This Row],[Ext Number of Years device retired early]]=0,0,DeemedDashboard[[#This Row],[Ext Number of Years device retired early]]/DeemedDashboard[[#This Row],[Existing Device EUL]]),"")</f>
        <v/>
      </c>
      <c r="BH35" s="325" t="str">
        <f>IFERROR(1-DeemedDashboard[[#This Row],[Msr annual refrigerant leakage %]]*DeemedDashboard[[#This Row],[Msr t_EOL]],"")</f>
        <v/>
      </c>
      <c r="BI35" s="325" t="str">
        <f>IFERROR(1-DeemedDashboard[[#This Row],[Std annual refrigerant leakage %]]*DeemedDashboard[[#This Row],[Std t_EOL]],"")</f>
        <v/>
      </c>
      <c r="BJ35" s="325" t="str">
        <f>IFERROR(1-DeemedDashboard[[#This Row],[Pre/Ext annual refrigerant leakage %]]*DeemedDashboard[[#This Row],[Pre/Ext t_EOL]],"")</f>
        <v/>
      </c>
      <c r="BK35" s="325" t="str">
        <f>IFERROR(1-DeemedDashboard[[#This Row],[Pre/Ext annual refrigerant leakage %]]*DeemedDashboard[[#This Row],[Pre/Ext t_EOL]],"")</f>
        <v/>
      </c>
      <c r="BL35" s="325" t="str">
        <f>IFERROR(DeemedDashboard[[#This Row],[Msr charging remaining (%)]]*DeemedDashboard[[#This Row],[Msr gross EOL refrigerant leakage %]],"")</f>
        <v/>
      </c>
      <c r="BM35" s="325" t="str">
        <f>IFERROR(DeemedDashboard[[#This Row],[Std charging remaining (%)]]*DeemedDashboard[[#This Row],[Std gross EOL refrigerant leakage %]],"")</f>
        <v/>
      </c>
      <c r="BN35" s="325" t="str">
        <f>IFERROR(DeemedDashboard[[#This Row],[Pre charging remaining (%)]]*DeemedDashboard[[#This Row],[Pre/Ext gross EOL refrigerant leakage %]],"")</f>
        <v/>
      </c>
      <c r="BO35" s="325" t="str">
        <f>IFERROR(DeemedDashboard[[#This Row],[Ext charging remaining (%)]]*DeemedDashboard[[#This Row],[Pre/Ext gross EOL refrigerant leakage %]],"")</f>
        <v/>
      </c>
      <c r="BP35" s="330" t="str">
        <f>IFERROR((DeemedDashboard[[#This Row],[Msr refrigerant charge (lb) per NormUnit]]/pounds_per_metric_ton)*DeemedDashboard[[#This Row],[Msr annual refrigerant leakage %]]*DeemedDashboard[[#This Row],[Msr GWP]],"")</f>
        <v/>
      </c>
      <c r="BQ35" s="330" t="str">
        <f>IFERROR((DeemedDashboard[[#This Row],[Std refrigerant charge (lb) per NormUnit]]/pounds_per_metric_ton)*DeemedDashboard[[#This Row],[Std annual refrigerant leakage %]]*DeemedDashboard[[#This Row],[Std GWP]],"")</f>
        <v/>
      </c>
      <c r="BR35" s="330" t="str">
        <f>IF(DeemedDashboard[[#This Row],[MeasAppType]]=const_AR,(DeemedDashboard[[#This Row],[Pre/Ext refrigerant charge (lb) per NormUnit]]/pounds_per_metric_ton)*DeemedDashboard[[#This Row],[Pre/Ext annual refrigerant leakage %]]*DeemedDashboard[[#This Row],[Pre/Ext GWP]],"")</f>
        <v/>
      </c>
      <c r="BS35" s="330" t="str">
        <f>IF(DeemedDashboard[[#This Row],[MeasAppType]]=const_AR,(DeemedDashboard[[#This Row],[Pre/Ext refrigerant charge (lb) per NormUnit]]/pounds_per_metric_ton)*DeemedDashboard[[#This Row],[Pre/Ext annual refrigerant leakage %]]*DeemedDashboard[[#This Row],[Pre/Ext GWP]],"")</f>
        <v/>
      </c>
      <c r="BT35" s="330" t="str">
        <f>IFERROR((DeemedDashboard[[#This Row],[Msr refrigerant charge (lb) per NormUnit]]/pounds_per_metric_ton)*DeemedDashboard[[#This Row],[Msr net EOL refrigerant leakage (%)]]*DeemedDashboard[[#This Row],[Msr GWP]],"")</f>
        <v/>
      </c>
      <c r="BU35" s="330" t="str">
        <f>IFERROR((DeemedDashboard[[#This Row],[Std refrigerant charge (lb) per NormUnit]]/pounds_per_metric_ton)*DeemedDashboard[[#This Row],[Std net EOL refrigerant leakage (%)]]*DeemedDashboard[[#This Row],[Std GWP]],"")</f>
        <v/>
      </c>
      <c r="BV35" s="330" t="str">
        <f>IFERROR((DeemedDashboard[[#This Row],[Pre/Ext refrigerant charge (lb) per NormUnit]]/pounds_per_metric_ton)*DeemedDashboard[[#This Row],[Pre net EOL refrigerant leakage (%)]]*DeemedDashboard[[#This Row],[Pre/Ext GWP]],"")</f>
        <v/>
      </c>
      <c r="BW35" s="330" t="str">
        <f>IFERROR((DeemedDashboard[[#This Row],[Pre/Ext refrigerant charge (lb) per NormUnit]]/pounds_per_metric_ton)*DeemedDashboard[[#This Row],[Ext net EOL refrigerant leakage (%)]]*DeemedDashboard[[#This Row],[Pre/Ext GWP]],"")</f>
        <v/>
      </c>
      <c r="BX35" s="299" t="str" cm="1">
        <f t="array" aca="1" ref="BX3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5" s="305" t="str" cm="1">
        <f t="array" aca="1" ref="BY3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5" s="299" t="str">
        <f>IFERROR(IF(OR(DeemedDashboard[[#This Row],[MeasAppType]]&lt;&gt;const_AR,ISBLANK(DeemedDashboard[[#This Row],[MeasAppType]])),NA(),0),"")</f>
        <v/>
      </c>
      <c r="CA35" s="305" t="str" cm="1">
        <f t="array" aca="1" ref="CA3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5" s="296" t="str">
        <f ca="1">IFERROR((DeemedDashboard[[#This Row],[Msr EOL leakage tons CO2e]]*OFFSET(GHG_Adder_dollar_per_tonne,0,(DeemedDashboard[[#This Row],[Msr Device Retire-ment Year]]-DY+1),1,1))/(1+WACC)^(DeemedDashboard[[#This Row],[Msr Device Retire-ment Year]]-DeemedDashboard[[#This Row],[Measure Start Year]]+0.5),"")</f>
        <v/>
      </c>
      <c r="CC35" s="296" t="str">
        <f ca="1">IFERROR((DeemedDashboard[[#This Row],[Std EOL leakage tons CO2e]]*OFFSET(GHG_Adder_dollar_per_tonne,0,(DeemedDashboard[[#This Row],[Std Device Retire-ment Year]]-DY+1),1,1))/(1+WACC)^(DeemedDashboard[[#This Row],[Std Device Retire-ment Year]]-DeemedDashboard[[#This Row],[Measure Start Year]]+0.5),"")</f>
        <v/>
      </c>
      <c r="CD35" s="296" t="str">
        <f ca="1">IFERROR((DeemedDashboard[[#This Row],[Pre EOL leakage tons CO2e]]*OFFSET(GHG_Adder_dollar_per_tonne,0,(DeemedDashboard[[#This Row],[Measure Start Year]]-DY),1,1))/(1+WACC)^(-0.5),"")</f>
        <v/>
      </c>
      <c r="CE3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5" s="296" t="str">
        <f ca="1">IFERROR(DeemedDashboard[[#This Row],[Msr NPV Cost of Annual Leakage]]/(1+ACC_Inflation_Rate)^(DeemedDashboard[[#This Row],[Measure Start Year]]-DY),"")</f>
        <v/>
      </c>
      <c r="CG35" s="296" t="str">
        <f ca="1">IFERROR(DeemedDashboard[[#This Row],[Std NPV Cost of Annual Leakage]]/(1+ACC_Inflation_Rate)^(DeemedDashboard[[#This Row],[Measure Start Year]]-DY),"")</f>
        <v/>
      </c>
      <c r="CH35" s="296" t="str">
        <f>IFERROR(IF(ISBLANK(DeemedDashboard[[#This Row],[MeasAppType]]),NA(),IF(DeemedDashboard[[#This Row],[MeasAppType]]=const_AR,DeemedDashboard[[#This Row],[Pre NPV Cost of Annual Leakage]]/(1+ACC_Inflation_Rate)^(DeemedDashboard[[#This Row],[Measure Start Year]]-DY),"")),"")</f>
        <v/>
      </c>
      <c r="CI35" s="296" t="str">
        <f>IFERROR(IF(ISBLANK(DeemedDashboard[[#This Row],[MeasAppType]]),NA(),IF(DeemedDashboard[[#This Row],[MeasAppType]]=const_AR,DeemedDashboard[[#This Row],[Ext NPV Cost of Annual Leakage]]/(1+ACC_Inflation_Rate)^(DeemedDashboard[[#This Row],[Measure Start Year]]-DY),"")),"")</f>
        <v/>
      </c>
      <c r="CJ35" s="296" t="str">
        <f ca="1">IFERROR((DeemedDashboard[[#This Row],[Msr % of device lifetime during measure years]]+DeemedDashboard[[#This Row],[Msr % of device lifetime retired early]])*DeemedDashboard[[#This Row],[Msr NPV Cost of EOL Leakage]]/(1+ACC_Inflation_Rate)^(DeemedDashboard[[#This Row],[Measure Start Year]]-DY),"")</f>
        <v/>
      </c>
      <c r="CK35" s="296" t="str">
        <f ca="1">IFERROR((DeemedDashboard[[#This Row],[Std % of device lifetime during measure years]]+DeemedDashboard[[#This Row],[Std % of device lifetime retired early]])*DeemedDashboard[[#This Row],[Std NPV Cost of EOL Leakage]]/(1+ACC_Inflation_Rate)^(DeemedDashboard[[#This Row],[Measure Start Year]]-DY),"")</f>
        <v/>
      </c>
      <c r="CL3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5" s="299" t="str">
        <f ca="1">IFERROR(DeemedDashboard[[#This Row],[Counter-factual total 
NPV cost]]-DeemedDashboard[[#This Row],[Measure total 
NPV cost]],"")</f>
        <v/>
      </c>
      <c r="CQ35" s="299" t="str">
        <f>IF(ISBLANK(DeemedDashboard[[#This Row],[MeasAppType]]),"",DeemedDashboard[[#This Row],[Refrigerant
NPV costs
avoided]]&gt;0)</f>
        <v/>
      </c>
      <c r="CR35" s="299" t="str">
        <f ca="1">IFERROR(DeemedDashboard[[#This Row],[Msr Adj NPV Cost of Annual Leakage]]+DeemedDashboard[[#This Row],[Msr Adj NPV Cost of EOL Leakage]],"")</f>
        <v/>
      </c>
      <c r="CS35" s="299" t="str">
        <f ca="1">IFERROR(DeemedDashboard[[#This Row],[Std Adj NPV Cost of Annual Leakage]]+DeemedDashboard[[#This Row],[Std Adj NPV Cost of EOL Leakage]],"")</f>
        <v/>
      </c>
      <c r="CT35" s="299" t="str">
        <f>IFERROR(IF((DeemedDashboard[[#This Row],[Pre Adj NPV Cost of Annual Leakage]]+DeemedDashboard[[#This Row],[Pre Adj NPV Cost of EOL Leakage]])=0,"",DeemedDashboard[[#This Row],[Pre Adj NPV Cost of Annual Leakage]]+DeemedDashboard[[#This Row],[Pre Adj NPV Cost of EOL Leakage]]),"")</f>
        <v/>
      </c>
      <c r="CU35" s="299" t="str">
        <f>IFERROR(IF((DeemedDashboard[[#This Row],[Ext Adj NPV Cost of Annual Leakage]]+DeemedDashboard[[#This Row],[Ext Adj NPV Cost of EOL Leakage]])=0,"",DeemedDashboard[[#This Row],[Ext Adj NPV Cost of Annual Leakage]]+DeemedDashboard[[#This Row],[Ext Adj NPV Cost of EOL Leakage]]),"")</f>
        <v/>
      </c>
      <c r="CV35" s="299" t="str">
        <f>IFERROR(IF(DeemedDashboard[[#This Row],[Is Avoided Net Cost &gt;0?]],"",-DeemedDashboard[[#This Row],[Refrigerant
NPV costs
avoided]]),"")</f>
        <v/>
      </c>
      <c r="CW35" s="299" t="str">
        <f>IFERROR(IF(DeemedDashboard[[#This Row],[Is Avoided Net Cost &gt;0?]],DeemedDashboard[[#This Row],[Refrigerant
NPV costs
avoided]],""),"")</f>
        <v/>
      </c>
      <c r="CX35" s="391">
        <f ca="1">IFERROR(MATCH(DeemedDashboard[[#This Row],[TechGroup and NormUnit]],TechGroup_and_NormUnit,0),1)</f>
        <v>1</v>
      </c>
      <c r="CY35" s="391" cm="1">
        <f t="array" aca="1" ref="CY35" ca="1">IFERROR(INDEX(TGRows,DeemedDashboard[[#This Row],[TGIndex]]),"")</f>
        <v>2</v>
      </c>
      <c r="CZ35" s="391">
        <f ca="1">IF(DeemedDashboard[[#This Row],[MeasAppType]]=const_AR,DeemedDashboard[[#This Row],[TGRows]],DeemedDashboard[[#This Row],[TGRows]]+1)</f>
        <v>3</v>
      </c>
      <c r="DA35" s="391" t="str">
        <f>IF(ISBLANK(DeemedDashboard[[#This Row],[MeasAppType]]),"",IF(DeemedDashboard[[#This Row],[Index]]=User_Specified_Refrigerant[[#This Row],[Index]],"OK","ERROR"))</f>
        <v/>
      </c>
    </row>
    <row r="36" spans="1:105" s="320" customFormat="1" x14ac:dyDescent="0.25">
      <c r="A36" s="297">
        <f>ROW(DeemedDashboard[[#This Row],[Index]])-ROW(DeemedDashboard[[#Headers],[Index]])</f>
        <v>27</v>
      </c>
      <c r="B36" s="298"/>
      <c r="C36" s="321"/>
      <c r="D36" s="403"/>
      <c r="E36" s="403"/>
      <c r="F36" s="403"/>
      <c r="G36" s="403"/>
      <c r="H36" s="365"/>
      <c r="I36" s="339"/>
      <c r="J36" s="339"/>
      <c r="K36" s="339"/>
      <c r="L36" s="322"/>
      <c r="M36" s="322"/>
      <c r="N36" s="322"/>
      <c r="O3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6" s="582" t="str" cm="1">
        <f t="array" ref="R36">IFERROR(IF(DeemedDashboard[[#This Row],[Msr device type]]=const_device_nonrefrig,0,INDEX(_xlfn.SWITCH($E$4,const_20_yr,GWP_Values_20_year_AR4,const_100_yr,GWP_Values_100_year_AR4),MATCH(DeemedDashboard[[#This Row],[Msr refrigerant Type]],RefrigDropdownList,0))),"")</f>
        <v/>
      </c>
      <c r="S36" s="582" t="str" cm="1">
        <f t="array" ref="S36">IFERROR(IF(DeemedDashboard[[#This Row],[Std device type]]=const_device_nonrefrig,0,INDEX(_xlfn.SWITCH($E$4,const_20_yr,GWP_Values_20_year_AR4,const_100_yr,GWP_Values_100_year_AR4),MATCH(DeemedDashboard[[#This Row],[Std refrigerant Type]],RefrigDropdownList,0))),"")</f>
        <v/>
      </c>
      <c r="T36" s="582" t="str" cm="1">
        <f t="array" ref="T36">IFERROR(IF(DeemedDashboard[[#This Row],[Pre/Ext device type]]=const_device_nonrefrig,0,INDEX(_xlfn.SWITCH($E$4,const_20_yr,GWP_Values_20_year_AR4,const_100_yr,GWP_Values_100_year_AR4),MATCH(DeemedDashboard[[#This Row],[Pre/Ext refrigerant Type]],RefrigDropdownList,0))),"")</f>
        <v/>
      </c>
      <c r="U3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6" s="326" t="str">
        <f>IFERROR(IF(DeemedDashboard[[#This Row],[Msr device type]]=const_userspec,IF(ISBLANK(User_Specified_Refrigerant[[#This Row],[Msr t_EOL]]),"",User_Specified_Refrigerant[[#This Row],[Msr t_EOL]]),INDEX(TechGroup_NormUnit_Table[t_EOL],MATCH(DeemedDashboard[[#This Row],[Msr device type]],DropdownRefrigTech,0))),"")</f>
        <v/>
      </c>
      <c r="AB36" s="326" t="str">
        <f>IFERROR(IF(DeemedDashboard[[#This Row],[Std device type]]=const_userspec,IF(ISBLANK(User_Specified_Refrigerant[[#This Row],[Std t_EOL]]),"",User_Specified_Refrigerant[[#This Row],[Std t_EOL]]),INDEX(TechGroup_NormUnit_Table[t_EOL],MATCH(DeemedDashboard[[#This Row],[Std device type]],DropdownRefrigTech,0))),"")</f>
        <v/>
      </c>
      <c r="AC3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6" s="395" t="str">
        <f>IF(ISBLANK(DeemedDashboard[[#This Row],[MeasAppType]]),"",$E$2)</f>
        <v/>
      </c>
      <c r="AE36" s="395" t="str">
        <f>IFERROR(IF(ISBLANK(DeemedDashboard[[#This Row],[MeasAppType]]),NA(),DeemedDashboard[[#This Row],[Measure Start Year]]+DeemedDashboard[[#This Row],[Msr EUL rounded]]-1),"")</f>
        <v/>
      </c>
      <c r="AF36" s="323" t="str">
        <f>IF(ISBLANK(DeemedDashboard[[#This Row],[Measure New Device EUL]]),"",ROUND(DeemedDashboard[[#This Row],[Measure New Device EUL]],0))</f>
        <v/>
      </c>
      <c r="AG36" s="323" t="str">
        <f>IF(ISBLANK(DeemedDashboard[[#This Row],[Counterfactual New Device EUL]]),"",ROUND(DeemedDashboard[[#This Row],[Counterfactual New Device EUL]],0))</f>
        <v/>
      </c>
      <c r="AH36" s="323" t="str">
        <f>IF(ISBLANK(DeemedDashboard[[#This Row],[Existing Device EUL]]),"",ROUND(DeemedDashboard[[#This Row],[Existing Device EUL]],0))</f>
        <v/>
      </c>
      <c r="AI36" s="323" t="str">
        <f>IF(ISBLANK(DeemedDashboard[[#This Row],[Existing Device RUL or AR First Baseline Life]]),"",ROUND(DeemedDashboard[[#This Row],[Existing Device RUL or AR First Baseline Life]],0))</f>
        <v/>
      </c>
      <c r="AJ36" s="327" t="str">
        <f>DeemedDashboard[[#This Row],[Measure Start Year]]</f>
        <v/>
      </c>
      <c r="AK36" s="327" t="str">
        <f>IF(DeemedDashboard[[#This Row],[MeasAppType]]&lt;&gt;const_AR,DeemedDashboard[[#This Row],[Measure Start Year]],DeemedDashboard[[#This Row],[Ext Device Retire-ment Year]]+1)</f>
        <v/>
      </c>
      <c r="AL36" s="327" t="str">
        <f>IFERROR(IF(DeemedDashboard[[#This Row],[MeasAppType]]=const_AR,DeemedDashboard[[#This Row],[Measure Start Year]]-(DeemedDashboard[[#This Row],[Existing Device EUL]]-DeemedDashboard[[#This Row],[Existing Device RUL or AR First Baseline Life]]),NA()),"")</f>
        <v/>
      </c>
      <c r="AM36" s="327" t="str">
        <f>DeemedDashboard[[#This Row],[Pre Device Install Year]]</f>
        <v/>
      </c>
      <c r="AN36" s="327" t="str">
        <f>IFERROR(IF(ISBLANK(DeemedDashboard[[#This Row],[MeasAppType]]),NA(),DeemedDashboard[[#This Row],[Measure Start Year]]+DeemedDashboard[[#This Row],[Msr EUL rounded]]-1),"")</f>
        <v/>
      </c>
      <c r="AO36" s="327" t="str">
        <f>IFERROR(DeemedDashboard[[#This Row],[Std Device Install Year]]+DeemedDashboard[[#This Row],[Counterfactual New Device EUL]]-1,"")</f>
        <v/>
      </c>
      <c r="AP36" s="327" t="str">
        <f>IFERROR(IF(AND(DeemedDashboard[[#This Row],[MeasAppType]]=const_AR,DeemedDashboard[[#This Row],[Measure Start Year]]&lt;(DeemedDashboard[[#This Row],[Pre Device Install Year]]+DeemedDashboard[[#This Row],[Existing Device EUL]]-1)),DeemedDashboard[[#This Row],[Measure Start Year]]-1,NA()),"")</f>
        <v/>
      </c>
      <c r="AQ36" s="327" t="str">
        <f>IFERROR(IF(DeemedDashboard[[#This Row],[MeasAppType]]=const_AR,DeemedDashboard[[#This Row],[Ext Device Install Year]]+DeemedDashboard[[#This Row],[Existing Device EUL]]-1,NA()),"")</f>
        <v/>
      </c>
      <c r="AR36" s="327" t="str">
        <f>IFERROR(IF(ISBLANK(DeemedDashboard[[#This Row],[MeasAppType]]),NA(),0),"")</f>
        <v/>
      </c>
      <c r="AS36" s="327" t="str">
        <f>IFERROR(IF(ISBLANK(DeemedDashboard[[#This Row],[MeasAppType]]),NA(),0),"")</f>
        <v/>
      </c>
      <c r="AT36" s="327" t="str">
        <f>IF(ISBLANK(DeemedDashboard[[#This Row],[MeasAppType]]),"",IF(DeemedDashboard[[#This Row],[MeasAppType]]&lt;&gt;const_AR,"",(DeemedDashboard[[#This Row],[Pre Device Install Year]]+DeemedDashboard[[#This Row],[Existing Device EUL]]-1)-DeemedDashboard[[#This Row],[Pre Device Retire-ment Year]]))</f>
        <v/>
      </c>
      <c r="AU36" s="327" t="str">
        <f>IF(ISBLANK(DeemedDashboard[[#This Row],[MeasAppType]]),"",IF(DeemedDashboard[[#This Row],[MeasAppType]]=const_AR,0,""))</f>
        <v/>
      </c>
      <c r="AV36" s="328" t="str">
        <f>IF(ISBLANK(DeemedDashboard[[#This Row],[MeasAppType]]),"",MAX((1+MIN(DeemedDashboard[[#This Row],[Msr Device Retire-ment Year]],DeemedDashboard[[#This Row],[Measure End 
Year]])-MAX(DeemedDashboard[[#This Row],[Msr Device Install Year]],DeemedDashboard[[#This Row],[Measure Start Year]])),0))</f>
        <v/>
      </c>
      <c r="AW36" s="328" t="str">
        <f>IF(ISBLANK(DeemedDashboard[[#This Row],[MeasAppType]]),"",MAX((1+MIN(DeemedDashboard[[#This Row],[Std Device Retire-ment Year]],DeemedDashboard[[#This Row],[Measure End 
Year]])-MAX(DeemedDashboard[[#This Row],[Std Device Install Year]],DeemedDashboard[[#This Row],[Measure Start Year]])),0))</f>
        <v/>
      </c>
      <c r="AX3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6"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6" s="329" t="str">
        <f>IF(ISBLANK(DeemedDashboard[[#This Row],[MeasAppType]]),"",IF(DeemedDashboard[[#This Row],[Msr Device Years Over-lapping with Measure Years]]=0,0,DeemedDashboard[[#This Row],[Msr Device Years Over-lapping with Measure Years]]/DeemedDashboard[[#This Row],[Msr EUL rounded]]))</f>
        <v/>
      </c>
      <c r="BA36" s="329" t="str">
        <f>IF(ISBLANK(DeemedDashboard[[#This Row],[MeasAppType]]),"",IF(DeemedDashboard[[#This Row],[Std Device Years Over-lapping with Measure Years]]=0,0,DeemedDashboard[[#This Row],[Std Device Years Over-lapping with Measure Years]]/DeemedDashboard[[#This Row],[Counterfactual New Device EUL]]))</f>
        <v/>
      </c>
      <c r="BB36" s="329" t="str">
        <f>IF(ISBLANK(DeemedDashboard[[#This Row],[MeasAppType]]),"",IFERROR(IF(DeemedDashboard[[#This Row],[Pre Device Years Over-lapping with Measure Years]]=0,0,DeemedDashboard[[#This Row],[Pre Device Years Over-lapping with Measure Years]]/DeemedDashboard[[#This Row],[Existing Device EUL]]),""))</f>
        <v/>
      </c>
      <c r="BC36" s="331" t="str">
        <f>IFERROR(IF(DeemedDashboard[[#This Row],[Ext Device Years Over-lapping with Measure Years]]=0,0,DeemedDashboard[[#This Row],[Ext Device Years Over-lapping with Measure Years]]/DeemedDashboard[[#This Row],[Existing Device EUL]]),"")</f>
        <v/>
      </c>
      <c r="BD36" s="329" t="str">
        <f>IFERROR(IF(DeemedDashboard[[#This Row],[Msr Number of Years device retired early]]=0,0,DeemedDashboard[[#This Row],[Msr Number of Years device retired early]]/DeemedDashboard[[#This Row],[Msr EUL rounded]]),"")</f>
        <v/>
      </c>
      <c r="BE36" s="329" t="str">
        <f>IFERROR(IF(DeemedDashboard[[#This Row],[Std Number of Years device retired early]]=0,0,DeemedDashboard[[#This Row],[Std Number of Years device retired early]]/DeemedDashboard[[#This Row],[Msr EUL rounded]]),"")</f>
        <v/>
      </c>
      <c r="BF36" s="329" t="str">
        <f>IFERROR(IF(DeemedDashboard[[#This Row],[MeasAppType]]&lt;&gt;const_AR,"",IF(DeemedDashboard[[#This Row],[Pre Number of Years device retired early]]=0,0,DeemedDashboard[[#This Row],[Pre Number of Years device retired early]]/DeemedDashboard[[#This Row],[Existing Device EUL]])),"")</f>
        <v/>
      </c>
      <c r="BG36" s="331" t="str">
        <f>IFERROR(IF(DeemedDashboard[[#This Row],[Ext Number of Years device retired early]]=0,0,DeemedDashboard[[#This Row],[Ext Number of Years device retired early]]/DeemedDashboard[[#This Row],[Existing Device EUL]]),"")</f>
        <v/>
      </c>
      <c r="BH36" s="325" t="str">
        <f>IFERROR(1-DeemedDashboard[[#This Row],[Msr annual refrigerant leakage %]]*DeemedDashboard[[#This Row],[Msr t_EOL]],"")</f>
        <v/>
      </c>
      <c r="BI36" s="325" t="str">
        <f>IFERROR(1-DeemedDashboard[[#This Row],[Std annual refrigerant leakage %]]*DeemedDashboard[[#This Row],[Std t_EOL]],"")</f>
        <v/>
      </c>
      <c r="BJ36" s="325" t="str">
        <f>IFERROR(1-DeemedDashboard[[#This Row],[Pre/Ext annual refrigerant leakage %]]*DeemedDashboard[[#This Row],[Pre/Ext t_EOL]],"")</f>
        <v/>
      </c>
      <c r="BK36" s="325" t="str">
        <f>IFERROR(1-DeemedDashboard[[#This Row],[Pre/Ext annual refrigerant leakage %]]*DeemedDashboard[[#This Row],[Pre/Ext t_EOL]],"")</f>
        <v/>
      </c>
      <c r="BL36" s="325" t="str">
        <f>IFERROR(DeemedDashboard[[#This Row],[Msr charging remaining (%)]]*DeemedDashboard[[#This Row],[Msr gross EOL refrigerant leakage %]],"")</f>
        <v/>
      </c>
      <c r="BM36" s="325" t="str">
        <f>IFERROR(DeemedDashboard[[#This Row],[Std charging remaining (%)]]*DeemedDashboard[[#This Row],[Std gross EOL refrigerant leakage %]],"")</f>
        <v/>
      </c>
      <c r="BN36" s="325" t="str">
        <f>IFERROR(DeemedDashboard[[#This Row],[Pre charging remaining (%)]]*DeemedDashboard[[#This Row],[Pre/Ext gross EOL refrigerant leakage %]],"")</f>
        <v/>
      </c>
      <c r="BO36" s="325" t="str">
        <f>IFERROR(DeemedDashboard[[#This Row],[Ext charging remaining (%)]]*DeemedDashboard[[#This Row],[Pre/Ext gross EOL refrigerant leakage %]],"")</f>
        <v/>
      </c>
      <c r="BP36" s="330" t="str">
        <f>IFERROR((DeemedDashboard[[#This Row],[Msr refrigerant charge (lb) per NormUnit]]/pounds_per_metric_ton)*DeemedDashboard[[#This Row],[Msr annual refrigerant leakage %]]*DeemedDashboard[[#This Row],[Msr GWP]],"")</f>
        <v/>
      </c>
      <c r="BQ36" s="330" t="str">
        <f>IFERROR((DeemedDashboard[[#This Row],[Std refrigerant charge (lb) per NormUnit]]/pounds_per_metric_ton)*DeemedDashboard[[#This Row],[Std annual refrigerant leakage %]]*DeemedDashboard[[#This Row],[Std GWP]],"")</f>
        <v/>
      </c>
      <c r="BR36" s="330" t="str">
        <f>IF(DeemedDashboard[[#This Row],[MeasAppType]]=const_AR,(DeemedDashboard[[#This Row],[Pre/Ext refrigerant charge (lb) per NormUnit]]/pounds_per_metric_ton)*DeemedDashboard[[#This Row],[Pre/Ext annual refrigerant leakage %]]*DeemedDashboard[[#This Row],[Pre/Ext GWP]],"")</f>
        <v/>
      </c>
      <c r="BS36" s="330" t="str">
        <f>IF(DeemedDashboard[[#This Row],[MeasAppType]]=const_AR,(DeemedDashboard[[#This Row],[Pre/Ext refrigerant charge (lb) per NormUnit]]/pounds_per_metric_ton)*DeemedDashboard[[#This Row],[Pre/Ext annual refrigerant leakage %]]*DeemedDashboard[[#This Row],[Pre/Ext GWP]],"")</f>
        <v/>
      </c>
      <c r="BT36" s="330" t="str">
        <f>IFERROR((DeemedDashboard[[#This Row],[Msr refrigerant charge (lb) per NormUnit]]/pounds_per_metric_ton)*DeemedDashboard[[#This Row],[Msr net EOL refrigerant leakage (%)]]*DeemedDashboard[[#This Row],[Msr GWP]],"")</f>
        <v/>
      </c>
      <c r="BU36" s="330" t="str">
        <f>IFERROR((DeemedDashboard[[#This Row],[Std refrigerant charge (lb) per NormUnit]]/pounds_per_metric_ton)*DeemedDashboard[[#This Row],[Std net EOL refrigerant leakage (%)]]*DeemedDashboard[[#This Row],[Std GWP]],"")</f>
        <v/>
      </c>
      <c r="BV36" s="330" t="str">
        <f>IFERROR((DeemedDashboard[[#This Row],[Pre/Ext refrigerant charge (lb) per NormUnit]]/pounds_per_metric_ton)*DeemedDashboard[[#This Row],[Pre net EOL refrigerant leakage (%)]]*DeemedDashboard[[#This Row],[Pre/Ext GWP]],"")</f>
        <v/>
      </c>
      <c r="BW36" s="330" t="str">
        <f>IFERROR((DeemedDashboard[[#This Row],[Pre/Ext refrigerant charge (lb) per NormUnit]]/pounds_per_metric_ton)*DeemedDashboard[[#This Row],[Ext net EOL refrigerant leakage (%)]]*DeemedDashboard[[#This Row],[Pre/Ext GWP]],"")</f>
        <v/>
      </c>
      <c r="BX36" s="299" t="str" cm="1">
        <f t="array" aca="1" ref="BX3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6" s="305" t="str" cm="1">
        <f t="array" aca="1" ref="BY3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6" s="299" t="str">
        <f>IFERROR(IF(OR(DeemedDashboard[[#This Row],[MeasAppType]]&lt;&gt;const_AR,ISBLANK(DeemedDashboard[[#This Row],[MeasAppType]])),NA(),0),"")</f>
        <v/>
      </c>
      <c r="CA36" s="305" t="str" cm="1">
        <f t="array" aca="1" ref="CA3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6" s="296" t="str">
        <f ca="1">IFERROR((DeemedDashboard[[#This Row],[Msr EOL leakage tons CO2e]]*OFFSET(GHG_Adder_dollar_per_tonne,0,(DeemedDashboard[[#This Row],[Msr Device Retire-ment Year]]-DY+1),1,1))/(1+WACC)^(DeemedDashboard[[#This Row],[Msr Device Retire-ment Year]]-DeemedDashboard[[#This Row],[Measure Start Year]]+0.5),"")</f>
        <v/>
      </c>
      <c r="CC36" s="296" t="str">
        <f ca="1">IFERROR((DeemedDashboard[[#This Row],[Std EOL leakage tons CO2e]]*OFFSET(GHG_Adder_dollar_per_tonne,0,(DeemedDashboard[[#This Row],[Std Device Retire-ment Year]]-DY+1),1,1))/(1+WACC)^(DeemedDashboard[[#This Row],[Std Device Retire-ment Year]]-DeemedDashboard[[#This Row],[Measure Start Year]]+0.5),"")</f>
        <v/>
      </c>
      <c r="CD36" s="296" t="str">
        <f ca="1">IFERROR((DeemedDashboard[[#This Row],[Pre EOL leakage tons CO2e]]*OFFSET(GHG_Adder_dollar_per_tonne,0,(DeemedDashboard[[#This Row],[Measure Start Year]]-DY),1,1))/(1+WACC)^(-0.5),"")</f>
        <v/>
      </c>
      <c r="CE3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6" s="296" t="str">
        <f ca="1">IFERROR(DeemedDashboard[[#This Row],[Msr NPV Cost of Annual Leakage]]/(1+ACC_Inflation_Rate)^(DeemedDashboard[[#This Row],[Measure Start Year]]-DY),"")</f>
        <v/>
      </c>
      <c r="CG36" s="296" t="str">
        <f ca="1">IFERROR(DeemedDashboard[[#This Row],[Std NPV Cost of Annual Leakage]]/(1+ACC_Inflation_Rate)^(DeemedDashboard[[#This Row],[Measure Start Year]]-DY),"")</f>
        <v/>
      </c>
      <c r="CH36" s="296" t="str">
        <f>IFERROR(IF(ISBLANK(DeemedDashboard[[#This Row],[MeasAppType]]),NA(),IF(DeemedDashboard[[#This Row],[MeasAppType]]=const_AR,DeemedDashboard[[#This Row],[Pre NPV Cost of Annual Leakage]]/(1+ACC_Inflation_Rate)^(DeemedDashboard[[#This Row],[Measure Start Year]]-DY),"")),"")</f>
        <v/>
      </c>
      <c r="CI36" s="296" t="str">
        <f>IFERROR(IF(ISBLANK(DeemedDashboard[[#This Row],[MeasAppType]]),NA(),IF(DeemedDashboard[[#This Row],[MeasAppType]]=const_AR,DeemedDashboard[[#This Row],[Ext NPV Cost of Annual Leakage]]/(1+ACC_Inflation_Rate)^(DeemedDashboard[[#This Row],[Measure Start Year]]-DY),"")),"")</f>
        <v/>
      </c>
      <c r="CJ36" s="296" t="str">
        <f ca="1">IFERROR((DeemedDashboard[[#This Row],[Msr % of device lifetime during measure years]]+DeemedDashboard[[#This Row],[Msr % of device lifetime retired early]])*DeemedDashboard[[#This Row],[Msr NPV Cost of EOL Leakage]]/(1+ACC_Inflation_Rate)^(DeemedDashboard[[#This Row],[Measure Start Year]]-DY),"")</f>
        <v/>
      </c>
      <c r="CK36" s="296" t="str">
        <f ca="1">IFERROR((DeemedDashboard[[#This Row],[Std % of device lifetime during measure years]]+DeemedDashboard[[#This Row],[Std % of device lifetime retired early]])*DeemedDashboard[[#This Row],[Std NPV Cost of EOL Leakage]]/(1+ACC_Inflation_Rate)^(DeemedDashboard[[#This Row],[Measure Start Year]]-DY),"")</f>
        <v/>
      </c>
      <c r="CL3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6" s="299" t="str">
        <f ca="1">IFERROR(DeemedDashboard[[#This Row],[Counter-factual total 
NPV cost]]-DeemedDashboard[[#This Row],[Measure total 
NPV cost]],"")</f>
        <v/>
      </c>
      <c r="CQ36" s="299" t="str">
        <f>IF(ISBLANK(DeemedDashboard[[#This Row],[MeasAppType]]),"",DeemedDashboard[[#This Row],[Refrigerant
NPV costs
avoided]]&gt;0)</f>
        <v/>
      </c>
      <c r="CR36" s="299" t="str">
        <f ca="1">IFERROR(DeemedDashboard[[#This Row],[Msr Adj NPV Cost of Annual Leakage]]+DeemedDashboard[[#This Row],[Msr Adj NPV Cost of EOL Leakage]],"")</f>
        <v/>
      </c>
      <c r="CS36" s="299" t="str">
        <f ca="1">IFERROR(DeemedDashboard[[#This Row],[Std Adj NPV Cost of Annual Leakage]]+DeemedDashboard[[#This Row],[Std Adj NPV Cost of EOL Leakage]],"")</f>
        <v/>
      </c>
      <c r="CT36" s="299" t="str">
        <f>IFERROR(IF((DeemedDashboard[[#This Row],[Pre Adj NPV Cost of Annual Leakage]]+DeemedDashboard[[#This Row],[Pre Adj NPV Cost of EOL Leakage]])=0,"",DeemedDashboard[[#This Row],[Pre Adj NPV Cost of Annual Leakage]]+DeemedDashboard[[#This Row],[Pre Adj NPV Cost of EOL Leakage]]),"")</f>
        <v/>
      </c>
      <c r="CU36" s="299" t="str">
        <f>IFERROR(IF((DeemedDashboard[[#This Row],[Ext Adj NPV Cost of Annual Leakage]]+DeemedDashboard[[#This Row],[Ext Adj NPV Cost of EOL Leakage]])=0,"",DeemedDashboard[[#This Row],[Ext Adj NPV Cost of Annual Leakage]]+DeemedDashboard[[#This Row],[Ext Adj NPV Cost of EOL Leakage]]),"")</f>
        <v/>
      </c>
      <c r="CV36" s="299" t="str">
        <f>IFERROR(IF(DeemedDashboard[[#This Row],[Is Avoided Net Cost &gt;0?]],"",-DeemedDashboard[[#This Row],[Refrigerant
NPV costs
avoided]]),"")</f>
        <v/>
      </c>
      <c r="CW36" s="299" t="str">
        <f>IFERROR(IF(DeemedDashboard[[#This Row],[Is Avoided Net Cost &gt;0?]],DeemedDashboard[[#This Row],[Refrigerant
NPV costs
avoided]],""),"")</f>
        <v/>
      </c>
      <c r="CX36" s="391">
        <f ca="1">IFERROR(MATCH(DeemedDashboard[[#This Row],[TechGroup and NormUnit]],TechGroup_and_NormUnit,0),1)</f>
        <v>1</v>
      </c>
      <c r="CY36" s="391" cm="1">
        <f t="array" aca="1" ref="CY36" ca="1">IFERROR(INDEX(TGRows,DeemedDashboard[[#This Row],[TGIndex]]),"")</f>
        <v>2</v>
      </c>
      <c r="CZ36" s="391">
        <f ca="1">IF(DeemedDashboard[[#This Row],[MeasAppType]]=const_AR,DeemedDashboard[[#This Row],[TGRows]],DeemedDashboard[[#This Row],[TGRows]]+1)</f>
        <v>3</v>
      </c>
      <c r="DA36" s="391" t="str">
        <f>IF(ISBLANK(DeemedDashboard[[#This Row],[MeasAppType]]),"",IF(DeemedDashboard[[#This Row],[Index]]=User_Specified_Refrigerant[[#This Row],[Index]],"OK","ERROR"))</f>
        <v/>
      </c>
    </row>
    <row r="37" spans="1:105" s="320" customFormat="1" x14ac:dyDescent="0.25">
      <c r="A37" s="297">
        <f>ROW(DeemedDashboard[[#This Row],[Index]])-ROW(DeemedDashboard[[#Headers],[Index]])</f>
        <v>28</v>
      </c>
      <c r="B37" s="298"/>
      <c r="C37" s="321"/>
      <c r="D37" s="403"/>
      <c r="E37" s="403"/>
      <c r="F37" s="403"/>
      <c r="G37" s="403"/>
      <c r="H37" s="365"/>
      <c r="I37" s="339"/>
      <c r="J37" s="339"/>
      <c r="K37" s="339"/>
      <c r="L37" s="322"/>
      <c r="M37" s="322"/>
      <c r="N37" s="322"/>
      <c r="O3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7" s="582" t="str" cm="1">
        <f t="array" ref="R37">IFERROR(IF(DeemedDashboard[[#This Row],[Msr device type]]=const_device_nonrefrig,0,INDEX(_xlfn.SWITCH($E$4,const_20_yr,GWP_Values_20_year_AR4,const_100_yr,GWP_Values_100_year_AR4),MATCH(DeemedDashboard[[#This Row],[Msr refrigerant Type]],RefrigDropdownList,0))),"")</f>
        <v/>
      </c>
      <c r="S37" s="582" t="str" cm="1">
        <f t="array" ref="S37">IFERROR(IF(DeemedDashboard[[#This Row],[Std device type]]=const_device_nonrefrig,0,INDEX(_xlfn.SWITCH($E$4,const_20_yr,GWP_Values_20_year_AR4,const_100_yr,GWP_Values_100_year_AR4),MATCH(DeemedDashboard[[#This Row],[Std refrigerant Type]],RefrigDropdownList,0))),"")</f>
        <v/>
      </c>
      <c r="T37" s="582" t="str" cm="1">
        <f t="array" ref="T37">IFERROR(IF(DeemedDashboard[[#This Row],[Pre/Ext device type]]=const_device_nonrefrig,0,INDEX(_xlfn.SWITCH($E$4,const_20_yr,GWP_Values_20_year_AR4,const_100_yr,GWP_Values_100_year_AR4),MATCH(DeemedDashboard[[#This Row],[Pre/Ext refrigerant Type]],RefrigDropdownList,0))),"")</f>
        <v/>
      </c>
      <c r="U3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7" s="326" t="str">
        <f>IFERROR(IF(DeemedDashboard[[#This Row],[Msr device type]]=const_userspec,IF(ISBLANK(User_Specified_Refrigerant[[#This Row],[Msr t_EOL]]),"",User_Specified_Refrigerant[[#This Row],[Msr t_EOL]]),INDEX(TechGroup_NormUnit_Table[t_EOL],MATCH(DeemedDashboard[[#This Row],[Msr device type]],DropdownRefrigTech,0))),"")</f>
        <v/>
      </c>
      <c r="AB37" s="326" t="str">
        <f>IFERROR(IF(DeemedDashboard[[#This Row],[Std device type]]=const_userspec,IF(ISBLANK(User_Specified_Refrigerant[[#This Row],[Std t_EOL]]),"",User_Specified_Refrigerant[[#This Row],[Std t_EOL]]),INDEX(TechGroup_NormUnit_Table[t_EOL],MATCH(DeemedDashboard[[#This Row],[Std device type]],DropdownRefrigTech,0))),"")</f>
        <v/>
      </c>
      <c r="AC3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7" s="395" t="str">
        <f>IF(ISBLANK(DeemedDashboard[[#This Row],[MeasAppType]]),"",$E$2)</f>
        <v/>
      </c>
      <c r="AE37" s="395" t="str">
        <f>IFERROR(IF(ISBLANK(DeemedDashboard[[#This Row],[MeasAppType]]),NA(),DeemedDashboard[[#This Row],[Measure Start Year]]+DeemedDashboard[[#This Row],[Msr EUL rounded]]-1),"")</f>
        <v/>
      </c>
      <c r="AF37" s="323" t="str">
        <f>IF(ISBLANK(DeemedDashboard[[#This Row],[Measure New Device EUL]]),"",ROUND(DeemedDashboard[[#This Row],[Measure New Device EUL]],0))</f>
        <v/>
      </c>
      <c r="AG37" s="323" t="str">
        <f>IF(ISBLANK(DeemedDashboard[[#This Row],[Counterfactual New Device EUL]]),"",ROUND(DeemedDashboard[[#This Row],[Counterfactual New Device EUL]],0))</f>
        <v/>
      </c>
      <c r="AH37" s="323" t="str">
        <f>IF(ISBLANK(DeemedDashboard[[#This Row],[Existing Device EUL]]),"",ROUND(DeemedDashboard[[#This Row],[Existing Device EUL]],0))</f>
        <v/>
      </c>
      <c r="AI37" s="323" t="str">
        <f>IF(ISBLANK(DeemedDashboard[[#This Row],[Existing Device RUL or AR First Baseline Life]]),"",ROUND(DeemedDashboard[[#This Row],[Existing Device RUL or AR First Baseline Life]],0))</f>
        <v/>
      </c>
      <c r="AJ37" s="327" t="str">
        <f>DeemedDashboard[[#This Row],[Measure Start Year]]</f>
        <v/>
      </c>
      <c r="AK37" s="327" t="str">
        <f>IF(DeemedDashboard[[#This Row],[MeasAppType]]&lt;&gt;const_AR,DeemedDashboard[[#This Row],[Measure Start Year]],DeemedDashboard[[#This Row],[Ext Device Retire-ment Year]]+1)</f>
        <v/>
      </c>
      <c r="AL37" s="327" t="str">
        <f>IFERROR(IF(DeemedDashboard[[#This Row],[MeasAppType]]=const_AR,DeemedDashboard[[#This Row],[Measure Start Year]]-(DeemedDashboard[[#This Row],[Existing Device EUL]]-DeemedDashboard[[#This Row],[Existing Device RUL or AR First Baseline Life]]),NA()),"")</f>
        <v/>
      </c>
      <c r="AM37" s="327" t="str">
        <f>DeemedDashboard[[#This Row],[Pre Device Install Year]]</f>
        <v/>
      </c>
      <c r="AN37" s="327" t="str">
        <f>IFERROR(IF(ISBLANK(DeemedDashboard[[#This Row],[MeasAppType]]),NA(),DeemedDashboard[[#This Row],[Measure Start Year]]+DeemedDashboard[[#This Row],[Msr EUL rounded]]-1),"")</f>
        <v/>
      </c>
      <c r="AO37" s="327" t="str">
        <f>IFERROR(DeemedDashboard[[#This Row],[Std Device Install Year]]+DeemedDashboard[[#This Row],[Counterfactual New Device EUL]]-1,"")</f>
        <v/>
      </c>
      <c r="AP37" s="327" t="str">
        <f>IFERROR(IF(AND(DeemedDashboard[[#This Row],[MeasAppType]]=const_AR,DeemedDashboard[[#This Row],[Measure Start Year]]&lt;(DeemedDashboard[[#This Row],[Pre Device Install Year]]+DeemedDashboard[[#This Row],[Existing Device EUL]]-1)),DeemedDashboard[[#This Row],[Measure Start Year]]-1,NA()),"")</f>
        <v/>
      </c>
      <c r="AQ37" s="327" t="str">
        <f>IFERROR(IF(DeemedDashboard[[#This Row],[MeasAppType]]=const_AR,DeemedDashboard[[#This Row],[Ext Device Install Year]]+DeemedDashboard[[#This Row],[Existing Device EUL]]-1,NA()),"")</f>
        <v/>
      </c>
      <c r="AR37" s="327" t="str">
        <f>IFERROR(IF(ISBLANK(DeemedDashboard[[#This Row],[MeasAppType]]),NA(),0),"")</f>
        <v/>
      </c>
      <c r="AS37" s="327" t="str">
        <f>IFERROR(IF(ISBLANK(DeemedDashboard[[#This Row],[MeasAppType]]),NA(),0),"")</f>
        <v/>
      </c>
      <c r="AT37" s="327" t="str">
        <f>IF(ISBLANK(DeemedDashboard[[#This Row],[MeasAppType]]),"",IF(DeemedDashboard[[#This Row],[MeasAppType]]&lt;&gt;const_AR,"",(DeemedDashboard[[#This Row],[Pre Device Install Year]]+DeemedDashboard[[#This Row],[Existing Device EUL]]-1)-DeemedDashboard[[#This Row],[Pre Device Retire-ment Year]]))</f>
        <v/>
      </c>
      <c r="AU37" s="327" t="str">
        <f>IF(ISBLANK(DeemedDashboard[[#This Row],[MeasAppType]]),"",IF(DeemedDashboard[[#This Row],[MeasAppType]]=const_AR,0,""))</f>
        <v/>
      </c>
      <c r="AV37" s="328" t="str">
        <f>IF(ISBLANK(DeemedDashboard[[#This Row],[MeasAppType]]),"",MAX((1+MIN(DeemedDashboard[[#This Row],[Msr Device Retire-ment Year]],DeemedDashboard[[#This Row],[Measure End 
Year]])-MAX(DeemedDashboard[[#This Row],[Msr Device Install Year]],DeemedDashboard[[#This Row],[Measure Start Year]])),0))</f>
        <v/>
      </c>
      <c r="AW37" s="328" t="str">
        <f>IF(ISBLANK(DeemedDashboard[[#This Row],[MeasAppType]]),"",MAX((1+MIN(DeemedDashboard[[#This Row],[Std Device Retire-ment Year]],DeemedDashboard[[#This Row],[Measure End 
Year]])-MAX(DeemedDashboard[[#This Row],[Std Device Install Year]],DeemedDashboard[[#This Row],[Measure Start Year]])),0))</f>
        <v/>
      </c>
      <c r="AX3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7"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7" s="329" t="str">
        <f>IF(ISBLANK(DeemedDashboard[[#This Row],[MeasAppType]]),"",IF(DeemedDashboard[[#This Row],[Msr Device Years Over-lapping with Measure Years]]=0,0,DeemedDashboard[[#This Row],[Msr Device Years Over-lapping with Measure Years]]/DeemedDashboard[[#This Row],[Msr EUL rounded]]))</f>
        <v/>
      </c>
      <c r="BA37" s="329" t="str">
        <f>IF(ISBLANK(DeemedDashboard[[#This Row],[MeasAppType]]),"",IF(DeemedDashboard[[#This Row],[Std Device Years Over-lapping with Measure Years]]=0,0,DeemedDashboard[[#This Row],[Std Device Years Over-lapping with Measure Years]]/DeemedDashboard[[#This Row],[Counterfactual New Device EUL]]))</f>
        <v/>
      </c>
      <c r="BB37" s="329" t="str">
        <f>IF(ISBLANK(DeemedDashboard[[#This Row],[MeasAppType]]),"",IFERROR(IF(DeemedDashboard[[#This Row],[Pre Device Years Over-lapping with Measure Years]]=0,0,DeemedDashboard[[#This Row],[Pre Device Years Over-lapping with Measure Years]]/DeemedDashboard[[#This Row],[Existing Device EUL]]),""))</f>
        <v/>
      </c>
      <c r="BC37" s="331" t="str">
        <f>IFERROR(IF(DeemedDashboard[[#This Row],[Ext Device Years Over-lapping with Measure Years]]=0,0,DeemedDashboard[[#This Row],[Ext Device Years Over-lapping with Measure Years]]/DeemedDashboard[[#This Row],[Existing Device EUL]]),"")</f>
        <v/>
      </c>
      <c r="BD37" s="329" t="str">
        <f>IFERROR(IF(DeemedDashboard[[#This Row],[Msr Number of Years device retired early]]=0,0,DeemedDashboard[[#This Row],[Msr Number of Years device retired early]]/DeemedDashboard[[#This Row],[Msr EUL rounded]]),"")</f>
        <v/>
      </c>
      <c r="BE37" s="329" t="str">
        <f>IFERROR(IF(DeemedDashboard[[#This Row],[Std Number of Years device retired early]]=0,0,DeemedDashboard[[#This Row],[Std Number of Years device retired early]]/DeemedDashboard[[#This Row],[Msr EUL rounded]]),"")</f>
        <v/>
      </c>
      <c r="BF37" s="329" t="str">
        <f>IFERROR(IF(DeemedDashboard[[#This Row],[MeasAppType]]&lt;&gt;const_AR,"",IF(DeemedDashboard[[#This Row],[Pre Number of Years device retired early]]=0,0,DeemedDashboard[[#This Row],[Pre Number of Years device retired early]]/DeemedDashboard[[#This Row],[Existing Device EUL]])),"")</f>
        <v/>
      </c>
      <c r="BG37" s="331" t="str">
        <f>IFERROR(IF(DeemedDashboard[[#This Row],[Ext Number of Years device retired early]]=0,0,DeemedDashboard[[#This Row],[Ext Number of Years device retired early]]/DeemedDashboard[[#This Row],[Existing Device EUL]]),"")</f>
        <v/>
      </c>
      <c r="BH37" s="325" t="str">
        <f>IFERROR(1-DeemedDashboard[[#This Row],[Msr annual refrigerant leakage %]]*DeemedDashboard[[#This Row],[Msr t_EOL]],"")</f>
        <v/>
      </c>
      <c r="BI37" s="325" t="str">
        <f>IFERROR(1-DeemedDashboard[[#This Row],[Std annual refrigerant leakage %]]*DeemedDashboard[[#This Row],[Std t_EOL]],"")</f>
        <v/>
      </c>
      <c r="BJ37" s="325" t="str">
        <f>IFERROR(1-DeemedDashboard[[#This Row],[Pre/Ext annual refrigerant leakage %]]*DeemedDashboard[[#This Row],[Pre/Ext t_EOL]],"")</f>
        <v/>
      </c>
      <c r="BK37" s="325" t="str">
        <f>IFERROR(1-DeemedDashboard[[#This Row],[Pre/Ext annual refrigerant leakage %]]*DeemedDashboard[[#This Row],[Pre/Ext t_EOL]],"")</f>
        <v/>
      </c>
      <c r="BL37" s="325" t="str">
        <f>IFERROR(DeemedDashboard[[#This Row],[Msr charging remaining (%)]]*DeemedDashboard[[#This Row],[Msr gross EOL refrigerant leakage %]],"")</f>
        <v/>
      </c>
      <c r="BM37" s="325" t="str">
        <f>IFERROR(DeemedDashboard[[#This Row],[Std charging remaining (%)]]*DeemedDashboard[[#This Row],[Std gross EOL refrigerant leakage %]],"")</f>
        <v/>
      </c>
      <c r="BN37" s="325" t="str">
        <f>IFERROR(DeemedDashboard[[#This Row],[Pre charging remaining (%)]]*DeemedDashboard[[#This Row],[Pre/Ext gross EOL refrigerant leakage %]],"")</f>
        <v/>
      </c>
      <c r="BO37" s="325" t="str">
        <f>IFERROR(DeemedDashboard[[#This Row],[Ext charging remaining (%)]]*DeemedDashboard[[#This Row],[Pre/Ext gross EOL refrigerant leakage %]],"")</f>
        <v/>
      </c>
      <c r="BP37" s="330" t="str">
        <f>IFERROR((DeemedDashboard[[#This Row],[Msr refrigerant charge (lb) per NormUnit]]/pounds_per_metric_ton)*DeemedDashboard[[#This Row],[Msr annual refrigerant leakage %]]*DeemedDashboard[[#This Row],[Msr GWP]],"")</f>
        <v/>
      </c>
      <c r="BQ37" s="330" t="str">
        <f>IFERROR((DeemedDashboard[[#This Row],[Std refrigerant charge (lb) per NormUnit]]/pounds_per_metric_ton)*DeemedDashboard[[#This Row],[Std annual refrigerant leakage %]]*DeemedDashboard[[#This Row],[Std GWP]],"")</f>
        <v/>
      </c>
      <c r="BR37" s="330" t="str">
        <f>IF(DeemedDashboard[[#This Row],[MeasAppType]]=const_AR,(DeemedDashboard[[#This Row],[Pre/Ext refrigerant charge (lb) per NormUnit]]/pounds_per_metric_ton)*DeemedDashboard[[#This Row],[Pre/Ext annual refrigerant leakage %]]*DeemedDashboard[[#This Row],[Pre/Ext GWP]],"")</f>
        <v/>
      </c>
      <c r="BS37" s="330" t="str">
        <f>IF(DeemedDashboard[[#This Row],[MeasAppType]]=const_AR,(DeemedDashboard[[#This Row],[Pre/Ext refrigerant charge (lb) per NormUnit]]/pounds_per_metric_ton)*DeemedDashboard[[#This Row],[Pre/Ext annual refrigerant leakage %]]*DeemedDashboard[[#This Row],[Pre/Ext GWP]],"")</f>
        <v/>
      </c>
      <c r="BT37" s="330" t="str">
        <f>IFERROR((DeemedDashboard[[#This Row],[Msr refrigerant charge (lb) per NormUnit]]/pounds_per_metric_ton)*DeemedDashboard[[#This Row],[Msr net EOL refrigerant leakage (%)]]*DeemedDashboard[[#This Row],[Msr GWP]],"")</f>
        <v/>
      </c>
      <c r="BU37" s="330" t="str">
        <f>IFERROR((DeemedDashboard[[#This Row],[Std refrigerant charge (lb) per NormUnit]]/pounds_per_metric_ton)*DeemedDashboard[[#This Row],[Std net EOL refrigerant leakage (%)]]*DeemedDashboard[[#This Row],[Std GWP]],"")</f>
        <v/>
      </c>
      <c r="BV37" s="330" t="str">
        <f>IFERROR((DeemedDashboard[[#This Row],[Pre/Ext refrigerant charge (lb) per NormUnit]]/pounds_per_metric_ton)*DeemedDashboard[[#This Row],[Pre net EOL refrigerant leakage (%)]]*DeemedDashboard[[#This Row],[Pre/Ext GWP]],"")</f>
        <v/>
      </c>
      <c r="BW37" s="330" t="str">
        <f>IFERROR((DeemedDashboard[[#This Row],[Pre/Ext refrigerant charge (lb) per NormUnit]]/pounds_per_metric_ton)*DeemedDashboard[[#This Row],[Ext net EOL refrigerant leakage (%)]]*DeemedDashboard[[#This Row],[Pre/Ext GWP]],"")</f>
        <v/>
      </c>
      <c r="BX37" s="299" t="str" cm="1">
        <f t="array" aca="1" ref="BX3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7" s="305" t="str" cm="1">
        <f t="array" aca="1" ref="BY3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7" s="299" t="str">
        <f>IFERROR(IF(OR(DeemedDashboard[[#This Row],[MeasAppType]]&lt;&gt;const_AR,ISBLANK(DeemedDashboard[[#This Row],[MeasAppType]])),NA(),0),"")</f>
        <v/>
      </c>
      <c r="CA37" s="305" t="str" cm="1">
        <f t="array" aca="1" ref="CA3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7" s="296" t="str">
        <f ca="1">IFERROR((DeemedDashboard[[#This Row],[Msr EOL leakage tons CO2e]]*OFFSET(GHG_Adder_dollar_per_tonne,0,(DeemedDashboard[[#This Row],[Msr Device Retire-ment Year]]-DY+1),1,1))/(1+WACC)^(DeemedDashboard[[#This Row],[Msr Device Retire-ment Year]]-DeemedDashboard[[#This Row],[Measure Start Year]]+0.5),"")</f>
        <v/>
      </c>
      <c r="CC37" s="296" t="str">
        <f ca="1">IFERROR((DeemedDashboard[[#This Row],[Std EOL leakage tons CO2e]]*OFFSET(GHG_Adder_dollar_per_tonne,0,(DeemedDashboard[[#This Row],[Std Device Retire-ment Year]]-DY+1),1,1))/(1+WACC)^(DeemedDashboard[[#This Row],[Std Device Retire-ment Year]]-DeemedDashboard[[#This Row],[Measure Start Year]]+0.5),"")</f>
        <v/>
      </c>
      <c r="CD37" s="296" t="str">
        <f ca="1">IFERROR((DeemedDashboard[[#This Row],[Pre EOL leakage tons CO2e]]*OFFSET(GHG_Adder_dollar_per_tonne,0,(DeemedDashboard[[#This Row],[Measure Start Year]]-DY),1,1))/(1+WACC)^(-0.5),"")</f>
        <v/>
      </c>
      <c r="CE3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7" s="296" t="str">
        <f ca="1">IFERROR(DeemedDashboard[[#This Row],[Msr NPV Cost of Annual Leakage]]/(1+ACC_Inflation_Rate)^(DeemedDashboard[[#This Row],[Measure Start Year]]-DY),"")</f>
        <v/>
      </c>
      <c r="CG37" s="296" t="str">
        <f ca="1">IFERROR(DeemedDashboard[[#This Row],[Std NPV Cost of Annual Leakage]]/(1+ACC_Inflation_Rate)^(DeemedDashboard[[#This Row],[Measure Start Year]]-DY),"")</f>
        <v/>
      </c>
      <c r="CH37" s="296" t="str">
        <f>IFERROR(IF(ISBLANK(DeemedDashboard[[#This Row],[MeasAppType]]),NA(),IF(DeemedDashboard[[#This Row],[MeasAppType]]=const_AR,DeemedDashboard[[#This Row],[Pre NPV Cost of Annual Leakage]]/(1+ACC_Inflation_Rate)^(DeemedDashboard[[#This Row],[Measure Start Year]]-DY),"")),"")</f>
        <v/>
      </c>
      <c r="CI37" s="296" t="str">
        <f>IFERROR(IF(ISBLANK(DeemedDashboard[[#This Row],[MeasAppType]]),NA(),IF(DeemedDashboard[[#This Row],[MeasAppType]]=const_AR,DeemedDashboard[[#This Row],[Ext NPV Cost of Annual Leakage]]/(1+ACC_Inflation_Rate)^(DeemedDashboard[[#This Row],[Measure Start Year]]-DY),"")),"")</f>
        <v/>
      </c>
      <c r="CJ37" s="296" t="str">
        <f ca="1">IFERROR((DeemedDashboard[[#This Row],[Msr % of device lifetime during measure years]]+DeemedDashboard[[#This Row],[Msr % of device lifetime retired early]])*DeemedDashboard[[#This Row],[Msr NPV Cost of EOL Leakage]]/(1+ACC_Inflation_Rate)^(DeemedDashboard[[#This Row],[Measure Start Year]]-DY),"")</f>
        <v/>
      </c>
      <c r="CK37" s="296" t="str">
        <f ca="1">IFERROR((DeemedDashboard[[#This Row],[Std % of device lifetime during measure years]]+DeemedDashboard[[#This Row],[Std % of device lifetime retired early]])*DeemedDashboard[[#This Row],[Std NPV Cost of EOL Leakage]]/(1+ACC_Inflation_Rate)^(DeemedDashboard[[#This Row],[Measure Start Year]]-DY),"")</f>
        <v/>
      </c>
      <c r="CL3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7" s="299" t="str">
        <f ca="1">IFERROR(DeemedDashboard[[#This Row],[Counter-factual total 
NPV cost]]-DeemedDashboard[[#This Row],[Measure total 
NPV cost]],"")</f>
        <v/>
      </c>
      <c r="CQ37" s="299" t="str">
        <f>IF(ISBLANK(DeemedDashboard[[#This Row],[MeasAppType]]),"",DeemedDashboard[[#This Row],[Refrigerant
NPV costs
avoided]]&gt;0)</f>
        <v/>
      </c>
      <c r="CR37" s="299" t="str">
        <f ca="1">IFERROR(DeemedDashboard[[#This Row],[Msr Adj NPV Cost of Annual Leakage]]+DeemedDashboard[[#This Row],[Msr Adj NPV Cost of EOL Leakage]],"")</f>
        <v/>
      </c>
      <c r="CS37" s="299" t="str">
        <f ca="1">IFERROR(DeemedDashboard[[#This Row],[Std Adj NPV Cost of Annual Leakage]]+DeemedDashboard[[#This Row],[Std Adj NPV Cost of EOL Leakage]],"")</f>
        <v/>
      </c>
      <c r="CT37" s="299" t="str">
        <f>IFERROR(IF((DeemedDashboard[[#This Row],[Pre Adj NPV Cost of Annual Leakage]]+DeemedDashboard[[#This Row],[Pre Adj NPV Cost of EOL Leakage]])=0,"",DeemedDashboard[[#This Row],[Pre Adj NPV Cost of Annual Leakage]]+DeemedDashboard[[#This Row],[Pre Adj NPV Cost of EOL Leakage]]),"")</f>
        <v/>
      </c>
      <c r="CU37" s="299" t="str">
        <f>IFERROR(IF((DeemedDashboard[[#This Row],[Ext Adj NPV Cost of Annual Leakage]]+DeemedDashboard[[#This Row],[Ext Adj NPV Cost of EOL Leakage]])=0,"",DeemedDashboard[[#This Row],[Ext Adj NPV Cost of Annual Leakage]]+DeemedDashboard[[#This Row],[Ext Adj NPV Cost of EOL Leakage]]),"")</f>
        <v/>
      </c>
      <c r="CV37" s="299" t="str">
        <f>IFERROR(IF(DeemedDashboard[[#This Row],[Is Avoided Net Cost &gt;0?]],"",-DeemedDashboard[[#This Row],[Refrigerant
NPV costs
avoided]]),"")</f>
        <v/>
      </c>
      <c r="CW37" s="299" t="str">
        <f>IFERROR(IF(DeemedDashboard[[#This Row],[Is Avoided Net Cost &gt;0?]],DeemedDashboard[[#This Row],[Refrigerant
NPV costs
avoided]],""),"")</f>
        <v/>
      </c>
      <c r="CX37" s="391">
        <f ca="1">IFERROR(MATCH(DeemedDashboard[[#This Row],[TechGroup and NormUnit]],TechGroup_and_NormUnit,0),1)</f>
        <v>1</v>
      </c>
      <c r="CY37" s="391" cm="1">
        <f t="array" aca="1" ref="CY37" ca="1">IFERROR(INDEX(TGRows,DeemedDashboard[[#This Row],[TGIndex]]),"")</f>
        <v>2</v>
      </c>
      <c r="CZ37" s="391">
        <f ca="1">IF(DeemedDashboard[[#This Row],[MeasAppType]]=const_AR,DeemedDashboard[[#This Row],[TGRows]],DeemedDashboard[[#This Row],[TGRows]]+1)</f>
        <v>3</v>
      </c>
      <c r="DA37" s="391" t="str">
        <f>IF(ISBLANK(DeemedDashboard[[#This Row],[MeasAppType]]),"",IF(DeemedDashboard[[#This Row],[Index]]=User_Specified_Refrigerant[[#This Row],[Index]],"OK","ERROR"))</f>
        <v/>
      </c>
    </row>
    <row r="38" spans="1:105" s="320" customFormat="1" x14ac:dyDescent="0.25">
      <c r="A38" s="297">
        <f>ROW(DeemedDashboard[[#This Row],[Index]])-ROW(DeemedDashboard[[#Headers],[Index]])</f>
        <v>29</v>
      </c>
      <c r="B38" s="298"/>
      <c r="C38" s="321"/>
      <c r="D38" s="403"/>
      <c r="E38" s="403"/>
      <c r="F38" s="403"/>
      <c r="G38" s="403"/>
      <c r="H38" s="365"/>
      <c r="I38" s="339"/>
      <c r="J38" s="339"/>
      <c r="K38" s="339"/>
      <c r="L38" s="322"/>
      <c r="M38" s="322"/>
      <c r="N38" s="322"/>
      <c r="O3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8" s="582" t="str" cm="1">
        <f t="array" ref="R38">IFERROR(IF(DeemedDashboard[[#This Row],[Msr device type]]=const_device_nonrefrig,0,INDEX(_xlfn.SWITCH($E$4,const_20_yr,GWP_Values_20_year_AR4,const_100_yr,GWP_Values_100_year_AR4),MATCH(DeemedDashboard[[#This Row],[Msr refrigerant Type]],RefrigDropdownList,0))),"")</f>
        <v/>
      </c>
      <c r="S38" s="582" t="str" cm="1">
        <f t="array" ref="S38">IFERROR(IF(DeemedDashboard[[#This Row],[Std device type]]=const_device_nonrefrig,0,INDEX(_xlfn.SWITCH($E$4,const_20_yr,GWP_Values_20_year_AR4,const_100_yr,GWP_Values_100_year_AR4),MATCH(DeemedDashboard[[#This Row],[Std refrigerant Type]],RefrigDropdownList,0))),"")</f>
        <v/>
      </c>
      <c r="T38" s="582" t="str" cm="1">
        <f t="array" ref="T38">IFERROR(IF(DeemedDashboard[[#This Row],[Pre/Ext device type]]=const_device_nonrefrig,0,INDEX(_xlfn.SWITCH($E$4,const_20_yr,GWP_Values_20_year_AR4,const_100_yr,GWP_Values_100_year_AR4),MATCH(DeemedDashboard[[#This Row],[Pre/Ext refrigerant Type]],RefrigDropdownList,0))),"")</f>
        <v/>
      </c>
      <c r="U3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8" s="326" t="str">
        <f>IFERROR(IF(DeemedDashboard[[#This Row],[Msr device type]]=const_userspec,IF(ISBLANK(User_Specified_Refrigerant[[#This Row],[Msr t_EOL]]),"",User_Specified_Refrigerant[[#This Row],[Msr t_EOL]]),INDEX(TechGroup_NormUnit_Table[t_EOL],MATCH(DeemedDashboard[[#This Row],[Msr device type]],DropdownRefrigTech,0))),"")</f>
        <v/>
      </c>
      <c r="AB38" s="326" t="str">
        <f>IFERROR(IF(DeemedDashboard[[#This Row],[Std device type]]=const_userspec,IF(ISBLANK(User_Specified_Refrigerant[[#This Row],[Std t_EOL]]),"",User_Specified_Refrigerant[[#This Row],[Std t_EOL]]),INDEX(TechGroup_NormUnit_Table[t_EOL],MATCH(DeemedDashboard[[#This Row],[Std device type]],DropdownRefrigTech,0))),"")</f>
        <v/>
      </c>
      <c r="AC3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8" s="395" t="str">
        <f>IF(ISBLANK(DeemedDashboard[[#This Row],[MeasAppType]]),"",$E$2)</f>
        <v/>
      </c>
      <c r="AE38" s="395" t="str">
        <f>IFERROR(IF(ISBLANK(DeemedDashboard[[#This Row],[MeasAppType]]),NA(),DeemedDashboard[[#This Row],[Measure Start Year]]+DeemedDashboard[[#This Row],[Msr EUL rounded]]-1),"")</f>
        <v/>
      </c>
      <c r="AF38" s="323" t="str">
        <f>IF(ISBLANK(DeemedDashboard[[#This Row],[Measure New Device EUL]]),"",ROUND(DeemedDashboard[[#This Row],[Measure New Device EUL]],0))</f>
        <v/>
      </c>
      <c r="AG38" s="323" t="str">
        <f>IF(ISBLANK(DeemedDashboard[[#This Row],[Counterfactual New Device EUL]]),"",ROUND(DeemedDashboard[[#This Row],[Counterfactual New Device EUL]],0))</f>
        <v/>
      </c>
      <c r="AH38" s="323" t="str">
        <f>IF(ISBLANK(DeemedDashboard[[#This Row],[Existing Device EUL]]),"",ROUND(DeemedDashboard[[#This Row],[Existing Device EUL]],0))</f>
        <v/>
      </c>
      <c r="AI38" s="323" t="str">
        <f>IF(ISBLANK(DeemedDashboard[[#This Row],[Existing Device RUL or AR First Baseline Life]]),"",ROUND(DeemedDashboard[[#This Row],[Existing Device RUL or AR First Baseline Life]],0))</f>
        <v/>
      </c>
      <c r="AJ38" s="327" t="str">
        <f>DeemedDashboard[[#This Row],[Measure Start Year]]</f>
        <v/>
      </c>
      <c r="AK38" s="327" t="str">
        <f>IF(DeemedDashboard[[#This Row],[MeasAppType]]&lt;&gt;const_AR,DeemedDashboard[[#This Row],[Measure Start Year]],DeemedDashboard[[#This Row],[Ext Device Retire-ment Year]]+1)</f>
        <v/>
      </c>
      <c r="AL38" s="327" t="str">
        <f>IFERROR(IF(DeemedDashboard[[#This Row],[MeasAppType]]=const_AR,DeemedDashboard[[#This Row],[Measure Start Year]]-(DeemedDashboard[[#This Row],[Existing Device EUL]]-DeemedDashboard[[#This Row],[Existing Device RUL or AR First Baseline Life]]),NA()),"")</f>
        <v/>
      </c>
      <c r="AM38" s="327" t="str">
        <f>DeemedDashboard[[#This Row],[Pre Device Install Year]]</f>
        <v/>
      </c>
      <c r="AN38" s="327" t="str">
        <f>IFERROR(IF(ISBLANK(DeemedDashboard[[#This Row],[MeasAppType]]),NA(),DeemedDashboard[[#This Row],[Measure Start Year]]+DeemedDashboard[[#This Row],[Msr EUL rounded]]-1),"")</f>
        <v/>
      </c>
      <c r="AO38" s="327" t="str">
        <f>IFERROR(DeemedDashboard[[#This Row],[Std Device Install Year]]+DeemedDashboard[[#This Row],[Counterfactual New Device EUL]]-1,"")</f>
        <v/>
      </c>
      <c r="AP38" s="327" t="str">
        <f>IFERROR(IF(AND(DeemedDashboard[[#This Row],[MeasAppType]]=const_AR,DeemedDashboard[[#This Row],[Measure Start Year]]&lt;(DeemedDashboard[[#This Row],[Pre Device Install Year]]+DeemedDashboard[[#This Row],[Existing Device EUL]]-1)),DeemedDashboard[[#This Row],[Measure Start Year]]-1,NA()),"")</f>
        <v/>
      </c>
      <c r="AQ38" s="327" t="str">
        <f>IFERROR(IF(DeemedDashboard[[#This Row],[MeasAppType]]=const_AR,DeemedDashboard[[#This Row],[Ext Device Install Year]]+DeemedDashboard[[#This Row],[Existing Device EUL]]-1,NA()),"")</f>
        <v/>
      </c>
      <c r="AR38" s="327" t="str">
        <f>IFERROR(IF(ISBLANK(DeemedDashboard[[#This Row],[MeasAppType]]),NA(),0),"")</f>
        <v/>
      </c>
      <c r="AS38" s="327" t="str">
        <f>IFERROR(IF(ISBLANK(DeemedDashboard[[#This Row],[MeasAppType]]),NA(),0),"")</f>
        <v/>
      </c>
      <c r="AT38" s="327" t="str">
        <f>IF(ISBLANK(DeemedDashboard[[#This Row],[MeasAppType]]),"",IF(DeemedDashboard[[#This Row],[MeasAppType]]&lt;&gt;const_AR,"",(DeemedDashboard[[#This Row],[Pre Device Install Year]]+DeemedDashboard[[#This Row],[Existing Device EUL]]-1)-DeemedDashboard[[#This Row],[Pre Device Retire-ment Year]]))</f>
        <v/>
      </c>
      <c r="AU38" s="327" t="str">
        <f>IF(ISBLANK(DeemedDashboard[[#This Row],[MeasAppType]]),"",IF(DeemedDashboard[[#This Row],[MeasAppType]]=const_AR,0,""))</f>
        <v/>
      </c>
      <c r="AV38" s="328" t="str">
        <f>IF(ISBLANK(DeemedDashboard[[#This Row],[MeasAppType]]),"",MAX((1+MIN(DeemedDashboard[[#This Row],[Msr Device Retire-ment Year]],DeemedDashboard[[#This Row],[Measure End 
Year]])-MAX(DeemedDashboard[[#This Row],[Msr Device Install Year]],DeemedDashboard[[#This Row],[Measure Start Year]])),0))</f>
        <v/>
      </c>
      <c r="AW38" s="328" t="str">
        <f>IF(ISBLANK(DeemedDashboard[[#This Row],[MeasAppType]]),"",MAX((1+MIN(DeemedDashboard[[#This Row],[Std Device Retire-ment Year]],DeemedDashboard[[#This Row],[Measure End 
Year]])-MAX(DeemedDashboard[[#This Row],[Std Device Install Year]],DeemedDashboard[[#This Row],[Measure Start Year]])),0))</f>
        <v/>
      </c>
      <c r="AX3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8"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8" s="329" t="str">
        <f>IF(ISBLANK(DeemedDashboard[[#This Row],[MeasAppType]]),"",IF(DeemedDashboard[[#This Row],[Msr Device Years Over-lapping with Measure Years]]=0,0,DeemedDashboard[[#This Row],[Msr Device Years Over-lapping with Measure Years]]/DeemedDashboard[[#This Row],[Msr EUL rounded]]))</f>
        <v/>
      </c>
      <c r="BA38" s="329" t="str">
        <f>IF(ISBLANK(DeemedDashboard[[#This Row],[MeasAppType]]),"",IF(DeemedDashboard[[#This Row],[Std Device Years Over-lapping with Measure Years]]=0,0,DeemedDashboard[[#This Row],[Std Device Years Over-lapping with Measure Years]]/DeemedDashboard[[#This Row],[Counterfactual New Device EUL]]))</f>
        <v/>
      </c>
      <c r="BB38" s="329" t="str">
        <f>IF(ISBLANK(DeemedDashboard[[#This Row],[MeasAppType]]),"",IFERROR(IF(DeemedDashboard[[#This Row],[Pre Device Years Over-lapping with Measure Years]]=0,0,DeemedDashboard[[#This Row],[Pre Device Years Over-lapping with Measure Years]]/DeemedDashboard[[#This Row],[Existing Device EUL]]),""))</f>
        <v/>
      </c>
      <c r="BC38" s="331" t="str">
        <f>IFERROR(IF(DeemedDashboard[[#This Row],[Ext Device Years Over-lapping with Measure Years]]=0,0,DeemedDashboard[[#This Row],[Ext Device Years Over-lapping with Measure Years]]/DeemedDashboard[[#This Row],[Existing Device EUL]]),"")</f>
        <v/>
      </c>
      <c r="BD38" s="329" t="str">
        <f>IFERROR(IF(DeemedDashboard[[#This Row],[Msr Number of Years device retired early]]=0,0,DeemedDashboard[[#This Row],[Msr Number of Years device retired early]]/DeemedDashboard[[#This Row],[Msr EUL rounded]]),"")</f>
        <v/>
      </c>
      <c r="BE38" s="329" t="str">
        <f>IFERROR(IF(DeemedDashboard[[#This Row],[Std Number of Years device retired early]]=0,0,DeemedDashboard[[#This Row],[Std Number of Years device retired early]]/DeemedDashboard[[#This Row],[Msr EUL rounded]]),"")</f>
        <v/>
      </c>
      <c r="BF38" s="329" t="str">
        <f>IFERROR(IF(DeemedDashboard[[#This Row],[MeasAppType]]&lt;&gt;const_AR,"",IF(DeemedDashboard[[#This Row],[Pre Number of Years device retired early]]=0,0,DeemedDashboard[[#This Row],[Pre Number of Years device retired early]]/DeemedDashboard[[#This Row],[Existing Device EUL]])),"")</f>
        <v/>
      </c>
      <c r="BG38" s="331" t="str">
        <f>IFERROR(IF(DeemedDashboard[[#This Row],[Ext Number of Years device retired early]]=0,0,DeemedDashboard[[#This Row],[Ext Number of Years device retired early]]/DeemedDashboard[[#This Row],[Existing Device EUL]]),"")</f>
        <v/>
      </c>
      <c r="BH38" s="325" t="str">
        <f>IFERROR(1-DeemedDashboard[[#This Row],[Msr annual refrigerant leakage %]]*DeemedDashboard[[#This Row],[Msr t_EOL]],"")</f>
        <v/>
      </c>
      <c r="BI38" s="325" t="str">
        <f>IFERROR(1-DeemedDashboard[[#This Row],[Std annual refrigerant leakage %]]*DeemedDashboard[[#This Row],[Std t_EOL]],"")</f>
        <v/>
      </c>
      <c r="BJ38" s="325" t="str">
        <f>IFERROR(1-DeemedDashboard[[#This Row],[Pre/Ext annual refrigerant leakage %]]*DeemedDashboard[[#This Row],[Pre/Ext t_EOL]],"")</f>
        <v/>
      </c>
      <c r="BK38" s="325" t="str">
        <f>IFERROR(1-DeemedDashboard[[#This Row],[Pre/Ext annual refrigerant leakage %]]*DeemedDashboard[[#This Row],[Pre/Ext t_EOL]],"")</f>
        <v/>
      </c>
      <c r="BL38" s="325" t="str">
        <f>IFERROR(DeemedDashboard[[#This Row],[Msr charging remaining (%)]]*DeemedDashboard[[#This Row],[Msr gross EOL refrigerant leakage %]],"")</f>
        <v/>
      </c>
      <c r="BM38" s="325" t="str">
        <f>IFERROR(DeemedDashboard[[#This Row],[Std charging remaining (%)]]*DeemedDashboard[[#This Row],[Std gross EOL refrigerant leakage %]],"")</f>
        <v/>
      </c>
      <c r="BN38" s="325" t="str">
        <f>IFERROR(DeemedDashboard[[#This Row],[Pre charging remaining (%)]]*DeemedDashboard[[#This Row],[Pre/Ext gross EOL refrigerant leakage %]],"")</f>
        <v/>
      </c>
      <c r="BO38" s="325" t="str">
        <f>IFERROR(DeemedDashboard[[#This Row],[Ext charging remaining (%)]]*DeemedDashboard[[#This Row],[Pre/Ext gross EOL refrigerant leakage %]],"")</f>
        <v/>
      </c>
      <c r="BP38" s="330" t="str">
        <f>IFERROR((DeemedDashboard[[#This Row],[Msr refrigerant charge (lb) per NormUnit]]/pounds_per_metric_ton)*DeemedDashboard[[#This Row],[Msr annual refrigerant leakage %]]*DeemedDashboard[[#This Row],[Msr GWP]],"")</f>
        <v/>
      </c>
      <c r="BQ38" s="330" t="str">
        <f>IFERROR((DeemedDashboard[[#This Row],[Std refrigerant charge (lb) per NormUnit]]/pounds_per_metric_ton)*DeemedDashboard[[#This Row],[Std annual refrigerant leakage %]]*DeemedDashboard[[#This Row],[Std GWP]],"")</f>
        <v/>
      </c>
      <c r="BR38" s="330" t="str">
        <f>IF(DeemedDashboard[[#This Row],[MeasAppType]]=const_AR,(DeemedDashboard[[#This Row],[Pre/Ext refrigerant charge (lb) per NormUnit]]/pounds_per_metric_ton)*DeemedDashboard[[#This Row],[Pre/Ext annual refrigerant leakage %]]*DeemedDashboard[[#This Row],[Pre/Ext GWP]],"")</f>
        <v/>
      </c>
      <c r="BS38" s="330" t="str">
        <f>IF(DeemedDashboard[[#This Row],[MeasAppType]]=const_AR,(DeemedDashboard[[#This Row],[Pre/Ext refrigerant charge (lb) per NormUnit]]/pounds_per_metric_ton)*DeemedDashboard[[#This Row],[Pre/Ext annual refrigerant leakage %]]*DeemedDashboard[[#This Row],[Pre/Ext GWP]],"")</f>
        <v/>
      </c>
      <c r="BT38" s="330" t="str">
        <f>IFERROR((DeemedDashboard[[#This Row],[Msr refrigerant charge (lb) per NormUnit]]/pounds_per_metric_ton)*DeemedDashboard[[#This Row],[Msr net EOL refrigerant leakage (%)]]*DeemedDashboard[[#This Row],[Msr GWP]],"")</f>
        <v/>
      </c>
      <c r="BU38" s="330" t="str">
        <f>IFERROR((DeemedDashboard[[#This Row],[Std refrigerant charge (lb) per NormUnit]]/pounds_per_metric_ton)*DeemedDashboard[[#This Row],[Std net EOL refrigerant leakage (%)]]*DeemedDashboard[[#This Row],[Std GWP]],"")</f>
        <v/>
      </c>
      <c r="BV38" s="330" t="str">
        <f>IFERROR((DeemedDashboard[[#This Row],[Pre/Ext refrigerant charge (lb) per NormUnit]]/pounds_per_metric_ton)*DeemedDashboard[[#This Row],[Pre net EOL refrigerant leakage (%)]]*DeemedDashboard[[#This Row],[Pre/Ext GWP]],"")</f>
        <v/>
      </c>
      <c r="BW38" s="330" t="str">
        <f>IFERROR((DeemedDashboard[[#This Row],[Pre/Ext refrigerant charge (lb) per NormUnit]]/pounds_per_metric_ton)*DeemedDashboard[[#This Row],[Ext net EOL refrigerant leakage (%)]]*DeemedDashboard[[#This Row],[Pre/Ext GWP]],"")</f>
        <v/>
      </c>
      <c r="BX38" s="299" t="str" cm="1">
        <f t="array" aca="1" ref="BX3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8" s="305" t="str" cm="1">
        <f t="array" aca="1" ref="BY3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8" s="299" t="str">
        <f>IFERROR(IF(OR(DeemedDashboard[[#This Row],[MeasAppType]]&lt;&gt;const_AR,ISBLANK(DeemedDashboard[[#This Row],[MeasAppType]])),NA(),0),"")</f>
        <v/>
      </c>
      <c r="CA38" s="305" t="str" cm="1">
        <f t="array" aca="1" ref="CA3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8" s="296" t="str">
        <f ca="1">IFERROR((DeemedDashboard[[#This Row],[Msr EOL leakage tons CO2e]]*OFFSET(GHG_Adder_dollar_per_tonne,0,(DeemedDashboard[[#This Row],[Msr Device Retire-ment Year]]-DY+1),1,1))/(1+WACC)^(DeemedDashboard[[#This Row],[Msr Device Retire-ment Year]]-DeemedDashboard[[#This Row],[Measure Start Year]]+0.5),"")</f>
        <v/>
      </c>
      <c r="CC38" s="296" t="str">
        <f ca="1">IFERROR((DeemedDashboard[[#This Row],[Std EOL leakage tons CO2e]]*OFFSET(GHG_Adder_dollar_per_tonne,0,(DeemedDashboard[[#This Row],[Std Device Retire-ment Year]]-DY+1),1,1))/(1+WACC)^(DeemedDashboard[[#This Row],[Std Device Retire-ment Year]]-DeemedDashboard[[#This Row],[Measure Start Year]]+0.5),"")</f>
        <v/>
      </c>
      <c r="CD38" s="296" t="str">
        <f ca="1">IFERROR((DeemedDashboard[[#This Row],[Pre EOL leakage tons CO2e]]*OFFSET(GHG_Adder_dollar_per_tonne,0,(DeemedDashboard[[#This Row],[Measure Start Year]]-DY),1,1))/(1+WACC)^(-0.5),"")</f>
        <v/>
      </c>
      <c r="CE3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8" s="296" t="str">
        <f ca="1">IFERROR(DeemedDashboard[[#This Row],[Msr NPV Cost of Annual Leakage]]/(1+ACC_Inflation_Rate)^(DeemedDashboard[[#This Row],[Measure Start Year]]-DY),"")</f>
        <v/>
      </c>
      <c r="CG38" s="296" t="str">
        <f ca="1">IFERROR(DeemedDashboard[[#This Row],[Std NPV Cost of Annual Leakage]]/(1+ACC_Inflation_Rate)^(DeemedDashboard[[#This Row],[Measure Start Year]]-DY),"")</f>
        <v/>
      </c>
      <c r="CH38" s="296" t="str">
        <f>IFERROR(IF(ISBLANK(DeemedDashboard[[#This Row],[MeasAppType]]),NA(),IF(DeemedDashboard[[#This Row],[MeasAppType]]=const_AR,DeemedDashboard[[#This Row],[Pre NPV Cost of Annual Leakage]]/(1+ACC_Inflation_Rate)^(DeemedDashboard[[#This Row],[Measure Start Year]]-DY),"")),"")</f>
        <v/>
      </c>
      <c r="CI38" s="296" t="str">
        <f>IFERROR(IF(ISBLANK(DeemedDashboard[[#This Row],[MeasAppType]]),NA(),IF(DeemedDashboard[[#This Row],[MeasAppType]]=const_AR,DeemedDashboard[[#This Row],[Ext NPV Cost of Annual Leakage]]/(1+ACC_Inflation_Rate)^(DeemedDashboard[[#This Row],[Measure Start Year]]-DY),"")),"")</f>
        <v/>
      </c>
      <c r="CJ38" s="296" t="str">
        <f ca="1">IFERROR((DeemedDashboard[[#This Row],[Msr % of device lifetime during measure years]]+DeemedDashboard[[#This Row],[Msr % of device lifetime retired early]])*DeemedDashboard[[#This Row],[Msr NPV Cost of EOL Leakage]]/(1+ACC_Inflation_Rate)^(DeemedDashboard[[#This Row],[Measure Start Year]]-DY),"")</f>
        <v/>
      </c>
      <c r="CK38" s="296" t="str">
        <f ca="1">IFERROR((DeemedDashboard[[#This Row],[Std % of device lifetime during measure years]]+DeemedDashboard[[#This Row],[Std % of device lifetime retired early]])*DeemedDashboard[[#This Row],[Std NPV Cost of EOL Leakage]]/(1+ACC_Inflation_Rate)^(DeemedDashboard[[#This Row],[Measure Start Year]]-DY),"")</f>
        <v/>
      </c>
      <c r="CL3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8" s="299" t="str">
        <f ca="1">IFERROR(DeemedDashboard[[#This Row],[Counter-factual total 
NPV cost]]-DeemedDashboard[[#This Row],[Measure total 
NPV cost]],"")</f>
        <v/>
      </c>
      <c r="CQ38" s="299" t="str">
        <f>IF(ISBLANK(DeemedDashboard[[#This Row],[MeasAppType]]),"",DeemedDashboard[[#This Row],[Refrigerant
NPV costs
avoided]]&gt;0)</f>
        <v/>
      </c>
      <c r="CR38" s="299" t="str">
        <f ca="1">IFERROR(DeemedDashboard[[#This Row],[Msr Adj NPV Cost of Annual Leakage]]+DeemedDashboard[[#This Row],[Msr Adj NPV Cost of EOL Leakage]],"")</f>
        <v/>
      </c>
      <c r="CS38" s="299" t="str">
        <f ca="1">IFERROR(DeemedDashboard[[#This Row],[Std Adj NPV Cost of Annual Leakage]]+DeemedDashboard[[#This Row],[Std Adj NPV Cost of EOL Leakage]],"")</f>
        <v/>
      </c>
      <c r="CT38" s="299" t="str">
        <f>IFERROR(IF((DeemedDashboard[[#This Row],[Pre Adj NPV Cost of Annual Leakage]]+DeemedDashboard[[#This Row],[Pre Adj NPV Cost of EOL Leakage]])=0,"",DeemedDashboard[[#This Row],[Pre Adj NPV Cost of Annual Leakage]]+DeemedDashboard[[#This Row],[Pre Adj NPV Cost of EOL Leakage]]),"")</f>
        <v/>
      </c>
      <c r="CU38" s="299" t="str">
        <f>IFERROR(IF((DeemedDashboard[[#This Row],[Ext Adj NPV Cost of Annual Leakage]]+DeemedDashboard[[#This Row],[Ext Adj NPV Cost of EOL Leakage]])=0,"",DeemedDashboard[[#This Row],[Ext Adj NPV Cost of Annual Leakage]]+DeemedDashboard[[#This Row],[Ext Adj NPV Cost of EOL Leakage]]),"")</f>
        <v/>
      </c>
      <c r="CV38" s="299" t="str">
        <f>IFERROR(IF(DeemedDashboard[[#This Row],[Is Avoided Net Cost &gt;0?]],"",-DeemedDashboard[[#This Row],[Refrigerant
NPV costs
avoided]]),"")</f>
        <v/>
      </c>
      <c r="CW38" s="299" t="str">
        <f>IFERROR(IF(DeemedDashboard[[#This Row],[Is Avoided Net Cost &gt;0?]],DeemedDashboard[[#This Row],[Refrigerant
NPV costs
avoided]],""),"")</f>
        <v/>
      </c>
      <c r="CX38" s="391">
        <f ca="1">IFERROR(MATCH(DeemedDashboard[[#This Row],[TechGroup and NormUnit]],TechGroup_and_NormUnit,0),1)</f>
        <v>1</v>
      </c>
      <c r="CY38" s="391" cm="1">
        <f t="array" aca="1" ref="CY38" ca="1">IFERROR(INDEX(TGRows,DeemedDashboard[[#This Row],[TGIndex]]),"")</f>
        <v>2</v>
      </c>
      <c r="CZ38" s="391">
        <f ca="1">IF(DeemedDashboard[[#This Row],[MeasAppType]]=const_AR,DeemedDashboard[[#This Row],[TGRows]],DeemedDashboard[[#This Row],[TGRows]]+1)</f>
        <v>3</v>
      </c>
      <c r="DA38" s="391" t="str">
        <f>IF(ISBLANK(DeemedDashboard[[#This Row],[MeasAppType]]),"",IF(DeemedDashboard[[#This Row],[Index]]=User_Specified_Refrigerant[[#This Row],[Index]],"OK","ERROR"))</f>
        <v/>
      </c>
    </row>
    <row r="39" spans="1:105" s="320" customFormat="1" x14ac:dyDescent="0.25">
      <c r="A39" s="297">
        <f>ROW(DeemedDashboard[[#This Row],[Index]])-ROW(DeemedDashboard[[#Headers],[Index]])</f>
        <v>30</v>
      </c>
      <c r="B39" s="298"/>
      <c r="C39" s="321"/>
      <c r="D39" s="403"/>
      <c r="E39" s="403"/>
      <c r="F39" s="403"/>
      <c r="G39" s="403"/>
      <c r="H39" s="365"/>
      <c r="I39" s="339"/>
      <c r="J39" s="339"/>
      <c r="K39" s="339"/>
      <c r="L39" s="322"/>
      <c r="M39" s="322"/>
      <c r="N39" s="322"/>
      <c r="O3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3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3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39" s="582" t="str" cm="1">
        <f t="array" ref="R39">IFERROR(IF(DeemedDashboard[[#This Row],[Msr device type]]=const_device_nonrefrig,0,INDEX(_xlfn.SWITCH($E$4,const_20_yr,GWP_Values_20_year_AR4,const_100_yr,GWP_Values_100_year_AR4),MATCH(DeemedDashboard[[#This Row],[Msr refrigerant Type]],RefrigDropdownList,0))),"")</f>
        <v/>
      </c>
      <c r="S39" s="582" t="str" cm="1">
        <f t="array" ref="S39">IFERROR(IF(DeemedDashboard[[#This Row],[Std device type]]=const_device_nonrefrig,0,INDEX(_xlfn.SWITCH($E$4,const_20_yr,GWP_Values_20_year_AR4,const_100_yr,GWP_Values_100_year_AR4),MATCH(DeemedDashboard[[#This Row],[Std refrigerant Type]],RefrigDropdownList,0))),"")</f>
        <v/>
      </c>
      <c r="T39" s="582" t="str" cm="1">
        <f t="array" ref="T39">IFERROR(IF(DeemedDashboard[[#This Row],[Pre/Ext device type]]=const_device_nonrefrig,0,INDEX(_xlfn.SWITCH($E$4,const_20_yr,GWP_Values_20_year_AR4,const_100_yr,GWP_Values_100_year_AR4),MATCH(DeemedDashboard[[#This Row],[Pre/Ext refrigerant Type]],RefrigDropdownList,0))),"")</f>
        <v/>
      </c>
      <c r="U3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3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3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3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3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3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39" s="326" t="str">
        <f>IFERROR(IF(DeemedDashboard[[#This Row],[Msr device type]]=const_userspec,IF(ISBLANK(User_Specified_Refrigerant[[#This Row],[Msr t_EOL]]),"",User_Specified_Refrigerant[[#This Row],[Msr t_EOL]]),INDEX(TechGroup_NormUnit_Table[t_EOL],MATCH(DeemedDashboard[[#This Row],[Msr device type]],DropdownRefrigTech,0))),"")</f>
        <v/>
      </c>
      <c r="AB39" s="326" t="str">
        <f>IFERROR(IF(DeemedDashboard[[#This Row],[Std device type]]=const_userspec,IF(ISBLANK(User_Specified_Refrigerant[[#This Row],[Std t_EOL]]),"",User_Specified_Refrigerant[[#This Row],[Std t_EOL]]),INDEX(TechGroup_NormUnit_Table[t_EOL],MATCH(DeemedDashboard[[#This Row],[Std device type]],DropdownRefrigTech,0))),"")</f>
        <v/>
      </c>
      <c r="AC3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39" s="395" t="str">
        <f>IF(ISBLANK(DeemedDashboard[[#This Row],[MeasAppType]]),"",$E$2)</f>
        <v/>
      </c>
      <c r="AE39" s="395" t="str">
        <f>IFERROR(IF(ISBLANK(DeemedDashboard[[#This Row],[MeasAppType]]),NA(),DeemedDashboard[[#This Row],[Measure Start Year]]+DeemedDashboard[[#This Row],[Msr EUL rounded]]-1),"")</f>
        <v/>
      </c>
      <c r="AF39" s="323" t="str">
        <f>IF(ISBLANK(DeemedDashboard[[#This Row],[Measure New Device EUL]]),"",ROUND(DeemedDashboard[[#This Row],[Measure New Device EUL]],0))</f>
        <v/>
      </c>
      <c r="AG39" s="323" t="str">
        <f>IF(ISBLANK(DeemedDashboard[[#This Row],[Counterfactual New Device EUL]]),"",ROUND(DeemedDashboard[[#This Row],[Counterfactual New Device EUL]],0))</f>
        <v/>
      </c>
      <c r="AH39" s="323" t="str">
        <f>IF(ISBLANK(DeemedDashboard[[#This Row],[Existing Device EUL]]),"",ROUND(DeemedDashboard[[#This Row],[Existing Device EUL]],0))</f>
        <v/>
      </c>
      <c r="AI39" s="323" t="str">
        <f>IF(ISBLANK(DeemedDashboard[[#This Row],[Existing Device RUL or AR First Baseline Life]]),"",ROUND(DeemedDashboard[[#This Row],[Existing Device RUL or AR First Baseline Life]],0))</f>
        <v/>
      </c>
      <c r="AJ39" s="327" t="str">
        <f>DeemedDashboard[[#This Row],[Measure Start Year]]</f>
        <v/>
      </c>
      <c r="AK39" s="327" t="str">
        <f>IF(DeemedDashboard[[#This Row],[MeasAppType]]&lt;&gt;const_AR,DeemedDashboard[[#This Row],[Measure Start Year]],DeemedDashboard[[#This Row],[Ext Device Retire-ment Year]]+1)</f>
        <v/>
      </c>
      <c r="AL39" s="327" t="str">
        <f>IFERROR(IF(DeemedDashboard[[#This Row],[MeasAppType]]=const_AR,DeemedDashboard[[#This Row],[Measure Start Year]]-(DeemedDashboard[[#This Row],[Existing Device EUL]]-DeemedDashboard[[#This Row],[Existing Device RUL or AR First Baseline Life]]),NA()),"")</f>
        <v/>
      </c>
      <c r="AM39" s="327" t="str">
        <f>DeemedDashboard[[#This Row],[Pre Device Install Year]]</f>
        <v/>
      </c>
      <c r="AN39" s="327" t="str">
        <f>IFERROR(IF(ISBLANK(DeemedDashboard[[#This Row],[MeasAppType]]),NA(),DeemedDashboard[[#This Row],[Measure Start Year]]+DeemedDashboard[[#This Row],[Msr EUL rounded]]-1),"")</f>
        <v/>
      </c>
      <c r="AO39" s="327" t="str">
        <f>IFERROR(DeemedDashboard[[#This Row],[Std Device Install Year]]+DeemedDashboard[[#This Row],[Counterfactual New Device EUL]]-1,"")</f>
        <v/>
      </c>
      <c r="AP39" s="327" t="str">
        <f>IFERROR(IF(AND(DeemedDashboard[[#This Row],[MeasAppType]]=const_AR,DeemedDashboard[[#This Row],[Measure Start Year]]&lt;(DeemedDashboard[[#This Row],[Pre Device Install Year]]+DeemedDashboard[[#This Row],[Existing Device EUL]]-1)),DeemedDashboard[[#This Row],[Measure Start Year]]-1,NA()),"")</f>
        <v/>
      </c>
      <c r="AQ39" s="327" t="str">
        <f>IFERROR(IF(DeemedDashboard[[#This Row],[MeasAppType]]=const_AR,DeemedDashboard[[#This Row],[Ext Device Install Year]]+DeemedDashboard[[#This Row],[Existing Device EUL]]-1,NA()),"")</f>
        <v/>
      </c>
      <c r="AR39" s="327" t="str">
        <f>IFERROR(IF(ISBLANK(DeemedDashboard[[#This Row],[MeasAppType]]),NA(),0),"")</f>
        <v/>
      </c>
      <c r="AS39" s="327" t="str">
        <f>IFERROR(IF(ISBLANK(DeemedDashboard[[#This Row],[MeasAppType]]),NA(),0),"")</f>
        <v/>
      </c>
      <c r="AT39" s="327" t="str">
        <f>IF(ISBLANK(DeemedDashboard[[#This Row],[MeasAppType]]),"",IF(DeemedDashboard[[#This Row],[MeasAppType]]&lt;&gt;const_AR,"",(DeemedDashboard[[#This Row],[Pre Device Install Year]]+DeemedDashboard[[#This Row],[Existing Device EUL]]-1)-DeemedDashboard[[#This Row],[Pre Device Retire-ment Year]]))</f>
        <v/>
      </c>
      <c r="AU39" s="327" t="str">
        <f>IF(ISBLANK(DeemedDashboard[[#This Row],[MeasAppType]]),"",IF(DeemedDashboard[[#This Row],[MeasAppType]]=const_AR,0,""))</f>
        <v/>
      </c>
      <c r="AV39" s="328" t="str">
        <f>IF(ISBLANK(DeemedDashboard[[#This Row],[MeasAppType]]),"",MAX((1+MIN(DeemedDashboard[[#This Row],[Msr Device Retire-ment Year]],DeemedDashboard[[#This Row],[Measure End 
Year]])-MAX(DeemedDashboard[[#This Row],[Msr Device Install Year]],DeemedDashboard[[#This Row],[Measure Start Year]])),0))</f>
        <v/>
      </c>
      <c r="AW39" s="328" t="str">
        <f>IF(ISBLANK(DeemedDashboard[[#This Row],[MeasAppType]]),"",MAX((1+MIN(DeemedDashboard[[#This Row],[Std Device Retire-ment Year]],DeemedDashboard[[#This Row],[Measure End 
Year]])-MAX(DeemedDashboard[[#This Row],[Std Device Install Year]],DeemedDashboard[[#This Row],[Measure Start Year]])),0))</f>
        <v/>
      </c>
      <c r="AX3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39"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39" s="329" t="str">
        <f>IF(ISBLANK(DeemedDashboard[[#This Row],[MeasAppType]]),"",IF(DeemedDashboard[[#This Row],[Msr Device Years Over-lapping with Measure Years]]=0,0,DeemedDashboard[[#This Row],[Msr Device Years Over-lapping with Measure Years]]/DeemedDashboard[[#This Row],[Msr EUL rounded]]))</f>
        <v/>
      </c>
      <c r="BA39" s="329" t="str">
        <f>IF(ISBLANK(DeemedDashboard[[#This Row],[MeasAppType]]),"",IF(DeemedDashboard[[#This Row],[Std Device Years Over-lapping with Measure Years]]=0,0,DeemedDashboard[[#This Row],[Std Device Years Over-lapping with Measure Years]]/DeemedDashboard[[#This Row],[Counterfactual New Device EUL]]))</f>
        <v/>
      </c>
      <c r="BB39" s="329" t="str">
        <f>IF(ISBLANK(DeemedDashboard[[#This Row],[MeasAppType]]),"",IFERROR(IF(DeemedDashboard[[#This Row],[Pre Device Years Over-lapping with Measure Years]]=0,0,DeemedDashboard[[#This Row],[Pre Device Years Over-lapping with Measure Years]]/DeemedDashboard[[#This Row],[Existing Device EUL]]),""))</f>
        <v/>
      </c>
      <c r="BC39" s="331" t="str">
        <f>IFERROR(IF(DeemedDashboard[[#This Row],[Ext Device Years Over-lapping with Measure Years]]=0,0,DeemedDashboard[[#This Row],[Ext Device Years Over-lapping with Measure Years]]/DeemedDashboard[[#This Row],[Existing Device EUL]]),"")</f>
        <v/>
      </c>
      <c r="BD39" s="329" t="str">
        <f>IFERROR(IF(DeemedDashboard[[#This Row],[Msr Number of Years device retired early]]=0,0,DeemedDashboard[[#This Row],[Msr Number of Years device retired early]]/DeemedDashboard[[#This Row],[Msr EUL rounded]]),"")</f>
        <v/>
      </c>
      <c r="BE39" s="329" t="str">
        <f>IFERROR(IF(DeemedDashboard[[#This Row],[Std Number of Years device retired early]]=0,0,DeemedDashboard[[#This Row],[Std Number of Years device retired early]]/DeemedDashboard[[#This Row],[Msr EUL rounded]]),"")</f>
        <v/>
      </c>
      <c r="BF39" s="329" t="str">
        <f>IFERROR(IF(DeemedDashboard[[#This Row],[MeasAppType]]&lt;&gt;const_AR,"",IF(DeemedDashboard[[#This Row],[Pre Number of Years device retired early]]=0,0,DeemedDashboard[[#This Row],[Pre Number of Years device retired early]]/DeemedDashboard[[#This Row],[Existing Device EUL]])),"")</f>
        <v/>
      </c>
      <c r="BG39" s="331" t="str">
        <f>IFERROR(IF(DeemedDashboard[[#This Row],[Ext Number of Years device retired early]]=0,0,DeemedDashboard[[#This Row],[Ext Number of Years device retired early]]/DeemedDashboard[[#This Row],[Existing Device EUL]]),"")</f>
        <v/>
      </c>
      <c r="BH39" s="325" t="str">
        <f>IFERROR(1-DeemedDashboard[[#This Row],[Msr annual refrigerant leakage %]]*DeemedDashboard[[#This Row],[Msr t_EOL]],"")</f>
        <v/>
      </c>
      <c r="BI39" s="325" t="str">
        <f>IFERROR(1-DeemedDashboard[[#This Row],[Std annual refrigerant leakage %]]*DeemedDashboard[[#This Row],[Std t_EOL]],"")</f>
        <v/>
      </c>
      <c r="BJ39" s="325" t="str">
        <f>IFERROR(1-DeemedDashboard[[#This Row],[Pre/Ext annual refrigerant leakage %]]*DeemedDashboard[[#This Row],[Pre/Ext t_EOL]],"")</f>
        <v/>
      </c>
      <c r="BK39" s="325" t="str">
        <f>IFERROR(1-DeemedDashboard[[#This Row],[Pre/Ext annual refrigerant leakage %]]*DeemedDashboard[[#This Row],[Pre/Ext t_EOL]],"")</f>
        <v/>
      </c>
      <c r="BL39" s="325" t="str">
        <f>IFERROR(DeemedDashboard[[#This Row],[Msr charging remaining (%)]]*DeemedDashboard[[#This Row],[Msr gross EOL refrigerant leakage %]],"")</f>
        <v/>
      </c>
      <c r="BM39" s="325" t="str">
        <f>IFERROR(DeemedDashboard[[#This Row],[Std charging remaining (%)]]*DeemedDashboard[[#This Row],[Std gross EOL refrigerant leakage %]],"")</f>
        <v/>
      </c>
      <c r="BN39" s="325" t="str">
        <f>IFERROR(DeemedDashboard[[#This Row],[Pre charging remaining (%)]]*DeemedDashboard[[#This Row],[Pre/Ext gross EOL refrigerant leakage %]],"")</f>
        <v/>
      </c>
      <c r="BO39" s="325" t="str">
        <f>IFERROR(DeemedDashboard[[#This Row],[Ext charging remaining (%)]]*DeemedDashboard[[#This Row],[Pre/Ext gross EOL refrigerant leakage %]],"")</f>
        <v/>
      </c>
      <c r="BP39" s="330" t="str">
        <f>IFERROR((DeemedDashboard[[#This Row],[Msr refrigerant charge (lb) per NormUnit]]/pounds_per_metric_ton)*DeemedDashboard[[#This Row],[Msr annual refrigerant leakage %]]*DeemedDashboard[[#This Row],[Msr GWP]],"")</f>
        <v/>
      </c>
      <c r="BQ39" s="330" t="str">
        <f>IFERROR((DeemedDashboard[[#This Row],[Std refrigerant charge (lb) per NormUnit]]/pounds_per_metric_ton)*DeemedDashboard[[#This Row],[Std annual refrigerant leakage %]]*DeemedDashboard[[#This Row],[Std GWP]],"")</f>
        <v/>
      </c>
      <c r="BR39" s="330" t="str">
        <f>IF(DeemedDashboard[[#This Row],[MeasAppType]]=const_AR,(DeemedDashboard[[#This Row],[Pre/Ext refrigerant charge (lb) per NormUnit]]/pounds_per_metric_ton)*DeemedDashboard[[#This Row],[Pre/Ext annual refrigerant leakage %]]*DeemedDashboard[[#This Row],[Pre/Ext GWP]],"")</f>
        <v/>
      </c>
      <c r="BS39" s="330" t="str">
        <f>IF(DeemedDashboard[[#This Row],[MeasAppType]]=const_AR,(DeemedDashboard[[#This Row],[Pre/Ext refrigerant charge (lb) per NormUnit]]/pounds_per_metric_ton)*DeemedDashboard[[#This Row],[Pre/Ext annual refrigerant leakage %]]*DeemedDashboard[[#This Row],[Pre/Ext GWP]],"")</f>
        <v/>
      </c>
      <c r="BT39" s="330" t="str">
        <f>IFERROR((DeemedDashboard[[#This Row],[Msr refrigerant charge (lb) per NormUnit]]/pounds_per_metric_ton)*DeemedDashboard[[#This Row],[Msr net EOL refrigerant leakage (%)]]*DeemedDashboard[[#This Row],[Msr GWP]],"")</f>
        <v/>
      </c>
      <c r="BU39" s="330" t="str">
        <f>IFERROR((DeemedDashboard[[#This Row],[Std refrigerant charge (lb) per NormUnit]]/pounds_per_metric_ton)*DeemedDashboard[[#This Row],[Std net EOL refrigerant leakage (%)]]*DeemedDashboard[[#This Row],[Std GWP]],"")</f>
        <v/>
      </c>
      <c r="BV39" s="330" t="str">
        <f>IFERROR((DeemedDashboard[[#This Row],[Pre/Ext refrigerant charge (lb) per NormUnit]]/pounds_per_metric_ton)*DeemedDashboard[[#This Row],[Pre net EOL refrigerant leakage (%)]]*DeemedDashboard[[#This Row],[Pre/Ext GWP]],"")</f>
        <v/>
      </c>
      <c r="BW39" s="330" t="str">
        <f>IFERROR((DeemedDashboard[[#This Row],[Pre/Ext refrigerant charge (lb) per NormUnit]]/pounds_per_metric_ton)*DeemedDashboard[[#This Row],[Ext net EOL refrigerant leakage (%)]]*DeemedDashboard[[#This Row],[Pre/Ext GWP]],"")</f>
        <v/>
      </c>
      <c r="BX39" s="299" t="str" cm="1">
        <f t="array" aca="1" ref="BX3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39" s="305" t="str" cm="1">
        <f t="array" aca="1" ref="BY3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39" s="299" t="str">
        <f>IFERROR(IF(OR(DeemedDashboard[[#This Row],[MeasAppType]]&lt;&gt;const_AR,ISBLANK(DeemedDashboard[[#This Row],[MeasAppType]])),NA(),0),"")</f>
        <v/>
      </c>
      <c r="CA39" s="305" t="str" cm="1">
        <f t="array" aca="1" ref="CA3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39" s="296" t="str">
        <f ca="1">IFERROR((DeemedDashboard[[#This Row],[Msr EOL leakage tons CO2e]]*OFFSET(GHG_Adder_dollar_per_tonne,0,(DeemedDashboard[[#This Row],[Msr Device Retire-ment Year]]-DY+1),1,1))/(1+WACC)^(DeemedDashboard[[#This Row],[Msr Device Retire-ment Year]]-DeemedDashboard[[#This Row],[Measure Start Year]]+0.5),"")</f>
        <v/>
      </c>
      <c r="CC39" s="296" t="str">
        <f ca="1">IFERROR((DeemedDashboard[[#This Row],[Std EOL leakage tons CO2e]]*OFFSET(GHG_Adder_dollar_per_tonne,0,(DeemedDashboard[[#This Row],[Std Device Retire-ment Year]]-DY+1),1,1))/(1+WACC)^(DeemedDashboard[[#This Row],[Std Device Retire-ment Year]]-DeemedDashboard[[#This Row],[Measure Start Year]]+0.5),"")</f>
        <v/>
      </c>
      <c r="CD39" s="296" t="str">
        <f ca="1">IFERROR((DeemedDashboard[[#This Row],[Pre EOL leakage tons CO2e]]*OFFSET(GHG_Adder_dollar_per_tonne,0,(DeemedDashboard[[#This Row],[Measure Start Year]]-DY),1,1))/(1+WACC)^(-0.5),"")</f>
        <v/>
      </c>
      <c r="CE3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39" s="296" t="str">
        <f ca="1">IFERROR(DeemedDashboard[[#This Row],[Msr NPV Cost of Annual Leakage]]/(1+ACC_Inflation_Rate)^(DeemedDashboard[[#This Row],[Measure Start Year]]-DY),"")</f>
        <v/>
      </c>
      <c r="CG39" s="296" t="str">
        <f ca="1">IFERROR(DeemedDashboard[[#This Row],[Std NPV Cost of Annual Leakage]]/(1+ACC_Inflation_Rate)^(DeemedDashboard[[#This Row],[Measure Start Year]]-DY),"")</f>
        <v/>
      </c>
      <c r="CH39" s="296" t="str">
        <f>IFERROR(IF(ISBLANK(DeemedDashboard[[#This Row],[MeasAppType]]),NA(),IF(DeemedDashboard[[#This Row],[MeasAppType]]=const_AR,DeemedDashboard[[#This Row],[Pre NPV Cost of Annual Leakage]]/(1+ACC_Inflation_Rate)^(DeemedDashboard[[#This Row],[Measure Start Year]]-DY),"")),"")</f>
        <v/>
      </c>
      <c r="CI39" s="296" t="str">
        <f>IFERROR(IF(ISBLANK(DeemedDashboard[[#This Row],[MeasAppType]]),NA(),IF(DeemedDashboard[[#This Row],[MeasAppType]]=const_AR,DeemedDashboard[[#This Row],[Ext NPV Cost of Annual Leakage]]/(1+ACC_Inflation_Rate)^(DeemedDashboard[[#This Row],[Measure Start Year]]-DY),"")),"")</f>
        <v/>
      </c>
      <c r="CJ39" s="296" t="str">
        <f ca="1">IFERROR((DeemedDashboard[[#This Row],[Msr % of device lifetime during measure years]]+DeemedDashboard[[#This Row],[Msr % of device lifetime retired early]])*DeemedDashboard[[#This Row],[Msr NPV Cost of EOL Leakage]]/(1+ACC_Inflation_Rate)^(DeemedDashboard[[#This Row],[Measure Start Year]]-DY),"")</f>
        <v/>
      </c>
      <c r="CK39" s="296" t="str">
        <f ca="1">IFERROR((DeemedDashboard[[#This Row],[Std % of device lifetime during measure years]]+DeemedDashboard[[#This Row],[Std % of device lifetime retired early]])*DeemedDashboard[[#This Row],[Std NPV Cost of EOL Leakage]]/(1+ACC_Inflation_Rate)^(DeemedDashboard[[#This Row],[Measure Start Year]]-DY),"")</f>
        <v/>
      </c>
      <c r="CL3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3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3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3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39" s="299" t="str">
        <f ca="1">IFERROR(DeemedDashboard[[#This Row],[Counter-factual total 
NPV cost]]-DeemedDashboard[[#This Row],[Measure total 
NPV cost]],"")</f>
        <v/>
      </c>
      <c r="CQ39" s="299" t="str">
        <f>IF(ISBLANK(DeemedDashboard[[#This Row],[MeasAppType]]),"",DeemedDashboard[[#This Row],[Refrigerant
NPV costs
avoided]]&gt;0)</f>
        <v/>
      </c>
      <c r="CR39" s="299" t="str">
        <f ca="1">IFERROR(DeemedDashboard[[#This Row],[Msr Adj NPV Cost of Annual Leakage]]+DeemedDashboard[[#This Row],[Msr Adj NPV Cost of EOL Leakage]],"")</f>
        <v/>
      </c>
      <c r="CS39" s="299" t="str">
        <f ca="1">IFERROR(DeemedDashboard[[#This Row],[Std Adj NPV Cost of Annual Leakage]]+DeemedDashboard[[#This Row],[Std Adj NPV Cost of EOL Leakage]],"")</f>
        <v/>
      </c>
      <c r="CT39" s="299" t="str">
        <f>IFERROR(IF((DeemedDashboard[[#This Row],[Pre Adj NPV Cost of Annual Leakage]]+DeemedDashboard[[#This Row],[Pre Adj NPV Cost of EOL Leakage]])=0,"",DeemedDashboard[[#This Row],[Pre Adj NPV Cost of Annual Leakage]]+DeemedDashboard[[#This Row],[Pre Adj NPV Cost of EOL Leakage]]),"")</f>
        <v/>
      </c>
      <c r="CU39" s="299" t="str">
        <f>IFERROR(IF((DeemedDashboard[[#This Row],[Ext Adj NPV Cost of Annual Leakage]]+DeemedDashboard[[#This Row],[Ext Adj NPV Cost of EOL Leakage]])=0,"",DeemedDashboard[[#This Row],[Ext Adj NPV Cost of Annual Leakage]]+DeemedDashboard[[#This Row],[Ext Adj NPV Cost of EOL Leakage]]),"")</f>
        <v/>
      </c>
      <c r="CV39" s="299" t="str">
        <f>IFERROR(IF(DeemedDashboard[[#This Row],[Is Avoided Net Cost &gt;0?]],"",-DeemedDashboard[[#This Row],[Refrigerant
NPV costs
avoided]]),"")</f>
        <v/>
      </c>
      <c r="CW39" s="299" t="str">
        <f>IFERROR(IF(DeemedDashboard[[#This Row],[Is Avoided Net Cost &gt;0?]],DeemedDashboard[[#This Row],[Refrigerant
NPV costs
avoided]],""),"")</f>
        <v/>
      </c>
      <c r="CX39" s="391">
        <f ca="1">IFERROR(MATCH(DeemedDashboard[[#This Row],[TechGroup and NormUnit]],TechGroup_and_NormUnit,0),1)</f>
        <v>1</v>
      </c>
      <c r="CY39" s="391" cm="1">
        <f t="array" aca="1" ref="CY39" ca="1">IFERROR(INDEX(TGRows,DeemedDashboard[[#This Row],[TGIndex]]),"")</f>
        <v>2</v>
      </c>
      <c r="CZ39" s="391">
        <f ca="1">IF(DeemedDashboard[[#This Row],[MeasAppType]]=const_AR,DeemedDashboard[[#This Row],[TGRows]],DeemedDashboard[[#This Row],[TGRows]]+1)</f>
        <v>3</v>
      </c>
      <c r="DA39" s="391" t="str">
        <f>IF(ISBLANK(DeemedDashboard[[#This Row],[MeasAppType]]),"",IF(DeemedDashboard[[#This Row],[Index]]=User_Specified_Refrigerant[[#This Row],[Index]],"OK","ERROR"))</f>
        <v/>
      </c>
    </row>
    <row r="40" spans="1:105" s="320" customFormat="1" x14ac:dyDescent="0.25">
      <c r="A40" s="297">
        <f>ROW(DeemedDashboard[[#This Row],[Index]])-ROW(DeemedDashboard[[#Headers],[Index]])</f>
        <v>31</v>
      </c>
      <c r="B40" s="298"/>
      <c r="C40" s="321"/>
      <c r="D40" s="403"/>
      <c r="E40" s="403"/>
      <c r="F40" s="403"/>
      <c r="G40" s="403"/>
      <c r="H40" s="366"/>
      <c r="I40" s="339"/>
      <c r="J40" s="339"/>
      <c r="K40" s="339"/>
      <c r="L40" s="322"/>
      <c r="M40" s="322"/>
      <c r="N40" s="322"/>
      <c r="O4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0" s="582" t="str" cm="1">
        <f t="array" ref="R40">IFERROR(IF(DeemedDashboard[[#This Row],[Msr device type]]=const_device_nonrefrig,0,INDEX(_xlfn.SWITCH($E$4,const_20_yr,GWP_Values_20_year_AR4,const_100_yr,GWP_Values_100_year_AR4),MATCH(DeemedDashboard[[#This Row],[Msr refrigerant Type]],RefrigDropdownList,0))),"")</f>
        <v/>
      </c>
      <c r="S40" s="582" t="str" cm="1">
        <f t="array" ref="S40">IFERROR(IF(DeemedDashboard[[#This Row],[Std device type]]=const_device_nonrefrig,0,INDEX(_xlfn.SWITCH($E$4,const_20_yr,GWP_Values_20_year_AR4,const_100_yr,GWP_Values_100_year_AR4),MATCH(DeemedDashboard[[#This Row],[Std refrigerant Type]],RefrigDropdownList,0))),"")</f>
        <v/>
      </c>
      <c r="T40" s="582" t="str" cm="1">
        <f t="array" ref="T40">IFERROR(IF(DeemedDashboard[[#This Row],[Pre/Ext device type]]=const_device_nonrefrig,0,INDEX(_xlfn.SWITCH($E$4,const_20_yr,GWP_Values_20_year_AR4,const_100_yr,GWP_Values_100_year_AR4),MATCH(DeemedDashboard[[#This Row],[Pre/Ext refrigerant Type]],RefrigDropdownList,0))),"")</f>
        <v/>
      </c>
      <c r="U4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0" s="326" t="str">
        <f>IFERROR(IF(DeemedDashboard[[#This Row],[Msr device type]]=const_userspec,IF(ISBLANK(User_Specified_Refrigerant[[#This Row],[Msr t_EOL]]),"",User_Specified_Refrigerant[[#This Row],[Msr t_EOL]]),INDEX(TechGroup_NormUnit_Table[t_EOL],MATCH(DeemedDashboard[[#This Row],[Msr device type]],DropdownRefrigTech,0))),"")</f>
        <v/>
      </c>
      <c r="AB40" s="326" t="str">
        <f>IFERROR(IF(DeemedDashboard[[#This Row],[Std device type]]=const_userspec,IF(ISBLANK(User_Specified_Refrigerant[[#This Row],[Std t_EOL]]),"",User_Specified_Refrigerant[[#This Row],[Std t_EOL]]),INDEX(TechGroup_NormUnit_Table[t_EOL],MATCH(DeemedDashboard[[#This Row],[Std device type]],DropdownRefrigTech,0))),"")</f>
        <v/>
      </c>
      <c r="AC4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0" s="395" t="str">
        <f>IF(ISBLANK(DeemedDashboard[[#This Row],[MeasAppType]]),"",$E$2)</f>
        <v/>
      </c>
      <c r="AE40" s="395" t="str">
        <f>IFERROR(IF(ISBLANK(DeemedDashboard[[#This Row],[MeasAppType]]),NA(),DeemedDashboard[[#This Row],[Measure Start Year]]+DeemedDashboard[[#This Row],[Msr EUL rounded]]-1),"")</f>
        <v/>
      </c>
      <c r="AF40" s="323" t="str">
        <f>IF(ISBLANK(DeemedDashboard[[#This Row],[Measure New Device EUL]]),"",ROUND(DeemedDashboard[[#This Row],[Measure New Device EUL]],0))</f>
        <v/>
      </c>
      <c r="AG40" s="323" t="str">
        <f>IF(ISBLANK(DeemedDashboard[[#This Row],[Counterfactual New Device EUL]]),"",ROUND(DeemedDashboard[[#This Row],[Counterfactual New Device EUL]],0))</f>
        <v/>
      </c>
      <c r="AH40" s="323" t="str">
        <f>IF(ISBLANK(DeemedDashboard[[#This Row],[Existing Device EUL]]),"",ROUND(DeemedDashboard[[#This Row],[Existing Device EUL]],0))</f>
        <v/>
      </c>
      <c r="AI40" s="323" t="str">
        <f>IF(ISBLANK(DeemedDashboard[[#This Row],[Existing Device RUL or AR First Baseline Life]]),"",ROUND(DeemedDashboard[[#This Row],[Existing Device RUL or AR First Baseline Life]],0))</f>
        <v/>
      </c>
      <c r="AJ40" s="327" t="str">
        <f>DeemedDashboard[[#This Row],[Measure Start Year]]</f>
        <v/>
      </c>
      <c r="AK40" s="327" t="str">
        <f>IF(DeemedDashboard[[#This Row],[MeasAppType]]&lt;&gt;const_AR,DeemedDashboard[[#This Row],[Measure Start Year]],DeemedDashboard[[#This Row],[Ext Device Retire-ment Year]]+1)</f>
        <v/>
      </c>
      <c r="AL40" s="327" t="str">
        <f>IFERROR(IF(DeemedDashboard[[#This Row],[MeasAppType]]=const_AR,DeemedDashboard[[#This Row],[Measure Start Year]]-(DeemedDashboard[[#This Row],[Existing Device EUL]]-DeemedDashboard[[#This Row],[Existing Device RUL or AR First Baseline Life]]),NA()),"")</f>
        <v/>
      </c>
      <c r="AM40" s="327" t="str">
        <f>DeemedDashboard[[#This Row],[Pre Device Install Year]]</f>
        <v/>
      </c>
      <c r="AN40" s="327" t="str">
        <f>IFERROR(IF(ISBLANK(DeemedDashboard[[#This Row],[MeasAppType]]),NA(),DeemedDashboard[[#This Row],[Measure Start Year]]+DeemedDashboard[[#This Row],[Msr EUL rounded]]-1),"")</f>
        <v/>
      </c>
      <c r="AO40" s="327" t="str">
        <f>IFERROR(DeemedDashboard[[#This Row],[Std Device Install Year]]+DeemedDashboard[[#This Row],[Counterfactual New Device EUL]]-1,"")</f>
        <v/>
      </c>
      <c r="AP40" s="327" t="str">
        <f>IFERROR(IF(AND(DeemedDashboard[[#This Row],[MeasAppType]]=const_AR,DeemedDashboard[[#This Row],[Measure Start Year]]&lt;(DeemedDashboard[[#This Row],[Pre Device Install Year]]+DeemedDashboard[[#This Row],[Existing Device EUL]]-1)),DeemedDashboard[[#This Row],[Measure Start Year]]-1,NA()),"")</f>
        <v/>
      </c>
      <c r="AQ40" s="327" t="str">
        <f>IFERROR(IF(DeemedDashboard[[#This Row],[MeasAppType]]=const_AR,DeemedDashboard[[#This Row],[Ext Device Install Year]]+DeemedDashboard[[#This Row],[Existing Device EUL]]-1,NA()),"")</f>
        <v/>
      </c>
      <c r="AR40" s="327" t="str">
        <f>IFERROR(IF(ISBLANK(DeemedDashboard[[#This Row],[MeasAppType]]),NA(),0),"")</f>
        <v/>
      </c>
      <c r="AS40" s="327" t="str">
        <f>IFERROR(IF(ISBLANK(DeemedDashboard[[#This Row],[MeasAppType]]),NA(),0),"")</f>
        <v/>
      </c>
      <c r="AT40" s="327" t="str">
        <f>IF(ISBLANK(DeemedDashboard[[#This Row],[MeasAppType]]),"",IF(DeemedDashboard[[#This Row],[MeasAppType]]&lt;&gt;const_AR,"",(DeemedDashboard[[#This Row],[Pre Device Install Year]]+DeemedDashboard[[#This Row],[Existing Device EUL]]-1)-DeemedDashboard[[#This Row],[Pre Device Retire-ment Year]]))</f>
        <v/>
      </c>
      <c r="AU40" s="327" t="str">
        <f>IF(ISBLANK(DeemedDashboard[[#This Row],[MeasAppType]]),"",IF(DeemedDashboard[[#This Row],[MeasAppType]]=const_AR,0,""))</f>
        <v/>
      </c>
      <c r="AV40" s="328" t="str">
        <f>IF(ISBLANK(DeemedDashboard[[#This Row],[MeasAppType]]),"",MAX((1+MIN(DeemedDashboard[[#This Row],[Msr Device Retire-ment Year]],DeemedDashboard[[#This Row],[Measure End 
Year]])-MAX(DeemedDashboard[[#This Row],[Msr Device Install Year]],DeemedDashboard[[#This Row],[Measure Start Year]])),0))</f>
        <v/>
      </c>
      <c r="AW40" s="328" t="str">
        <f>IF(ISBLANK(DeemedDashboard[[#This Row],[MeasAppType]]),"",MAX((1+MIN(DeemedDashboard[[#This Row],[Std Device Retire-ment Year]],DeemedDashboard[[#This Row],[Measure End 
Year]])-MAX(DeemedDashboard[[#This Row],[Std Device Install Year]],DeemedDashboard[[#This Row],[Measure Start Year]])),0))</f>
        <v/>
      </c>
      <c r="AX4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0"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0" s="329" t="str">
        <f>IF(ISBLANK(DeemedDashboard[[#This Row],[MeasAppType]]),"",IF(DeemedDashboard[[#This Row],[Msr Device Years Over-lapping with Measure Years]]=0,0,DeemedDashboard[[#This Row],[Msr Device Years Over-lapping with Measure Years]]/DeemedDashboard[[#This Row],[Msr EUL rounded]]))</f>
        <v/>
      </c>
      <c r="BA40" s="329" t="str">
        <f>IF(ISBLANK(DeemedDashboard[[#This Row],[MeasAppType]]),"",IF(DeemedDashboard[[#This Row],[Std Device Years Over-lapping with Measure Years]]=0,0,DeemedDashboard[[#This Row],[Std Device Years Over-lapping with Measure Years]]/DeemedDashboard[[#This Row],[Counterfactual New Device EUL]]))</f>
        <v/>
      </c>
      <c r="BB40" s="329" t="str">
        <f>IF(ISBLANK(DeemedDashboard[[#This Row],[MeasAppType]]),"",IFERROR(IF(DeemedDashboard[[#This Row],[Pre Device Years Over-lapping with Measure Years]]=0,0,DeemedDashboard[[#This Row],[Pre Device Years Over-lapping with Measure Years]]/DeemedDashboard[[#This Row],[Existing Device EUL]]),""))</f>
        <v/>
      </c>
      <c r="BC40" s="331" t="str">
        <f>IFERROR(IF(DeemedDashboard[[#This Row],[Ext Device Years Over-lapping with Measure Years]]=0,0,DeemedDashboard[[#This Row],[Ext Device Years Over-lapping with Measure Years]]/DeemedDashboard[[#This Row],[Existing Device EUL]]),"")</f>
        <v/>
      </c>
      <c r="BD40" s="329" t="str">
        <f>IFERROR(IF(DeemedDashboard[[#This Row],[Msr Number of Years device retired early]]=0,0,DeemedDashboard[[#This Row],[Msr Number of Years device retired early]]/DeemedDashboard[[#This Row],[Msr EUL rounded]]),"")</f>
        <v/>
      </c>
      <c r="BE40" s="329" t="str">
        <f>IFERROR(IF(DeemedDashboard[[#This Row],[Std Number of Years device retired early]]=0,0,DeemedDashboard[[#This Row],[Std Number of Years device retired early]]/DeemedDashboard[[#This Row],[Msr EUL rounded]]),"")</f>
        <v/>
      </c>
      <c r="BF40" s="329" t="str">
        <f>IFERROR(IF(DeemedDashboard[[#This Row],[MeasAppType]]&lt;&gt;const_AR,"",IF(DeemedDashboard[[#This Row],[Pre Number of Years device retired early]]=0,0,DeemedDashboard[[#This Row],[Pre Number of Years device retired early]]/DeemedDashboard[[#This Row],[Existing Device EUL]])),"")</f>
        <v/>
      </c>
      <c r="BG40" s="331" t="str">
        <f>IFERROR(IF(DeemedDashboard[[#This Row],[Ext Number of Years device retired early]]=0,0,DeemedDashboard[[#This Row],[Ext Number of Years device retired early]]/DeemedDashboard[[#This Row],[Existing Device EUL]]),"")</f>
        <v/>
      </c>
      <c r="BH40" s="325" t="str">
        <f>IFERROR(1-DeemedDashboard[[#This Row],[Msr annual refrigerant leakage %]]*DeemedDashboard[[#This Row],[Msr t_EOL]],"")</f>
        <v/>
      </c>
      <c r="BI40" s="325" t="str">
        <f>IFERROR(1-DeemedDashboard[[#This Row],[Std annual refrigerant leakage %]]*DeemedDashboard[[#This Row],[Std t_EOL]],"")</f>
        <v/>
      </c>
      <c r="BJ40" s="325" t="str">
        <f>IFERROR(1-DeemedDashboard[[#This Row],[Pre/Ext annual refrigerant leakage %]]*DeemedDashboard[[#This Row],[Pre/Ext t_EOL]],"")</f>
        <v/>
      </c>
      <c r="BK40" s="325" t="str">
        <f>IFERROR(1-DeemedDashboard[[#This Row],[Pre/Ext annual refrigerant leakage %]]*DeemedDashboard[[#This Row],[Pre/Ext t_EOL]],"")</f>
        <v/>
      </c>
      <c r="BL40" s="325" t="str">
        <f>IFERROR(DeemedDashboard[[#This Row],[Msr charging remaining (%)]]*DeemedDashboard[[#This Row],[Msr gross EOL refrigerant leakage %]],"")</f>
        <v/>
      </c>
      <c r="BM40" s="325" t="str">
        <f>IFERROR(DeemedDashboard[[#This Row],[Std charging remaining (%)]]*DeemedDashboard[[#This Row],[Std gross EOL refrigerant leakage %]],"")</f>
        <v/>
      </c>
      <c r="BN40" s="325" t="str">
        <f>IFERROR(DeemedDashboard[[#This Row],[Pre charging remaining (%)]]*DeemedDashboard[[#This Row],[Pre/Ext gross EOL refrigerant leakage %]],"")</f>
        <v/>
      </c>
      <c r="BO40" s="325" t="str">
        <f>IFERROR(DeemedDashboard[[#This Row],[Ext charging remaining (%)]]*DeemedDashboard[[#This Row],[Pre/Ext gross EOL refrigerant leakage %]],"")</f>
        <v/>
      </c>
      <c r="BP40" s="330" t="str">
        <f>IFERROR((DeemedDashboard[[#This Row],[Msr refrigerant charge (lb) per NormUnit]]/pounds_per_metric_ton)*DeemedDashboard[[#This Row],[Msr annual refrigerant leakage %]]*DeemedDashboard[[#This Row],[Msr GWP]],"")</f>
        <v/>
      </c>
      <c r="BQ40" s="330" t="str">
        <f>IFERROR((DeemedDashboard[[#This Row],[Std refrigerant charge (lb) per NormUnit]]/pounds_per_metric_ton)*DeemedDashboard[[#This Row],[Std annual refrigerant leakage %]]*DeemedDashboard[[#This Row],[Std GWP]],"")</f>
        <v/>
      </c>
      <c r="BR40" s="330" t="str">
        <f>IF(DeemedDashboard[[#This Row],[MeasAppType]]=const_AR,(DeemedDashboard[[#This Row],[Pre/Ext refrigerant charge (lb) per NormUnit]]/pounds_per_metric_ton)*DeemedDashboard[[#This Row],[Pre/Ext annual refrigerant leakage %]]*DeemedDashboard[[#This Row],[Pre/Ext GWP]],"")</f>
        <v/>
      </c>
      <c r="BS40" s="330" t="str">
        <f>IF(DeemedDashboard[[#This Row],[MeasAppType]]=const_AR,(DeemedDashboard[[#This Row],[Pre/Ext refrigerant charge (lb) per NormUnit]]/pounds_per_metric_ton)*DeemedDashboard[[#This Row],[Pre/Ext annual refrigerant leakage %]]*DeemedDashboard[[#This Row],[Pre/Ext GWP]],"")</f>
        <v/>
      </c>
      <c r="BT40" s="330" t="str">
        <f>IFERROR((DeemedDashboard[[#This Row],[Msr refrigerant charge (lb) per NormUnit]]/pounds_per_metric_ton)*DeemedDashboard[[#This Row],[Msr net EOL refrigerant leakage (%)]]*DeemedDashboard[[#This Row],[Msr GWP]],"")</f>
        <v/>
      </c>
      <c r="BU40" s="330" t="str">
        <f>IFERROR((DeemedDashboard[[#This Row],[Std refrigerant charge (lb) per NormUnit]]/pounds_per_metric_ton)*DeemedDashboard[[#This Row],[Std net EOL refrigerant leakage (%)]]*DeemedDashboard[[#This Row],[Std GWP]],"")</f>
        <v/>
      </c>
      <c r="BV40" s="330" t="str">
        <f>IFERROR((DeemedDashboard[[#This Row],[Pre/Ext refrigerant charge (lb) per NormUnit]]/pounds_per_metric_ton)*DeemedDashboard[[#This Row],[Pre net EOL refrigerant leakage (%)]]*DeemedDashboard[[#This Row],[Pre/Ext GWP]],"")</f>
        <v/>
      </c>
      <c r="BW40" s="330" t="str">
        <f>IFERROR((DeemedDashboard[[#This Row],[Pre/Ext refrigerant charge (lb) per NormUnit]]/pounds_per_metric_ton)*DeemedDashboard[[#This Row],[Ext net EOL refrigerant leakage (%)]]*DeemedDashboard[[#This Row],[Pre/Ext GWP]],"")</f>
        <v/>
      </c>
      <c r="BX40" s="299" t="str" cm="1">
        <f t="array" aca="1" ref="BX4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0" s="305" t="str" cm="1">
        <f t="array" aca="1" ref="BY4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0" s="299" t="str">
        <f>IFERROR(IF(OR(DeemedDashboard[[#This Row],[MeasAppType]]&lt;&gt;const_AR,ISBLANK(DeemedDashboard[[#This Row],[MeasAppType]])),NA(),0),"")</f>
        <v/>
      </c>
      <c r="CA40" s="305" t="str" cm="1">
        <f t="array" aca="1" ref="CA4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0" s="296" t="str">
        <f ca="1">IFERROR((DeemedDashboard[[#This Row],[Msr EOL leakage tons CO2e]]*OFFSET(GHG_Adder_dollar_per_tonne,0,(DeemedDashboard[[#This Row],[Msr Device Retire-ment Year]]-DY+1),1,1))/(1+WACC)^(DeemedDashboard[[#This Row],[Msr Device Retire-ment Year]]-DeemedDashboard[[#This Row],[Measure Start Year]]+0.5),"")</f>
        <v/>
      </c>
      <c r="CC40" s="296" t="str">
        <f ca="1">IFERROR((DeemedDashboard[[#This Row],[Std EOL leakage tons CO2e]]*OFFSET(GHG_Adder_dollar_per_tonne,0,(DeemedDashboard[[#This Row],[Std Device Retire-ment Year]]-DY+1),1,1))/(1+WACC)^(DeemedDashboard[[#This Row],[Std Device Retire-ment Year]]-DeemedDashboard[[#This Row],[Measure Start Year]]+0.5),"")</f>
        <v/>
      </c>
      <c r="CD40" s="296" t="str">
        <f ca="1">IFERROR((DeemedDashboard[[#This Row],[Pre EOL leakage tons CO2e]]*OFFSET(GHG_Adder_dollar_per_tonne,0,(DeemedDashboard[[#This Row],[Measure Start Year]]-DY),1,1))/(1+WACC)^(-0.5),"")</f>
        <v/>
      </c>
      <c r="CE4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0" s="296" t="str">
        <f ca="1">IFERROR(DeemedDashboard[[#This Row],[Msr NPV Cost of Annual Leakage]]/(1+ACC_Inflation_Rate)^(DeemedDashboard[[#This Row],[Measure Start Year]]-DY),"")</f>
        <v/>
      </c>
      <c r="CG40" s="296" t="str">
        <f ca="1">IFERROR(DeemedDashboard[[#This Row],[Std NPV Cost of Annual Leakage]]/(1+ACC_Inflation_Rate)^(DeemedDashboard[[#This Row],[Measure Start Year]]-DY),"")</f>
        <v/>
      </c>
      <c r="CH40" s="296" t="str">
        <f>IFERROR(IF(ISBLANK(DeemedDashboard[[#This Row],[MeasAppType]]),NA(),IF(DeemedDashboard[[#This Row],[MeasAppType]]=const_AR,DeemedDashboard[[#This Row],[Pre NPV Cost of Annual Leakage]]/(1+ACC_Inflation_Rate)^(DeemedDashboard[[#This Row],[Measure Start Year]]-DY),"")),"")</f>
        <v/>
      </c>
      <c r="CI40" s="296" t="str">
        <f>IFERROR(IF(ISBLANK(DeemedDashboard[[#This Row],[MeasAppType]]),NA(),IF(DeemedDashboard[[#This Row],[MeasAppType]]=const_AR,DeemedDashboard[[#This Row],[Ext NPV Cost of Annual Leakage]]/(1+ACC_Inflation_Rate)^(DeemedDashboard[[#This Row],[Measure Start Year]]-DY),"")),"")</f>
        <v/>
      </c>
      <c r="CJ40" s="296" t="str">
        <f ca="1">IFERROR((DeemedDashboard[[#This Row],[Msr % of device lifetime during measure years]]+DeemedDashboard[[#This Row],[Msr % of device lifetime retired early]])*DeemedDashboard[[#This Row],[Msr NPV Cost of EOL Leakage]]/(1+ACC_Inflation_Rate)^(DeemedDashboard[[#This Row],[Measure Start Year]]-DY),"")</f>
        <v/>
      </c>
      <c r="CK40" s="296" t="str">
        <f ca="1">IFERROR((DeemedDashboard[[#This Row],[Std % of device lifetime during measure years]]+DeemedDashboard[[#This Row],[Std % of device lifetime retired early]])*DeemedDashboard[[#This Row],[Std NPV Cost of EOL Leakage]]/(1+ACC_Inflation_Rate)^(DeemedDashboard[[#This Row],[Measure Start Year]]-DY),"")</f>
        <v/>
      </c>
      <c r="CL4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0" s="299" t="str">
        <f ca="1">IFERROR(DeemedDashboard[[#This Row],[Counter-factual total 
NPV cost]]-DeemedDashboard[[#This Row],[Measure total 
NPV cost]],"")</f>
        <v/>
      </c>
      <c r="CQ40" s="299" t="str">
        <f>IF(ISBLANK(DeemedDashboard[[#This Row],[MeasAppType]]),"",DeemedDashboard[[#This Row],[Refrigerant
NPV costs
avoided]]&gt;0)</f>
        <v/>
      </c>
      <c r="CR40" s="299" t="str">
        <f ca="1">IFERROR(DeemedDashboard[[#This Row],[Msr Adj NPV Cost of Annual Leakage]]+DeemedDashboard[[#This Row],[Msr Adj NPV Cost of EOL Leakage]],"")</f>
        <v/>
      </c>
      <c r="CS40" s="299" t="str">
        <f ca="1">IFERROR(DeemedDashboard[[#This Row],[Std Adj NPV Cost of Annual Leakage]]+DeemedDashboard[[#This Row],[Std Adj NPV Cost of EOL Leakage]],"")</f>
        <v/>
      </c>
      <c r="CT40" s="299" t="str">
        <f>IFERROR(IF((DeemedDashboard[[#This Row],[Pre Adj NPV Cost of Annual Leakage]]+DeemedDashboard[[#This Row],[Pre Adj NPV Cost of EOL Leakage]])=0,"",DeemedDashboard[[#This Row],[Pre Adj NPV Cost of Annual Leakage]]+DeemedDashboard[[#This Row],[Pre Adj NPV Cost of EOL Leakage]]),"")</f>
        <v/>
      </c>
      <c r="CU40" s="299" t="str">
        <f>IFERROR(IF((DeemedDashboard[[#This Row],[Ext Adj NPV Cost of Annual Leakage]]+DeemedDashboard[[#This Row],[Ext Adj NPV Cost of EOL Leakage]])=0,"",DeemedDashboard[[#This Row],[Ext Adj NPV Cost of Annual Leakage]]+DeemedDashboard[[#This Row],[Ext Adj NPV Cost of EOL Leakage]]),"")</f>
        <v/>
      </c>
      <c r="CV40" s="299" t="str">
        <f>IFERROR(IF(DeemedDashboard[[#This Row],[Is Avoided Net Cost &gt;0?]],"",-DeemedDashboard[[#This Row],[Refrigerant
NPV costs
avoided]]),"")</f>
        <v/>
      </c>
      <c r="CW40" s="299" t="str">
        <f>IFERROR(IF(DeemedDashboard[[#This Row],[Is Avoided Net Cost &gt;0?]],DeemedDashboard[[#This Row],[Refrigerant
NPV costs
avoided]],""),"")</f>
        <v/>
      </c>
      <c r="CX40" s="391">
        <f ca="1">IFERROR(MATCH(DeemedDashboard[[#This Row],[TechGroup and NormUnit]],TechGroup_and_NormUnit,0),1)</f>
        <v>1</v>
      </c>
      <c r="CY40" s="391" cm="1">
        <f t="array" aca="1" ref="CY40" ca="1">IFERROR(INDEX(TGRows,DeemedDashboard[[#This Row],[TGIndex]]),"")</f>
        <v>2</v>
      </c>
      <c r="CZ40" s="391">
        <f ca="1">IF(DeemedDashboard[[#This Row],[MeasAppType]]=const_AR,DeemedDashboard[[#This Row],[TGRows]],DeemedDashboard[[#This Row],[TGRows]]+1)</f>
        <v>3</v>
      </c>
      <c r="DA40" s="391" t="str">
        <f>IF(ISBLANK(DeemedDashboard[[#This Row],[MeasAppType]]),"",IF(DeemedDashboard[[#This Row],[Index]]=User_Specified_Refrigerant[[#This Row],[Index]],"OK","ERROR"))</f>
        <v/>
      </c>
    </row>
    <row r="41" spans="1:105" s="320" customFormat="1" x14ac:dyDescent="0.25">
      <c r="A41" s="297">
        <f>ROW(DeemedDashboard[[#This Row],[Index]])-ROW(DeemedDashboard[[#Headers],[Index]])</f>
        <v>32</v>
      </c>
      <c r="B41" s="298"/>
      <c r="C41" s="321"/>
      <c r="D41" s="403"/>
      <c r="E41" s="403"/>
      <c r="F41" s="403"/>
      <c r="G41" s="403"/>
      <c r="H41" s="366"/>
      <c r="I41" s="339"/>
      <c r="J41" s="339"/>
      <c r="K41" s="339"/>
      <c r="L41" s="322"/>
      <c r="M41" s="322"/>
      <c r="N41" s="322"/>
      <c r="O4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1" s="582" t="str" cm="1">
        <f t="array" ref="R41">IFERROR(IF(DeemedDashboard[[#This Row],[Msr device type]]=const_device_nonrefrig,0,INDEX(_xlfn.SWITCH($E$4,const_20_yr,GWP_Values_20_year_AR4,const_100_yr,GWP_Values_100_year_AR4),MATCH(DeemedDashboard[[#This Row],[Msr refrigerant Type]],RefrigDropdownList,0))),"")</f>
        <v/>
      </c>
      <c r="S41" s="582" t="str" cm="1">
        <f t="array" ref="S41">IFERROR(IF(DeemedDashboard[[#This Row],[Std device type]]=const_device_nonrefrig,0,INDEX(_xlfn.SWITCH($E$4,const_20_yr,GWP_Values_20_year_AR4,const_100_yr,GWP_Values_100_year_AR4),MATCH(DeemedDashboard[[#This Row],[Std refrigerant Type]],RefrigDropdownList,0))),"")</f>
        <v/>
      </c>
      <c r="T41" s="582" t="str" cm="1">
        <f t="array" ref="T41">IFERROR(IF(DeemedDashboard[[#This Row],[Pre/Ext device type]]=const_device_nonrefrig,0,INDEX(_xlfn.SWITCH($E$4,const_20_yr,GWP_Values_20_year_AR4,const_100_yr,GWP_Values_100_year_AR4),MATCH(DeemedDashboard[[#This Row],[Pre/Ext refrigerant Type]],RefrigDropdownList,0))),"")</f>
        <v/>
      </c>
      <c r="U4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1" s="326" t="str">
        <f>IFERROR(IF(DeemedDashboard[[#This Row],[Msr device type]]=const_userspec,IF(ISBLANK(User_Specified_Refrigerant[[#This Row],[Msr t_EOL]]),"",User_Specified_Refrigerant[[#This Row],[Msr t_EOL]]),INDEX(TechGroup_NormUnit_Table[t_EOL],MATCH(DeemedDashboard[[#This Row],[Msr device type]],DropdownRefrigTech,0))),"")</f>
        <v/>
      </c>
      <c r="AB41" s="326" t="str">
        <f>IFERROR(IF(DeemedDashboard[[#This Row],[Std device type]]=const_userspec,IF(ISBLANK(User_Specified_Refrigerant[[#This Row],[Std t_EOL]]),"",User_Specified_Refrigerant[[#This Row],[Std t_EOL]]),INDEX(TechGroup_NormUnit_Table[t_EOL],MATCH(DeemedDashboard[[#This Row],[Std device type]],DropdownRefrigTech,0))),"")</f>
        <v/>
      </c>
      <c r="AC4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1" s="395" t="str">
        <f>IF(ISBLANK(DeemedDashboard[[#This Row],[MeasAppType]]),"",$E$2)</f>
        <v/>
      </c>
      <c r="AE41" s="395" t="str">
        <f>IFERROR(IF(ISBLANK(DeemedDashboard[[#This Row],[MeasAppType]]),NA(),DeemedDashboard[[#This Row],[Measure Start Year]]+DeemedDashboard[[#This Row],[Msr EUL rounded]]-1),"")</f>
        <v/>
      </c>
      <c r="AF41" s="323" t="str">
        <f>IF(ISBLANK(DeemedDashboard[[#This Row],[Measure New Device EUL]]),"",ROUND(DeemedDashboard[[#This Row],[Measure New Device EUL]],0))</f>
        <v/>
      </c>
      <c r="AG41" s="323" t="str">
        <f>IF(ISBLANK(DeemedDashboard[[#This Row],[Counterfactual New Device EUL]]),"",ROUND(DeemedDashboard[[#This Row],[Counterfactual New Device EUL]],0))</f>
        <v/>
      </c>
      <c r="AH41" s="323" t="str">
        <f>IF(ISBLANK(DeemedDashboard[[#This Row],[Existing Device EUL]]),"",ROUND(DeemedDashboard[[#This Row],[Existing Device EUL]],0))</f>
        <v/>
      </c>
      <c r="AI41" s="323" t="str">
        <f>IF(ISBLANK(DeemedDashboard[[#This Row],[Existing Device RUL or AR First Baseline Life]]),"",ROUND(DeemedDashboard[[#This Row],[Existing Device RUL or AR First Baseline Life]],0))</f>
        <v/>
      </c>
      <c r="AJ41" s="327" t="str">
        <f>DeemedDashboard[[#This Row],[Measure Start Year]]</f>
        <v/>
      </c>
      <c r="AK41" s="327" t="str">
        <f>IF(DeemedDashboard[[#This Row],[MeasAppType]]&lt;&gt;const_AR,DeemedDashboard[[#This Row],[Measure Start Year]],DeemedDashboard[[#This Row],[Ext Device Retire-ment Year]]+1)</f>
        <v/>
      </c>
      <c r="AL41" s="327" t="str">
        <f>IFERROR(IF(DeemedDashboard[[#This Row],[MeasAppType]]=const_AR,DeemedDashboard[[#This Row],[Measure Start Year]]-(DeemedDashboard[[#This Row],[Existing Device EUL]]-DeemedDashboard[[#This Row],[Existing Device RUL or AR First Baseline Life]]),NA()),"")</f>
        <v/>
      </c>
      <c r="AM41" s="327" t="str">
        <f>DeemedDashboard[[#This Row],[Pre Device Install Year]]</f>
        <v/>
      </c>
      <c r="AN41" s="327" t="str">
        <f>IFERROR(IF(ISBLANK(DeemedDashboard[[#This Row],[MeasAppType]]),NA(),DeemedDashboard[[#This Row],[Measure Start Year]]+DeemedDashboard[[#This Row],[Msr EUL rounded]]-1),"")</f>
        <v/>
      </c>
      <c r="AO41" s="327" t="str">
        <f>IFERROR(DeemedDashboard[[#This Row],[Std Device Install Year]]+DeemedDashboard[[#This Row],[Counterfactual New Device EUL]]-1,"")</f>
        <v/>
      </c>
      <c r="AP41" s="327" t="str">
        <f>IFERROR(IF(AND(DeemedDashboard[[#This Row],[MeasAppType]]=const_AR,DeemedDashboard[[#This Row],[Measure Start Year]]&lt;(DeemedDashboard[[#This Row],[Pre Device Install Year]]+DeemedDashboard[[#This Row],[Existing Device EUL]]-1)),DeemedDashboard[[#This Row],[Measure Start Year]]-1,NA()),"")</f>
        <v/>
      </c>
      <c r="AQ41" s="327" t="str">
        <f>IFERROR(IF(DeemedDashboard[[#This Row],[MeasAppType]]=const_AR,DeemedDashboard[[#This Row],[Ext Device Install Year]]+DeemedDashboard[[#This Row],[Existing Device EUL]]-1,NA()),"")</f>
        <v/>
      </c>
      <c r="AR41" s="327" t="str">
        <f>IFERROR(IF(ISBLANK(DeemedDashboard[[#This Row],[MeasAppType]]),NA(),0),"")</f>
        <v/>
      </c>
      <c r="AS41" s="327" t="str">
        <f>IFERROR(IF(ISBLANK(DeemedDashboard[[#This Row],[MeasAppType]]),NA(),0),"")</f>
        <v/>
      </c>
      <c r="AT41" s="327" t="str">
        <f>IF(ISBLANK(DeemedDashboard[[#This Row],[MeasAppType]]),"",IF(DeemedDashboard[[#This Row],[MeasAppType]]&lt;&gt;const_AR,"",(DeemedDashboard[[#This Row],[Pre Device Install Year]]+DeemedDashboard[[#This Row],[Existing Device EUL]]-1)-DeemedDashboard[[#This Row],[Pre Device Retire-ment Year]]))</f>
        <v/>
      </c>
      <c r="AU41" s="327" t="str">
        <f>IF(ISBLANK(DeemedDashboard[[#This Row],[MeasAppType]]),"",IF(DeemedDashboard[[#This Row],[MeasAppType]]=const_AR,0,""))</f>
        <v/>
      </c>
      <c r="AV41" s="328" t="str">
        <f>IF(ISBLANK(DeemedDashboard[[#This Row],[MeasAppType]]),"",MAX((1+MIN(DeemedDashboard[[#This Row],[Msr Device Retire-ment Year]],DeemedDashboard[[#This Row],[Measure End 
Year]])-MAX(DeemedDashboard[[#This Row],[Msr Device Install Year]],DeemedDashboard[[#This Row],[Measure Start Year]])),0))</f>
        <v/>
      </c>
      <c r="AW41" s="328" t="str">
        <f>IF(ISBLANK(DeemedDashboard[[#This Row],[MeasAppType]]),"",MAX((1+MIN(DeemedDashboard[[#This Row],[Std Device Retire-ment Year]],DeemedDashboard[[#This Row],[Measure End 
Year]])-MAX(DeemedDashboard[[#This Row],[Std Device Install Year]],DeemedDashboard[[#This Row],[Measure Start Year]])),0))</f>
        <v/>
      </c>
      <c r="AX4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1"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1" s="329" t="str">
        <f>IF(ISBLANK(DeemedDashboard[[#This Row],[MeasAppType]]),"",IF(DeemedDashboard[[#This Row],[Msr Device Years Over-lapping with Measure Years]]=0,0,DeemedDashboard[[#This Row],[Msr Device Years Over-lapping with Measure Years]]/DeemedDashboard[[#This Row],[Msr EUL rounded]]))</f>
        <v/>
      </c>
      <c r="BA41" s="329" t="str">
        <f>IF(ISBLANK(DeemedDashboard[[#This Row],[MeasAppType]]),"",IF(DeemedDashboard[[#This Row],[Std Device Years Over-lapping with Measure Years]]=0,0,DeemedDashboard[[#This Row],[Std Device Years Over-lapping with Measure Years]]/DeemedDashboard[[#This Row],[Counterfactual New Device EUL]]))</f>
        <v/>
      </c>
      <c r="BB41" s="329" t="str">
        <f>IF(ISBLANK(DeemedDashboard[[#This Row],[MeasAppType]]),"",IFERROR(IF(DeemedDashboard[[#This Row],[Pre Device Years Over-lapping with Measure Years]]=0,0,DeemedDashboard[[#This Row],[Pre Device Years Over-lapping with Measure Years]]/DeemedDashboard[[#This Row],[Existing Device EUL]]),""))</f>
        <v/>
      </c>
      <c r="BC41" s="331" t="str">
        <f>IFERROR(IF(DeemedDashboard[[#This Row],[Ext Device Years Over-lapping with Measure Years]]=0,0,DeemedDashboard[[#This Row],[Ext Device Years Over-lapping with Measure Years]]/DeemedDashboard[[#This Row],[Existing Device EUL]]),"")</f>
        <v/>
      </c>
      <c r="BD41" s="329" t="str">
        <f>IFERROR(IF(DeemedDashboard[[#This Row],[Msr Number of Years device retired early]]=0,0,DeemedDashboard[[#This Row],[Msr Number of Years device retired early]]/DeemedDashboard[[#This Row],[Msr EUL rounded]]),"")</f>
        <v/>
      </c>
      <c r="BE41" s="329" t="str">
        <f>IFERROR(IF(DeemedDashboard[[#This Row],[Std Number of Years device retired early]]=0,0,DeemedDashboard[[#This Row],[Std Number of Years device retired early]]/DeemedDashboard[[#This Row],[Msr EUL rounded]]),"")</f>
        <v/>
      </c>
      <c r="BF41" s="329" t="str">
        <f>IFERROR(IF(DeemedDashboard[[#This Row],[MeasAppType]]&lt;&gt;const_AR,"",IF(DeemedDashboard[[#This Row],[Pre Number of Years device retired early]]=0,0,DeemedDashboard[[#This Row],[Pre Number of Years device retired early]]/DeemedDashboard[[#This Row],[Existing Device EUL]])),"")</f>
        <v/>
      </c>
      <c r="BG41" s="331" t="str">
        <f>IFERROR(IF(DeemedDashboard[[#This Row],[Ext Number of Years device retired early]]=0,0,DeemedDashboard[[#This Row],[Ext Number of Years device retired early]]/DeemedDashboard[[#This Row],[Existing Device EUL]]),"")</f>
        <v/>
      </c>
      <c r="BH41" s="325" t="str">
        <f>IFERROR(1-DeemedDashboard[[#This Row],[Msr annual refrigerant leakage %]]*DeemedDashboard[[#This Row],[Msr t_EOL]],"")</f>
        <v/>
      </c>
      <c r="BI41" s="325" t="str">
        <f>IFERROR(1-DeemedDashboard[[#This Row],[Std annual refrigerant leakage %]]*DeemedDashboard[[#This Row],[Std t_EOL]],"")</f>
        <v/>
      </c>
      <c r="BJ41" s="325" t="str">
        <f>IFERROR(1-DeemedDashboard[[#This Row],[Pre/Ext annual refrigerant leakage %]]*DeemedDashboard[[#This Row],[Pre/Ext t_EOL]],"")</f>
        <v/>
      </c>
      <c r="BK41" s="325" t="str">
        <f>IFERROR(1-DeemedDashboard[[#This Row],[Pre/Ext annual refrigerant leakage %]]*DeemedDashboard[[#This Row],[Pre/Ext t_EOL]],"")</f>
        <v/>
      </c>
      <c r="BL41" s="325" t="str">
        <f>IFERROR(DeemedDashboard[[#This Row],[Msr charging remaining (%)]]*DeemedDashboard[[#This Row],[Msr gross EOL refrigerant leakage %]],"")</f>
        <v/>
      </c>
      <c r="BM41" s="325" t="str">
        <f>IFERROR(DeemedDashboard[[#This Row],[Std charging remaining (%)]]*DeemedDashboard[[#This Row],[Std gross EOL refrigerant leakage %]],"")</f>
        <v/>
      </c>
      <c r="BN41" s="325" t="str">
        <f>IFERROR(DeemedDashboard[[#This Row],[Pre charging remaining (%)]]*DeemedDashboard[[#This Row],[Pre/Ext gross EOL refrigerant leakage %]],"")</f>
        <v/>
      </c>
      <c r="BO41" s="325" t="str">
        <f>IFERROR(DeemedDashboard[[#This Row],[Ext charging remaining (%)]]*DeemedDashboard[[#This Row],[Pre/Ext gross EOL refrigerant leakage %]],"")</f>
        <v/>
      </c>
      <c r="BP41" s="330" t="str">
        <f>IFERROR((DeemedDashboard[[#This Row],[Msr refrigerant charge (lb) per NormUnit]]/pounds_per_metric_ton)*DeemedDashboard[[#This Row],[Msr annual refrigerant leakage %]]*DeemedDashboard[[#This Row],[Msr GWP]],"")</f>
        <v/>
      </c>
      <c r="BQ41" s="330" t="str">
        <f>IFERROR((DeemedDashboard[[#This Row],[Std refrigerant charge (lb) per NormUnit]]/pounds_per_metric_ton)*DeemedDashboard[[#This Row],[Std annual refrigerant leakage %]]*DeemedDashboard[[#This Row],[Std GWP]],"")</f>
        <v/>
      </c>
      <c r="BR41" s="330" t="str">
        <f>IF(DeemedDashboard[[#This Row],[MeasAppType]]=const_AR,(DeemedDashboard[[#This Row],[Pre/Ext refrigerant charge (lb) per NormUnit]]/pounds_per_metric_ton)*DeemedDashboard[[#This Row],[Pre/Ext annual refrigerant leakage %]]*DeemedDashboard[[#This Row],[Pre/Ext GWP]],"")</f>
        <v/>
      </c>
      <c r="BS41" s="330" t="str">
        <f>IF(DeemedDashboard[[#This Row],[MeasAppType]]=const_AR,(DeemedDashboard[[#This Row],[Pre/Ext refrigerant charge (lb) per NormUnit]]/pounds_per_metric_ton)*DeemedDashboard[[#This Row],[Pre/Ext annual refrigerant leakage %]]*DeemedDashboard[[#This Row],[Pre/Ext GWP]],"")</f>
        <v/>
      </c>
      <c r="BT41" s="330" t="str">
        <f>IFERROR((DeemedDashboard[[#This Row],[Msr refrigerant charge (lb) per NormUnit]]/pounds_per_metric_ton)*DeemedDashboard[[#This Row],[Msr net EOL refrigerant leakage (%)]]*DeemedDashboard[[#This Row],[Msr GWP]],"")</f>
        <v/>
      </c>
      <c r="BU41" s="330" t="str">
        <f>IFERROR((DeemedDashboard[[#This Row],[Std refrigerant charge (lb) per NormUnit]]/pounds_per_metric_ton)*DeemedDashboard[[#This Row],[Std net EOL refrigerant leakage (%)]]*DeemedDashboard[[#This Row],[Std GWP]],"")</f>
        <v/>
      </c>
      <c r="BV41" s="330" t="str">
        <f>IFERROR((DeemedDashboard[[#This Row],[Pre/Ext refrigerant charge (lb) per NormUnit]]/pounds_per_metric_ton)*DeemedDashboard[[#This Row],[Pre net EOL refrigerant leakage (%)]]*DeemedDashboard[[#This Row],[Pre/Ext GWP]],"")</f>
        <v/>
      </c>
      <c r="BW41" s="330" t="str">
        <f>IFERROR((DeemedDashboard[[#This Row],[Pre/Ext refrigerant charge (lb) per NormUnit]]/pounds_per_metric_ton)*DeemedDashboard[[#This Row],[Ext net EOL refrigerant leakage (%)]]*DeemedDashboard[[#This Row],[Pre/Ext GWP]],"")</f>
        <v/>
      </c>
      <c r="BX41" s="299" t="str" cm="1">
        <f t="array" aca="1" ref="BX4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1" s="305" t="str" cm="1">
        <f t="array" aca="1" ref="BY4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1" s="299" t="str">
        <f>IFERROR(IF(OR(DeemedDashboard[[#This Row],[MeasAppType]]&lt;&gt;const_AR,ISBLANK(DeemedDashboard[[#This Row],[MeasAppType]])),NA(),0),"")</f>
        <v/>
      </c>
      <c r="CA41" s="305" t="str" cm="1">
        <f t="array" aca="1" ref="CA4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1" s="296" t="str">
        <f ca="1">IFERROR((DeemedDashboard[[#This Row],[Msr EOL leakage tons CO2e]]*OFFSET(GHG_Adder_dollar_per_tonne,0,(DeemedDashboard[[#This Row],[Msr Device Retire-ment Year]]-DY+1),1,1))/(1+WACC)^(DeemedDashboard[[#This Row],[Msr Device Retire-ment Year]]-DeemedDashboard[[#This Row],[Measure Start Year]]+0.5),"")</f>
        <v/>
      </c>
      <c r="CC41" s="296" t="str">
        <f ca="1">IFERROR((DeemedDashboard[[#This Row],[Std EOL leakage tons CO2e]]*OFFSET(GHG_Adder_dollar_per_tonne,0,(DeemedDashboard[[#This Row],[Std Device Retire-ment Year]]-DY+1),1,1))/(1+WACC)^(DeemedDashboard[[#This Row],[Std Device Retire-ment Year]]-DeemedDashboard[[#This Row],[Measure Start Year]]+0.5),"")</f>
        <v/>
      </c>
      <c r="CD41" s="296" t="str">
        <f ca="1">IFERROR((DeemedDashboard[[#This Row],[Pre EOL leakage tons CO2e]]*OFFSET(GHG_Adder_dollar_per_tonne,0,(DeemedDashboard[[#This Row],[Measure Start Year]]-DY),1,1))/(1+WACC)^(-0.5),"")</f>
        <v/>
      </c>
      <c r="CE4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1" s="296" t="str">
        <f ca="1">IFERROR(DeemedDashboard[[#This Row],[Msr NPV Cost of Annual Leakage]]/(1+ACC_Inflation_Rate)^(DeemedDashboard[[#This Row],[Measure Start Year]]-DY),"")</f>
        <v/>
      </c>
      <c r="CG41" s="296" t="str">
        <f ca="1">IFERROR(DeemedDashboard[[#This Row],[Std NPV Cost of Annual Leakage]]/(1+ACC_Inflation_Rate)^(DeemedDashboard[[#This Row],[Measure Start Year]]-DY),"")</f>
        <v/>
      </c>
      <c r="CH41" s="296" t="str">
        <f>IFERROR(IF(ISBLANK(DeemedDashboard[[#This Row],[MeasAppType]]),NA(),IF(DeemedDashboard[[#This Row],[MeasAppType]]=const_AR,DeemedDashboard[[#This Row],[Pre NPV Cost of Annual Leakage]]/(1+ACC_Inflation_Rate)^(DeemedDashboard[[#This Row],[Measure Start Year]]-DY),"")),"")</f>
        <v/>
      </c>
      <c r="CI41" s="296" t="str">
        <f>IFERROR(IF(ISBLANK(DeemedDashboard[[#This Row],[MeasAppType]]),NA(),IF(DeemedDashboard[[#This Row],[MeasAppType]]=const_AR,DeemedDashboard[[#This Row],[Ext NPV Cost of Annual Leakage]]/(1+ACC_Inflation_Rate)^(DeemedDashboard[[#This Row],[Measure Start Year]]-DY),"")),"")</f>
        <v/>
      </c>
      <c r="CJ41" s="296" t="str">
        <f ca="1">IFERROR((DeemedDashboard[[#This Row],[Msr % of device lifetime during measure years]]+DeemedDashboard[[#This Row],[Msr % of device lifetime retired early]])*DeemedDashboard[[#This Row],[Msr NPV Cost of EOL Leakage]]/(1+ACC_Inflation_Rate)^(DeemedDashboard[[#This Row],[Measure Start Year]]-DY),"")</f>
        <v/>
      </c>
      <c r="CK41" s="296" t="str">
        <f ca="1">IFERROR((DeemedDashboard[[#This Row],[Std % of device lifetime during measure years]]+DeemedDashboard[[#This Row],[Std % of device lifetime retired early]])*DeemedDashboard[[#This Row],[Std NPV Cost of EOL Leakage]]/(1+ACC_Inflation_Rate)^(DeemedDashboard[[#This Row],[Measure Start Year]]-DY),"")</f>
        <v/>
      </c>
      <c r="CL4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1" s="299" t="str">
        <f ca="1">IFERROR(DeemedDashboard[[#This Row],[Counter-factual total 
NPV cost]]-DeemedDashboard[[#This Row],[Measure total 
NPV cost]],"")</f>
        <v/>
      </c>
      <c r="CQ41" s="299" t="str">
        <f>IF(ISBLANK(DeemedDashboard[[#This Row],[MeasAppType]]),"",DeemedDashboard[[#This Row],[Refrigerant
NPV costs
avoided]]&gt;0)</f>
        <v/>
      </c>
      <c r="CR41" s="299" t="str">
        <f ca="1">IFERROR(DeemedDashboard[[#This Row],[Msr Adj NPV Cost of Annual Leakage]]+DeemedDashboard[[#This Row],[Msr Adj NPV Cost of EOL Leakage]],"")</f>
        <v/>
      </c>
      <c r="CS41" s="299" t="str">
        <f ca="1">IFERROR(DeemedDashboard[[#This Row],[Std Adj NPV Cost of Annual Leakage]]+DeemedDashboard[[#This Row],[Std Adj NPV Cost of EOL Leakage]],"")</f>
        <v/>
      </c>
      <c r="CT41" s="299" t="str">
        <f>IFERROR(IF((DeemedDashboard[[#This Row],[Pre Adj NPV Cost of Annual Leakage]]+DeemedDashboard[[#This Row],[Pre Adj NPV Cost of EOL Leakage]])=0,"",DeemedDashboard[[#This Row],[Pre Adj NPV Cost of Annual Leakage]]+DeemedDashboard[[#This Row],[Pre Adj NPV Cost of EOL Leakage]]),"")</f>
        <v/>
      </c>
      <c r="CU41" s="299" t="str">
        <f>IFERROR(IF((DeemedDashboard[[#This Row],[Ext Adj NPV Cost of Annual Leakage]]+DeemedDashboard[[#This Row],[Ext Adj NPV Cost of EOL Leakage]])=0,"",DeemedDashboard[[#This Row],[Ext Adj NPV Cost of Annual Leakage]]+DeemedDashboard[[#This Row],[Ext Adj NPV Cost of EOL Leakage]]),"")</f>
        <v/>
      </c>
      <c r="CV41" s="299" t="str">
        <f>IFERROR(IF(DeemedDashboard[[#This Row],[Is Avoided Net Cost &gt;0?]],"",-DeemedDashboard[[#This Row],[Refrigerant
NPV costs
avoided]]),"")</f>
        <v/>
      </c>
      <c r="CW41" s="299" t="str">
        <f>IFERROR(IF(DeemedDashboard[[#This Row],[Is Avoided Net Cost &gt;0?]],DeemedDashboard[[#This Row],[Refrigerant
NPV costs
avoided]],""),"")</f>
        <v/>
      </c>
      <c r="CX41" s="391">
        <f ca="1">IFERROR(MATCH(DeemedDashboard[[#This Row],[TechGroup and NormUnit]],TechGroup_and_NormUnit,0),1)</f>
        <v>1</v>
      </c>
      <c r="CY41" s="391" cm="1">
        <f t="array" aca="1" ref="CY41" ca="1">IFERROR(INDEX(TGRows,DeemedDashboard[[#This Row],[TGIndex]]),"")</f>
        <v>2</v>
      </c>
      <c r="CZ41" s="391">
        <f ca="1">IF(DeemedDashboard[[#This Row],[MeasAppType]]=const_AR,DeemedDashboard[[#This Row],[TGRows]],DeemedDashboard[[#This Row],[TGRows]]+1)</f>
        <v>3</v>
      </c>
      <c r="DA41" s="391" t="str">
        <f>IF(ISBLANK(DeemedDashboard[[#This Row],[MeasAppType]]),"",IF(DeemedDashboard[[#This Row],[Index]]=User_Specified_Refrigerant[[#This Row],[Index]],"OK","ERROR"))</f>
        <v/>
      </c>
    </row>
    <row r="42" spans="1:105" s="320" customFormat="1" x14ac:dyDescent="0.25">
      <c r="A42" s="297">
        <f>ROW(DeemedDashboard[[#This Row],[Index]])-ROW(DeemedDashboard[[#Headers],[Index]])</f>
        <v>33</v>
      </c>
      <c r="B42" s="298"/>
      <c r="C42" s="321"/>
      <c r="D42" s="403"/>
      <c r="E42" s="403"/>
      <c r="F42" s="403"/>
      <c r="G42" s="403"/>
      <c r="H42" s="366"/>
      <c r="I42" s="339"/>
      <c r="J42" s="339"/>
      <c r="K42" s="339"/>
      <c r="L42" s="322"/>
      <c r="M42" s="322"/>
      <c r="N42" s="322"/>
      <c r="O4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2" s="582" t="str" cm="1">
        <f t="array" ref="R42">IFERROR(IF(DeemedDashboard[[#This Row],[Msr device type]]=const_device_nonrefrig,0,INDEX(_xlfn.SWITCH($E$4,const_20_yr,GWP_Values_20_year_AR4,const_100_yr,GWP_Values_100_year_AR4),MATCH(DeemedDashboard[[#This Row],[Msr refrigerant Type]],RefrigDropdownList,0))),"")</f>
        <v/>
      </c>
      <c r="S42" s="582" t="str" cm="1">
        <f t="array" ref="S42">IFERROR(IF(DeemedDashboard[[#This Row],[Std device type]]=const_device_nonrefrig,0,INDEX(_xlfn.SWITCH($E$4,const_20_yr,GWP_Values_20_year_AR4,const_100_yr,GWP_Values_100_year_AR4),MATCH(DeemedDashboard[[#This Row],[Std refrigerant Type]],RefrigDropdownList,0))),"")</f>
        <v/>
      </c>
      <c r="T42" s="582" t="str" cm="1">
        <f t="array" ref="T42">IFERROR(IF(DeemedDashboard[[#This Row],[Pre/Ext device type]]=const_device_nonrefrig,0,INDEX(_xlfn.SWITCH($E$4,const_20_yr,GWP_Values_20_year_AR4,const_100_yr,GWP_Values_100_year_AR4),MATCH(DeemedDashboard[[#This Row],[Pre/Ext refrigerant Type]],RefrigDropdownList,0))),"")</f>
        <v/>
      </c>
      <c r="U4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2" s="326" t="str">
        <f>IFERROR(IF(DeemedDashboard[[#This Row],[Msr device type]]=const_userspec,IF(ISBLANK(User_Specified_Refrigerant[[#This Row],[Msr t_EOL]]),"",User_Specified_Refrigerant[[#This Row],[Msr t_EOL]]),INDEX(TechGroup_NormUnit_Table[t_EOL],MATCH(DeemedDashboard[[#This Row],[Msr device type]],DropdownRefrigTech,0))),"")</f>
        <v/>
      </c>
      <c r="AB42" s="326" t="str">
        <f>IFERROR(IF(DeemedDashboard[[#This Row],[Std device type]]=const_userspec,IF(ISBLANK(User_Specified_Refrigerant[[#This Row],[Std t_EOL]]),"",User_Specified_Refrigerant[[#This Row],[Std t_EOL]]),INDEX(TechGroup_NormUnit_Table[t_EOL],MATCH(DeemedDashboard[[#This Row],[Std device type]],DropdownRefrigTech,0))),"")</f>
        <v/>
      </c>
      <c r="AC4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2" s="395" t="str">
        <f>IF(ISBLANK(DeemedDashboard[[#This Row],[MeasAppType]]),"",$E$2)</f>
        <v/>
      </c>
      <c r="AE42" s="395" t="str">
        <f>IFERROR(IF(ISBLANK(DeemedDashboard[[#This Row],[MeasAppType]]),NA(),DeemedDashboard[[#This Row],[Measure Start Year]]+DeemedDashboard[[#This Row],[Msr EUL rounded]]-1),"")</f>
        <v/>
      </c>
      <c r="AF42" s="323" t="str">
        <f>IF(ISBLANK(DeemedDashboard[[#This Row],[Measure New Device EUL]]),"",ROUND(DeemedDashboard[[#This Row],[Measure New Device EUL]],0))</f>
        <v/>
      </c>
      <c r="AG42" s="323" t="str">
        <f>IF(ISBLANK(DeemedDashboard[[#This Row],[Counterfactual New Device EUL]]),"",ROUND(DeemedDashboard[[#This Row],[Counterfactual New Device EUL]],0))</f>
        <v/>
      </c>
      <c r="AH42" s="323" t="str">
        <f>IF(ISBLANK(DeemedDashboard[[#This Row],[Existing Device EUL]]),"",ROUND(DeemedDashboard[[#This Row],[Existing Device EUL]],0))</f>
        <v/>
      </c>
      <c r="AI42" s="323" t="str">
        <f>IF(ISBLANK(DeemedDashboard[[#This Row],[Existing Device RUL or AR First Baseline Life]]),"",ROUND(DeemedDashboard[[#This Row],[Existing Device RUL or AR First Baseline Life]],0))</f>
        <v/>
      </c>
      <c r="AJ42" s="327" t="str">
        <f>DeemedDashboard[[#This Row],[Measure Start Year]]</f>
        <v/>
      </c>
      <c r="AK42" s="327" t="str">
        <f>IF(DeemedDashboard[[#This Row],[MeasAppType]]&lt;&gt;const_AR,DeemedDashboard[[#This Row],[Measure Start Year]],DeemedDashboard[[#This Row],[Ext Device Retire-ment Year]]+1)</f>
        <v/>
      </c>
      <c r="AL42" s="327" t="str">
        <f>IFERROR(IF(DeemedDashboard[[#This Row],[MeasAppType]]=const_AR,DeemedDashboard[[#This Row],[Measure Start Year]]-(DeemedDashboard[[#This Row],[Existing Device EUL]]-DeemedDashboard[[#This Row],[Existing Device RUL or AR First Baseline Life]]),NA()),"")</f>
        <v/>
      </c>
      <c r="AM42" s="327" t="str">
        <f>DeemedDashboard[[#This Row],[Pre Device Install Year]]</f>
        <v/>
      </c>
      <c r="AN42" s="327" t="str">
        <f>IFERROR(IF(ISBLANK(DeemedDashboard[[#This Row],[MeasAppType]]),NA(),DeemedDashboard[[#This Row],[Measure Start Year]]+DeemedDashboard[[#This Row],[Msr EUL rounded]]-1),"")</f>
        <v/>
      </c>
      <c r="AO42" s="327" t="str">
        <f>IFERROR(DeemedDashboard[[#This Row],[Std Device Install Year]]+DeemedDashboard[[#This Row],[Counterfactual New Device EUL]]-1,"")</f>
        <v/>
      </c>
      <c r="AP42" s="327" t="str">
        <f>IFERROR(IF(AND(DeemedDashboard[[#This Row],[MeasAppType]]=const_AR,DeemedDashboard[[#This Row],[Measure Start Year]]&lt;(DeemedDashboard[[#This Row],[Pre Device Install Year]]+DeemedDashboard[[#This Row],[Existing Device EUL]]-1)),DeemedDashboard[[#This Row],[Measure Start Year]]-1,NA()),"")</f>
        <v/>
      </c>
      <c r="AQ42" s="327" t="str">
        <f>IFERROR(IF(DeemedDashboard[[#This Row],[MeasAppType]]=const_AR,DeemedDashboard[[#This Row],[Ext Device Install Year]]+DeemedDashboard[[#This Row],[Existing Device EUL]]-1,NA()),"")</f>
        <v/>
      </c>
      <c r="AR42" s="327" t="str">
        <f>IFERROR(IF(ISBLANK(DeemedDashboard[[#This Row],[MeasAppType]]),NA(),0),"")</f>
        <v/>
      </c>
      <c r="AS42" s="327" t="str">
        <f>IFERROR(IF(ISBLANK(DeemedDashboard[[#This Row],[MeasAppType]]),NA(),0),"")</f>
        <v/>
      </c>
      <c r="AT42" s="327" t="str">
        <f>IF(ISBLANK(DeemedDashboard[[#This Row],[MeasAppType]]),"",IF(DeemedDashboard[[#This Row],[MeasAppType]]&lt;&gt;const_AR,"",(DeemedDashboard[[#This Row],[Pre Device Install Year]]+DeemedDashboard[[#This Row],[Existing Device EUL]]-1)-DeemedDashboard[[#This Row],[Pre Device Retire-ment Year]]))</f>
        <v/>
      </c>
      <c r="AU42" s="327" t="str">
        <f>IF(ISBLANK(DeemedDashboard[[#This Row],[MeasAppType]]),"",IF(DeemedDashboard[[#This Row],[MeasAppType]]=const_AR,0,""))</f>
        <v/>
      </c>
      <c r="AV42" s="328" t="str">
        <f>IF(ISBLANK(DeemedDashboard[[#This Row],[MeasAppType]]),"",MAX((1+MIN(DeemedDashboard[[#This Row],[Msr Device Retire-ment Year]],DeemedDashboard[[#This Row],[Measure End 
Year]])-MAX(DeemedDashboard[[#This Row],[Msr Device Install Year]],DeemedDashboard[[#This Row],[Measure Start Year]])),0))</f>
        <v/>
      </c>
      <c r="AW42" s="328" t="str">
        <f>IF(ISBLANK(DeemedDashboard[[#This Row],[MeasAppType]]),"",MAX((1+MIN(DeemedDashboard[[#This Row],[Std Device Retire-ment Year]],DeemedDashboard[[#This Row],[Measure End 
Year]])-MAX(DeemedDashboard[[#This Row],[Std Device Install Year]],DeemedDashboard[[#This Row],[Measure Start Year]])),0))</f>
        <v/>
      </c>
      <c r="AX4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2" s="327"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2" s="329" t="str">
        <f>IF(ISBLANK(DeemedDashboard[[#This Row],[MeasAppType]]),"",IF(DeemedDashboard[[#This Row],[Msr Device Years Over-lapping with Measure Years]]=0,0,DeemedDashboard[[#This Row],[Msr Device Years Over-lapping with Measure Years]]/DeemedDashboard[[#This Row],[Msr EUL rounded]]))</f>
        <v/>
      </c>
      <c r="BA42" s="329" t="str">
        <f>IF(ISBLANK(DeemedDashboard[[#This Row],[MeasAppType]]),"",IF(DeemedDashboard[[#This Row],[Std Device Years Over-lapping with Measure Years]]=0,0,DeemedDashboard[[#This Row],[Std Device Years Over-lapping with Measure Years]]/DeemedDashboard[[#This Row],[Counterfactual New Device EUL]]))</f>
        <v/>
      </c>
      <c r="BB42" s="329" t="str">
        <f>IF(ISBLANK(DeemedDashboard[[#This Row],[MeasAppType]]),"",IFERROR(IF(DeemedDashboard[[#This Row],[Pre Device Years Over-lapping with Measure Years]]=0,0,DeemedDashboard[[#This Row],[Pre Device Years Over-lapping with Measure Years]]/DeemedDashboard[[#This Row],[Existing Device EUL]]),""))</f>
        <v/>
      </c>
      <c r="BC42" s="331" t="str">
        <f>IFERROR(IF(DeemedDashboard[[#This Row],[Ext Device Years Over-lapping with Measure Years]]=0,0,DeemedDashboard[[#This Row],[Ext Device Years Over-lapping with Measure Years]]/DeemedDashboard[[#This Row],[Existing Device EUL]]),"")</f>
        <v/>
      </c>
      <c r="BD42" s="329" t="str">
        <f>IFERROR(IF(DeemedDashboard[[#This Row],[Msr Number of Years device retired early]]=0,0,DeemedDashboard[[#This Row],[Msr Number of Years device retired early]]/DeemedDashboard[[#This Row],[Msr EUL rounded]]),"")</f>
        <v/>
      </c>
      <c r="BE42" s="329" t="str">
        <f>IFERROR(IF(DeemedDashboard[[#This Row],[Std Number of Years device retired early]]=0,0,DeemedDashboard[[#This Row],[Std Number of Years device retired early]]/DeemedDashboard[[#This Row],[Msr EUL rounded]]),"")</f>
        <v/>
      </c>
      <c r="BF42" s="329" t="str">
        <f>IFERROR(IF(DeemedDashboard[[#This Row],[MeasAppType]]&lt;&gt;const_AR,"",IF(DeemedDashboard[[#This Row],[Pre Number of Years device retired early]]=0,0,DeemedDashboard[[#This Row],[Pre Number of Years device retired early]]/DeemedDashboard[[#This Row],[Existing Device EUL]])),"")</f>
        <v/>
      </c>
      <c r="BG42" s="331" t="str">
        <f>IFERROR(IF(DeemedDashboard[[#This Row],[Ext Number of Years device retired early]]=0,0,DeemedDashboard[[#This Row],[Ext Number of Years device retired early]]/DeemedDashboard[[#This Row],[Existing Device EUL]]),"")</f>
        <v/>
      </c>
      <c r="BH42" s="325" t="str">
        <f>IFERROR(1-DeemedDashboard[[#This Row],[Msr annual refrigerant leakage %]]*DeemedDashboard[[#This Row],[Msr t_EOL]],"")</f>
        <v/>
      </c>
      <c r="BI42" s="325" t="str">
        <f>IFERROR(1-DeemedDashboard[[#This Row],[Std annual refrigerant leakage %]]*DeemedDashboard[[#This Row],[Std t_EOL]],"")</f>
        <v/>
      </c>
      <c r="BJ42" s="325" t="str">
        <f>IFERROR(1-DeemedDashboard[[#This Row],[Pre/Ext annual refrigerant leakage %]]*DeemedDashboard[[#This Row],[Pre/Ext t_EOL]],"")</f>
        <v/>
      </c>
      <c r="BK42" s="325" t="str">
        <f>IFERROR(1-DeemedDashboard[[#This Row],[Pre/Ext annual refrigerant leakage %]]*DeemedDashboard[[#This Row],[Pre/Ext t_EOL]],"")</f>
        <v/>
      </c>
      <c r="BL42" s="325" t="str">
        <f>IFERROR(DeemedDashboard[[#This Row],[Msr charging remaining (%)]]*DeemedDashboard[[#This Row],[Msr gross EOL refrigerant leakage %]],"")</f>
        <v/>
      </c>
      <c r="BM42" s="325" t="str">
        <f>IFERROR(DeemedDashboard[[#This Row],[Std charging remaining (%)]]*DeemedDashboard[[#This Row],[Std gross EOL refrigerant leakage %]],"")</f>
        <v/>
      </c>
      <c r="BN42" s="325" t="str">
        <f>IFERROR(DeemedDashboard[[#This Row],[Pre charging remaining (%)]]*DeemedDashboard[[#This Row],[Pre/Ext gross EOL refrigerant leakage %]],"")</f>
        <v/>
      </c>
      <c r="BO42" s="325" t="str">
        <f>IFERROR(DeemedDashboard[[#This Row],[Ext charging remaining (%)]]*DeemedDashboard[[#This Row],[Pre/Ext gross EOL refrigerant leakage %]],"")</f>
        <v/>
      </c>
      <c r="BP42" s="330" t="str">
        <f>IFERROR((DeemedDashboard[[#This Row],[Msr refrigerant charge (lb) per NormUnit]]/pounds_per_metric_ton)*DeemedDashboard[[#This Row],[Msr annual refrigerant leakage %]]*DeemedDashboard[[#This Row],[Msr GWP]],"")</f>
        <v/>
      </c>
      <c r="BQ42" s="330" t="str">
        <f>IFERROR((DeemedDashboard[[#This Row],[Std refrigerant charge (lb) per NormUnit]]/pounds_per_metric_ton)*DeemedDashboard[[#This Row],[Std annual refrigerant leakage %]]*DeemedDashboard[[#This Row],[Std GWP]],"")</f>
        <v/>
      </c>
      <c r="BR42" s="330" t="str">
        <f>IF(DeemedDashboard[[#This Row],[MeasAppType]]=const_AR,(DeemedDashboard[[#This Row],[Pre/Ext refrigerant charge (lb) per NormUnit]]/pounds_per_metric_ton)*DeemedDashboard[[#This Row],[Pre/Ext annual refrigerant leakage %]]*DeemedDashboard[[#This Row],[Pre/Ext GWP]],"")</f>
        <v/>
      </c>
      <c r="BS42" s="330" t="str">
        <f>IF(DeemedDashboard[[#This Row],[MeasAppType]]=const_AR,(DeemedDashboard[[#This Row],[Pre/Ext refrigerant charge (lb) per NormUnit]]/pounds_per_metric_ton)*DeemedDashboard[[#This Row],[Pre/Ext annual refrigerant leakage %]]*DeemedDashboard[[#This Row],[Pre/Ext GWP]],"")</f>
        <v/>
      </c>
      <c r="BT42" s="330" t="str">
        <f>IFERROR((DeemedDashboard[[#This Row],[Msr refrigerant charge (lb) per NormUnit]]/pounds_per_metric_ton)*DeemedDashboard[[#This Row],[Msr net EOL refrigerant leakage (%)]]*DeemedDashboard[[#This Row],[Msr GWP]],"")</f>
        <v/>
      </c>
      <c r="BU42" s="330" t="str">
        <f>IFERROR((DeemedDashboard[[#This Row],[Std refrigerant charge (lb) per NormUnit]]/pounds_per_metric_ton)*DeemedDashboard[[#This Row],[Std net EOL refrigerant leakage (%)]]*DeemedDashboard[[#This Row],[Std GWP]],"")</f>
        <v/>
      </c>
      <c r="BV42" s="330" t="str">
        <f>IFERROR((DeemedDashboard[[#This Row],[Pre/Ext refrigerant charge (lb) per NormUnit]]/pounds_per_metric_ton)*DeemedDashboard[[#This Row],[Pre net EOL refrigerant leakage (%)]]*DeemedDashboard[[#This Row],[Pre/Ext GWP]],"")</f>
        <v/>
      </c>
      <c r="BW42" s="330" t="str">
        <f>IFERROR((DeemedDashboard[[#This Row],[Pre/Ext refrigerant charge (lb) per NormUnit]]/pounds_per_metric_ton)*DeemedDashboard[[#This Row],[Ext net EOL refrigerant leakage (%)]]*DeemedDashboard[[#This Row],[Pre/Ext GWP]],"")</f>
        <v/>
      </c>
      <c r="BX42" s="299" t="str" cm="1">
        <f t="array" aca="1" ref="BX4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2" s="305" t="str" cm="1">
        <f t="array" aca="1" ref="BY4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2" s="299" t="str">
        <f>IFERROR(IF(OR(DeemedDashboard[[#This Row],[MeasAppType]]&lt;&gt;const_AR,ISBLANK(DeemedDashboard[[#This Row],[MeasAppType]])),NA(),0),"")</f>
        <v/>
      </c>
      <c r="CA42" s="305" t="str" cm="1">
        <f t="array" aca="1" ref="CA4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2" s="296" t="str">
        <f ca="1">IFERROR((DeemedDashboard[[#This Row],[Msr EOL leakage tons CO2e]]*OFFSET(GHG_Adder_dollar_per_tonne,0,(DeemedDashboard[[#This Row],[Msr Device Retire-ment Year]]-DY+1),1,1))/(1+WACC)^(DeemedDashboard[[#This Row],[Msr Device Retire-ment Year]]-DeemedDashboard[[#This Row],[Measure Start Year]]+0.5),"")</f>
        <v/>
      </c>
      <c r="CC42" s="296" t="str">
        <f ca="1">IFERROR((DeemedDashboard[[#This Row],[Std EOL leakage tons CO2e]]*OFFSET(GHG_Adder_dollar_per_tonne,0,(DeemedDashboard[[#This Row],[Std Device Retire-ment Year]]-DY+1),1,1))/(1+WACC)^(DeemedDashboard[[#This Row],[Std Device Retire-ment Year]]-DeemedDashboard[[#This Row],[Measure Start Year]]+0.5),"")</f>
        <v/>
      </c>
      <c r="CD42" s="296" t="str">
        <f ca="1">IFERROR((DeemedDashboard[[#This Row],[Pre EOL leakage tons CO2e]]*OFFSET(GHG_Adder_dollar_per_tonne,0,(DeemedDashboard[[#This Row],[Measure Start Year]]-DY),1,1))/(1+WACC)^(-0.5),"")</f>
        <v/>
      </c>
      <c r="CE4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2" s="296" t="str">
        <f ca="1">IFERROR(DeemedDashboard[[#This Row],[Msr NPV Cost of Annual Leakage]]/(1+ACC_Inflation_Rate)^(DeemedDashboard[[#This Row],[Measure Start Year]]-DY),"")</f>
        <v/>
      </c>
      <c r="CG42" s="296" t="str">
        <f ca="1">IFERROR(DeemedDashboard[[#This Row],[Std NPV Cost of Annual Leakage]]/(1+ACC_Inflation_Rate)^(DeemedDashboard[[#This Row],[Measure Start Year]]-DY),"")</f>
        <v/>
      </c>
      <c r="CH42" s="296" t="str">
        <f>IFERROR(IF(ISBLANK(DeemedDashboard[[#This Row],[MeasAppType]]),NA(),IF(DeemedDashboard[[#This Row],[MeasAppType]]=const_AR,DeemedDashboard[[#This Row],[Pre NPV Cost of Annual Leakage]]/(1+ACC_Inflation_Rate)^(DeemedDashboard[[#This Row],[Measure Start Year]]-DY),"")),"")</f>
        <v/>
      </c>
      <c r="CI42" s="296" t="str">
        <f>IFERROR(IF(ISBLANK(DeemedDashboard[[#This Row],[MeasAppType]]),NA(),IF(DeemedDashboard[[#This Row],[MeasAppType]]=const_AR,DeemedDashboard[[#This Row],[Ext NPV Cost of Annual Leakage]]/(1+ACC_Inflation_Rate)^(DeemedDashboard[[#This Row],[Measure Start Year]]-DY),"")),"")</f>
        <v/>
      </c>
      <c r="CJ42" s="296" t="str">
        <f ca="1">IFERROR((DeemedDashboard[[#This Row],[Msr % of device lifetime during measure years]]+DeemedDashboard[[#This Row],[Msr % of device lifetime retired early]])*DeemedDashboard[[#This Row],[Msr NPV Cost of EOL Leakage]]/(1+ACC_Inflation_Rate)^(DeemedDashboard[[#This Row],[Measure Start Year]]-DY),"")</f>
        <v/>
      </c>
      <c r="CK42" s="296" t="str">
        <f ca="1">IFERROR((DeemedDashboard[[#This Row],[Std % of device lifetime during measure years]]+DeemedDashboard[[#This Row],[Std % of device lifetime retired early]])*DeemedDashboard[[#This Row],[Std NPV Cost of EOL Leakage]]/(1+ACC_Inflation_Rate)^(DeemedDashboard[[#This Row],[Measure Start Year]]-DY),"")</f>
        <v/>
      </c>
      <c r="CL4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2" s="299" t="str">
        <f ca="1">IFERROR(DeemedDashboard[[#This Row],[Counter-factual total 
NPV cost]]-DeemedDashboard[[#This Row],[Measure total 
NPV cost]],"")</f>
        <v/>
      </c>
      <c r="CQ42" s="299" t="str">
        <f>IF(ISBLANK(DeemedDashboard[[#This Row],[MeasAppType]]),"",DeemedDashboard[[#This Row],[Refrigerant
NPV costs
avoided]]&gt;0)</f>
        <v/>
      </c>
      <c r="CR42" s="299" t="str">
        <f ca="1">IFERROR(DeemedDashboard[[#This Row],[Msr Adj NPV Cost of Annual Leakage]]+DeemedDashboard[[#This Row],[Msr Adj NPV Cost of EOL Leakage]],"")</f>
        <v/>
      </c>
      <c r="CS42" s="299" t="str">
        <f ca="1">IFERROR(DeemedDashboard[[#This Row],[Std Adj NPV Cost of Annual Leakage]]+DeemedDashboard[[#This Row],[Std Adj NPV Cost of EOL Leakage]],"")</f>
        <v/>
      </c>
      <c r="CT42" s="299" t="str">
        <f>IFERROR(IF((DeemedDashboard[[#This Row],[Pre Adj NPV Cost of Annual Leakage]]+DeemedDashboard[[#This Row],[Pre Adj NPV Cost of EOL Leakage]])=0,"",DeemedDashboard[[#This Row],[Pre Adj NPV Cost of Annual Leakage]]+DeemedDashboard[[#This Row],[Pre Adj NPV Cost of EOL Leakage]]),"")</f>
        <v/>
      </c>
      <c r="CU42" s="299" t="str">
        <f>IFERROR(IF((DeemedDashboard[[#This Row],[Ext Adj NPV Cost of Annual Leakage]]+DeemedDashboard[[#This Row],[Ext Adj NPV Cost of EOL Leakage]])=0,"",DeemedDashboard[[#This Row],[Ext Adj NPV Cost of Annual Leakage]]+DeemedDashboard[[#This Row],[Ext Adj NPV Cost of EOL Leakage]]),"")</f>
        <v/>
      </c>
      <c r="CV42" s="299" t="str">
        <f>IFERROR(IF(DeemedDashboard[[#This Row],[Is Avoided Net Cost &gt;0?]],"",-DeemedDashboard[[#This Row],[Refrigerant
NPV costs
avoided]]),"")</f>
        <v/>
      </c>
      <c r="CW42" s="299" t="str">
        <f>IFERROR(IF(DeemedDashboard[[#This Row],[Is Avoided Net Cost &gt;0?]],DeemedDashboard[[#This Row],[Refrigerant
NPV costs
avoided]],""),"")</f>
        <v/>
      </c>
      <c r="CX42" s="391">
        <f ca="1">IFERROR(MATCH(DeemedDashboard[[#This Row],[TechGroup and NormUnit]],TechGroup_and_NormUnit,0),1)</f>
        <v>1</v>
      </c>
      <c r="CY42" s="391" cm="1">
        <f t="array" aca="1" ref="CY42" ca="1">IFERROR(INDEX(TGRows,DeemedDashboard[[#This Row],[TGIndex]]),"")</f>
        <v>2</v>
      </c>
      <c r="CZ42" s="391">
        <f ca="1">IF(DeemedDashboard[[#This Row],[MeasAppType]]=const_AR,DeemedDashboard[[#This Row],[TGRows]],DeemedDashboard[[#This Row],[TGRows]]+1)</f>
        <v>3</v>
      </c>
      <c r="DA42" s="391" t="str">
        <f>IF(ISBLANK(DeemedDashboard[[#This Row],[MeasAppType]]),"",IF(DeemedDashboard[[#This Row],[Index]]=User_Specified_Refrigerant[[#This Row],[Index]],"OK","ERROR"))</f>
        <v/>
      </c>
    </row>
    <row r="43" spans="1:105" s="320" customFormat="1" x14ac:dyDescent="0.25">
      <c r="A43" s="297">
        <f>ROW(DeemedDashboard[[#This Row],[Index]])-ROW(DeemedDashboard[[#Headers],[Index]])</f>
        <v>34</v>
      </c>
      <c r="B43" s="298"/>
      <c r="C43" s="321"/>
      <c r="D43" s="403"/>
      <c r="E43" s="403"/>
      <c r="F43" s="403"/>
      <c r="G43" s="403"/>
      <c r="H43" s="366"/>
      <c r="I43" s="339"/>
      <c r="J43" s="339"/>
      <c r="K43" s="339"/>
      <c r="L43" s="322"/>
      <c r="M43" s="322"/>
      <c r="N43" s="322"/>
      <c r="O4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3" s="582" t="str" cm="1">
        <f t="array" ref="R43">IFERROR(IF(DeemedDashboard[[#This Row],[Msr device type]]=const_device_nonrefrig,0,INDEX(_xlfn.SWITCH($E$4,const_20_yr,GWP_Values_20_year_AR4,const_100_yr,GWP_Values_100_year_AR4),MATCH(DeemedDashboard[[#This Row],[Msr refrigerant Type]],RefrigDropdownList,0))),"")</f>
        <v/>
      </c>
      <c r="S43" s="582" t="str" cm="1">
        <f t="array" ref="S43">IFERROR(IF(DeemedDashboard[[#This Row],[Std device type]]=const_device_nonrefrig,0,INDEX(_xlfn.SWITCH($E$4,const_20_yr,GWP_Values_20_year_AR4,const_100_yr,GWP_Values_100_year_AR4),MATCH(DeemedDashboard[[#This Row],[Std refrigerant Type]],RefrigDropdownList,0))),"")</f>
        <v/>
      </c>
      <c r="T43" s="582" t="str" cm="1">
        <f t="array" ref="T43">IFERROR(IF(DeemedDashboard[[#This Row],[Pre/Ext device type]]=const_device_nonrefrig,0,INDEX(_xlfn.SWITCH($E$4,const_20_yr,GWP_Values_20_year_AR4,const_100_yr,GWP_Values_100_year_AR4),MATCH(DeemedDashboard[[#This Row],[Pre/Ext refrigerant Type]],RefrigDropdownList,0))),"")</f>
        <v/>
      </c>
      <c r="U4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3" s="326" t="str">
        <f>IFERROR(IF(DeemedDashboard[[#This Row],[Msr device type]]=const_userspec,IF(ISBLANK(User_Specified_Refrigerant[[#This Row],[Msr t_EOL]]),"",User_Specified_Refrigerant[[#This Row],[Msr t_EOL]]),INDEX(TechGroup_NormUnit_Table[t_EOL],MATCH(DeemedDashboard[[#This Row],[Msr device type]],DropdownRefrigTech,0))),"")</f>
        <v/>
      </c>
      <c r="AB43" s="326" t="str">
        <f>IFERROR(IF(DeemedDashboard[[#This Row],[Std device type]]=const_userspec,IF(ISBLANK(User_Specified_Refrigerant[[#This Row],[Std t_EOL]]),"",User_Specified_Refrigerant[[#This Row],[Std t_EOL]]),INDEX(TechGroup_NormUnit_Table[t_EOL],MATCH(DeemedDashboard[[#This Row],[Std device type]],DropdownRefrigTech,0))),"")</f>
        <v/>
      </c>
      <c r="AC4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3" s="395" t="str">
        <f>IF(ISBLANK(DeemedDashboard[[#This Row],[MeasAppType]]),"",$E$2)</f>
        <v/>
      </c>
      <c r="AE43" s="395" t="str">
        <f>IFERROR(IF(ISBLANK(DeemedDashboard[[#This Row],[MeasAppType]]),NA(),DeemedDashboard[[#This Row],[Measure Start Year]]+DeemedDashboard[[#This Row],[Msr EUL rounded]]-1),"")</f>
        <v/>
      </c>
      <c r="AF43" s="323" t="str">
        <f>IF(ISBLANK(DeemedDashboard[[#This Row],[Measure New Device EUL]]),"",ROUND(DeemedDashboard[[#This Row],[Measure New Device EUL]],0))</f>
        <v/>
      </c>
      <c r="AG43" s="323" t="str">
        <f>IF(ISBLANK(DeemedDashboard[[#This Row],[Counterfactual New Device EUL]]),"",ROUND(DeemedDashboard[[#This Row],[Counterfactual New Device EUL]],0))</f>
        <v/>
      </c>
      <c r="AH43" s="323" t="str">
        <f>IF(ISBLANK(DeemedDashboard[[#This Row],[Existing Device EUL]]),"",ROUND(DeemedDashboard[[#This Row],[Existing Device EUL]],0))</f>
        <v/>
      </c>
      <c r="AI43" s="323" t="str">
        <f>IF(ISBLANK(DeemedDashboard[[#This Row],[Existing Device RUL or AR First Baseline Life]]),"",ROUND(DeemedDashboard[[#This Row],[Existing Device RUL or AR First Baseline Life]],0))</f>
        <v/>
      </c>
      <c r="AJ43" s="327" t="str">
        <f>DeemedDashboard[[#This Row],[Measure Start Year]]</f>
        <v/>
      </c>
      <c r="AK43" s="327" t="str">
        <f>IF(DeemedDashboard[[#This Row],[MeasAppType]]&lt;&gt;const_AR,DeemedDashboard[[#This Row],[Measure Start Year]],DeemedDashboard[[#This Row],[Ext Device Retire-ment Year]]+1)</f>
        <v/>
      </c>
      <c r="AL43" s="327" t="str">
        <f>IFERROR(IF(DeemedDashboard[[#This Row],[MeasAppType]]=const_AR,DeemedDashboard[[#This Row],[Measure Start Year]]-(DeemedDashboard[[#This Row],[Existing Device EUL]]-DeemedDashboard[[#This Row],[Existing Device RUL or AR First Baseline Life]]),NA()),"")</f>
        <v/>
      </c>
      <c r="AM43" s="327" t="str">
        <f>DeemedDashboard[[#This Row],[Pre Device Install Year]]</f>
        <v/>
      </c>
      <c r="AN43" s="327" t="str">
        <f>IFERROR(IF(ISBLANK(DeemedDashboard[[#This Row],[MeasAppType]]),NA(),DeemedDashboard[[#This Row],[Measure Start Year]]+DeemedDashboard[[#This Row],[Msr EUL rounded]]-1),"")</f>
        <v/>
      </c>
      <c r="AO43" s="327" t="str">
        <f>IFERROR(DeemedDashboard[[#This Row],[Std Device Install Year]]+DeemedDashboard[[#This Row],[Counterfactual New Device EUL]]-1,"")</f>
        <v/>
      </c>
      <c r="AP43" s="327" t="str">
        <f>IFERROR(IF(AND(DeemedDashboard[[#This Row],[MeasAppType]]=const_AR,DeemedDashboard[[#This Row],[Measure Start Year]]&lt;(DeemedDashboard[[#This Row],[Pre Device Install Year]]+DeemedDashboard[[#This Row],[Existing Device EUL]]-1)),DeemedDashboard[[#This Row],[Measure Start Year]]-1,NA()),"")</f>
        <v/>
      </c>
      <c r="AQ43" s="327" t="str">
        <f>IFERROR(IF(DeemedDashboard[[#This Row],[MeasAppType]]=const_AR,DeemedDashboard[[#This Row],[Ext Device Install Year]]+DeemedDashboard[[#This Row],[Existing Device EUL]]-1,NA()),"")</f>
        <v/>
      </c>
      <c r="AR43" s="327" t="str">
        <f>IFERROR(IF(ISBLANK(DeemedDashboard[[#This Row],[MeasAppType]]),NA(),0),"")</f>
        <v/>
      </c>
      <c r="AS43" s="327" t="str">
        <f>IFERROR(IF(ISBLANK(DeemedDashboard[[#This Row],[MeasAppType]]),NA(),0),"")</f>
        <v/>
      </c>
      <c r="AT43" s="327" t="str">
        <f>IF(ISBLANK(DeemedDashboard[[#This Row],[MeasAppType]]),"",IF(DeemedDashboard[[#This Row],[MeasAppType]]&lt;&gt;const_AR,"",(DeemedDashboard[[#This Row],[Pre Device Install Year]]+DeemedDashboard[[#This Row],[Existing Device EUL]]-1)-DeemedDashboard[[#This Row],[Pre Device Retire-ment Year]]))</f>
        <v/>
      </c>
      <c r="AU43" s="327" t="str">
        <f>IF(ISBLANK(DeemedDashboard[[#This Row],[MeasAppType]]),"",IF(DeemedDashboard[[#This Row],[MeasAppType]]=const_AR,0,""))</f>
        <v/>
      </c>
      <c r="AV43" s="328" t="str">
        <f>IF(ISBLANK(DeemedDashboard[[#This Row],[MeasAppType]]),"",MAX((1+MIN(DeemedDashboard[[#This Row],[Msr Device Retire-ment Year]],DeemedDashboard[[#This Row],[Measure End 
Year]])-MAX(DeemedDashboard[[#This Row],[Msr Device Install Year]],DeemedDashboard[[#This Row],[Measure Start Year]])),0))</f>
        <v/>
      </c>
      <c r="AW43" s="328" t="str">
        <f>IF(ISBLANK(DeemedDashboard[[#This Row],[MeasAppType]]),"",MAX((1+MIN(DeemedDashboard[[#This Row],[Std Device Retire-ment Year]],DeemedDashboard[[#This Row],[Measure End 
Year]])-MAX(DeemedDashboard[[#This Row],[Std Device Install Year]],DeemedDashboard[[#This Row],[Measure Start Year]])),0))</f>
        <v/>
      </c>
      <c r="AX4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3" s="329" t="str">
        <f>IF(ISBLANK(DeemedDashboard[[#This Row],[MeasAppType]]),"",IF(DeemedDashboard[[#This Row],[Msr Device Years Over-lapping with Measure Years]]=0,0,DeemedDashboard[[#This Row],[Msr Device Years Over-lapping with Measure Years]]/DeemedDashboard[[#This Row],[Msr EUL rounded]]))</f>
        <v/>
      </c>
      <c r="BA43" s="329" t="str">
        <f>IF(ISBLANK(DeemedDashboard[[#This Row],[MeasAppType]]),"",IF(DeemedDashboard[[#This Row],[Std Device Years Over-lapping with Measure Years]]=0,0,DeemedDashboard[[#This Row],[Std Device Years Over-lapping with Measure Years]]/DeemedDashboard[[#This Row],[Counterfactual New Device EUL]]))</f>
        <v/>
      </c>
      <c r="BB43" s="329" t="str">
        <f>IF(ISBLANK(DeemedDashboard[[#This Row],[MeasAppType]]),"",IFERROR(IF(DeemedDashboard[[#This Row],[Pre Device Years Over-lapping with Measure Years]]=0,0,DeemedDashboard[[#This Row],[Pre Device Years Over-lapping with Measure Years]]/DeemedDashboard[[#This Row],[Existing Device EUL]]),""))</f>
        <v/>
      </c>
      <c r="BC43" s="329" t="str">
        <f>IFERROR(IF(DeemedDashboard[[#This Row],[Ext Device Years Over-lapping with Measure Years]]=0,0,DeemedDashboard[[#This Row],[Ext Device Years Over-lapping with Measure Years]]/DeemedDashboard[[#This Row],[Existing Device EUL]]),"")</f>
        <v/>
      </c>
      <c r="BD43" s="329" t="str">
        <f>IFERROR(IF(DeemedDashboard[[#This Row],[Msr Number of Years device retired early]]=0,0,DeemedDashboard[[#This Row],[Msr Number of Years device retired early]]/DeemedDashboard[[#This Row],[Msr EUL rounded]]),"")</f>
        <v/>
      </c>
      <c r="BE43" s="329" t="str">
        <f>IFERROR(IF(DeemedDashboard[[#This Row],[Std Number of Years device retired early]]=0,0,DeemedDashboard[[#This Row],[Std Number of Years device retired early]]/DeemedDashboard[[#This Row],[Msr EUL rounded]]),"")</f>
        <v/>
      </c>
      <c r="BF43" s="329" t="str">
        <f>IFERROR(IF(DeemedDashboard[[#This Row],[MeasAppType]]&lt;&gt;const_AR,"",IF(DeemedDashboard[[#This Row],[Pre Number of Years device retired early]]=0,0,DeemedDashboard[[#This Row],[Pre Number of Years device retired early]]/DeemedDashboard[[#This Row],[Existing Device EUL]])),"")</f>
        <v/>
      </c>
      <c r="BG43" s="329" t="str">
        <f>IFERROR(IF(DeemedDashboard[[#This Row],[Ext Number of Years device retired early]]=0,0,DeemedDashboard[[#This Row],[Ext Number of Years device retired early]]/DeemedDashboard[[#This Row],[Existing Device EUL]]),"")</f>
        <v/>
      </c>
      <c r="BH43" s="325" t="str">
        <f>IFERROR(1-DeemedDashboard[[#This Row],[Msr annual refrigerant leakage %]]*DeemedDashboard[[#This Row],[Msr t_EOL]],"")</f>
        <v/>
      </c>
      <c r="BI43" s="325" t="str">
        <f>IFERROR(1-DeemedDashboard[[#This Row],[Std annual refrigerant leakage %]]*DeemedDashboard[[#This Row],[Std t_EOL]],"")</f>
        <v/>
      </c>
      <c r="BJ43" s="325" t="str">
        <f>IFERROR(1-DeemedDashboard[[#This Row],[Pre/Ext annual refrigerant leakage %]]*DeemedDashboard[[#This Row],[Pre/Ext t_EOL]],"")</f>
        <v/>
      </c>
      <c r="BK43" s="325" t="str">
        <f>IFERROR(1-DeemedDashboard[[#This Row],[Pre/Ext annual refrigerant leakage %]]*DeemedDashboard[[#This Row],[Pre/Ext t_EOL]],"")</f>
        <v/>
      </c>
      <c r="BL43" s="325" t="str">
        <f>IFERROR(DeemedDashboard[[#This Row],[Msr charging remaining (%)]]*DeemedDashboard[[#This Row],[Msr gross EOL refrigerant leakage %]],"")</f>
        <v/>
      </c>
      <c r="BM43" s="325" t="str">
        <f>IFERROR(DeemedDashboard[[#This Row],[Std charging remaining (%)]]*DeemedDashboard[[#This Row],[Std gross EOL refrigerant leakage %]],"")</f>
        <v/>
      </c>
      <c r="BN43" s="325" t="str">
        <f>IFERROR(DeemedDashboard[[#This Row],[Pre charging remaining (%)]]*DeemedDashboard[[#This Row],[Pre/Ext gross EOL refrigerant leakage %]],"")</f>
        <v/>
      </c>
      <c r="BO43" s="325" t="str">
        <f>IFERROR(DeemedDashboard[[#This Row],[Ext charging remaining (%)]]*DeemedDashboard[[#This Row],[Pre/Ext gross EOL refrigerant leakage %]],"")</f>
        <v/>
      </c>
      <c r="BP43" s="330" t="str">
        <f>IFERROR((DeemedDashboard[[#This Row],[Msr refrigerant charge (lb) per NormUnit]]/pounds_per_metric_ton)*DeemedDashboard[[#This Row],[Msr annual refrigerant leakage %]]*DeemedDashboard[[#This Row],[Msr GWP]],"")</f>
        <v/>
      </c>
      <c r="BQ43" s="330" t="str">
        <f>IFERROR((DeemedDashboard[[#This Row],[Std refrigerant charge (lb) per NormUnit]]/pounds_per_metric_ton)*DeemedDashboard[[#This Row],[Std annual refrigerant leakage %]]*DeemedDashboard[[#This Row],[Std GWP]],"")</f>
        <v/>
      </c>
      <c r="BR43" s="330" t="str">
        <f>IF(DeemedDashboard[[#This Row],[MeasAppType]]=const_AR,(DeemedDashboard[[#This Row],[Pre/Ext refrigerant charge (lb) per NormUnit]]/pounds_per_metric_ton)*DeemedDashboard[[#This Row],[Pre/Ext annual refrigerant leakage %]]*DeemedDashboard[[#This Row],[Pre/Ext GWP]],"")</f>
        <v/>
      </c>
      <c r="BS43" s="330" t="str">
        <f>IF(DeemedDashboard[[#This Row],[MeasAppType]]=const_AR,(DeemedDashboard[[#This Row],[Pre/Ext refrigerant charge (lb) per NormUnit]]/pounds_per_metric_ton)*DeemedDashboard[[#This Row],[Pre/Ext annual refrigerant leakage %]]*DeemedDashboard[[#This Row],[Pre/Ext GWP]],"")</f>
        <v/>
      </c>
      <c r="BT43" s="330" t="str">
        <f>IFERROR((DeemedDashboard[[#This Row],[Msr refrigerant charge (lb) per NormUnit]]/pounds_per_metric_ton)*DeemedDashboard[[#This Row],[Msr net EOL refrigerant leakage (%)]]*DeemedDashboard[[#This Row],[Msr GWP]],"")</f>
        <v/>
      </c>
      <c r="BU43" s="330" t="str">
        <f>IFERROR((DeemedDashboard[[#This Row],[Std refrigerant charge (lb) per NormUnit]]/pounds_per_metric_ton)*DeemedDashboard[[#This Row],[Std net EOL refrigerant leakage (%)]]*DeemedDashboard[[#This Row],[Std GWP]],"")</f>
        <v/>
      </c>
      <c r="BV43" s="330" t="str">
        <f>IFERROR((DeemedDashboard[[#This Row],[Pre/Ext refrigerant charge (lb) per NormUnit]]/pounds_per_metric_ton)*DeemedDashboard[[#This Row],[Pre net EOL refrigerant leakage (%)]]*DeemedDashboard[[#This Row],[Pre/Ext GWP]],"")</f>
        <v/>
      </c>
      <c r="BW43" s="330" t="str">
        <f>IFERROR((DeemedDashboard[[#This Row],[Pre/Ext refrigerant charge (lb) per NormUnit]]/pounds_per_metric_ton)*DeemedDashboard[[#This Row],[Ext net EOL refrigerant leakage (%)]]*DeemedDashboard[[#This Row],[Pre/Ext GWP]],"")</f>
        <v/>
      </c>
      <c r="BX43" s="299" t="str" cm="1">
        <f t="array" aca="1" ref="BX4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3" s="305" t="str" cm="1">
        <f t="array" aca="1" ref="BY4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3" s="299" t="str">
        <f>IFERROR(IF(OR(DeemedDashboard[[#This Row],[MeasAppType]]&lt;&gt;const_AR,ISBLANK(DeemedDashboard[[#This Row],[MeasAppType]])),NA(),0),"")</f>
        <v/>
      </c>
      <c r="CA43" s="305" t="str" cm="1">
        <f t="array" aca="1" ref="CA4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3" s="299" t="str">
        <f ca="1">IFERROR((DeemedDashboard[[#This Row],[Msr EOL leakage tons CO2e]]*OFFSET(GHG_Adder_dollar_per_tonne,0,(DeemedDashboard[[#This Row],[Msr Device Retire-ment Year]]-DY+1),1,1))/(1+WACC)^(DeemedDashboard[[#This Row],[Msr Device Retire-ment Year]]-DeemedDashboard[[#This Row],[Measure Start Year]]+0.5),"")</f>
        <v/>
      </c>
      <c r="CC43" s="299" t="str">
        <f ca="1">IFERROR((DeemedDashboard[[#This Row],[Std EOL leakage tons CO2e]]*OFFSET(GHG_Adder_dollar_per_tonne,0,(DeemedDashboard[[#This Row],[Std Device Retire-ment Year]]-DY+1),1,1))/(1+WACC)^(DeemedDashboard[[#This Row],[Std Device Retire-ment Year]]-DeemedDashboard[[#This Row],[Measure Start Year]]+0.5),"")</f>
        <v/>
      </c>
      <c r="CD43" s="299" t="str">
        <f ca="1">IFERROR((DeemedDashboard[[#This Row],[Pre EOL leakage tons CO2e]]*OFFSET(GHG_Adder_dollar_per_tonne,0,(DeemedDashboard[[#This Row],[Measure Start Year]]-DY),1,1))/(1+WACC)^(-0.5),"")</f>
        <v/>
      </c>
      <c r="CE4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3" s="299" t="str">
        <f ca="1">IFERROR(DeemedDashboard[[#This Row],[Msr NPV Cost of Annual Leakage]]/(1+ACC_Inflation_Rate)^(DeemedDashboard[[#This Row],[Measure Start Year]]-DY),"")</f>
        <v/>
      </c>
      <c r="CG43" s="299" t="str">
        <f ca="1">IFERROR(DeemedDashboard[[#This Row],[Std NPV Cost of Annual Leakage]]/(1+ACC_Inflation_Rate)^(DeemedDashboard[[#This Row],[Measure Start Year]]-DY),"")</f>
        <v/>
      </c>
      <c r="CH43" s="299" t="str">
        <f>IFERROR(IF(ISBLANK(DeemedDashboard[[#This Row],[MeasAppType]]),NA(),IF(DeemedDashboard[[#This Row],[MeasAppType]]=const_AR,DeemedDashboard[[#This Row],[Pre NPV Cost of Annual Leakage]]/(1+ACC_Inflation_Rate)^(DeemedDashboard[[#This Row],[Measure Start Year]]-DY),"")),"")</f>
        <v/>
      </c>
      <c r="CI43" s="296" t="str">
        <f>IFERROR(IF(ISBLANK(DeemedDashboard[[#This Row],[MeasAppType]]),NA(),IF(DeemedDashboard[[#This Row],[MeasAppType]]=const_AR,DeemedDashboard[[#This Row],[Ext NPV Cost of Annual Leakage]]/(1+ACC_Inflation_Rate)^(DeemedDashboard[[#This Row],[Measure Start Year]]-DY),"")),"")</f>
        <v/>
      </c>
      <c r="CJ43" s="296" t="str">
        <f ca="1">IFERROR((DeemedDashboard[[#This Row],[Msr % of device lifetime during measure years]]+DeemedDashboard[[#This Row],[Msr % of device lifetime retired early]])*DeemedDashboard[[#This Row],[Msr NPV Cost of EOL Leakage]]/(1+ACC_Inflation_Rate)^(DeemedDashboard[[#This Row],[Measure Start Year]]-DY),"")</f>
        <v/>
      </c>
      <c r="CK43" s="296" t="str">
        <f ca="1">IFERROR((DeemedDashboard[[#This Row],[Std % of device lifetime during measure years]]+DeemedDashboard[[#This Row],[Std % of device lifetime retired early]])*DeemedDashboard[[#This Row],[Std NPV Cost of EOL Leakage]]/(1+ACC_Inflation_Rate)^(DeemedDashboard[[#This Row],[Measure Start Year]]-DY),"")</f>
        <v/>
      </c>
      <c r="CL4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3" s="299" t="str">
        <f ca="1">IFERROR(DeemedDashboard[[#This Row],[Counter-factual total 
NPV cost]]-DeemedDashboard[[#This Row],[Measure total 
NPV cost]],"")</f>
        <v/>
      </c>
      <c r="CQ43" s="299" t="str">
        <f>IF(ISBLANK(DeemedDashboard[[#This Row],[MeasAppType]]),"",DeemedDashboard[[#This Row],[Refrigerant
NPV costs
avoided]]&gt;0)</f>
        <v/>
      </c>
      <c r="CR43" s="299" t="str">
        <f ca="1">IFERROR(DeemedDashboard[[#This Row],[Msr Adj NPV Cost of Annual Leakage]]+DeemedDashboard[[#This Row],[Msr Adj NPV Cost of EOL Leakage]],"")</f>
        <v/>
      </c>
      <c r="CS43" s="299" t="str">
        <f ca="1">IFERROR(DeemedDashboard[[#This Row],[Std Adj NPV Cost of Annual Leakage]]+DeemedDashboard[[#This Row],[Std Adj NPV Cost of EOL Leakage]],"")</f>
        <v/>
      </c>
      <c r="CT43" s="299" t="str">
        <f>IFERROR(IF((DeemedDashboard[[#This Row],[Pre Adj NPV Cost of Annual Leakage]]+DeemedDashboard[[#This Row],[Pre Adj NPV Cost of EOL Leakage]])=0,"",DeemedDashboard[[#This Row],[Pre Adj NPV Cost of Annual Leakage]]+DeemedDashboard[[#This Row],[Pre Adj NPV Cost of EOL Leakage]]),"")</f>
        <v/>
      </c>
      <c r="CU43" s="299" t="str">
        <f>IFERROR(IF((DeemedDashboard[[#This Row],[Ext Adj NPV Cost of Annual Leakage]]+DeemedDashboard[[#This Row],[Ext Adj NPV Cost of EOL Leakage]])=0,"",DeemedDashboard[[#This Row],[Ext Adj NPV Cost of Annual Leakage]]+DeemedDashboard[[#This Row],[Ext Adj NPV Cost of EOL Leakage]]),"")</f>
        <v/>
      </c>
      <c r="CV43" s="299" t="str">
        <f>IFERROR(IF(DeemedDashboard[[#This Row],[Is Avoided Net Cost &gt;0?]],"",-DeemedDashboard[[#This Row],[Refrigerant
NPV costs
avoided]]),"")</f>
        <v/>
      </c>
      <c r="CW43" s="299" t="str">
        <f>IFERROR(IF(DeemedDashboard[[#This Row],[Is Avoided Net Cost &gt;0?]],DeemedDashboard[[#This Row],[Refrigerant
NPV costs
avoided]],""),"")</f>
        <v/>
      </c>
      <c r="CX43" s="391">
        <f ca="1">IFERROR(MATCH(DeemedDashboard[[#This Row],[TechGroup and NormUnit]],TechGroup_and_NormUnit,0),1)</f>
        <v>1</v>
      </c>
      <c r="CY43" s="391" cm="1">
        <f t="array" aca="1" ref="CY43" ca="1">IFERROR(INDEX(TGRows,DeemedDashboard[[#This Row],[TGIndex]]),"")</f>
        <v>2</v>
      </c>
      <c r="CZ43" s="391">
        <f ca="1">IF(DeemedDashboard[[#This Row],[MeasAppType]]=const_AR,DeemedDashboard[[#This Row],[TGRows]],DeemedDashboard[[#This Row],[TGRows]]+1)</f>
        <v>3</v>
      </c>
      <c r="DA43" s="391" t="str">
        <f>IF(ISBLANK(DeemedDashboard[[#This Row],[MeasAppType]]),"",IF(DeemedDashboard[[#This Row],[Index]]=User_Specified_Refrigerant[[#This Row],[Index]],"OK","ERROR"))</f>
        <v/>
      </c>
    </row>
    <row r="44" spans="1:105" s="320" customFormat="1" x14ac:dyDescent="0.25">
      <c r="A44" s="297">
        <f>ROW(DeemedDashboard[[#This Row],[Index]])-ROW(DeemedDashboard[[#Headers],[Index]])</f>
        <v>35</v>
      </c>
      <c r="B44" s="298"/>
      <c r="C44" s="321"/>
      <c r="D44" s="403"/>
      <c r="E44" s="403"/>
      <c r="F44" s="403"/>
      <c r="G44" s="403"/>
      <c r="H44" s="366"/>
      <c r="I44" s="339"/>
      <c r="J44" s="339"/>
      <c r="K44" s="339"/>
      <c r="L44" s="322"/>
      <c r="M44" s="322"/>
      <c r="N44" s="322"/>
      <c r="O4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4" s="582" t="str" cm="1">
        <f t="array" ref="R44">IFERROR(IF(DeemedDashboard[[#This Row],[Msr device type]]=const_device_nonrefrig,0,INDEX(_xlfn.SWITCH($E$4,const_20_yr,GWP_Values_20_year_AR4,const_100_yr,GWP_Values_100_year_AR4),MATCH(DeemedDashboard[[#This Row],[Msr refrigerant Type]],RefrigDropdownList,0))),"")</f>
        <v/>
      </c>
      <c r="S44" s="582" t="str" cm="1">
        <f t="array" ref="S44">IFERROR(IF(DeemedDashboard[[#This Row],[Std device type]]=const_device_nonrefrig,0,INDEX(_xlfn.SWITCH($E$4,const_20_yr,GWP_Values_20_year_AR4,const_100_yr,GWP_Values_100_year_AR4),MATCH(DeemedDashboard[[#This Row],[Std refrigerant Type]],RefrigDropdownList,0))),"")</f>
        <v/>
      </c>
      <c r="T44" s="582" t="str" cm="1">
        <f t="array" ref="T44">IFERROR(IF(DeemedDashboard[[#This Row],[Pre/Ext device type]]=const_device_nonrefrig,0,INDEX(_xlfn.SWITCH($E$4,const_20_yr,GWP_Values_20_year_AR4,const_100_yr,GWP_Values_100_year_AR4),MATCH(DeemedDashboard[[#This Row],[Pre/Ext refrigerant Type]],RefrigDropdownList,0))),"")</f>
        <v/>
      </c>
      <c r="U4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4" s="326" t="str">
        <f>IFERROR(IF(DeemedDashboard[[#This Row],[Msr device type]]=const_userspec,IF(ISBLANK(User_Specified_Refrigerant[[#This Row],[Msr t_EOL]]),"",User_Specified_Refrigerant[[#This Row],[Msr t_EOL]]),INDEX(TechGroup_NormUnit_Table[t_EOL],MATCH(DeemedDashboard[[#This Row],[Msr device type]],DropdownRefrigTech,0))),"")</f>
        <v/>
      </c>
      <c r="AB44" s="326" t="str">
        <f>IFERROR(IF(DeemedDashboard[[#This Row],[Std device type]]=const_userspec,IF(ISBLANK(User_Specified_Refrigerant[[#This Row],[Std t_EOL]]),"",User_Specified_Refrigerant[[#This Row],[Std t_EOL]]),INDEX(TechGroup_NormUnit_Table[t_EOL],MATCH(DeemedDashboard[[#This Row],[Std device type]],DropdownRefrigTech,0))),"")</f>
        <v/>
      </c>
      <c r="AC4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4" s="395" t="str">
        <f>IF(ISBLANK(DeemedDashboard[[#This Row],[MeasAppType]]),"",$E$2)</f>
        <v/>
      </c>
      <c r="AE44" s="395" t="str">
        <f>IFERROR(IF(ISBLANK(DeemedDashboard[[#This Row],[MeasAppType]]),NA(),DeemedDashboard[[#This Row],[Measure Start Year]]+DeemedDashboard[[#This Row],[Msr EUL rounded]]-1),"")</f>
        <v/>
      </c>
      <c r="AF44" s="323" t="str">
        <f>IF(ISBLANK(DeemedDashboard[[#This Row],[Measure New Device EUL]]),"",ROUND(DeemedDashboard[[#This Row],[Measure New Device EUL]],0))</f>
        <v/>
      </c>
      <c r="AG44" s="323" t="str">
        <f>IF(ISBLANK(DeemedDashboard[[#This Row],[Counterfactual New Device EUL]]),"",ROUND(DeemedDashboard[[#This Row],[Counterfactual New Device EUL]],0))</f>
        <v/>
      </c>
      <c r="AH44" s="323" t="str">
        <f>IF(ISBLANK(DeemedDashboard[[#This Row],[Existing Device EUL]]),"",ROUND(DeemedDashboard[[#This Row],[Existing Device EUL]],0))</f>
        <v/>
      </c>
      <c r="AI44" s="323" t="str">
        <f>IF(ISBLANK(DeemedDashboard[[#This Row],[Existing Device RUL or AR First Baseline Life]]),"",ROUND(DeemedDashboard[[#This Row],[Existing Device RUL or AR First Baseline Life]],0))</f>
        <v/>
      </c>
      <c r="AJ44" s="327" t="str">
        <f>DeemedDashboard[[#This Row],[Measure Start Year]]</f>
        <v/>
      </c>
      <c r="AK44" s="327" t="str">
        <f>IF(DeemedDashboard[[#This Row],[MeasAppType]]&lt;&gt;const_AR,DeemedDashboard[[#This Row],[Measure Start Year]],DeemedDashboard[[#This Row],[Ext Device Retire-ment Year]]+1)</f>
        <v/>
      </c>
      <c r="AL44" s="327" t="str">
        <f>IFERROR(IF(DeemedDashboard[[#This Row],[MeasAppType]]=const_AR,DeemedDashboard[[#This Row],[Measure Start Year]]-(DeemedDashboard[[#This Row],[Existing Device EUL]]-DeemedDashboard[[#This Row],[Existing Device RUL or AR First Baseline Life]]),NA()),"")</f>
        <v/>
      </c>
      <c r="AM44" s="327" t="str">
        <f>DeemedDashboard[[#This Row],[Pre Device Install Year]]</f>
        <v/>
      </c>
      <c r="AN44" s="327" t="str">
        <f>IFERROR(IF(ISBLANK(DeemedDashboard[[#This Row],[MeasAppType]]),NA(),DeemedDashboard[[#This Row],[Measure Start Year]]+DeemedDashboard[[#This Row],[Msr EUL rounded]]-1),"")</f>
        <v/>
      </c>
      <c r="AO44" s="327" t="str">
        <f>IFERROR(DeemedDashboard[[#This Row],[Std Device Install Year]]+DeemedDashboard[[#This Row],[Counterfactual New Device EUL]]-1,"")</f>
        <v/>
      </c>
      <c r="AP44" s="327" t="str">
        <f>IFERROR(IF(AND(DeemedDashboard[[#This Row],[MeasAppType]]=const_AR,DeemedDashboard[[#This Row],[Measure Start Year]]&lt;(DeemedDashboard[[#This Row],[Pre Device Install Year]]+DeemedDashboard[[#This Row],[Existing Device EUL]]-1)),DeemedDashboard[[#This Row],[Measure Start Year]]-1,NA()),"")</f>
        <v/>
      </c>
      <c r="AQ44" s="327" t="str">
        <f>IFERROR(IF(DeemedDashboard[[#This Row],[MeasAppType]]=const_AR,DeemedDashboard[[#This Row],[Ext Device Install Year]]+DeemedDashboard[[#This Row],[Existing Device EUL]]-1,NA()),"")</f>
        <v/>
      </c>
      <c r="AR44" s="327" t="str">
        <f>IFERROR(IF(ISBLANK(DeemedDashboard[[#This Row],[MeasAppType]]),NA(),0),"")</f>
        <v/>
      </c>
      <c r="AS44" s="327" t="str">
        <f>IFERROR(IF(ISBLANK(DeemedDashboard[[#This Row],[MeasAppType]]),NA(),0),"")</f>
        <v/>
      </c>
      <c r="AT44" s="327" t="str">
        <f>IF(ISBLANK(DeemedDashboard[[#This Row],[MeasAppType]]),"",IF(DeemedDashboard[[#This Row],[MeasAppType]]&lt;&gt;const_AR,"",(DeemedDashboard[[#This Row],[Pre Device Install Year]]+DeemedDashboard[[#This Row],[Existing Device EUL]]-1)-DeemedDashboard[[#This Row],[Pre Device Retire-ment Year]]))</f>
        <v/>
      </c>
      <c r="AU44" s="327" t="str">
        <f>IF(ISBLANK(DeemedDashboard[[#This Row],[MeasAppType]]),"",IF(DeemedDashboard[[#This Row],[MeasAppType]]=const_AR,0,""))</f>
        <v/>
      </c>
      <c r="AV44" s="328" t="str">
        <f>IF(ISBLANK(DeemedDashboard[[#This Row],[MeasAppType]]),"",MAX((1+MIN(DeemedDashboard[[#This Row],[Msr Device Retire-ment Year]],DeemedDashboard[[#This Row],[Measure End 
Year]])-MAX(DeemedDashboard[[#This Row],[Msr Device Install Year]],DeemedDashboard[[#This Row],[Measure Start Year]])),0))</f>
        <v/>
      </c>
      <c r="AW44" s="328" t="str">
        <f>IF(ISBLANK(DeemedDashboard[[#This Row],[MeasAppType]]),"",MAX((1+MIN(DeemedDashboard[[#This Row],[Std Device Retire-ment Year]],DeemedDashboard[[#This Row],[Measure End 
Year]])-MAX(DeemedDashboard[[#This Row],[Std Device Install Year]],DeemedDashboard[[#This Row],[Measure Start Year]])),0))</f>
        <v/>
      </c>
      <c r="AX4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4" s="329" t="str">
        <f>IF(ISBLANK(DeemedDashboard[[#This Row],[MeasAppType]]),"",IF(DeemedDashboard[[#This Row],[Msr Device Years Over-lapping with Measure Years]]=0,0,DeemedDashboard[[#This Row],[Msr Device Years Over-lapping with Measure Years]]/DeemedDashboard[[#This Row],[Msr EUL rounded]]))</f>
        <v/>
      </c>
      <c r="BA44" s="329" t="str">
        <f>IF(ISBLANK(DeemedDashboard[[#This Row],[MeasAppType]]),"",IF(DeemedDashboard[[#This Row],[Std Device Years Over-lapping with Measure Years]]=0,0,DeemedDashboard[[#This Row],[Std Device Years Over-lapping with Measure Years]]/DeemedDashboard[[#This Row],[Counterfactual New Device EUL]]))</f>
        <v/>
      </c>
      <c r="BB44" s="329" t="str">
        <f>IF(ISBLANK(DeemedDashboard[[#This Row],[MeasAppType]]),"",IFERROR(IF(DeemedDashboard[[#This Row],[Pre Device Years Over-lapping with Measure Years]]=0,0,DeemedDashboard[[#This Row],[Pre Device Years Over-lapping with Measure Years]]/DeemedDashboard[[#This Row],[Existing Device EUL]]),""))</f>
        <v/>
      </c>
      <c r="BC44" s="329" t="str">
        <f>IFERROR(IF(DeemedDashboard[[#This Row],[Ext Device Years Over-lapping with Measure Years]]=0,0,DeemedDashboard[[#This Row],[Ext Device Years Over-lapping with Measure Years]]/DeemedDashboard[[#This Row],[Existing Device EUL]]),"")</f>
        <v/>
      </c>
      <c r="BD44" s="329" t="str">
        <f>IFERROR(IF(DeemedDashboard[[#This Row],[Msr Number of Years device retired early]]=0,0,DeemedDashboard[[#This Row],[Msr Number of Years device retired early]]/DeemedDashboard[[#This Row],[Msr EUL rounded]]),"")</f>
        <v/>
      </c>
      <c r="BE44" s="329" t="str">
        <f>IFERROR(IF(DeemedDashboard[[#This Row],[Std Number of Years device retired early]]=0,0,DeemedDashboard[[#This Row],[Std Number of Years device retired early]]/DeemedDashboard[[#This Row],[Msr EUL rounded]]),"")</f>
        <v/>
      </c>
      <c r="BF44" s="329" t="str">
        <f>IFERROR(IF(DeemedDashboard[[#This Row],[MeasAppType]]&lt;&gt;const_AR,"",IF(DeemedDashboard[[#This Row],[Pre Number of Years device retired early]]=0,0,DeemedDashboard[[#This Row],[Pre Number of Years device retired early]]/DeemedDashboard[[#This Row],[Existing Device EUL]])),"")</f>
        <v/>
      </c>
      <c r="BG44" s="329" t="str">
        <f>IFERROR(IF(DeemedDashboard[[#This Row],[Ext Number of Years device retired early]]=0,0,DeemedDashboard[[#This Row],[Ext Number of Years device retired early]]/DeemedDashboard[[#This Row],[Existing Device EUL]]),"")</f>
        <v/>
      </c>
      <c r="BH44" s="325" t="str">
        <f>IFERROR(1-DeemedDashboard[[#This Row],[Msr annual refrigerant leakage %]]*DeemedDashboard[[#This Row],[Msr t_EOL]],"")</f>
        <v/>
      </c>
      <c r="BI44" s="325" t="str">
        <f>IFERROR(1-DeemedDashboard[[#This Row],[Std annual refrigerant leakage %]]*DeemedDashboard[[#This Row],[Std t_EOL]],"")</f>
        <v/>
      </c>
      <c r="BJ44" s="325" t="str">
        <f>IFERROR(1-DeemedDashboard[[#This Row],[Pre/Ext annual refrigerant leakage %]]*DeemedDashboard[[#This Row],[Pre/Ext t_EOL]],"")</f>
        <v/>
      </c>
      <c r="BK44" s="325" t="str">
        <f>IFERROR(1-DeemedDashboard[[#This Row],[Pre/Ext annual refrigerant leakage %]]*DeemedDashboard[[#This Row],[Pre/Ext t_EOL]],"")</f>
        <v/>
      </c>
      <c r="BL44" s="325" t="str">
        <f>IFERROR(DeemedDashboard[[#This Row],[Msr charging remaining (%)]]*DeemedDashboard[[#This Row],[Msr gross EOL refrigerant leakage %]],"")</f>
        <v/>
      </c>
      <c r="BM44" s="325" t="str">
        <f>IFERROR(DeemedDashboard[[#This Row],[Std charging remaining (%)]]*DeemedDashboard[[#This Row],[Std gross EOL refrigerant leakage %]],"")</f>
        <v/>
      </c>
      <c r="BN44" s="325" t="str">
        <f>IFERROR(DeemedDashboard[[#This Row],[Pre charging remaining (%)]]*DeemedDashboard[[#This Row],[Pre/Ext gross EOL refrigerant leakage %]],"")</f>
        <v/>
      </c>
      <c r="BO44" s="325" t="str">
        <f>IFERROR(DeemedDashboard[[#This Row],[Ext charging remaining (%)]]*DeemedDashboard[[#This Row],[Pre/Ext gross EOL refrigerant leakage %]],"")</f>
        <v/>
      </c>
      <c r="BP44" s="330" t="str">
        <f>IFERROR((DeemedDashboard[[#This Row],[Msr refrigerant charge (lb) per NormUnit]]/pounds_per_metric_ton)*DeemedDashboard[[#This Row],[Msr annual refrigerant leakage %]]*DeemedDashboard[[#This Row],[Msr GWP]],"")</f>
        <v/>
      </c>
      <c r="BQ44" s="330" t="str">
        <f>IFERROR((DeemedDashboard[[#This Row],[Std refrigerant charge (lb) per NormUnit]]/pounds_per_metric_ton)*DeemedDashboard[[#This Row],[Std annual refrigerant leakage %]]*DeemedDashboard[[#This Row],[Std GWP]],"")</f>
        <v/>
      </c>
      <c r="BR44" s="330" t="str">
        <f>IF(DeemedDashboard[[#This Row],[MeasAppType]]=const_AR,(DeemedDashboard[[#This Row],[Pre/Ext refrigerant charge (lb) per NormUnit]]/pounds_per_metric_ton)*DeemedDashboard[[#This Row],[Pre/Ext annual refrigerant leakage %]]*DeemedDashboard[[#This Row],[Pre/Ext GWP]],"")</f>
        <v/>
      </c>
      <c r="BS44" s="330" t="str">
        <f>IF(DeemedDashboard[[#This Row],[MeasAppType]]=const_AR,(DeemedDashboard[[#This Row],[Pre/Ext refrigerant charge (lb) per NormUnit]]/pounds_per_metric_ton)*DeemedDashboard[[#This Row],[Pre/Ext annual refrigerant leakage %]]*DeemedDashboard[[#This Row],[Pre/Ext GWP]],"")</f>
        <v/>
      </c>
      <c r="BT44" s="330" t="str">
        <f>IFERROR((DeemedDashboard[[#This Row],[Msr refrigerant charge (lb) per NormUnit]]/pounds_per_metric_ton)*DeemedDashboard[[#This Row],[Msr net EOL refrigerant leakage (%)]]*DeemedDashboard[[#This Row],[Msr GWP]],"")</f>
        <v/>
      </c>
      <c r="BU44" s="330" t="str">
        <f>IFERROR((DeemedDashboard[[#This Row],[Std refrigerant charge (lb) per NormUnit]]/pounds_per_metric_ton)*DeemedDashboard[[#This Row],[Std net EOL refrigerant leakage (%)]]*DeemedDashboard[[#This Row],[Std GWP]],"")</f>
        <v/>
      </c>
      <c r="BV44" s="330" t="str">
        <f>IFERROR((DeemedDashboard[[#This Row],[Pre/Ext refrigerant charge (lb) per NormUnit]]/pounds_per_metric_ton)*DeemedDashboard[[#This Row],[Pre net EOL refrigerant leakage (%)]]*DeemedDashboard[[#This Row],[Pre/Ext GWP]],"")</f>
        <v/>
      </c>
      <c r="BW44" s="330" t="str">
        <f>IFERROR((DeemedDashboard[[#This Row],[Pre/Ext refrigerant charge (lb) per NormUnit]]/pounds_per_metric_ton)*DeemedDashboard[[#This Row],[Ext net EOL refrigerant leakage (%)]]*DeemedDashboard[[#This Row],[Pre/Ext GWP]],"")</f>
        <v/>
      </c>
      <c r="BX44" s="299" t="str" cm="1">
        <f t="array" aca="1" ref="BX4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4" s="305" t="str" cm="1">
        <f t="array" aca="1" ref="BY4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4" s="299" t="str">
        <f>IFERROR(IF(OR(DeemedDashboard[[#This Row],[MeasAppType]]&lt;&gt;const_AR,ISBLANK(DeemedDashboard[[#This Row],[MeasAppType]])),NA(),0),"")</f>
        <v/>
      </c>
      <c r="CA44" s="305" t="str" cm="1">
        <f t="array" aca="1" ref="CA4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4" s="299" t="str">
        <f ca="1">IFERROR((DeemedDashboard[[#This Row],[Msr EOL leakage tons CO2e]]*OFFSET(GHG_Adder_dollar_per_tonne,0,(DeemedDashboard[[#This Row],[Msr Device Retire-ment Year]]-DY+1),1,1))/(1+WACC)^(DeemedDashboard[[#This Row],[Msr Device Retire-ment Year]]-DeemedDashboard[[#This Row],[Measure Start Year]]+0.5),"")</f>
        <v/>
      </c>
      <c r="CC44" s="299" t="str">
        <f ca="1">IFERROR((DeemedDashboard[[#This Row],[Std EOL leakage tons CO2e]]*OFFSET(GHG_Adder_dollar_per_tonne,0,(DeemedDashboard[[#This Row],[Std Device Retire-ment Year]]-DY+1),1,1))/(1+WACC)^(DeemedDashboard[[#This Row],[Std Device Retire-ment Year]]-DeemedDashboard[[#This Row],[Measure Start Year]]+0.5),"")</f>
        <v/>
      </c>
      <c r="CD44" s="299" t="str">
        <f ca="1">IFERROR((DeemedDashboard[[#This Row],[Pre EOL leakage tons CO2e]]*OFFSET(GHG_Adder_dollar_per_tonne,0,(DeemedDashboard[[#This Row],[Measure Start Year]]-DY),1,1))/(1+WACC)^(-0.5),"")</f>
        <v/>
      </c>
      <c r="CE4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4" s="299" t="str">
        <f ca="1">IFERROR(DeemedDashboard[[#This Row],[Msr NPV Cost of Annual Leakage]]/(1+ACC_Inflation_Rate)^(DeemedDashboard[[#This Row],[Measure Start Year]]-DY),"")</f>
        <v/>
      </c>
      <c r="CG44" s="299" t="str">
        <f ca="1">IFERROR(DeemedDashboard[[#This Row],[Std NPV Cost of Annual Leakage]]/(1+ACC_Inflation_Rate)^(DeemedDashboard[[#This Row],[Measure Start Year]]-DY),"")</f>
        <v/>
      </c>
      <c r="CH44" s="299" t="str">
        <f>IFERROR(IF(ISBLANK(DeemedDashboard[[#This Row],[MeasAppType]]),NA(),IF(DeemedDashboard[[#This Row],[MeasAppType]]=const_AR,DeemedDashboard[[#This Row],[Pre NPV Cost of Annual Leakage]]/(1+ACC_Inflation_Rate)^(DeemedDashboard[[#This Row],[Measure Start Year]]-DY),"")),"")</f>
        <v/>
      </c>
      <c r="CI44" s="296" t="str">
        <f>IFERROR(IF(ISBLANK(DeemedDashboard[[#This Row],[MeasAppType]]),NA(),IF(DeemedDashboard[[#This Row],[MeasAppType]]=const_AR,DeemedDashboard[[#This Row],[Ext NPV Cost of Annual Leakage]]/(1+ACC_Inflation_Rate)^(DeemedDashboard[[#This Row],[Measure Start Year]]-DY),"")),"")</f>
        <v/>
      </c>
      <c r="CJ44" s="296" t="str">
        <f ca="1">IFERROR((DeemedDashboard[[#This Row],[Msr % of device lifetime during measure years]]+DeemedDashboard[[#This Row],[Msr % of device lifetime retired early]])*DeemedDashboard[[#This Row],[Msr NPV Cost of EOL Leakage]]/(1+ACC_Inflation_Rate)^(DeemedDashboard[[#This Row],[Measure Start Year]]-DY),"")</f>
        <v/>
      </c>
      <c r="CK44" s="296" t="str">
        <f ca="1">IFERROR((DeemedDashboard[[#This Row],[Std % of device lifetime during measure years]]+DeemedDashboard[[#This Row],[Std % of device lifetime retired early]])*DeemedDashboard[[#This Row],[Std NPV Cost of EOL Leakage]]/(1+ACC_Inflation_Rate)^(DeemedDashboard[[#This Row],[Measure Start Year]]-DY),"")</f>
        <v/>
      </c>
      <c r="CL4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4" s="299" t="str">
        <f ca="1">IFERROR(DeemedDashboard[[#This Row],[Counter-factual total 
NPV cost]]-DeemedDashboard[[#This Row],[Measure total 
NPV cost]],"")</f>
        <v/>
      </c>
      <c r="CQ44" s="299" t="str">
        <f>IF(ISBLANK(DeemedDashboard[[#This Row],[MeasAppType]]),"",DeemedDashboard[[#This Row],[Refrigerant
NPV costs
avoided]]&gt;0)</f>
        <v/>
      </c>
      <c r="CR44" s="299" t="str">
        <f ca="1">IFERROR(DeemedDashboard[[#This Row],[Msr Adj NPV Cost of Annual Leakage]]+DeemedDashboard[[#This Row],[Msr Adj NPV Cost of EOL Leakage]],"")</f>
        <v/>
      </c>
      <c r="CS44" s="299" t="str">
        <f ca="1">IFERROR(DeemedDashboard[[#This Row],[Std Adj NPV Cost of Annual Leakage]]+DeemedDashboard[[#This Row],[Std Adj NPV Cost of EOL Leakage]],"")</f>
        <v/>
      </c>
      <c r="CT44" s="299" t="str">
        <f>IFERROR(IF((DeemedDashboard[[#This Row],[Pre Adj NPV Cost of Annual Leakage]]+DeemedDashboard[[#This Row],[Pre Adj NPV Cost of EOL Leakage]])=0,"",DeemedDashboard[[#This Row],[Pre Adj NPV Cost of Annual Leakage]]+DeemedDashboard[[#This Row],[Pre Adj NPV Cost of EOL Leakage]]),"")</f>
        <v/>
      </c>
      <c r="CU44" s="299" t="str">
        <f>IFERROR(IF((DeemedDashboard[[#This Row],[Ext Adj NPV Cost of Annual Leakage]]+DeemedDashboard[[#This Row],[Ext Adj NPV Cost of EOL Leakage]])=0,"",DeemedDashboard[[#This Row],[Ext Adj NPV Cost of Annual Leakage]]+DeemedDashboard[[#This Row],[Ext Adj NPV Cost of EOL Leakage]]),"")</f>
        <v/>
      </c>
      <c r="CV44" s="299" t="str">
        <f>IFERROR(IF(DeemedDashboard[[#This Row],[Is Avoided Net Cost &gt;0?]],"",-DeemedDashboard[[#This Row],[Refrigerant
NPV costs
avoided]]),"")</f>
        <v/>
      </c>
      <c r="CW44" s="299" t="str">
        <f>IFERROR(IF(DeemedDashboard[[#This Row],[Is Avoided Net Cost &gt;0?]],DeemedDashboard[[#This Row],[Refrigerant
NPV costs
avoided]],""),"")</f>
        <v/>
      </c>
      <c r="CX44" s="391">
        <f ca="1">IFERROR(MATCH(DeemedDashboard[[#This Row],[TechGroup and NormUnit]],TechGroup_and_NormUnit,0),1)</f>
        <v>1</v>
      </c>
      <c r="CY44" s="391" cm="1">
        <f t="array" aca="1" ref="CY44" ca="1">IFERROR(INDEX(TGRows,DeemedDashboard[[#This Row],[TGIndex]]),"")</f>
        <v>2</v>
      </c>
      <c r="CZ44" s="391">
        <f ca="1">IF(DeemedDashboard[[#This Row],[MeasAppType]]=const_AR,DeemedDashboard[[#This Row],[TGRows]],DeemedDashboard[[#This Row],[TGRows]]+1)</f>
        <v>3</v>
      </c>
      <c r="DA44" s="391" t="str">
        <f>IF(ISBLANK(DeemedDashboard[[#This Row],[MeasAppType]]),"",IF(DeemedDashboard[[#This Row],[Index]]=User_Specified_Refrigerant[[#This Row],[Index]],"OK","ERROR"))</f>
        <v/>
      </c>
    </row>
    <row r="45" spans="1:105" s="320" customFormat="1" x14ac:dyDescent="0.25">
      <c r="A45" s="297">
        <f>ROW(DeemedDashboard[[#This Row],[Index]])-ROW(DeemedDashboard[[#Headers],[Index]])</f>
        <v>36</v>
      </c>
      <c r="B45" s="298"/>
      <c r="C45" s="321"/>
      <c r="D45" s="403"/>
      <c r="E45" s="403"/>
      <c r="F45" s="403"/>
      <c r="G45" s="403"/>
      <c r="H45" s="366"/>
      <c r="I45" s="339"/>
      <c r="J45" s="339"/>
      <c r="K45" s="339"/>
      <c r="L45" s="322"/>
      <c r="M45" s="322"/>
      <c r="N45" s="322"/>
      <c r="O4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5" s="582" t="str" cm="1">
        <f t="array" ref="R45">IFERROR(IF(DeemedDashboard[[#This Row],[Msr device type]]=const_device_nonrefrig,0,INDEX(_xlfn.SWITCH($E$4,const_20_yr,GWP_Values_20_year_AR4,const_100_yr,GWP_Values_100_year_AR4),MATCH(DeemedDashboard[[#This Row],[Msr refrigerant Type]],RefrigDropdownList,0))),"")</f>
        <v/>
      </c>
      <c r="S45" s="582" t="str" cm="1">
        <f t="array" ref="S45">IFERROR(IF(DeemedDashboard[[#This Row],[Std device type]]=const_device_nonrefrig,0,INDEX(_xlfn.SWITCH($E$4,const_20_yr,GWP_Values_20_year_AR4,const_100_yr,GWP_Values_100_year_AR4),MATCH(DeemedDashboard[[#This Row],[Std refrigerant Type]],RefrigDropdownList,0))),"")</f>
        <v/>
      </c>
      <c r="T45" s="582" t="str" cm="1">
        <f t="array" ref="T45">IFERROR(IF(DeemedDashboard[[#This Row],[Pre/Ext device type]]=const_device_nonrefrig,0,INDEX(_xlfn.SWITCH($E$4,const_20_yr,GWP_Values_20_year_AR4,const_100_yr,GWP_Values_100_year_AR4),MATCH(DeemedDashboard[[#This Row],[Pre/Ext refrigerant Type]],RefrigDropdownList,0))),"")</f>
        <v/>
      </c>
      <c r="U4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5" s="326" t="str">
        <f>IFERROR(IF(DeemedDashboard[[#This Row],[Msr device type]]=const_userspec,IF(ISBLANK(User_Specified_Refrigerant[[#This Row],[Msr t_EOL]]),"",User_Specified_Refrigerant[[#This Row],[Msr t_EOL]]),INDEX(TechGroup_NormUnit_Table[t_EOL],MATCH(DeemedDashboard[[#This Row],[Msr device type]],DropdownRefrigTech,0))),"")</f>
        <v/>
      </c>
      <c r="AB45" s="326" t="str">
        <f>IFERROR(IF(DeemedDashboard[[#This Row],[Std device type]]=const_userspec,IF(ISBLANK(User_Specified_Refrigerant[[#This Row],[Std t_EOL]]),"",User_Specified_Refrigerant[[#This Row],[Std t_EOL]]),INDEX(TechGroup_NormUnit_Table[t_EOL],MATCH(DeemedDashboard[[#This Row],[Std device type]],DropdownRefrigTech,0))),"")</f>
        <v/>
      </c>
      <c r="AC4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5" s="395" t="str">
        <f>IF(ISBLANK(DeemedDashboard[[#This Row],[MeasAppType]]),"",$E$2)</f>
        <v/>
      </c>
      <c r="AE45" s="395" t="str">
        <f>IFERROR(IF(ISBLANK(DeemedDashboard[[#This Row],[MeasAppType]]),NA(),DeemedDashboard[[#This Row],[Measure Start Year]]+DeemedDashboard[[#This Row],[Msr EUL rounded]]-1),"")</f>
        <v/>
      </c>
      <c r="AF45" s="323" t="str">
        <f>IF(ISBLANK(DeemedDashboard[[#This Row],[Measure New Device EUL]]),"",ROUND(DeemedDashboard[[#This Row],[Measure New Device EUL]],0))</f>
        <v/>
      </c>
      <c r="AG45" s="323" t="str">
        <f>IF(ISBLANK(DeemedDashboard[[#This Row],[Counterfactual New Device EUL]]),"",ROUND(DeemedDashboard[[#This Row],[Counterfactual New Device EUL]],0))</f>
        <v/>
      </c>
      <c r="AH45" s="323" t="str">
        <f>IF(ISBLANK(DeemedDashboard[[#This Row],[Existing Device EUL]]),"",ROUND(DeemedDashboard[[#This Row],[Existing Device EUL]],0))</f>
        <v/>
      </c>
      <c r="AI45" s="323" t="str">
        <f>IF(ISBLANK(DeemedDashboard[[#This Row],[Existing Device RUL or AR First Baseline Life]]),"",ROUND(DeemedDashboard[[#This Row],[Existing Device RUL or AR First Baseline Life]],0))</f>
        <v/>
      </c>
      <c r="AJ45" s="327" t="str">
        <f>DeemedDashboard[[#This Row],[Measure Start Year]]</f>
        <v/>
      </c>
      <c r="AK45" s="327" t="str">
        <f>IF(DeemedDashboard[[#This Row],[MeasAppType]]&lt;&gt;const_AR,DeemedDashboard[[#This Row],[Measure Start Year]],DeemedDashboard[[#This Row],[Ext Device Retire-ment Year]]+1)</f>
        <v/>
      </c>
      <c r="AL45" s="327" t="str">
        <f>IFERROR(IF(DeemedDashboard[[#This Row],[MeasAppType]]=const_AR,DeemedDashboard[[#This Row],[Measure Start Year]]-(DeemedDashboard[[#This Row],[Existing Device EUL]]-DeemedDashboard[[#This Row],[Existing Device RUL or AR First Baseline Life]]),NA()),"")</f>
        <v/>
      </c>
      <c r="AM45" s="327" t="str">
        <f>DeemedDashboard[[#This Row],[Pre Device Install Year]]</f>
        <v/>
      </c>
      <c r="AN45" s="327" t="str">
        <f>IFERROR(IF(ISBLANK(DeemedDashboard[[#This Row],[MeasAppType]]),NA(),DeemedDashboard[[#This Row],[Measure Start Year]]+DeemedDashboard[[#This Row],[Msr EUL rounded]]-1),"")</f>
        <v/>
      </c>
      <c r="AO45" s="327" t="str">
        <f>IFERROR(DeemedDashboard[[#This Row],[Std Device Install Year]]+DeemedDashboard[[#This Row],[Counterfactual New Device EUL]]-1,"")</f>
        <v/>
      </c>
      <c r="AP45" s="327" t="str">
        <f>IFERROR(IF(AND(DeemedDashboard[[#This Row],[MeasAppType]]=const_AR,DeemedDashboard[[#This Row],[Measure Start Year]]&lt;(DeemedDashboard[[#This Row],[Pre Device Install Year]]+DeemedDashboard[[#This Row],[Existing Device EUL]]-1)),DeemedDashboard[[#This Row],[Measure Start Year]]-1,NA()),"")</f>
        <v/>
      </c>
      <c r="AQ45" s="327" t="str">
        <f>IFERROR(IF(DeemedDashboard[[#This Row],[MeasAppType]]=const_AR,DeemedDashboard[[#This Row],[Ext Device Install Year]]+DeemedDashboard[[#This Row],[Existing Device EUL]]-1,NA()),"")</f>
        <v/>
      </c>
      <c r="AR45" s="327" t="str">
        <f>IFERROR(IF(ISBLANK(DeemedDashboard[[#This Row],[MeasAppType]]),NA(),0),"")</f>
        <v/>
      </c>
      <c r="AS45" s="327" t="str">
        <f>IFERROR(IF(ISBLANK(DeemedDashboard[[#This Row],[MeasAppType]]),NA(),0),"")</f>
        <v/>
      </c>
      <c r="AT45" s="327" t="str">
        <f>IF(ISBLANK(DeemedDashboard[[#This Row],[MeasAppType]]),"",IF(DeemedDashboard[[#This Row],[MeasAppType]]&lt;&gt;const_AR,"",(DeemedDashboard[[#This Row],[Pre Device Install Year]]+DeemedDashboard[[#This Row],[Existing Device EUL]]-1)-DeemedDashboard[[#This Row],[Pre Device Retire-ment Year]]))</f>
        <v/>
      </c>
      <c r="AU45" s="327" t="str">
        <f>IF(ISBLANK(DeemedDashboard[[#This Row],[MeasAppType]]),"",IF(DeemedDashboard[[#This Row],[MeasAppType]]=const_AR,0,""))</f>
        <v/>
      </c>
      <c r="AV45" s="328" t="str">
        <f>IF(ISBLANK(DeemedDashboard[[#This Row],[MeasAppType]]),"",MAX((1+MIN(DeemedDashboard[[#This Row],[Msr Device Retire-ment Year]],DeemedDashboard[[#This Row],[Measure End 
Year]])-MAX(DeemedDashboard[[#This Row],[Msr Device Install Year]],DeemedDashboard[[#This Row],[Measure Start Year]])),0))</f>
        <v/>
      </c>
      <c r="AW45" s="328" t="str">
        <f>IF(ISBLANK(DeemedDashboard[[#This Row],[MeasAppType]]),"",MAX((1+MIN(DeemedDashboard[[#This Row],[Std Device Retire-ment Year]],DeemedDashboard[[#This Row],[Measure End 
Year]])-MAX(DeemedDashboard[[#This Row],[Std Device Install Year]],DeemedDashboard[[#This Row],[Measure Start Year]])),0))</f>
        <v/>
      </c>
      <c r="AX4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5" s="329" t="str">
        <f>IF(ISBLANK(DeemedDashboard[[#This Row],[MeasAppType]]),"",IF(DeemedDashboard[[#This Row],[Msr Device Years Over-lapping with Measure Years]]=0,0,DeemedDashboard[[#This Row],[Msr Device Years Over-lapping with Measure Years]]/DeemedDashboard[[#This Row],[Msr EUL rounded]]))</f>
        <v/>
      </c>
      <c r="BA45" s="329" t="str">
        <f>IF(ISBLANK(DeemedDashboard[[#This Row],[MeasAppType]]),"",IF(DeemedDashboard[[#This Row],[Std Device Years Over-lapping with Measure Years]]=0,0,DeemedDashboard[[#This Row],[Std Device Years Over-lapping with Measure Years]]/DeemedDashboard[[#This Row],[Counterfactual New Device EUL]]))</f>
        <v/>
      </c>
      <c r="BB45" s="329" t="str">
        <f>IF(ISBLANK(DeemedDashboard[[#This Row],[MeasAppType]]),"",IFERROR(IF(DeemedDashboard[[#This Row],[Pre Device Years Over-lapping with Measure Years]]=0,0,DeemedDashboard[[#This Row],[Pre Device Years Over-lapping with Measure Years]]/DeemedDashboard[[#This Row],[Existing Device EUL]]),""))</f>
        <v/>
      </c>
      <c r="BC45" s="329" t="str">
        <f>IFERROR(IF(DeemedDashboard[[#This Row],[Ext Device Years Over-lapping with Measure Years]]=0,0,DeemedDashboard[[#This Row],[Ext Device Years Over-lapping with Measure Years]]/DeemedDashboard[[#This Row],[Existing Device EUL]]),"")</f>
        <v/>
      </c>
      <c r="BD45" s="329" t="str">
        <f>IFERROR(IF(DeemedDashboard[[#This Row],[Msr Number of Years device retired early]]=0,0,DeemedDashboard[[#This Row],[Msr Number of Years device retired early]]/DeemedDashboard[[#This Row],[Msr EUL rounded]]),"")</f>
        <v/>
      </c>
      <c r="BE45" s="329" t="str">
        <f>IFERROR(IF(DeemedDashboard[[#This Row],[Std Number of Years device retired early]]=0,0,DeemedDashboard[[#This Row],[Std Number of Years device retired early]]/DeemedDashboard[[#This Row],[Msr EUL rounded]]),"")</f>
        <v/>
      </c>
      <c r="BF45" s="329" t="str">
        <f>IFERROR(IF(DeemedDashboard[[#This Row],[MeasAppType]]&lt;&gt;const_AR,"",IF(DeemedDashboard[[#This Row],[Pre Number of Years device retired early]]=0,0,DeemedDashboard[[#This Row],[Pre Number of Years device retired early]]/DeemedDashboard[[#This Row],[Existing Device EUL]])),"")</f>
        <v/>
      </c>
      <c r="BG45" s="329" t="str">
        <f>IFERROR(IF(DeemedDashboard[[#This Row],[Ext Number of Years device retired early]]=0,0,DeemedDashboard[[#This Row],[Ext Number of Years device retired early]]/DeemedDashboard[[#This Row],[Existing Device EUL]]),"")</f>
        <v/>
      </c>
      <c r="BH45" s="325" t="str">
        <f>IFERROR(1-DeemedDashboard[[#This Row],[Msr annual refrigerant leakage %]]*DeemedDashboard[[#This Row],[Msr t_EOL]],"")</f>
        <v/>
      </c>
      <c r="BI45" s="325" t="str">
        <f>IFERROR(1-DeemedDashboard[[#This Row],[Std annual refrigerant leakage %]]*DeemedDashboard[[#This Row],[Std t_EOL]],"")</f>
        <v/>
      </c>
      <c r="BJ45" s="325" t="str">
        <f>IFERROR(1-DeemedDashboard[[#This Row],[Pre/Ext annual refrigerant leakage %]]*DeemedDashboard[[#This Row],[Pre/Ext t_EOL]],"")</f>
        <v/>
      </c>
      <c r="BK45" s="325" t="str">
        <f>IFERROR(1-DeemedDashboard[[#This Row],[Pre/Ext annual refrigerant leakage %]]*DeemedDashboard[[#This Row],[Pre/Ext t_EOL]],"")</f>
        <v/>
      </c>
      <c r="BL45" s="325" t="str">
        <f>IFERROR(DeemedDashboard[[#This Row],[Msr charging remaining (%)]]*DeemedDashboard[[#This Row],[Msr gross EOL refrigerant leakage %]],"")</f>
        <v/>
      </c>
      <c r="BM45" s="325" t="str">
        <f>IFERROR(DeemedDashboard[[#This Row],[Std charging remaining (%)]]*DeemedDashboard[[#This Row],[Std gross EOL refrigerant leakage %]],"")</f>
        <v/>
      </c>
      <c r="BN45" s="325" t="str">
        <f>IFERROR(DeemedDashboard[[#This Row],[Pre charging remaining (%)]]*DeemedDashboard[[#This Row],[Pre/Ext gross EOL refrigerant leakage %]],"")</f>
        <v/>
      </c>
      <c r="BO45" s="325" t="str">
        <f>IFERROR(DeemedDashboard[[#This Row],[Ext charging remaining (%)]]*DeemedDashboard[[#This Row],[Pre/Ext gross EOL refrigerant leakage %]],"")</f>
        <v/>
      </c>
      <c r="BP45" s="330" t="str">
        <f>IFERROR((DeemedDashboard[[#This Row],[Msr refrigerant charge (lb) per NormUnit]]/pounds_per_metric_ton)*DeemedDashboard[[#This Row],[Msr annual refrigerant leakage %]]*DeemedDashboard[[#This Row],[Msr GWP]],"")</f>
        <v/>
      </c>
      <c r="BQ45" s="330" t="str">
        <f>IFERROR((DeemedDashboard[[#This Row],[Std refrigerant charge (lb) per NormUnit]]/pounds_per_metric_ton)*DeemedDashboard[[#This Row],[Std annual refrigerant leakage %]]*DeemedDashboard[[#This Row],[Std GWP]],"")</f>
        <v/>
      </c>
      <c r="BR45" s="330" t="str">
        <f>IF(DeemedDashboard[[#This Row],[MeasAppType]]=const_AR,(DeemedDashboard[[#This Row],[Pre/Ext refrigerant charge (lb) per NormUnit]]/pounds_per_metric_ton)*DeemedDashboard[[#This Row],[Pre/Ext annual refrigerant leakage %]]*DeemedDashboard[[#This Row],[Pre/Ext GWP]],"")</f>
        <v/>
      </c>
      <c r="BS45" s="330" t="str">
        <f>IF(DeemedDashboard[[#This Row],[MeasAppType]]=const_AR,(DeemedDashboard[[#This Row],[Pre/Ext refrigerant charge (lb) per NormUnit]]/pounds_per_metric_ton)*DeemedDashboard[[#This Row],[Pre/Ext annual refrigerant leakage %]]*DeemedDashboard[[#This Row],[Pre/Ext GWP]],"")</f>
        <v/>
      </c>
      <c r="BT45" s="330" t="str">
        <f>IFERROR((DeemedDashboard[[#This Row],[Msr refrigerant charge (lb) per NormUnit]]/pounds_per_metric_ton)*DeemedDashboard[[#This Row],[Msr net EOL refrigerant leakage (%)]]*DeemedDashboard[[#This Row],[Msr GWP]],"")</f>
        <v/>
      </c>
      <c r="BU45" s="330" t="str">
        <f>IFERROR((DeemedDashboard[[#This Row],[Std refrigerant charge (lb) per NormUnit]]/pounds_per_metric_ton)*DeemedDashboard[[#This Row],[Std net EOL refrigerant leakage (%)]]*DeemedDashboard[[#This Row],[Std GWP]],"")</f>
        <v/>
      </c>
      <c r="BV45" s="330" t="str">
        <f>IFERROR((DeemedDashboard[[#This Row],[Pre/Ext refrigerant charge (lb) per NormUnit]]/pounds_per_metric_ton)*DeemedDashboard[[#This Row],[Pre net EOL refrigerant leakage (%)]]*DeemedDashboard[[#This Row],[Pre/Ext GWP]],"")</f>
        <v/>
      </c>
      <c r="BW45" s="330" t="str">
        <f>IFERROR((DeemedDashboard[[#This Row],[Pre/Ext refrigerant charge (lb) per NormUnit]]/pounds_per_metric_ton)*DeemedDashboard[[#This Row],[Ext net EOL refrigerant leakage (%)]]*DeemedDashboard[[#This Row],[Pre/Ext GWP]],"")</f>
        <v/>
      </c>
      <c r="BX45" s="299" t="str" cm="1">
        <f t="array" aca="1" ref="BX4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5" s="305" t="str" cm="1">
        <f t="array" aca="1" ref="BY4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5" s="299" t="str">
        <f>IFERROR(IF(OR(DeemedDashboard[[#This Row],[MeasAppType]]&lt;&gt;const_AR,ISBLANK(DeemedDashboard[[#This Row],[MeasAppType]])),NA(),0),"")</f>
        <v/>
      </c>
      <c r="CA45" s="305" t="str" cm="1">
        <f t="array" aca="1" ref="CA4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5" s="299" t="str">
        <f ca="1">IFERROR((DeemedDashboard[[#This Row],[Msr EOL leakage tons CO2e]]*OFFSET(GHG_Adder_dollar_per_tonne,0,(DeemedDashboard[[#This Row],[Msr Device Retire-ment Year]]-DY+1),1,1))/(1+WACC)^(DeemedDashboard[[#This Row],[Msr Device Retire-ment Year]]-DeemedDashboard[[#This Row],[Measure Start Year]]+0.5),"")</f>
        <v/>
      </c>
      <c r="CC45" s="299" t="str">
        <f ca="1">IFERROR((DeemedDashboard[[#This Row],[Std EOL leakage tons CO2e]]*OFFSET(GHG_Adder_dollar_per_tonne,0,(DeemedDashboard[[#This Row],[Std Device Retire-ment Year]]-DY+1),1,1))/(1+WACC)^(DeemedDashboard[[#This Row],[Std Device Retire-ment Year]]-DeemedDashboard[[#This Row],[Measure Start Year]]+0.5),"")</f>
        <v/>
      </c>
      <c r="CD45" s="299" t="str">
        <f ca="1">IFERROR((DeemedDashboard[[#This Row],[Pre EOL leakage tons CO2e]]*OFFSET(GHG_Adder_dollar_per_tonne,0,(DeemedDashboard[[#This Row],[Measure Start Year]]-DY),1,1))/(1+WACC)^(-0.5),"")</f>
        <v/>
      </c>
      <c r="CE4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5" s="299" t="str">
        <f ca="1">IFERROR(DeemedDashboard[[#This Row],[Msr NPV Cost of Annual Leakage]]/(1+ACC_Inflation_Rate)^(DeemedDashboard[[#This Row],[Measure Start Year]]-DY),"")</f>
        <v/>
      </c>
      <c r="CG45" s="299" t="str">
        <f ca="1">IFERROR(DeemedDashboard[[#This Row],[Std NPV Cost of Annual Leakage]]/(1+ACC_Inflation_Rate)^(DeemedDashboard[[#This Row],[Measure Start Year]]-DY),"")</f>
        <v/>
      </c>
      <c r="CH45" s="299" t="str">
        <f>IFERROR(IF(ISBLANK(DeemedDashboard[[#This Row],[MeasAppType]]),NA(),IF(DeemedDashboard[[#This Row],[MeasAppType]]=const_AR,DeemedDashboard[[#This Row],[Pre NPV Cost of Annual Leakage]]/(1+ACC_Inflation_Rate)^(DeemedDashboard[[#This Row],[Measure Start Year]]-DY),"")),"")</f>
        <v/>
      </c>
      <c r="CI45" s="296" t="str">
        <f>IFERROR(IF(ISBLANK(DeemedDashboard[[#This Row],[MeasAppType]]),NA(),IF(DeemedDashboard[[#This Row],[MeasAppType]]=const_AR,DeemedDashboard[[#This Row],[Ext NPV Cost of Annual Leakage]]/(1+ACC_Inflation_Rate)^(DeemedDashboard[[#This Row],[Measure Start Year]]-DY),"")),"")</f>
        <v/>
      </c>
      <c r="CJ45" s="296" t="str">
        <f ca="1">IFERROR((DeemedDashboard[[#This Row],[Msr % of device lifetime during measure years]]+DeemedDashboard[[#This Row],[Msr % of device lifetime retired early]])*DeemedDashboard[[#This Row],[Msr NPV Cost of EOL Leakage]]/(1+ACC_Inflation_Rate)^(DeemedDashboard[[#This Row],[Measure Start Year]]-DY),"")</f>
        <v/>
      </c>
      <c r="CK45" s="296" t="str">
        <f ca="1">IFERROR((DeemedDashboard[[#This Row],[Std % of device lifetime during measure years]]+DeemedDashboard[[#This Row],[Std % of device lifetime retired early]])*DeemedDashboard[[#This Row],[Std NPV Cost of EOL Leakage]]/(1+ACC_Inflation_Rate)^(DeemedDashboard[[#This Row],[Measure Start Year]]-DY),"")</f>
        <v/>
      </c>
      <c r="CL4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5" s="299" t="str">
        <f ca="1">IFERROR(DeemedDashboard[[#This Row],[Counter-factual total 
NPV cost]]-DeemedDashboard[[#This Row],[Measure total 
NPV cost]],"")</f>
        <v/>
      </c>
      <c r="CQ45" s="299" t="str">
        <f>IF(ISBLANK(DeemedDashboard[[#This Row],[MeasAppType]]),"",DeemedDashboard[[#This Row],[Refrigerant
NPV costs
avoided]]&gt;0)</f>
        <v/>
      </c>
      <c r="CR45" s="299" t="str">
        <f ca="1">IFERROR(DeemedDashboard[[#This Row],[Msr Adj NPV Cost of Annual Leakage]]+DeemedDashboard[[#This Row],[Msr Adj NPV Cost of EOL Leakage]],"")</f>
        <v/>
      </c>
      <c r="CS45" s="299" t="str">
        <f ca="1">IFERROR(DeemedDashboard[[#This Row],[Std Adj NPV Cost of Annual Leakage]]+DeemedDashboard[[#This Row],[Std Adj NPV Cost of EOL Leakage]],"")</f>
        <v/>
      </c>
      <c r="CT45" s="299" t="str">
        <f>IFERROR(IF((DeemedDashboard[[#This Row],[Pre Adj NPV Cost of Annual Leakage]]+DeemedDashboard[[#This Row],[Pre Adj NPV Cost of EOL Leakage]])=0,"",DeemedDashboard[[#This Row],[Pre Adj NPV Cost of Annual Leakage]]+DeemedDashboard[[#This Row],[Pre Adj NPV Cost of EOL Leakage]]),"")</f>
        <v/>
      </c>
      <c r="CU45" s="299" t="str">
        <f>IFERROR(IF((DeemedDashboard[[#This Row],[Ext Adj NPV Cost of Annual Leakage]]+DeemedDashboard[[#This Row],[Ext Adj NPV Cost of EOL Leakage]])=0,"",DeemedDashboard[[#This Row],[Ext Adj NPV Cost of Annual Leakage]]+DeemedDashboard[[#This Row],[Ext Adj NPV Cost of EOL Leakage]]),"")</f>
        <v/>
      </c>
      <c r="CV45" s="299" t="str">
        <f>IFERROR(IF(DeemedDashboard[[#This Row],[Is Avoided Net Cost &gt;0?]],"",-DeemedDashboard[[#This Row],[Refrigerant
NPV costs
avoided]]),"")</f>
        <v/>
      </c>
      <c r="CW45" s="299" t="str">
        <f>IFERROR(IF(DeemedDashboard[[#This Row],[Is Avoided Net Cost &gt;0?]],DeemedDashboard[[#This Row],[Refrigerant
NPV costs
avoided]],""),"")</f>
        <v/>
      </c>
      <c r="CX45" s="391">
        <f ca="1">IFERROR(MATCH(DeemedDashboard[[#This Row],[TechGroup and NormUnit]],TechGroup_and_NormUnit,0),1)</f>
        <v>1</v>
      </c>
      <c r="CY45" s="391" cm="1">
        <f t="array" aca="1" ref="CY45" ca="1">IFERROR(INDEX(TGRows,DeemedDashboard[[#This Row],[TGIndex]]),"")</f>
        <v>2</v>
      </c>
      <c r="CZ45" s="391">
        <f ca="1">IF(DeemedDashboard[[#This Row],[MeasAppType]]=const_AR,DeemedDashboard[[#This Row],[TGRows]],DeemedDashboard[[#This Row],[TGRows]]+1)</f>
        <v>3</v>
      </c>
      <c r="DA45" s="391" t="str">
        <f>IF(ISBLANK(DeemedDashboard[[#This Row],[MeasAppType]]),"",IF(DeemedDashboard[[#This Row],[Index]]=User_Specified_Refrigerant[[#This Row],[Index]],"OK","ERROR"))</f>
        <v/>
      </c>
    </row>
    <row r="46" spans="1:105" s="320" customFormat="1" x14ac:dyDescent="0.25">
      <c r="A46" s="297">
        <f>ROW(DeemedDashboard[[#This Row],[Index]])-ROW(DeemedDashboard[[#Headers],[Index]])</f>
        <v>37</v>
      </c>
      <c r="B46" s="298"/>
      <c r="C46" s="321"/>
      <c r="D46" s="403"/>
      <c r="E46" s="403"/>
      <c r="F46" s="403"/>
      <c r="G46" s="403"/>
      <c r="H46" s="366"/>
      <c r="I46" s="339"/>
      <c r="J46" s="339"/>
      <c r="K46" s="339"/>
      <c r="L46" s="322"/>
      <c r="M46" s="322"/>
      <c r="N46" s="322"/>
      <c r="O4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6" s="582" t="str" cm="1">
        <f t="array" ref="R46">IFERROR(IF(DeemedDashboard[[#This Row],[Msr device type]]=const_device_nonrefrig,0,INDEX(_xlfn.SWITCH($E$4,const_20_yr,GWP_Values_20_year_AR4,const_100_yr,GWP_Values_100_year_AR4),MATCH(DeemedDashboard[[#This Row],[Msr refrigerant Type]],RefrigDropdownList,0))),"")</f>
        <v/>
      </c>
      <c r="S46" s="582" t="str" cm="1">
        <f t="array" ref="S46">IFERROR(IF(DeemedDashboard[[#This Row],[Std device type]]=const_device_nonrefrig,0,INDEX(_xlfn.SWITCH($E$4,const_20_yr,GWP_Values_20_year_AR4,const_100_yr,GWP_Values_100_year_AR4),MATCH(DeemedDashboard[[#This Row],[Std refrigerant Type]],RefrigDropdownList,0))),"")</f>
        <v/>
      </c>
      <c r="T46" s="582" t="str" cm="1">
        <f t="array" ref="T46">IFERROR(IF(DeemedDashboard[[#This Row],[Pre/Ext device type]]=const_device_nonrefrig,0,INDEX(_xlfn.SWITCH($E$4,const_20_yr,GWP_Values_20_year_AR4,const_100_yr,GWP_Values_100_year_AR4),MATCH(DeemedDashboard[[#This Row],[Pre/Ext refrigerant Type]],RefrigDropdownList,0))),"")</f>
        <v/>
      </c>
      <c r="U4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6" s="326" t="str">
        <f>IFERROR(IF(DeemedDashboard[[#This Row],[Msr device type]]=const_userspec,IF(ISBLANK(User_Specified_Refrigerant[[#This Row],[Msr t_EOL]]),"",User_Specified_Refrigerant[[#This Row],[Msr t_EOL]]),INDEX(TechGroup_NormUnit_Table[t_EOL],MATCH(DeemedDashboard[[#This Row],[Msr device type]],DropdownRefrigTech,0))),"")</f>
        <v/>
      </c>
      <c r="AB46" s="326" t="str">
        <f>IFERROR(IF(DeemedDashboard[[#This Row],[Std device type]]=const_userspec,IF(ISBLANK(User_Specified_Refrigerant[[#This Row],[Std t_EOL]]),"",User_Specified_Refrigerant[[#This Row],[Std t_EOL]]),INDEX(TechGroup_NormUnit_Table[t_EOL],MATCH(DeemedDashboard[[#This Row],[Std device type]],DropdownRefrigTech,0))),"")</f>
        <v/>
      </c>
      <c r="AC4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6" s="395" t="str">
        <f>IF(ISBLANK(DeemedDashboard[[#This Row],[MeasAppType]]),"",$E$2)</f>
        <v/>
      </c>
      <c r="AE46" s="395" t="str">
        <f>IFERROR(IF(ISBLANK(DeemedDashboard[[#This Row],[MeasAppType]]),NA(),DeemedDashboard[[#This Row],[Measure Start Year]]+DeemedDashboard[[#This Row],[Msr EUL rounded]]-1),"")</f>
        <v/>
      </c>
      <c r="AF46" s="323" t="str">
        <f>IF(ISBLANK(DeemedDashboard[[#This Row],[Measure New Device EUL]]),"",ROUND(DeemedDashboard[[#This Row],[Measure New Device EUL]],0))</f>
        <v/>
      </c>
      <c r="AG46" s="323" t="str">
        <f>IF(ISBLANK(DeemedDashboard[[#This Row],[Counterfactual New Device EUL]]),"",ROUND(DeemedDashboard[[#This Row],[Counterfactual New Device EUL]],0))</f>
        <v/>
      </c>
      <c r="AH46" s="323" t="str">
        <f>IF(ISBLANK(DeemedDashboard[[#This Row],[Existing Device EUL]]),"",ROUND(DeemedDashboard[[#This Row],[Existing Device EUL]],0))</f>
        <v/>
      </c>
      <c r="AI46" s="323" t="str">
        <f>IF(ISBLANK(DeemedDashboard[[#This Row],[Existing Device RUL or AR First Baseline Life]]),"",ROUND(DeemedDashboard[[#This Row],[Existing Device RUL or AR First Baseline Life]],0))</f>
        <v/>
      </c>
      <c r="AJ46" s="327" t="str">
        <f>DeemedDashboard[[#This Row],[Measure Start Year]]</f>
        <v/>
      </c>
      <c r="AK46" s="327" t="str">
        <f>IF(DeemedDashboard[[#This Row],[MeasAppType]]&lt;&gt;const_AR,DeemedDashboard[[#This Row],[Measure Start Year]],DeemedDashboard[[#This Row],[Ext Device Retire-ment Year]]+1)</f>
        <v/>
      </c>
      <c r="AL46" s="327" t="str">
        <f>IFERROR(IF(DeemedDashboard[[#This Row],[MeasAppType]]=const_AR,DeemedDashboard[[#This Row],[Measure Start Year]]-(DeemedDashboard[[#This Row],[Existing Device EUL]]-DeemedDashboard[[#This Row],[Existing Device RUL or AR First Baseline Life]]),NA()),"")</f>
        <v/>
      </c>
      <c r="AM46" s="327" t="str">
        <f>DeemedDashboard[[#This Row],[Pre Device Install Year]]</f>
        <v/>
      </c>
      <c r="AN46" s="327" t="str">
        <f>IFERROR(IF(ISBLANK(DeemedDashboard[[#This Row],[MeasAppType]]),NA(),DeemedDashboard[[#This Row],[Measure Start Year]]+DeemedDashboard[[#This Row],[Msr EUL rounded]]-1),"")</f>
        <v/>
      </c>
      <c r="AO46" s="327" t="str">
        <f>IFERROR(DeemedDashboard[[#This Row],[Std Device Install Year]]+DeemedDashboard[[#This Row],[Counterfactual New Device EUL]]-1,"")</f>
        <v/>
      </c>
      <c r="AP46" s="327" t="str">
        <f>IFERROR(IF(AND(DeemedDashboard[[#This Row],[MeasAppType]]=const_AR,DeemedDashboard[[#This Row],[Measure Start Year]]&lt;(DeemedDashboard[[#This Row],[Pre Device Install Year]]+DeemedDashboard[[#This Row],[Existing Device EUL]]-1)),DeemedDashboard[[#This Row],[Measure Start Year]]-1,NA()),"")</f>
        <v/>
      </c>
      <c r="AQ46" s="327" t="str">
        <f>IFERROR(IF(DeemedDashboard[[#This Row],[MeasAppType]]=const_AR,DeemedDashboard[[#This Row],[Ext Device Install Year]]+DeemedDashboard[[#This Row],[Existing Device EUL]]-1,NA()),"")</f>
        <v/>
      </c>
      <c r="AR46" s="327" t="str">
        <f>IFERROR(IF(ISBLANK(DeemedDashboard[[#This Row],[MeasAppType]]),NA(),0),"")</f>
        <v/>
      </c>
      <c r="AS46" s="327" t="str">
        <f>IFERROR(IF(ISBLANK(DeemedDashboard[[#This Row],[MeasAppType]]),NA(),0),"")</f>
        <v/>
      </c>
      <c r="AT46" s="327" t="str">
        <f>IF(ISBLANK(DeemedDashboard[[#This Row],[MeasAppType]]),"",IF(DeemedDashboard[[#This Row],[MeasAppType]]&lt;&gt;const_AR,"",(DeemedDashboard[[#This Row],[Pre Device Install Year]]+DeemedDashboard[[#This Row],[Existing Device EUL]]-1)-DeemedDashboard[[#This Row],[Pre Device Retire-ment Year]]))</f>
        <v/>
      </c>
      <c r="AU46" s="327" t="str">
        <f>IF(ISBLANK(DeemedDashboard[[#This Row],[MeasAppType]]),"",IF(DeemedDashboard[[#This Row],[MeasAppType]]=const_AR,0,""))</f>
        <v/>
      </c>
      <c r="AV46" s="328" t="str">
        <f>IF(ISBLANK(DeemedDashboard[[#This Row],[MeasAppType]]),"",MAX((1+MIN(DeemedDashboard[[#This Row],[Msr Device Retire-ment Year]],DeemedDashboard[[#This Row],[Measure End 
Year]])-MAX(DeemedDashboard[[#This Row],[Msr Device Install Year]],DeemedDashboard[[#This Row],[Measure Start Year]])),0))</f>
        <v/>
      </c>
      <c r="AW46" s="328" t="str">
        <f>IF(ISBLANK(DeemedDashboard[[#This Row],[MeasAppType]]),"",MAX((1+MIN(DeemedDashboard[[#This Row],[Std Device Retire-ment Year]],DeemedDashboard[[#This Row],[Measure End 
Year]])-MAX(DeemedDashboard[[#This Row],[Std Device Install Year]],DeemedDashboard[[#This Row],[Measure Start Year]])),0))</f>
        <v/>
      </c>
      <c r="AX4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6" s="329" t="str">
        <f>IF(ISBLANK(DeemedDashboard[[#This Row],[MeasAppType]]),"",IF(DeemedDashboard[[#This Row],[Msr Device Years Over-lapping with Measure Years]]=0,0,DeemedDashboard[[#This Row],[Msr Device Years Over-lapping with Measure Years]]/DeemedDashboard[[#This Row],[Msr EUL rounded]]))</f>
        <v/>
      </c>
      <c r="BA46" s="329" t="str">
        <f>IF(ISBLANK(DeemedDashboard[[#This Row],[MeasAppType]]),"",IF(DeemedDashboard[[#This Row],[Std Device Years Over-lapping with Measure Years]]=0,0,DeemedDashboard[[#This Row],[Std Device Years Over-lapping with Measure Years]]/DeemedDashboard[[#This Row],[Counterfactual New Device EUL]]))</f>
        <v/>
      </c>
      <c r="BB46" s="329" t="str">
        <f>IF(ISBLANK(DeemedDashboard[[#This Row],[MeasAppType]]),"",IFERROR(IF(DeemedDashboard[[#This Row],[Pre Device Years Over-lapping with Measure Years]]=0,0,DeemedDashboard[[#This Row],[Pre Device Years Over-lapping with Measure Years]]/DeemedDashboard[[#This Row],[Existing Device EUL]]),""))</f>
        <v/>
      </c>
      <c r="BC46" s="329" t="str">
        <f>IFERROR(IF(DeemedDashboard[[#This Row],[Ext Device Years Over-lapping with Measure Years]]=0,0,DeemedDashboard[[#This Row],[Ext Device Years Over-lapping with Measure Years]]/DeemedDashboard[[#This Row],[Existing Device EUL]]),"")</f>
        <v/>
      </c>
      <c r="BD46" s="329" t="str">
        <f>IFERROR(IF(DeemedDashboard[[#This Row],[Msr Number of Years device retired early]]=0,0,DeemedDashboard[[#This Row],[Msr Number of Years device retired early]]/DeemedDashboard[[#This Row],[Msr EUL rounded]]),"")</f>
        <v/>
      </c>
      <c r="BE46" s="329" t="str">
        <f>IFERROR(IF(DeemedDashboard[[#This Row],[Std Number of Years device retired early]]=0,0,DeemedDashboard[[#This Row],[Std Number of Years device retired early]]/DeemedDashboard[[#This Row],[Msr EUL rounded]]),"")</f>
        <v/>
      </c>
      <c r="BF46" s="329" t="str">
        <f>IFERROR(IF(DeemedDashboard[[#This Row],[MeasAppType]]&lt;&gt;const_AR,"",IF(DeemedDashboard[[#This Row],[Pre Number of Years device retired early]]=0,0,DeemedDashboard[[#This Row],[Pre Number of Years device retired early]]/DeemedDashboard[[#This Row],[Existing Device EUL]])),"")</f>
        <v/>
      </c>
      <c r="BG46" s="329" t="str">
        <f>IFERROR(IF(DeemedDashboard[[#This Row],[Ext Number of Years device retired early]]=0,0,DeemedDashboard[[#This Row],[Ext Number of Years device retired early]]/DeemedDashboard[[#This Row],[Existing Device EUL]]),"")</f>
        <v/>
      </c>
      <c r="BH46" s="325" t="str">
        <f>IFERROR(1-DeemedDashboard[[#This Row],[Msr annual refrigerant leakage %]]*DeemedDashboard[[#This Row],[Msr t_EOL]],"")</f>
        <v/>
      </c>
      <c r="BI46" s="325" t="str">
        <f>IFERROR(1-DeemedDashboard[[#This Row],[Std annual refrigerant leakage %]]*DeemedDashboard[[#This Row],[Std t_EOL]],"")</f>
        <v/>
      </c>
      <c r="BJ46" s="325" t="str">
        <f>IFERROR(1-DeemedDashboard[[#This Row],[Pre/Ext annual refrigerant leakage %]]*DeemedDashboard[[#This Row],[Pre/Ext t_EOL]],"")</f>
        <v/>
      </c>
      <c r="BK46" s="325" t="str">
        <f>IFERROR(1-DeemedDashboard[[#This Row],[Pre/Ext annual refrigerant leakage %]]*DeemedDashboard[[#This Row],[Pre/Ext t_EOL]],"")</f>
        <v/>
      </c>
      <c r="BL46" s="325" t="str">
        <f>IFERROR(DeemedDashboard[[#This Row],[Msr charging remaining (%)]]*DeemedDashboard[[#This Row],[Msr gross EOL refrigerant leakage %]],"")</f>
        <v/>
      </c>
      <c r="BM46" s="325" t="str">
        <f>IFERROR(DeemedDashboard[[#This Row],[Std charging remaining (%)]]*DeemedDashboard[[#This Row],[Std gross EOL refrigerant leakage %]],"")</f>
        <v/>
      </c>
      <c r="BN46" s="325" t="str">
        <f>IFERROR(DeemedDashboard[[#This Row],[Pre charging remaining (%)]]*DeemedDashboard[[#This Row],[Pre/Ext gross EOL refrigerant leakage %]],"")</f>
        <v/>
      </c>
      <c r="BO46" s="325" t="str">
        <f>IFERROR(DeemedDashboard[[#This Row],[Ext charging remaining (%)]]*DeemedDashboard[[#This Row],[Pre/Ext gross EOL refrigerant leakage %]],"")</f>
        <v/>
      </c>
      <c r="BP46" s="330" t="str">
        <f>IFERROR((DeemedDashboard[[#This Row],[Msr refrigerant charge (lb) per NormUnit]]/pounds_per_metric_ton)*DeemedDashboard[[#This Row],[Msr annual refrigerant leakage %]]*DeemedDashboard[[#This Row],[Msr GWP]],"")</f>
        <v/>
      </c>
      <c r="BQ46" s="330" t="str">
        <f>IFERROR((DeemedDashboard[[#This Row],[Std refrigerant charge (lb) per NormUnit]]/pounds_per_metric_ton)*DeemedDashboard[[#This Row],[Std annual refrigerant leakage %]]*DeemedDashboard[[#This Row],[Std GWP]],"")</f>
        <v/>
      </c>
      <c r="BR46" s="330" t="str">
        <f>IF(DeemedDashboard[[#This Row],[MeasAppType]]=const_AR,(DeemedDashboard[[#This Row],[Pre/Ext refrigerant charge (lb) per NormUnit]]/pounds_per_metric_ton)*DeemedDashboard[[#This Row],[Pre/Ext annual refrigerant leakage %]]*DeemedDashboard[[#This Row],[Pre/Ext GWP]],"")</f>
        <v/>
      </c>
      <c r="BS46" s="330" t="str">
        <f>IF(DeemedDashboard[[#This Row],[MeasAppType]]=const_AR,(DeemedDashboard[[#This Row],[Pre/Ext refrigerant charge (lb) per NormUnit]]/pounds_per_metric_ton)*DeemedDashboard[[#This Row],[Pre/Ext annual refrigerant leakage %]]*DeemedDashboard[[#This Row],[Pre/Ext GWP]],"")</f>
        <v/>
      </c>
      <c r="BT46" s="330" t="str">
        <f>IFERROR((DeemedDashboard[[#This Row],[Msr refrigerant charge (lb) per NormUnit]]/pounds_per_metric_ton)*DeemedDashboard[[#This Row],[Msr net EOL refrigerant leakage (%)]]*DeemedDashboard[[#This Row],[Msr GWP]],"")</f>
        <v/>
      </c>
      <c r="BU46" s="330" t="str">
        <f>IFERROR((DeemedDashboard[[#This Row],[Std refrigerant charge (lb) per NormUnit]]/pounds_per_metric_ton)*DeemedDashboard[[#This Row],[Std net EOL refrigerant leakage (%)]]*DeemedDashboard[[#This Row],[Std GWP]],"")</f>
        <v/>
      </c>
      <c r="BV46" s="330" t="str">
        <f>IFERROR((DeemedDashboard[[#This Row],[Pre/Ext refrigerant charge (lb) per NormUnit]]/pounds_per_metric_ton)*DeemedDashboard[[#This Row],[Pre net EOL refrigerant leakage (%)]]*DeemedDashboard[[#This Row],[Pre/Ext GWP]],"")</f>
        <v/>
      </c>
      <c r="BW46" s="330" t="str">
        <f>IFERROR((DeemedDashboard[[#This Row],[Pre/Ext refrigerant charge (lb) per NormUnit]]/pounds_per_metric_ton)*DeemedDashboard[[#This Row],[Ext net EOL refrigerant leakage (%)]]*DeemedDashboard[[#This Row],[Pre/Ext GWP]],"")</f>
        <v/>
      </c>
      <c r="BX46" s="299" t="str" cm="1">
        <f t="array" aca="1" ref="BX4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6" s="305" t="str" cm="1">
        <f t="array" aca="1" ref="BY4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6" s="299" t="str">
        <f>IFERROR(IF(OR(DeemedDashboard[[#This Row],[MeasAppType]]&lt;&gt;const_AR,ISBLANK(DeemedDashboard[[#This Row],[MeasAppType]])),NA(),0),"")</f>
        <v/>
      </c>
      <c r="CA46" s="305" t="str" cm="1">
        <f t="array" aca="1" ref="CA4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6" s="299" t="str">
        <f ca="1">IFERROR((DeemedDashboard[[#This Row],[Msr EOL leakage tons CO2e]]*OFFSET(GHG_Adder_dollar_per_tonne,0,(DeemedDashboard[[#This Row],[Msr Device Retire-ment Year]]-DY+1),1,1))/(1+WACC)^(DeemedDashboard[[#This Row],[Msr Device Retire-ment Year]]-DeemedDashboard[[#This Row],[Measure Start Year]]+0.5),"")</f>
        <v/>
      </c>
      <c r="CC46" s="299" t="str">
        <f ca="1">IFERROR((DeemedDashboard[[#This Row],[Std EOL leakage tons CO2e]]*OFFSET(GHG_Adder_dollar_per_tonne,0,(DeemedDashboard[[#This Row],[Std Device Retire-ment Year]]-DY+1),1,1))/(1+WACC)^(DeemedDashboard[[#This Row],[Std Device Retire-ment Year]]-DeemedDashboard[[#This Row],[Measure Start Year]]+0.5),"")</f>
        <v/>
      </c>
      <c r="CD46" s="299" t="str">
        <f ca="1">IFERROR((DeemedDashboard[[#This Row],[Pre EOL leakage tons CO2e]]*OFFSET(GHG_Adder_dollar_per_tonne,0,(DeemedDashboard[[#This Row],[Measure Start Year]]-DY),1,1))/(1+WACC)^(-0.5),"")</f>
        <v/>
      </c>
      <c r="CE4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6" s="299" t="str">
        <f ca="1">IFERROR(DeemedDashboard[[#This Row],[Msr NPV Cost of Annual Leakage]]/(1+ACC_Inflation_Rate)^(DeemedDashboard[[#This Row],[Measure Start Year]]-DY),"")</f>
        <v/>
      </c>
      <c r="CG46" s="299" t="str">
        <f ca="1">IFERROR(DeemedDashboard[[#This Row],[Std NPV Cost of Annual Leakage]]/(1+ACC_Inflation_Rate)^(DeemedDashboard[[#This Row],[Measure Start Year]]-DY),"")</f>
        <v/>
      </c>
      <c r="CH46" s="299" t="str">
        <f>IFERROR(IF(ISBLANK(DeemedDashboard[[#This Row],[MeasAppType]]),NA(),IF(DeemedDashboard[[#This Row],[MeasAppType]]=const_AR,DeemedDashboard[[#This Row],[Pre NPV Cost of Annual Leakage]]/(1+ACC_Inflation_Rate)^(DeemedDashboard[[#This Row],[Measure Start Year]]-DY),"")),"")</f>
        <v/>
      </c>
      <c r="CI46" s="296" t="str">
        <f>IFERROR(IF(ISBLANK(DeemedDashboard[[#This Row],[MeasAppType]]),NA(),IF(DeemedDashboard[[#This Row],[MeasAppType]]=const_AR,DeemedDashboard[[#This Row],[Ext NPV Cost of Annual Leakage]]/(1+ACC_Inflation_Rate)^(DeemedDashboard[[#This Row],[Measure Start Year]]-DY),"")),"")</f>
        <v/>
      </c>
      <c r="CJ46" s="296" t="str">
        <f ca="1">IFERROR((DeemedDashboard[[#This Row],[Msr % of device lifetime during measure years]]+DeemedDashboard[[#This Row],[Msr % of device lifetime retired early]])*DeemedDashboard[[#This Row],[Msr NPV Cost of EOL Leakage]]/(1+ACC_Inflation_Rate)^(DeemedDashboard[[#This Row],[Measure Start Year]]-DY),"")</f>
        <v/>
      </c>
      <c r="CK46" s="296" t="str">
        <f ca="1">IFERROR((DeemedDashboard[[#This Row],[Std % of device lifetime during measure years]]+DeemedDashboard[[#This Row],[Std % of device lifetime retired early]])*DeemedDashboard[[#This Row],[Std NPV Cost of EOL Leakage]]/(1+ACC_Inflation_Rate)^(DeemedDashboard[[#This Row],[Measure Start Year]]-DY),"")</f>
        <v/>
      </c>
      <c r="CL4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6" s="299" t="str">
        <f ca="1">IFERROR(DeemedDashboard[[#This Row],[Counter-factual total 
NPV cost]]-DeemedDashboard[[#This Row],[Measure total 
NPV cost]],"")</f>
        <v/>
      </c>
      <c r="CQ46" s="299" t="str">
        <f>IF(ISBLANK(DeemedDashboard[[#This Row],[MeasAppType]]),"",DeemedDashboard[[#This Row],[Refrigerant
NPV costs
avoided]]&gt;0)</f>
        <v/>
      </c>
      <c r="CR46" s="299" t="str">
        <f ca="1">IFERROR(DeemedDashboard[[#This Row],[Msr Adj NPV Cost of Annual Leakage]]+DeemedDashboard[[#This Row],[Msr Adj NPV Cost of EOL Leakage]],"")</f>
        <v/>
      </c>
      <c r="CS46" s="299" t="str">
        <f ca="1">IFERROR(DeemedDashboard[[#This Row],[Std Adj NPV Cost of Annual Leakage]]+DeemedDashboard[[#This Row],[Std Adj NPV Cost of EOL Leakage]],"")</f>
        <v/>
      </c>
      <c r="CT46" s="299" t="str">
        <f>IFERROR(IF((DeemedDashboard[[#This Row],[Pre Adj NPV Cost of Annual Leakage]]+DeemedDashboard[[#This Row],[Pre Adj NPV Cost of EOL Leakage]])=0,"",DeemedDashboard[[#This Row],[Pre Adj NPV Cost of Annual Leakage]]+DeemedDashboard[[#This Row],[Pre Adj NPV Cost of EOL Leakage]]),"")</f>
        <v/>
      </c>
      <c r="CU46" s="299" t="str">
        <f>IFERROR(IF((DeemedDashboard[[#This Row],[Ext Adj NPV Cost of Annual Leakage]]+DeemedDashboard[[#This Row],[Ext Adj NPV Cost of EOL Leakage]])=0,"",DeemedDashboard[[#This Row],[Ext Adj NPV Cost of Annual Leakage]]+DeemedDashboard[[#This Row],[Ext Adj NPV Cost of EOL Leakage]]),"")</f>
        <v/>
      </c>
      <c r="CV46" s="299" t="str">
        <f>IFERROR(IF(DeemedDashboard[[#This Row],[Is Avoided Net Cost &gt;0?]],"",-DeemedDashboard[[#This Row],[Refrigerant
NPV costs
avoided]]),"")</f>
        <v/>
      </c>
      <c r="CW46" s="299" t="str">
        <f>IFERROR(IF(DeemedDashboard[[#This Row],[Is Avoided Net Cost &gt;0?]],DeemedDashboard[[#This Row],[Refrigerant
NPV costs
avoided]],""),"")</f>
        <v/>
      </c>
      <c r="CX46" s="391">
        <f ca="1">IFERROR(MATCH(DeemedDashboard[[#This Row],[TechGroup and NormUnit]],TechGroup_and_NormUnit,0),1)</f>
        <v>1</v>
      </c>
      <c r="CY46" s="391" cm="1">
        <f t="array" aca="1" ref="CY46" ca="1">IFERROR(INDEX(TGRows,DeemedDashboard[[#This Row],[TGIndex]]),"")</f>
        <v>2</v>
      </c>
      <c r="CZ46" s="391">
        <f ca="1">IF(DeemedDashboard[[#This Row],[MeasAppType]]=const_AR,DeemedDashboard[[#This Row],[TGRows]],DeemedDashboard[[#This Row],[TGRows]]+1)</f>
        <v>3</v>
      </c>
      <c r="DA46" s="391" t="str">
        <f>IF(ISBLANK(DeemedDashboard[[#This Row],[MeasAppType]]),"",IF(DeemedDashboard[[#This Row],[Index]]=User_Specified_Refrigerant[[#This Row],[Index]],"OK","ERROR"))</f>
        <v/>
      </c>
    </row>
    <row r="47" spans="1:105" s="320" customFormat="1" x14ac:dyDescent="0.25">
      <c r="A47" s="297">
        <f>ROW(DeemedDashboard[[#This Row],[Index]])-ROW(DeemedDashboard[[#Headers],[Index]])</f>
        <v>38</v>
      </c>
      <c r="B47" s="298"/>
      <c r="C47" s="321"/>
      <c r="D47" s="403"/>
      <c r="E47" s="403"/>
      <c r="F47" s="403"/>
      <c r="G47" s="403"/>
      <c r="H47" s="366"/>
      <c r="I47" s="339"/>
      <c r="J47" s="339"/>
      <c r="K47" s="339"/>
      <c r="L47" s="322"/>
      <c r="M47" s="322"/>
      <c r="N47" s="322"/>
      <c r="O4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7" s="582" t="str" cm="1">
        <f t="array" ref="R47">IFERROR(IF(DeemedDashboard[[#This Row],[Msr device type]]=const_device_nonrefrig,0,INDEX(_xlfn.SWITCH($E$4,const_20_yr,GWP_Values_20_year_AR4,const_100_yr,GWP_Values_100_year_AR4),MATCH(DeemedDashboard[[#This Row],[Msr refrigerant Type]],RefrigDropdownList,0))),"")</f>
        <v/>
      </c>
      <c r="S47" s="582" t="str" cm="1">
        <f t="array" ref="S47">IFERROR(IF(DeemedDashboard[[#This Row],[Std device type]]=const_device_nonrefrig,0,INDEX(_xlfn.SWITCH($E$4,const_20_yr,GWP_Values_20_year_AR4,const_100_yr,GWP_Values_100_year_AR4),MATCH(DeemedDashboard[[#This Row],[Std refrigerant Type]],RefrigDropdownList,0))),"")</f>
        <v/>
      </c>
      <c r="T47" s="582" t="str" cm="1">
        <f t="array" ref="T47">IFERROR(IF(DeemedDashboard[[#This Row],[Pre/Ext device type]]=const_device_nonrefrig,0,INDEX(_xlfn.SWITCH($E$4,const_20_yr,GWP_Values_20_year_AR4,const_100_yr,GWP_Values_100_year_AR4),MATCH(DeemedDashboard[[#This Row],[Pre/Ext refrigerant Type]],RefrigDropdownList,0))),"")</f>
        <v/>
      </c>
      <c r="U4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7" s="326" t="str">
        <f>IFERROR(IF(DeemedDashboard[[#This Row],[Msr device type]]=const_userspec,IF(ISBLANK(User_Specified_Refrigerant[[#This Row],[Msr t_EOL]]),"",User_Specified_Refrigerant[[#This Row],[Msr t_EOL]]),INDEX(TechGroup_NormUnit_Table[t_EOL],MATCH(DeemedDashboard[[#This Row],[Msr device type]],DropdownRefrigTech,0))),"")</f>
        <v/>
      </c>
      <c r="AB47" s="326" t="str">
        <f>IFERROR(IF(DeemedDashboard[[#This Row],[Std device type]]=const_userspec,IF(ISBLANK(User_Specified_Refrigerant[[#This Row],[Std t_EOL]]),"",User_Specified_Refrigerant[[#This Row],[Std t_EOL]]),INDEX(TechGroup_NormUnit_Table[t_EOL],MATCH(DeemedDashboard[[#This Row],[Std device type]],DropdownRefrigTech,0))),"")</f>
        <v/>
      </c>
      <c r="AC4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7" s="395" t="str">
        <f>IF(ISBLANK(DeemedDashboard[[#This Row],[MeasAppType]]),"",$E$2)</f>
        <v/>
      </c>
      <c r="AE47" s="395" t="str">
        <f>IFERROR(IF(ISBLANK(DeemedDashboard[[#This Row],[MeasAppType]]),NA(),DeemedDashboard[[#This Row],[Measure Start Year]]+DeemedDashboard[[#This Row],[Msr EUL rounded]]-1),"")</f>
        <v/>
      </c>
      <c r="AF47" s="323" t="str">
        <f>IF(ISBLANK(DeemedDashboard[[#This Row],[Measure New Device EUL]]),"",ROUND(DeemedDashboard[[#This Row],[Measure New Device EUL]],0))</f>
        <v/>
      </c>
      <c r="AG47" s="323" t="str">
        <f>IF(ISBLANK(DeemedDashboard[[#This Row],[Counterfactual New Device EUL]]),"",ROUND(DeemedDashboard[[#This Row],[Counterfactual New Device EUL]],0))</f>
        <v/>
      </c>
      <c r="AH47" s="323" t="str">
        <f>IF(ISBLANK(DeemedDashboard[[#This Row],[Existing Device EUL]]),"",ROUND(DeemedDashboard[[#This Row],[Existing Device EUL]],0))</f>
        <v/>
      </c>
      <c r="AI47" s="323" t="str">
        <f>IF(ISBLANK(DeemedDashboard[[#This Row],[Existing Device RUL or AR First Baseline Life]]),"",ROUND(DeemedDashboard[[#This Row],[Existing Device RUL or AR First Baseline Life]],0))</f>
        <v/>
      </c>
      <c r="AJ47" s="327" t="str">
        <f>DeemedDashboard[[#This Row],[Measure Start Year]]</f>
        <v/>
      </c>
      <c r="AK47" s="327" t="str">
        <f>IF(DeemedDashboard[[#This Row],[MeasAppType]]&lt;&gt;const_AR,DeemedDashboard[[#This Row],[Measure Start Year]],DeemedDashboard[[#This Row],[Ext Device Retire-ment Year]]+1)</f>
        <v/>
      </c>
      <c r="AL47" s="327" t="str">
        <f>IFERROR(IF(DeemedDashboard[[#This Row],[MeasAppType]]=const_AR,DeemedDashboard[[#This Row],[Measure Start Year]]-(DeemedDashboard[[#This Row],[Existing Device EUL]]-DeemedDashboard[[#This Row],[Existing Device RUL or AR First Baseline Life]]),NA()),"")</f>
        <v/>
      </c>
      <c r="AM47" s="327" t="str">
        <f>DeemedDashboard[[#This Row],[Pre Device Install Year]]</f>
        <v/>
      </c>
      <c r="AN47" s="327" t="str">
        <f>IFERROR(IF(ISBLANK(DeemedDashboard[[#This Row],[MeasAppType]]),NA(),DeemedDashboard[[#This Row],[Measure Start Year]]+DeemedDashboard[[#This Row],[Msr EUL rounded]]-1),"")</f>
        <v/>
      </c>
      <c r="AO47" s="327" t="str">
        <f>IFERROR(DeemedDashboard[[#This Row],[Std Device Install Year]]+DeemedDashboard[[#This Row],[Counterfactual New Device EUL]]-1,"")</f>
        <v/>
      </c>
      <c r="AP47" s="327" t="str">
        <f>IFERROR(IF(AND(DeemedDashboard[[#This Row],[MeasAppType]]=const_AR,DeemedDashboard[[#This Row],[Measure Start Year]]&lt;(DeemedDashboard[[#This Row],[Pre Device Install Year]]+DeemedDashboard[[#This Row],[Existing Device EUL]]-1)),DeemedDashboard[[#This Row],[Measure Start Year]]-1,NA()),"")</f>
        <v/>
      </c>
      <c r="AQ47" s="327" t="str">
        <f>IFERROR(IF(DeemedDashboard[[#This Row],[MeasAppType]]=const_AR,DeemedDashboard[[#This Row],[Ext Device Install Year]]+DeemedDashboard[[#This Row],[Existing Device EUL]]-1,NA()),"")</f>
        <v/>
      </c>
      <c r="AR47" s="327" t="str">
        <f>IFERROR(IF(ISBLANK(DeemedDashboard[[#This Row],[MeasAppType]]),NA(),0),"")</f>
        <v/>
      </c>
      <c r="AS47" s="327" t="str">
        <f>IFERROR(IF(ISBLANK(DeemedDashboard[[#This Row],[MeasAppType]]),NA(),0),"")</f>
        <v/>
      </c>
      <c r="AT47" s="327" t="str">
        <f>IF(ISBLANK(DeemedDashboard[[#This Row],[MeasAppType]]),"",IF(DeemedDashboard[[#This Row],[MeasAppType]]&lt;&gt;const_AR,"",(DeemedDashboard[[#This Row],[Pre Device Install Year]]+DeemedDashboard[[#This Row],[Existing Device EUL]]-1)-DeemedDashboard[[#This Row],[Pre Device Retire-ment Year]]))</f>
        <v/>
      </c>
      <c r="AU47" s="327" t="str">
        <f>IF(ISBLANK(DeemedDashboard[[#This Row],[MeasAppType]]),"",IF(DeemedDashboard[[#This Row],[MeasAppType]]=const_AR,0,""))</f>
        <v/>
      </c>
      <c r="AV47" s="328" t="str">
        <f>IF(ISBLANK(DeemedDashboard[[#This Row],[MeasAppType]]),"",MAX((1+MIN(DeemedDashboard[[#This Row],[Msr Device Retire-ment Year]],DeemedDashboard[[#This Row],[Measure End 
Year]])-MAX(DeemedDashboard[[#This Row],[Msr Device Install Year]],DeemedDashboard[[#This Row],[Measure Start Year]])),0))</f>
        <v/>
      </c>
      <c r="AW47" s="328" t="str">
        <f>IF(ISBLANK(DeemedDashboard[[#This Row],[MeasAppType]]),"",MAX((1+MIN(DeemedDashboard[[#This Row],[Std Device Retire-ment Year]],DeemedDashboard[[#This Row],[Measure End 
Year]])-MAX(DeemedDashboard[[#This Row],[Std Device Install Year]],DeemedDashboard[[#This Row],[Measure Start Year]])),0))</f>
        <v/>
      </c>
      <c r="AX4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7" s="329" t="str">
        <f>IF(ISBLANK(DeemedDashboard[[#This Row],[MeasAppType]]),"",IF(DeemedDashboard[[#This Row],[Msr Device Years Over-lapping with Measure Years]]=0,0,DeemedDashboard[[#This Row],[Msr Device Years Over-lapping with Measure Years]]/DeemedDashboard[[#This Row],[Msr EUL rounded]]))</f>
        <v/>
      </c>
      <c r="BA47" s="329" t="str">
        <f>IF(ISBLANK(DeemedDashboard[[#This Row],[MeasAppType]]),"",IF(DeemedDashboard[[#This Row],[Std Device Years Over-lapping with Measure Years]]=0,0,DeemedDashboard[[#This Row],[Std Device Years Over-lapping with Measure Years]]/DeemedDashboard[[#This Row],[Counterfactual New Device EUL]]))</f>
        <v/>
      </c>
      <c r="BB47" s="329" t="str">
        <f>IF(ISBLANK(DeemedDashboard[[#This Row],[MeasAppType]]),"",IFERROR(IF(DeemedDashboard[[#This Row],[Pre Device Years Over-lapping with Measure Years]]=0,0,DeemedDashboard[[#This Row],[Pre Device Years Over-lapping with Measure Years]]/DeemedDashboard[[#This Row],[Existing Device EUL]]),""))</f>
        <v/>
      </c>
      <c r="BC47" s="329" t="str">
        <f>IFERROR(IF(DeemedDashboard[[#This Row],[Ext Device Years Over-lapping with Measure Years]]=0,0,DeemedDashboard[[#This Row],[Ext Device Years Over-lapping with Measure Years]]/DeemedDashboard[[#This Row],[Existing Device EUL]]),"")</f>
        <v/>
      </c>
      <c r="BD47" s="329" t="str">
        <f>IFERROR(IF(DeemedDashboard[[#This Row],[Msr Number of Years device retired early]]=0,0,DeemedDashboard[[#This Row],[Msr Number of Years device retired early]]/DeemedDashboard[[#This Row],[Msr EUL rounded]]),"")</f>
        <v/>
      </c>
      <c r="BE47" s="329" t="str">
        <f>IFERROR(IF(DeemedDashboard[[#This Row],[Std Number of Years device retired early]]=0,0,DeemedDashboard[[#This Row],[Std Number of Years device retired early]]/DeemedDashboard[[#This Row],[Msr EUL rounded]]),"")</f>
        <v/>
      </c>
      <c r="BF47" s="329" t="str">
        <f>IFERROR(IF(DeemedDashboard[[#This Row],[MeasAppType]]&lt;&gt;const_AR,"",IF(DeemedDashboard[[#This Row],[Pre Number of Years device retired early]]=0,0,DeemedDashboard[[#This Row],[Pre Number of Years device retired early]]/DeemedDashboard[[#This Row],[Existing Device EUL]])),"")</f>
        <v/>
      </c>
      <c r="BG47" s="329" t="str">
        <f>IFERROR(IF(DeemedDashboard[[#This Row],[Ext Number of Years device retired early]]=0,0,DeemedDashboard[[#This Row],[Ext Number of Years device retired early]]/DeemedDashboard[[#This Row],[Existing Device EUL]]),"")</f>
        <v/>
      </c>
      <c r="BH47" s="325" t="str">
        <f>IFERROR(1-DeemedDashboard[[#This Row],[Msr annual refrigerant leakage %]]*DeemedDashboard[[#This Row],[Msr t_EOL]],"")</f>
        <v/>
      </c>
      <c r="BI47" s="325" t="str">
        <f>IFERROR(1-DeemedDashboard[[#This Row],[Std annual refrigerant leakage %]]*DeemedDashboard[[#This Row],[Std t_EOL]],"")</f>
        <v/>
      </c>
      <c r="BJ47" s="325" t="str">
        <f>IFERROR(1-DeemedDashboard[[#This Row],[Pre/Ext annual refrigerant leakage %]]*DeemedDashboard[[#This Row],[Pre/Ext t_EOL]],"")</f>
        <v/>
      </c>
      <c r="BK47" s="325" t="str">
        <f>IFERROR(1-DeemedDashboard[[#This Row],[Pre/Ext annual refrigerant leakage %]]*DeemedDashboard[[#This Row],[Pre/Ext t_EOL]],"")</f>
        <v/>
      </c>
      <c r="BL47" s="325" t="str">
        <f>IFERROR(DeemedDashboard[[#This Row],[Msr charging remaining (%)]]*DeemedDashboard[[#This Row],[Msr gross EOL refrigerant leakage %]],"")</f>
        <v/>
      </c>
      <c r="BM47" s="325" t="str">
        <f>IFERROR(DeemedDashboard[[#This Row],[Std charging remaining (%)]]*DeemedDashboard[[#This Row],[Std gross EOL refrigerant leakage %]],"")</f>
        <v/>
      </c>
      <c r="BN47" s="325" t="str">
        <f>IFERROR(DeemedDashboard[[#This Row],[Pre charging remaining (%)]]*DeemedDashboard[[#This Row],[Pre/Ext gross EOL refrigerant leakage %]],"")</f>
        <v/>
      </c>
      <c r="BO47" s="325" t="str">
        <f>IFERROR(DeemedDashboard[[#This Row],[Ext charging remaining (%)]]*DeemedDashboard[[#This Row],[Pre/Ext gross EOL refrigerant leakage %]],"")</f>
        <v/>
      </c>
      <c r="BP47" s="330" t="str">
        <f>IFERROR((DeemedDashboard[[#This Row],[Msr refrigerant charge (lb) per NormUnit]]/pounds_per_metric_ton)*DeemedDashboard[[#This Row],[Msr annual refrigerant leakage %]]*DeemedDashboard[[#This Row],[Msr GWP]],"")</f>
        <v/>
      </c>
      <c r="BQ47" s="330" t="str">
        <f>IFERROR((DeemedDashboard[[#This Row],[Std refrigerant charge (lb) per NormUnit]]/pounds_per_metric_ton)*DeemedDashboard[[#This Row],[Std annual refrigerant leakage %]]*DeemedDashboard[[#This Row],[Std GWP]],"")</f>
        <v/>
      </c>
      <c r="BR47" s="330" t="str">
        <f>IF(DeemedDashboard[[#This Row],[MeasAppType]]=const_AR,(DeemedDashboard[[#This Row],[Pre/Ext refrigerant charge (lb) per NormUnit]]/pounds_per_metric_ton)*DeemedDashboard[[#This Row],[Pre/Ext annual refrigerant leakage %]]*DeemedDashboard[[#This Row],[Pre/Ext GWP]],"")</f>
        <v/>
      </c>
      <c r="BS47" s="330" t="str">
        <f>IF(DeemedDashboard[[#This Row],[MeasAppType]]=const_AR,(DeemedDashboard[[#This Row],[Pre/Ext refrigerant charge (lb) per NormUnit]]/pounds_per_metric_ton)*DeemedDashboard[[#This Row],[Pre/Ext annual refrigerant leakage %]]*DeemedDashboard[[#This Row],[Pre/Ext GWP]],"")</f>
        <v/>
      </c>
      <c r="BT47" s="330" t="str">
        <f>IFERROR((DeemedDashboard[[#This Row],[Msr refrigerant charge (lb) per NormUnit]]/pounds_per_metric_ton)*DeemedDashboard[[#This Row],[Msr net EOL refrigerant leakage (%)]]*DeemedDashboard[[#This Row],[Msr GWP]],"")</f>
        <v/>
      </c>
      <c r="BU47" s="330" t="str">
        <f>IFERROR((DeemedDashboard[[#This Row],[Std refrigerant charge (lb) per NormUnit]]/pounds_per_metric_ton)*DeemedDashboard[[#This Row],[Std net EOL refrigerant leakage (%)]]*DeemedDashboard[[#This Row],[Std GWP]],"")</f>
        <v/>
      </c>
      <c r="BV47" s="330" t="str">
        <f>IFERROR((DeemedDashboard[[#This Row],[Pre/Ext refrigerant charge (lb) per NormUnit]]/pounds_per_metric_ton)*DeemedDashboard[[#This Row],[Pre net EOL refrigerant leakage (%)]]*DeemedDashboard[[#This Row],[Pre/Ext GWP]],"")</f>
        <v/>
      </c>
      <c r="BW47" s="330" t="str">
        <f>IFERROR((DeemedDashboard[[#This Row],[Pre/Ext refrigerant charge (lb) per NormUnit]]/pounds_per_metric_ton)*DeemedDashboard[[#This Row],[Ext net EOL refrigerant leakage (%)]]*DeemedDashboard[[#This Row],[Pre/Ext GWP]],"")</f>
        <v/>
      </c>
      <c r="BX47" s="299" t="str" cm="1">
        <f t="array" aca="1" ref="BX4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7" s="305" t="str" cm="1">
        <f t="array" aca="1" ref="BY4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7" s="299" t="str">
        <f>IFERROR(IF(OR(DeemedDashboard[[#This Row],[MeasAppType]]&lt;&gt;const_AR,ISBLANK(DeemedDashboard[[#This Row],[MeasAppType]])),NA(),0),"")</f>
        <v/>
      </c>
      <c r="CA47" s="305" t="str" cm="1">
        <f t="array" aca="1" ref="CA4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7" s="299" t="str">
        <f ca="1">IFERROR((DeemedDashboard[[#This Row],[Msr EOL leakage tons CO2e]]*OFFSET(GHG_Adder_dollar_per_tonne,0,(DeemedDashboard[[#This Row],[Msr Device Retire-ment Year]]-DY+1),1,1))/(1+WACC)^(DeemedDashboard[[#This Row],[Msr Device Retire-ment Year]]-DeemedDashboard[[#This Row],[Measure Start Year]]+0.5),"")</f>
        <v/>
      </c>
      <c r="CC47" s="299" t="str">
        <f ca="1">IFERROR((DeemedDashboard[[#This Row],[Std EOL leakage tons CO2e]]*OFFSET(GHG_Adder_dollar_per_tonne,0,(DeemedDashboard[[#This Row],[Std Device Retire-ment Year]]-DY+1),1,1))/(1+WACC)^(DeemedDashboard[[#This Row],[Std Device Retire-ment Year]]-DeemedDashboard[[#This Row],[Measure Start Year]]+0.5),"")</f>
        <v/>
      </c>
      <c r="CD47" s="299" t="str">
        <f ca="1">IFERROR((DeemedDashboard[[#This Row],[Pre EOL leakage tons CO2e]]*OFFSET(GHG_Adder_dollar_per_tonne,0,(DeemedDashboard[[#This Row],[Measure Start Year]]-DY),1,1))/(1+WACC)^(-0.5),"")</f>
        <v/>
      </c>
      <c r="CE4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7" s="299" t="str">
        <f ca="1">IFERROR(DeemedDashboard[[#This Row],[Msr NPV Cost of Annual Leakage]]/(1+ACC_Inflation_Rate)^(DeemedDashboard[[#This Row],[Measure Start Year]]-DY),"")</f>
        <v/>
      </c>
      <c r="CG47" s="299" t="str">
        <f ca="1">IFERROR(DeemedDashboard[[#This Row],[Std NPV Cost of Annual Leakage]]/(1+ACC_Inflation_Rate)^(DeemedDashboard[[#This Row],[Measure Start Year]]-DY),"")</f>
        <v/>
      </c>
      <c r="CH47" s="299" t="str">
        <f>IFERROR(IF(ISBLANK(DeemedDashboard[[#This Row],[MeasAppType]]),NA(),IF(DeemedDashboard[[#This Row],[MeasAppType]]=const_AR,DeemedDashboard[[#This Row],[Pre NPV Cost of Annual Leakage]]/(1+ACC_Inflation_Rate)^(DeemedDashboard[[#This Row],[Measure Start Year]]-DY),"")),"")</f>
        <v/>
      </c>
      <c r="CI47" s="296" t="str">
        <f>IFERROR(IF(ISBLANK(DeemedDashboard[[#This Row],[MeasAppType]]),NA(),IF(DeemedDashboard[[#This Row],[MeasAppType]]=const_AR,DeemedDashboard[[#This Row],[Ext NPV Cost of Annual Leakage]]/(1+ACC_Inflation_Rate)^(DeemedDashboard[[#This Row],[Measure Start Year]]-DY),"")),"")</f>
        <v/>
      </c>
      <c r="CJ47" s="296" t="str">
        <f ca="1">IFERROR((DeemedDashboard[[#This Row],[Msr % of device lifetime during measure years]]+DeemedDashboard[[#This Row],[Msr % of device lifetime retired early]])*DeemedDashboard[[#This Row],[Msr NPV Cost of EOL Leakage]]/(1+ACC_Inflation_Rate)^(DeemedDashboard[[#This Row],[Measure Start Year]]-DY),"")</f>
        <v/>
      </c>
      <c r="CK47" s="296" t="str">
        <f ca="1">IFERROR((DeemedDashboard[[#This Row],[Std % of device lifetime during measure years]]+DeemedDashboard[[#This Row],[Std % of device lifetime retired early]])*DeemedDashboard[[#This Row],[Std NPV Cost of EOL Leakage]]/(1+ACC_Inflation_Rate)^(DeemedDashboard[[#This Row],[Measure Start Year]]-DY),"")</f>
        <v/>
      </c>
      <c r="CL4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7" s="299" t="str">
        <f ca="1">IFERROR(DeemedDashboard[[#This Row],[Counter-factual total 
NPV cost]]-DeemedDashboard[[#This Row],[Measure total 
NPV cost]],"")</f>
        <v/>
      </c>
      <c r="CQ47" s="299" t="str">
        <f>IF(ISBLANK(DeemedDashboard[[#This Row],[MeasAppType]]),"",DeemedDashboard[[#This Row],[Refrigerant
NPV costs
avoided]]&gt;0)</f>
        <v/>
      </c>
      <c r="CR47" s="299" t="str">
        <f ca="1">IFERROR(DeemedDashboard[[#This Row],[Msr Adj NPV Cost of Annual Leakage]]+DeemedDashboard[[#This Row],[Msr Adj NPV Cost of EOL Leakage]],"")</f>
        <v/>
      </c>
      <c r="CS47" s="299" t="str">
        <f ca="1">IFERROR(DeemedDashboard[[#This Row],[Std Adj NPV Cost of Annual Leakage]]+DeemedDashboard[[#This Row],[Std Adj NPV Cost of EOL Leakage]],"")</f>
        <v/>
      </c>
      <c r="CT47" s="299" t="str">
        <f>IFERROR(IF((DeemedDashboard[[#This Row],[Pre Adj NPV Cost of Annual Leakage]]+DeemedDashboard[[#This Row],[Pre Adj NPV Cost of EOL Leakage]])=0,"",DeemedDashboard[[#This Row],[Pre Adj NPV Cost of Annual Leakage]]+DeemedDashboard[[#This Row],[Pre Adj NPV Cost of EOL Leakage]]),"")</f>
        <v/>
      </c>
      <c r="CU47" s="299" t="str">
        <f>IFERROR(IF((DeemedDashboard[[#This Row],[Ext Adj NPV Cost of Annual Leakage]]+DeemedDashboard[[#This Row],[Ext Adj NPV Cost of EOL Leakage]])=0,"",DeemedDashboard[[#This Row],[Ext Adj NPV Cost of Annual Leakage]]+DeemedDashboard[[#This Row],[Ext Adj NPV Cost of EOL Leakage]]),"")</f>
        <v/>
      </c>
      <c r="CV47" s="299" t="str">
        <f>IFERROR(IF(DeemedDashboard[[#This Row],[Is Avoided Net Cost &gt;0?]],"",-DeemedDashboard[[#This Row],[Refrigerant
NPV costs
avoided]]),"")</f>
        <v/>
      </c>
      <c r="CW47" s="299" t="str">
        <f>IFERROR(IF(DeemedDashboard[[#This Row],[Is Avoided Net Cost &gt;0?]],DeemedDashboard[[#This Row],[Refrigerant
NPV costs
avoided]],""),"")</f>
        <v/>
      </c>
      <c r="CX47" s="391">
        <f ca="1">IFERROR(MATCH(DeemedDashboard[[#This Row],[TechGroup and NormUnit]],TechGroup_and_NormUnit,0),1)</f>
        <v>1</v>
      </c>
      <c r="CY47" s="391" cm="1">
        <f t="array" aca="1" ref="CY47" ca="1">IFERROR(INDEX(TGRows,DeemedDashboard[[#This Row],[TGIndex]]),"")</f>
        <v>2</v>
      </c>
      <c r="CZ47" s="391">
        <f ca="1">IF(DeemedDashboard[[#This Row],[MeasAppType]]=const_AR,DeemedDashboard[[#This Row],[TGRows]],DeemedDashboard[[#This Row],[TGRows]]+1)</f>
        <v>3</v>
      </c>
      <c r="DA47" s="391" t="str">
        <f>IF(ISBLANK(DeemedDashboard[[#This Row],[MeasAppType]]),"",IF(DeemedDashboard[[#This Row],[Index]]=User_Specified_Refrigerant[[#This Row],[Index]],"OK","ERROR"))</f>
        <v/>
      </c>
    </row>
    <row r="48" spans="1:105" s="320" customFormat="1" x14ac:dyDescent="0.25">
      <c r="A48" s="297">
        <f>ROW(DeemedDashboard[[#This Row],[Index]])-ROW(DeemedDashboard[[#Headers],[Index]])</f>
        <v>39</v>
      </c>
      <c r="B48" s="298"/>
      <c r="C48" s="321"/>
      <c r="D48" s="403"/>
      <c r="E48" s="403"/>
      <c r="F48" s="403"/>
      <c r="G48" s="403"/>
      <c r="H48" s="366"/>
      <c r="I48" s="339"/>
      <c r="J48" s="339"/>
      <c r="K48" s="339"/>
      <c r="L48" s="322"/>
      <c r="M48" s="322"/>
      <c r="N48" s="322"/>
      <c r="O4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8" s="582" t="str" cm="1">
        <f t="array" ref="R48">IFERROR(IF(DeemedDashboard[[#This Row],[Msr device type]]=const_device_nonrefrig,0,INDEX(_xlfn.SWITCH($E$4,const_20_yr,GWP_Values_20_year_AR4,const_100_yr,GWP_Values_100_year_AR4),MATCH(DeemedDashboard[[#This Row],[Msr refrigerant Type]],RefrigDropdownList,0))),"")</f>
        <v/>
      </c>
      <c r="S48" s="582" t="str" cm="1">
        <f t="array" ref="S48">IFERROR(IF(DeemedDashboard[[#This Row],[Std device type]]=const_device_nonrefrig,0,INDEX(_xlfn.SWITCH($E$4,const_20_yr,GWP_Values_20_year_AR4,const_100_yr,GWP_Values_100_year_AR4),MATCH(DeemedDashboard[[#This Row],[Std refrigerant Type]],RefrigDropdownList,0))),"")</f>
        <v/>
      </c>
      <c r="T48" s="582" t="str" cm="1">
        <f t="array" ref="T48">IFERROR(IF(DeemedDashboard[[#This Row],[Pre/Ext device type]]=const_device_nonrefrig,0,INDEX(_xlfn.SWITCH($E$4,const_20_yr,GWP_Values_20_year_AR4,const_100_yr,GWP_Values_100_year_AR4),MATCH(DeemedDashboard[[#This Row],[Pre/Ext refrigerant Type]],RefrigDropdownList,0))),"")</f>
        <v/>
      </c>
      <c r="U4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8" s="326" t="str">
        <f>IFERROR(IF(DeemedDashboard[[#This Row],[Msr device type]]=const_userspec,IF(ISBLANK(User_Specified_Refrigerant[[#This Row],[Msr t_EOL]]),"",User_Specified_Refrigerant[[#This Row],[Msr t_EOL]]),INDEX(TechGroup_NormUnit_Table[t_EOL],MATCH(DeemedDashboard[[#This Row],[Msr device type]],DropdownRefrigTech,0))),"")</f>
        <v/>
      </c>
      <c r="AB48" s="326" t="str">
        <f>IFERROR(IF(DeemedDashboard[[#This Row],[Std device type]]=const_userspec,IF(ISBLANK(User_Specified_Refrigerant[[#This Row],[Std t_EOL]]),"",User_Specified_Refrigerant[[#This Row],[Std t_EOL]]),INDEX(TechGroup_NormUnit_Table[t_EOL],MATCH(DeemedDashboard[[#This Row],[Std device type]],DropdownRefrigTech,0))),"")</f>
        <v/>
      </c>
      <c r="AC4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8" s="395" t="str">
        <f>IF(ISBLANK(DeemedDashboard[[#This Row],[MeasAppType]]),"",$E$2)</f>
        <v/>
      </c>
      <c r="AE48" s="395" t="str">
        <f>IFERROR(IF(ISBLANK(DeemedDashboard[[#This Row],[MeasAppType]]),NA(),DeemedDashboard[[#This Row],[Measure Start Year]]+DeemedDashboard[[#This Row],[Msr EUL rounded]]-1),"")</f>
        <v/>
      </c>
      <c r="AF48" s="323" t="str">
        <f>IF(ISBLANK(DeemedDashboard[[#This Row],[Measure New Device EUL]]),"",ROUND(DeemedDashboard[[#This Row],[Measure New Device EUL]],0))</f>
        <v/>
      </c>
      <c r="AG48" s="323" t="str">
        <f>IF(ISBLANK(DeemedDashboard[[#This Row],[Counterfactual New Device EUL]]),"",ROUND(DeemedDashboard[[#This Row],[Counterfactual New Device EUL]],0))</f>
        <v/>
      </c>
      <c r="AH48" s="323" t="str">
        <f>IF(ISBLANK(DeemedDashboard[[#This Row],[Existing Device EUL]]),"",ROUND(DeemedDashboard[[#This Row],[Existing Device EUL]],0))</f>
        <v/>
      </c>
      <c r="AI48" s="323" t="str">
        <f>IF(ISBLANK(DeemedDashboard[[#This Row],[Existing Device RUL or AR First Baseline Life]]),"",ROUND(DeemedDashboard[[#This Row],[Existing Device RUL or AR First Baseline Life]],0))</f>
        <v/>
      </c>
      <c r="AJ48" s="327" t="str">
        <f>DeemedDashboard[[#This Row],[Measure Start Year]]</f>
        <v/>
      </c>
      <c r="AK48" s="327" t="str">
        <f>IF(DeemedDashboard[[#This Row],[MeasAppType]]&lt;&gt;const_AR,DeemedDashboard[[#This Row],[Measure Start Year]],DeemedDashboard[[#This Row],[Ext Device Retire-ment Year]]+1)</f>
        <v/>
      </c>
      <c r="AL48" s="327" t="str">
        <f>IFERROR(IF(DeemedDashboard[[#This Row],[MeasAppType]]=const_AR,DeemedDashboard[[#This Row],[Measure Start Year]]-(DeemedDashboard[[#This Row],[Existing Device EUL]]-DeemedDashboard[[#This Row],[Existing Device RUL or AR First Baseline Life]]),NA()),"")</f>
        <v/>
      </c>
      <c r="AM48" s="327" t="str">
        <f>DeemedDashboard[[#This Row],[Pre Device Install Year]]</f>
        <v/>
      </c>
      <c r="AN48" s="327" t="str">
        <f>IFERROR(IF(ISBLANK(DeemedDashboard[[#This Row],[MeasAppType]]),NA(),DeemedDashboard[[#This Row],[Measure Start Year]]+DeemedDashboard[[#This Row],[Msr EUL rounded]]-1),"")</f>
        <v/>
      </c>
      <c r="AO48" s="327" t="str">
        <f>IFERROR(DeemedDashboard[[#This Row],[Std Device Install Year]]+DeemedDashboard[[#This Row],[Counterfactual New Device EUL]]-1,"")</f>
        <v/>
      </c>
      <c r="AP48" s="327" t="str">
        <f>IFERROR(IF(AND(DeemedDashboard[[#This Row],[MeasAppType]]=const_AR,DeemedDashboard[[#This Row],[Measure Start Year]]&lt;(DeemedDashboard[[#This Row],[Pre Device Install Year]]+DeemedDashboard[[#This Row],[Existing Device EUL]]-1)),DeemedDashboard[[#This Row],[Measure Start Year]]-1,NA()),"")</f>
        <v/>
      </c>
      <c r="AQ48" s="327" t="str">
        <f>IFERROR(IF(DeemedDashboard[[#This Row],[MeasAppType]]=const_AR,DeemedDashboard[[#This Row],[Ext Device Install Year]]+DeemedDashboard[[#This Row],[Existing Device EUL]]-1,NA()),"")</f>
        <v/>
      </c>
      <c r="AR48" s="327" t="str">
        <f>IFERROR(IF(ISBLANK(DeemedDashboard[[#This Row],[MeasAppType]]),NA(),0),"")</f>
        <v/>
      </c>
      <c r="AS48" s="327" t="str">
        <f>IFERROR(IF(ISBLANK(DeemedDashboard[[#This Row],[MeasAppType]]),NA(),0),"")</f>
        <v/>
      </c>
      <c r="AT48" s="327" t="str">
        <f>IF(ISBLANK(DeemedDashboard[[#This Row],[MeasAppType]]),"",IF(DeemedDashboard[[#This Row],[MeasAppType]]&lt;&gt;const_AR,"",(DeemedDashboard[[#This Row],[Pre Device Install Year]]+DeemedDashboard[[#This Row],[Existing Device EUL]]-1)-DeemedDashboard[[#This Row],[Pre Device Retire-ment Year]]))</f>
        <v/>
      </c>
      <c r="AU48" s="327" t="str">
        <f>IF(ISBLANK(DeemedDashboard[[#This Row],[MeasAppType]]),"",IF(DeemedDashboard[[#This Row],[MeasAppType]]=const_AR,0,""))</f>
        <v/>
      </c>
      <c r="AV48" s="328" t="str">
        <f>IF(ISBLANK(DeemedDashboard[[#This Row],[MeasAppType]]),"",MAX((1+MIN(DeemedDashboard[[#This Row],[Msr Device Retire-ment Year]],DeemedDashboard[[#This Row],[Measure End 
Year]])-MAX(DeemedDashboard[[#This Row],[Msr Device Install Year]],DeemedDashboard[[#This Row],[Measure Start Year]])),0))</f>
        <v/>
      </c>
      <c r="AW48" s="328" t="str">
        <f>IF(ISBLANK(DeemedDashboard[[#This Row],[MeasAppType]]),"",MAX((1+MIN(DeemedDashboard[[#This Row],[Std Device Retire-ment Year]],DeemedDashboard[[#This Row],[Measure End 
Year]])-MAX(DeemedDashboard[[#This Row],[Std Device Install Year]],DeemedDashboard[[#This Row],[Measure Start Year]])),0))</f>
        <v/>
      </c>
      <c r="AX4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8" s="329" t="str">
        <f>IF(ISBLANK(DeemedDashboard[[#This Row],[MeasAppType]]),"",IF(DeemedDashboard[[#This Row],[Msr Device Years Over-lapping with Measure Years]]=0,0,DeemedDashboard[[#This Row],[Msr Device Years Over-lapping with Measure Years]]/DeemedDashboard[[#This Row],[Msr EUL rounded]]))</f>
        <v/>
      </c>
      <c r="BA48" s="329" t="str">
        <f>IF(ISBLANK(DeemedDashboard[[#This Row],[MeasAppType]]),"",IF(DeemedDashboard[[#This Row],[Std Device Years Over-lapping with Measure Years]]=0,0,DeemedDashboard[[#This Row],[Std Device Years Over-lapping with Measure Years]]/DeemedDashboard[[#This Row],[Counterfactual New Device EUL]]))</f>
        <v/>
      </c>
      <c r="BB48" s="329" t="str">
        <f>IF(ISBLANK(DeemedDashboard[[#This Row],[MeasAppType]]),"",IFERROR(IF(DeemedDashboard[[#This Row],[Pre Device Years Over-lapping with Measure Years]]=0,0,DeemedDashboard[[#This Row],[Pre Device Years Over-lapping with Measure Years]]/DeemedDashboard[[#This Row],[Existing Device EUL]]),""))</f>
        <v/>
      </c>
      <c r="BC48" s="329" t="str">
        <f>IFERROR(IF(DeemedDashboard[[#This Row],[Ext Device Years Over-lapping with Measure Years]]=0,0,DeemedDashboard[[#This Row],[Ext Device Years Over-lapping with Measure Years]]/DeemedDashboard[[#This Row],[Existing Device EUL]]),"")</f>
        <v/>
      </c>
      <c r="BD48" s="329" t="str">
        <f>IFERROR(IF(DeemedDashboard[[#This Row],[Msr Number of Years device retired early]]=0,0,DeemedDashboard[[#This Row],[Msr Number of Years device retired early]]/DeemedDashboard[[#This Row],[Msr EUL rounded]]),"")</f>
        <v/>
      </c>
      <c r="BE48" s="329" t="str">
        <f>IFERROR(IF(DeemedDashboard[[#This Row],[Std Number of Years device retired early]]=0,0,DeemedDashboard[[#This Row],[Std Number of Years device retired early]]/DeemedDashboard[[#This Row],[Msr EUL rounded]]),"")</f>
        <v/>
      </c>
      <c r="BF48" s="329" t="str">
        <f>IFERROR(IF(DeemedDashboard[[#This Row],[MeasAppType]]&lt;&gt;const_AR,"",IF(DeemedDashboard[[#This Row],[Pre Number of Years device retired early]]=0,0,DeemedDashboard[[#This Row],[Pre Number of Years device retired early]]/DeemedDashboard[[#This Row],[Existing Device EUL]])),"")</f>
        <v/>
      </c>
      <c r="BG48" s="329" t="str">
        <f>IFERROR(IF(DeemedDashboard[[#This Row],[Ext Number of Years device retired early]]=0,0,DeemedDashboard[[#This Row],[Ext Number of Years device retired early]]/DeemedDashboard[[#This Row],[Existing Device EUL]]),"")</f>
        <v/>
      </c>
      <c r="BH48" s="325" t="str">
        <f>IFERROR(1-DeemedDashboard[[#This Row],[Msr annual refrigerant leakage %]]*DeemedDashboard[[#This Row],[Msr t_EOL]],"")</f>
        <v/>
      </c>
      <c r="BI48" s="325" t="str">
        <f>IFERROR(1-DeemedDashboard[[#This Row],[Std annual refrigerant leakage %]]*DeemedDashboard[[#This Row],[Std t_EOL]],"")</f>
        <v/>
      </c>
      <c r="BJ48" s="325" t="str">
        <f>IFERROR(1-DeemedDashboard[[#This Row],[Pre/Ext annual refrigerant leakage %]]*DeemedDashboard[[#This Row],[Pre/Ext t_EOL]],"")</f>
        <v/>
      </c>
      <c r="BK48" s="325" t="str">
        <f>IFERROR(1-DeemedDashboard[[#This Row],[Pre/Ext annual refrigerant leakage %]]*DeemedDashboard[[#This Row],[Pre/Ext t_EOL]],"")</f>
        <v/>
      </c>
      <c r="BL48" s="325" t="str">
        <f>IFERROR(DeemedDashboard[[#This Row],[Msr charging remaining (%)]]*DeemedDashboard[[#This Row],[Msr gross EOL refrigerant leakage %]],"")</f>
        <v/>
      </c>
      <c r="BM48" s="325" t="str">
        <f>IFERROR(DeemedDashboard[[#This Row],[Std charging remaining (%)]]*DeemedDashboard[[#This Row],[Std gross EOL refrigerant leakage %]],"")</f>
        <v/>
      </c>
      <c r="BN48" s="325" t="str">
        <f>IFERROR(DeemedDashboard[[#This Row],[Pre charging remaining (%)]]*DeemedDashboard[[#This Row],[Pre/Ext gross EOL refrigerant leakage %]],"")</f>
        <v/>
      </c>
      <c r="BO48" s="325" t="str">
        <f>IFERROR(DeemedDashboard[[#This Row],[Ext charging remaining (%)]]*DeemedDashboard[[#This Row],[Pre/Ext gross EOL refrigerant leakage %]],"")</f>
        <v/>
      </c>
      <c r="BP48" s="330" t="str">
        <f>IFERROR((DeemedDashboard[[#This Row],[Msr refrigerant charge (lb) per NormUnit]]/pounds_per_metric_ton)*DeemedDashboard[[#This Row],[Msr annual refrigerant leakage %]]*DeemedDashboard[[#This Row],[Msr GWP]],"")</f>
        <v/>
      </c>
      <c r="BQ48" s="330" t="str">
        <f>IFERROR((DeemedDashboard[[#This Row],[Std refrigerant charge (lb) per NormUnit]]/pounds_per_metric_ton)*DeemedDashboard[[#This Row],[Std annual refrigerant leakage %]]*DeemedDashboard[[#This Row],[Std GWP]],"")</f>
        <v/>
      </c>
      <c r="BR48" s="330" t="str">
        <f>IF(DeemedDashboard[[#This Row],[MeasAppType]]=const_AR,(DeemedDashboard[[#This Row],[Pre/Ext refrigerant charge (lb) per NormUnit]]/pounds_per_metric_ton)*DeemedDashboard[[#This Row],[Pre/Ext annual refrigerant leakage %]]*DeemedDashboard[[#This Row],[Pre/Ext GWP]],"")</f>
        <v/>
      </c>
      <c r="BS48" s="330" t="str">
        <f>IF(DeemedDashboard[[#This Row],[MeasAppType]]=const_AR,(DeemedDashboard[[#This Row],[Pre/Ext refrigerant charge (lb) per NormUnit]]/pounds_per_metric_ton)*DeemedDashboard[[#This Row],[Pre/Ext annual refrigerant leakage %]]*DeemedDashboard[[#This Row],[Pre/Ext GWP]],"")</f>
        <v/>
      </c>
      <c r="BT48" s="330" t="str">
        <f>IFERROR((DeemedDashboard[[#This Row],[Msr refrigerant charge (lb) per NormUnit]]/pounds_per_metric_ton)*DeemedDashboard[[#This Row],[Msr net EOL refrigerant leakage (%)]]*DeemedDashboard[[#This Row],[Msr GWP]],"")</f>
        <v/>
      </c>
      <c r="BU48" s="330" t="str">
        <f>IFERROR((DeemedDashboard[[#This Row],[Std refrigerant charge (lb) per NormUnit]]/pounds_per_metric_ton)*DeemedDashboard[[#This Row],[Std net EOL refrigerant leakage (%)]]*DeemedDashboard[[#This Row],[Std GWP]],"")</f>
        <v/>
      </c>
      <c r="BV48" s="330" t="str">
        <f>IFERROR((DeemedDashboard[[#This Row],[Pre/Ext refrigerant charge (lb) per NormUnit]]/pounds_per_metric_ton)*DeemedDashboard[[#This Row],[Pre net EOL refrigerant leakage (%)]]*DeemedDashboard[[#This Row],[Pre/Ext GWP]],"")</f>
        <v/>
      </c>
      <c r="BW48" s="330" t="str">
        <f>IFERROR((DeemedDashboard[[#This Row],[Pre/Ext refrigerant charge (lb) per NormUnit]]/pounds_per_metric_ton)*DeemedDashboard[[#This Row],[Ext net EOL refrigerant leakage (%)]]*DeemedDashboard[[#This Row],[Pre/Ext GWP]],"")</f>
        <v/>
      </c>
      <c r="BX48" s="299" t="str" cm="1">
        <f t="array" aca="1" ref="BX4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8" s="305" t="str" cm="1">
        <f t="array" aca="1" ref="BY4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8" s="299" t="str">
        <f>IFERROR(IF(OR(DeemedDashboard[[#This Row],[MeasAppType]]&lt;&gt;const_AR,ISBLANK(DeemedDashboard[[#This Row],[MeasAppType]])),NA(),0),"")</f>
        <v/>
      </c>
      <c r="CA48" s="305" t="str" cm="1">
        <f t="array" aca="1" ref="CA4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8" s="299" t="str">
        <f ca="1">IFERROR((DeemedDashboard[[#This Row],[Msr EOL leakage tons CO2e]]*OFFSET(GHG_Adder_dollar_per_tonne,0,(DeemedDashboard[[#This Row],[Msr Device Retire-ment Year]]-DY+1),1,1))/(1+WACC)^(DeemedDashboard[[#This Row],[Msr Device Retire-ment Year]]-DeemedDashboard[[#This Row],[Measure Start Year]]+0.5),"")</f>
        <v/>
      </c>
      <c r="CC48" s="299" t="str">
        <f ca="1">IFERROR((DeemedDashboard[[#This Row],[Std EOL leakage tons CO2e]]*OFFSET(GHG_Adder_dollar_per_tonne,0,(DeemedDashboard[[#This Row],[Std Device Retire-ment Year]]-DY+1),1,1))/(1+WACC)^(DeemedDashboard[[#This Row],[Std Device Retire-ment Year]]-DeemedDashboard[[#This Row],[Measure Start Year]]+0.5),"")</f>
        <v/>
      </c>
      <c r="CD48" s="299" t="str">
        <f ca="1">IFERROR((DeemedDashboard[[#This Row],[Pre EOL leakage tons CO2e]]*OFFSET(GHG_Adder_dollar_per_tonne,0,(DeemedDashboard[[#This Row],[Measure Start Year]]-DY),1,1))/(1+WACC)^(-0.5),"")</f>
        <v/>
      </c>
      <c r="CE4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8" s="299" t="str">
        <f ca="1">IFERROR(DeemedDashboard[[#This Row],[Msr NPV Cost of Annual Leakage]]/(1+ACC_Inflation_Rate)^(DeemedDashboard[[#This Row],[Measure Start Year]]-DY),"")</f>
        <v/>
      </c>
      <c r="CG48" s="299" t="str">
        <f ca="1">IFERROR(DeemedDashboard[[#This Row],[Std NPV Cost of Annual Leakage]]/(1+ACC_Inflation_Rate)^(DeemedDashboard[[#This Row],[Measure Start Year]]-DY),"")</f>
        <v/>
      </c>
      <c r="CH48" s="299" t="str">
        <f>IFERROR(IF(ISBLANK(DeemedDashboard[[#This Row],[MeasAppType]]),NA(),IF(DeemedDashboard[[#This Row],[MeasAppType]]=const_AR,DeemedDashboard[[#This Row],[Pre NPV Cost of Annual Leakage]]/(1+ACC_Inflation_Rate)^(DeemedDashboard[[#This Row],[Measure Start Year]]-DY),"")),"")</f>
        <v/>
      </c>
      <c r="CI48" s="296" t="str">
        <f>IFERROR(IF(ISBLANK(DeemedDashboard[[#This Row],[MeasAppType]]),NA(),IF(DeemedDashboard[[#This Row],[MeasAppType]]=const_AR,DeemedDashboard[[#This Row],[Ext NPV Cost of Annual Leakage]]/(1+ACC_Inflation_Rate)^(DeemedDashboard[[#This Row],[Measure Start Year]]-DY),"")),"")</f>
        <v/>
      </c>
      <c r="CJ48" s="296" t="str">
        <f ca="1">IFERROR((DeemedDashboard[[#This Row],[Msr % of device lifetime during measure years]]+DeemedDashboard[[#This Row],[Msr % of device lifetime retired early]])*DeemedDashboard[[#This Row],[Msr NPV Cost of EOL Leakage]]/(1+ACC_Inflation_Rate)^(DeemedDashboard[[#This Row],[Measure Start Year]]-DY),"")</f>
        <v/>
      </c>
      <c r="CK48" s="296" t="str">
        <f ca="1">IFERROR((DeemedDashboard[[#This Row],[Std % of device lifetime during measure years]]+DeemedDashboard[[#This Row],[Std % of device lifetime retired early]])*DeemedDashboard[[#This Row],[Std NPV Cost of EOL Leakage]]/(1+ACC_Inflation_Rate)^(DeemedDashboard[[#This Row],[Measure Start Year]]-DY),"")</f>
        <v/>
      </c>
      <c r="CL4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8" s="299" t="str">
        <f ca="1">IFERROR(DeemedDashboard[[#This Row],[Counter-factual total 
NPV cost]]-DeemedDashboard[[#This Row],[Measure total 
NPV cost]],"")</f>
        <v/>
      </c>
      <c r="CQ48" s="299" t="str">
        <f>IF(ISBLANK(DeemedDashboard[[#This Row],[MeasAppType]]),"",DeemedDashboard[[#This Row],[Refrigerant
NPV costs
avoided]]&gt;0)</f>
        <v/>
      </c>
      <c r="CR48" s="299" t="str">
        <f ca="1">IFERROR(DeemedDashboard[[#This Row],[Msr Adj NPV Cost of Annual Leakage]]+DeemedDashboard[[#This Row],[Msr Adj NPV Cost of EOL Leakage]],"")</f>
        <v/>
      </c>
      <c r="CS48" s="299" t="str">
        <f ca="1">IFERROR(DeemedDashboard[[#This Row],[Std Adj NPV Cost of Annual Leakage]]+DeemedDashboard[[#This Row],[Std Adj NPV Cost of EOL Leakage]],"")</f>
        <v/>
      </c>
      <c r="CT48" s="299" t="str">
        <f>IFERROR(IF((DeemedDashboard[[#This Row],[Pre Adj NPV Cost of Annual Leakage]]+DeemedDashboard[[#This Row],[Pre Adj NPV Cost of EOL Leakage]])=0,"",DeemedDashboard[[#This Row],[Pre Adj NPV Cost of Annual Leakage]]+DeemedDashboard[[#This Row],[Pre Adj NPV Cost of EOL Leakage]]),"")</f>
        <v/>
      </c>
      <c r="CU48" s="299" t="str">
        <f>IFERROR(IF((DeemedDashboard[[#This Row],[Ext Adj NPV Cost of Annual Leakage]]+DeemedDashboard[[#This Row],[Ext Adj NPV Cost of EOL Leakage]])=0,"",DeemedDashboard[[#This Row],[Ext Adj NPV Cost of Annual Leakage]]+DeemedDashboard[[#This Row],[Ext Adj NPV Cost of EOL Leakage]]),"")</f>
        <v/>
      </c>
      <c r="CV48" s="299" t="str">
        <f>IFERROR(IF(DeemedDashboard[[#This Row],[Is Avoided Net Cost &gt;0?]],"",-DeemedDashboard[[#This Row],[Refrigerant
NPV costs
avoided]]),"")</f>
        <v/>
      </c>
      <c r="CW48" s="299" t="str">
        <f>IFERROR(IF(DeemedDashboard[[#This Row],[Is Avoided Net Cost &gt;0?]],DeemedDashboard[[#This Row],[Refrigerant
NPV costs
avoided]],""),"")</f>
        <v/>
      </c>
      <c r="CX48" s="391">
        <f ca="1">IFERROR(MATCH(DeemedDashboard[[#This Row],[TechGroup and NormUnit]],TechGroup_and_NormUnit,0),1)</f>
        <v>1</v>
      </c>
      <c r="CY48" s="391" cm="1">
        <f t="array" aca="1" ref="CY48" ca="1">IFERROR(INDEX(TGRows,DeemedDashboard[[#This Row],[TGIndex]]),"")</f>
        <v>2</v>
      </c>
      <c r="CZ48" s="391">
        <f ca="1">IF(DeemedDashboard[[#This Row],[MeasAppType]]=const_AR,DeemedDashboard[[#This Row],[TGRows]],DeemedDashboard[[#This Row],[TGRows]]+1)</f>
        <v>3</v>
      </c>
      <c r="DA48" s="391" t="str">
        <f>IF(ISBLANK(DeemedDashboard[[#This Row],[MeasAppType]]),"",IF(DeemedDashboard[[#This Row],[Index]]=User_Specified_Refrigerant[[#This Row],[Index]],"OK","ERROR"))</f>
        <v/>
      </c>
    </row>
    <row r="49" spans="1:105" s="320" customFormat="1" x14ac:dyDescent="0.25">
      <c r="A49" s="297">
        <f>ROW(DeemedDashboard[[#This Row],[Index]])-ROW(DeemedDashboard[[#Headers],[Index]])</f>
        <v>40</v>
      </c>
      <c r="B49" s="298"/>
      <c r="C49" s="321"/>
      <c r="D49" s="403"/>
      <c r="E49" s="403"/>
      <c r="F49" s="403"/>
      <c r="G49" s="403"/>
      <c r="H49" s="366"/>
      <c r="I49" s="339"/>
      <c r="J49" s="339"/>
      <c r="K49" s="339"/>
      <c r="L49" s="322"/>
      <c r="M49" s="322"/>
      <c r="N49" s="322"/>
      <c r="O4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4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4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49" s="582" t="str" cm="1">
        <f t="array" ref="R49">IFERROR(IF(DeemedDashboard[[#This Row],[Msr device type]]=const_device_nonrefrig,0,INDEX(_xlfn.SWITCH($E$4,const_20_yr,GWP_Values_20_year_AR4,const_100_yr,GWP_Values_100_year_AR4),MATCH(DeemedDashboard[[#This Row],[Msr refrigerant Type]],RefrigDropdownList,0))),"")</f>
        <v/>
      </c>
      <c r="S49" s="582" t="str" cm="1">
        <f t="array" ref="S49">IFERROR(IF(DeemedDashboard[[#This Row],[Std device type]]=const_device_nonrefrig,0,INDEX(_xlfn.SWITCH($E$4,const_20_yr,GWP_Values_20_year_AR4,const_100_yr,GWP_Values_100_year_AR4),MATCH(DeemedDashboard[[#This Row],[Std refrigerant Type]],RefrigDropdownList,0))),"")</f>
        <v/>
      </c>
      <c r="T49" s="582" t="str" cm="1">
        <f t="array" ref="T49">IFERROR(IF(DeemedDashboard[[#This Row],[Pre/Ext device type]]=const_device_nonrefrig,0,INDEX(_xlfn.SWITCH($E$4,const_20_yr,GWP_Values_20_year_AR4,const_100_yr,GWP_Values_100_year_AR4),MATCH(DeemedDashboard[[#This Row],[Pre/Ext refrigerant Type]],RefrigDropdownList,0))),"")</f>
        <v/>
      </c>
      <c r="U4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4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4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4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4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4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49" s="326" t="str">
        <f>IFERROR(IF(DeemedDashboard[[#This Row],[Msr device type]]=const_userspec,IF(ISBLANK(User_Specified_Refrigerant[[#This Row],[Msr t_EOL]]),"",User_Specified_Refrigerant[[#This Row],[Msr t_EOL]]),INDEX(TechGroup_NormUnit_Table[t_EOL],MATCH(DeemedDashboard[[#This Row],[Msr device type]],DropdownRefrigTech,0))),"")</f>
        <v/>
      </c>
      <c r="AB49" s="326" t="str">
        <f>IFERROR(IF(DeemedDashboard[[#This Row],[Std device type]]=const_userspec,IF(ISBLANK(User_Specified_Refrigerant[[#This Row],[Std t_EOL]]),"",User_Specified_Refrigerant[[#This Row],[Std t_EOL]]),INDEX(TechGroup_NormUnit_Table[t_EOL],MATCH(DeemedDashboard[[#This Row],[Std device type]],DropdownRefrigTech,0))),"")</f>
        <v/>
      </c>
      <c r="AC4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49" s="395" t="str">
        <f>IF(ISBLANK(DeemedDashboard[[#This Row],[MeasAppType]]),"",$E$2)</f>
        <v/>
      </c>
      <c r="AE49" s="395" t="str">
        <f>IFERROR(IF(ISBLANK(DeemedDashboard[[#This Row],[MeasAppType]]),NA(),DeemedDashboard[[#This Row],[Measure Start Year]]+DeemedDashboard[[#This Row],[Msr EUL rounded]]-1),"")</f>
        <v/>
      </c>
      <c r="AF49" s="323" t="str">
        <f>IF(ISBLANK(DeemedDashboard[[#This Row],[Measure New Device EUL]]),"",ROUND(DeemedDashboard[[#This Row],[Measure New Device EUL]],0))</f>
        <v/>
      </c>
      <c r="AG49" s="323" t="str">
        <f>IF(ISBLANK(DeemedDashboard[[#This Row],[Counterfactual New Device EUL]]),"",ROUND(DeemedDashboard[[#This Row],[Counterfactual New Device EUL]],0))</f>
        <v/>
      </c>
      <c r="AH49" s="323" t="str">
        <f>IF(ISBLANK(DeemedDashboard[[#This Row],[Existing Device EUL]]),"",ROUND(DeemedDashboard[[#This Row],[Existing Device EUL]],0))</f>
        <v/>
      </c>
      <c r="AI49" s="323" t="str">
        <f>IF(ISBLANK(DeemedDashboard[[#This Row],[Existing Device RUL or AR First Baseline Life]]),"",ROUND(DeemedDashboard[[#This Row],[Existing Device RUL or AR First Baseline Life]],0))</f>
        <v/>
      </c>
      <c r="AJ49" s="327" t="str">
        <f>DeemedDashboard[[#This Row],[Measure Start Year]]</f>
        <v/>
      </c>
      <c r="AK49" s="327" t="str">
        <f>IF(DeemedDashboard[[#This Row],[MeasAppType]]&lt;&gt;const_AR,DeemedDashboard[[#This Row],[Measure Start Year]],DeemedDashboard[[#This Row],[Ext Device Retire-ment Year]]+1)</f>
        <v/>
      </c>
      <c r="AL49" s="327" t="str">
        <f>IFERROR(IF(DeemedDashboard[[#This Row],[MeasAppType]]=const_AR,DeemedDashboard[[#This Row],[Measure Start Year]]-(DeemedDashboard[[#This Row],[Existing Device EUL]]-DeemedDashboard[[#This Row],[Existing Device RUL or AR First Baseline Life]]),NA()),"")</f>
        <v/>
      </c>
      <c r="AM49" s="327" t="str">
        <f>DeemedDashboard[[#This Row],[Pre Device Install Year]]</f>
        <v/>
      </c>
      <c r="AN49" s="327" t="str">
        <f>IFERROR(IF(ISBLANK(DeemedDashboard[[#This Row],[MeasAppType]]),NA(),DeemedDashboard[[#This Row],[Measure Start Year]]+DeemedDashboard[[#This Row],[Msr EUL rounded]]-1),"")</f>
        <v/>
      </c>
      <c r="AO49" s="327" t="str">
        <f>IFERROR(DeemedDashboard[[#This Row],[Std Device Install Year]]+DeemedDashboard[[#This Row],[Counterfactual New Device EUL]]-1,"")</f>
        <v/>
      </c>
      <c r="AP49" s="327" t="str">
        <f>IFERROR(IF(AND(DeemedDashboard[[#This Row],[MeasAppType]]=const_AR,DeemedDashboard[[#This Row],[Measure Start Year]]&lt;(DeemedDashboard[[#This Row],[Pre Device Install Year]]+DeemedDashboard[[#This Row],[Existing Device EUL]]-1)),DeemedDashboard[[#This Row],[Measure Start Year]]-1,NA()),"")</f>
        <v/>
      </c>
      <c r="AQ49" s="327" t="str">
        <f>IFERROR(IF(DeemedDashboard[[#This Row],[MeasAppType]]=const_AR,DeemedDashboard[[#This Row],[Ext Device Install Year]]+DeemedDashboard[[#This Row],[Existing Device EUL]]-1,NA()),"")</f>
        <v/>
      </c>
      <c r="AR49" s="327" t="str">
        <f>IFERROR(IF(ISBLANK(DeemedDashboard[[#This Row],[MeasAppType]]),NA(),0),"")</f>
        <v/>
      </c>
      <c r="AS49" s="327" t="str">
        <f>IFERROR(IF(ISBLANK(DeemedDashboard[[#This Row],[MeasAppType]]),NA(),0),"")</f>
        <v/>
      </c>
      <c r="AT49" s="327" t="str">
        <f>IF(ISBLANK(DeemedDashboard[[#This Row],[MeasAppType]]),"",IF(DeemedDashboard[[#This Row],[MeasAppType]]&lt;&gt;const_AR,"",(DeemedDashboard[[#This Row],[Pre Device Install Year]]+DeemedDashboard[[#This Row],[Existing Device EUL]]-1)-DeemedDashboard[[#This Row],[Pre Device Retire-ment Year]]))</f>
        <v/>
      </c>
      <c r="AU49" s="327" t="str">
        <f>IF(ISBLANK(DeemedDashboard[[#This Row],[MeasAppType]]),"",IF(DeemedDashboard[[#This Row],[MeasAppType]]=const_AR,0,""))</f>
        <v/>
      </c>
      <c r="AV49" s="328" t="str">
        <f>IF(ISBLANK(DeemedDashboard[[#This Row],[MeasAppType]]),"",MAX((1+MIN(DeemedDashboard[[#This Row],[Msr Device Retire-ment Year]],DeemedDashboard[[#This Row],[Measure End 
Year]])-MAX(DeemedDashboard[[#This Row],[Msr Device Install Year]],DeemedDashboard[[#This Row],[Measure Start Year]])),0))</f>
        <v/>
      </c>
      <c r="AW49" s="328" t="str">
        <f>IF(ISBLANK(DeemedDashboard[[#This Row],[MeasAppType]]),"",MAX((1+MIN(DeemedDashboard[[#This Row],[Std Device Retire-ment Year]],DeemedDashboard[[#This Row],[Measure End 
Year]])-MAX(DeemedDashboard[[#This Row],[Std Device Install Year]],DeemedDashboard[[#This Row],[Measure Start Year]])),0))</f>
        <v/>
      </c>
      <c r="AX4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4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49" s="329" t="str">
        <f>IF(ISBLANK(DeemedDashboard[[#This Row],[MeasAppType]]),"",IF(DeemedDashboard[[#This Row],[Msr Device Years Over-lapping with Measure Years]]=0,0,DeemedDashboard[[#This Row],[Msr Device Years Over-lapping with Measure Years]]/DeemedDashboard[[#This Row],[Msr EUL rounded]]))</f>
        <v/>
      </c>
      <c r="BA49" s="329" t="str">
        <f>IF(ISBLANK(DeemedDashboard[[#This Row],[MeasAppType]]),"",IF(DeemedDashboard[[#This Row],[Std Device Years Over-lapping with Measure Years]]=0,0,DeemedDashboard[[#This Row],[Std Device Years Over-lapping with Measure Years]]/DeemedDashboard[[#This Row],[Counterfactual New Device EUL]]))</f>
        <v/>
      </c>
      <c r="BB49" s="329" t="str">
        <f>IF(ISBLANK(DeemedDashboard[[#This Row],[MeasAppType]]),"",IFERROR(IF(DeemedDashboard[[#This Row],[Pre Device Years Over-lapping with Measure Years]]=0,0,DeemedDashboard[[#This Row],[Pre Device Years Over-lapping with Measure Years]]/DeemedDashboard[[#This Row],[Existing Device EUL]]),""))</f>
        <v/>
      </c>
      <c r="BC49" s="329" t="str">
        <f>IFERROR(IF(DeemedDashboard[[#This Row],[Ext Device Years Over-lapping with Measure Years]]=0,0,DeemedDashboard[[#This Row],[Ext Device Years Over-lapping with Measure Years]]/DeemedDashboard[[#This Row],[Existing Device EUL]]),"")</f>
        <v/>
      </c>
      <c r="BD49" s="329" t="str">
        <f>IFERROR(IF(DeemedDashboard[[#This Row],[Msr Number of Years device retired early]]=0,0,DeemedDashboard[[#This Row],[Msr Number of Years device retired early]]/DeemedDashboard[[#This Row],[Msr EUL rounded]]),"")</f>
        <v/>
      </c>
      <c r="BE49" s="329" t="str">
        <f>IFERROR(IF(DeemedDashboard[[#This Row],[Std Number of Years device retired early]]=0,0,DeemedDashboard[[#This Row],[Std Number of Years device retired early]]/DeemedDashboard[[#This Row],[Msr EUL rounded]]),"")</f>
        <v/>
      </c>
      <c r="BF49" s="329" t="str">
        <f>IFERROR(IF(DeemedDashboard[[#This Row],[MeasAppType]]&lt;&gt;const_AR,"",IF(DeemedDashboard[[#This Row],[Pre Number of Years device retired early]]=0,0,DeemedDashboard[[#This Row],[Pre Number of Years device retired early]]/DeemedDashboard[[#This Row],[Existing Device EUL]])),"")</f>
        <v/>
      </c>
      <c r="BG49" s="329" t="str">
        <f>IFERROR(IF(DeemedDashboard[[#This Row],[Ext Number of Years device retired early]]=0,0,DeemedDashboard[[#This Row],[Ext Number of Years device retired early]]/DeemedDashboard[[#This Row],[Existing Device EUL]]),"")</f>
        <v/>
      </c>
      <c r="BH49" s="325" t="str">
        <f>IFERROR(1-DeemedDashboard[[#This Row],[Msr annual refrigerant leakage %]]*DeemedDashboard[[#This Row],[Msr t_EOL]],"")</f>
        <v/>
      </c>
      <c r="BI49" s="325" t="str">
        <f>IFERROR(1-DeemedDashboard[[#This Row],[Std annual refrigerant leakage %]]*DeemedDashboard[[#This Row],[Std t_EOL]],"")</f>
        <v/>
      </c>
      <c r="BJ49" s="325" t="str">
        <f>IFERROR(1-DeemedDashboard[[#This Row],[Pre/Ext annual refrigerant leakage %]]*DeemedDashboard[[#This Row],[Pre/Ext t_EOL]],"")</f>
        <v/>
      </c>
      <c r="BK49" s="325" t="str">
        <f>IFERROR(1-DeemedDashboard[[#This Row],[Pre/Ext annual refrigerant leakage %]]*DeemedDashboard[[#This Row],[Pre/Ext t_EOL]],"")</f>
        <v/>
      </c>
      <c r="BL49" s="325" t="str">
        <f>IFERROR(DeemedDashboard[[#This Row],[Msr charging remaining (%)]]*DeemedDashboard[[#This Row],[Msr gross EOL refrigerant leakage %]],"")</f>
        <v/>
      </c>
      <c r="BM49" s="325" t="str">
        <f>IFERROR(DeemedDashboard[[#This Row],[Std charging remaining (%)]]*DeemedDashboard[[#This Row],[Std gross EOL refrigerant leakage %]],"")</f>
        <v/>
      </c>
      <c r="BN49" s="325" t="str">
        <f>IFERROR(DeemedDashboard[[#This Row],[Pre charging remaining (%)]]*DeemedDashboard[[#This Row],[Pre/Ext gross EOL refrigerant leakage %]],"")</f>
        <v/>
      </c>
      <c r="BO49" s="325" t="str">
        <f>IFERROR(DeemedDashboard[[#This Row],[Ext charging remaining (%)]]*DeemedDashboard[[#This Row],[Pre/Ext gross EOL refrigerant leakage %]],"")</f>
        <v/>
      </c>
      <c r="BP49" s="330" t="str">
        <f>IFERROR((DeemedDashboard[[#This Row],[Msr refrigerant charge (lb) per NormUnit]]/pounds_per_metric_ton)*DeemedDashboard[[#This Row],[Msr annual refrigerant leakage %]]*DeemedDashboard[[#This Row],[Msr GWP]],"")</f>
        <v/>
      </c>
      <c r="BQ49" s="330" t="str">
        <f>IFERROR((DeemedDashboard[[#This Row],[Std refrigerant charge (lb) per NormUnit]]/pounds_per_metric_ton)*DeemedDashboard[[#This Row],[Std annual refrigerant leakage %]]*DeemedDashboard[[#This Row],[Std GWP]],"")</f>
        <v/>
      </c>
      <c r="BR49" s="330" t="str">
        <f>IF(DeemedDashboard[[#This Row],[MeasAppType]]=const_AR,(DeemedDashboard[[#This Row],[Pre/Ext refrigerant charge (lb) per NormUnit]]/pounds_per_metric_ton)*DeemedDashboard[[#This Row],[Pre/Ext annual refrigerant leakage %]]*DeemedDashboard[[#This Row],[Pre/Ext GWP]],"")</f>
        <v/>
      </c>
      <c r="BS49" s="330" t="str">
        <f>IF(DeemedDashboard[[#This Row],[MeasAppType]]=const_AR,(DeemedDashboard[[#This Row],[Pre/Ext refrigerant charge (lb) per NormUnit]]/pounds_per_metric_ton)*DeemedDashboard[[#This Row],[Pre/Ext annual refrigerant leakage %]]*DeemedDashboard[[#This Row],[Pre/Ext GWP]],"")</f>
        <v/>
      </c>
      <c r="BT49" s="330" t="str">
        <f>IFERROR((DeemedDashboard[[#This Row],[Msr refrigerant charge (lb) per NormUnit]]/pounds_per_metric_ton)*DeemedDashboard[[#This Row],[Msr net EOL refrigerant leakage (%)]]*DeemedDashboard[[#This Row],[Msr GWP]],"")</f>
        <v/>
      </c>
      <c r="BU49" s="330" t="str">
        <f>IFERROR((DeemedDashboard[[#This Row],[Std refrigerant charge (lb) per NormUnit]]/pounds_per_metric_ton)*DeemedDashboard[[#This Row],[Std net EOL refrigerant leakage (%)]]*DeemedDashboard[[#This Row],[Std GWP]],"")</f>
        <v/>
      </c>
      <c r="BV49" s="330" t="str">
        <f>IFERROR((DeemedDashboard[[#This Row],[Pre/Ext refrigerant charge (lb) per NormUnit]]/pounds_per_metric_ton)*DeemedDashboard[[#This Row],[Pre net EOL refrigerant leakage (%)]]*DeemedDashboard[[#This Row],[Pre/Ext GWP]],"")</f>
        <v/>
      </c>
      <c r="BW49" s="330" t="str">
        <f>IFERROR((DeemedDashboard[[#This Row],[Pre/Ext refrigerant charge (lb) per NormUnit]]/pounds_per_metric_ton)*DeemedDashboard[[#This Row],[Ext net EOL refrigerant leakage (%)]]*DeemedDashboard[[#This Row],[Pre/Ext GWP]],"")</f>
        <v/>
      </c>
      <c r="BX49" s="299" t="str" cm="1">
        <f t="array" aca="1" ref="BX4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49" s="305" t="str" cm="1">
        <f t="array" aca="1" ref="BY4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49" s="299" t="str">
        <f>IFERROR(IF(OR(DeemedDashboard[[#This Row],[MeasAppType]]&lt;&gt;const_AR,ISBLANK(DeemedDashboard[[#This Row],[MeasAppType]])),NA(),0),"")</f>
        <v/>
      </c>
      <c r="CA49" s="305" t="str" cm="1">
        <f t="array" aca="1" ref="CA4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49" s="299" t="str">
        <f ca="1">IFERROR((DeemedDashboard[[#This Row],[Msr EOL leakage tons CO2e]]*OFFSET(GHG_Adder_dollar_per_tonne,0,(DeemedDashboard[[#This Row],[Msr Device Retire-ment Year]]-DY+1),1,1))/(1+WACC)^(DeemedDashboard[[#This Row],[Msr Device Retire-ment Year]]-DeemedDashboard[[#This Row],[Measure Start Year]]+0.5),"")</f>
        <v/>
      </c>
      <c r="CC49" s="299" t="str">
        <f ca="1">IFERROR((DeemedDashboard[[#This Row],[Std EOL leakage tons CO2e]]*OFFSET(GHG_Adder_dollar_per_tonne,0,(DeemedDashboard[[#This Row],[Std Device Retire-ment Year]]-DY+1),1,1))/(1+WACC)^(DeemedDashboard[[#This Row],[Std Device Retire-ment Year]]-DeemedDashboard[[#This Row],[Measure Start Year]]+0.5),"")</f>
        <v/>
      </c>
      <c r="CD49" s="299" t="str">
        <f ca="1">IFERROR((DeemedDashboard[[#This Row],[Pre EOL leakage tons CO2e]]*OFFSET(GHG_Adder_dollar_per_tonne,0,(DeemedDashboard[[#This Row],[Measure Start Year]]-DY),1,1))/(1+WACC)^(-0.5),"")</f>
        <v/>
      </c>
      <c r="CE4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49" s="296" t="str">
        <f ca="1">IFERROR(DeemedDashboard[[#This Row],[Msr NPV Cost of Annual Leakage]]/(1+ACC_Inflation_Rate)^(DeemedDashboard[[#This Row],[Measure Start Year]]-DY),"")</f>
        <v/>
      </c>
      <c r="CG49" s="296" t="str">
        <f ca="1">IFERROR(DeemedDashboard[[#This Row],[Std NPV Cost of Annual Leakage]]/(1+ACC_Inflation_Rate)^(DeemedDashboard[[#This Row],[Measure Start Year]]-DY),"")</f>
        <v/>
      </c>
      <c r="CH49" s="296" t="str">
        <f>IFERROR(IF(ISBLANK(DeemedDashboard[[#This Row],[MeasAppType]]),NA(),IF(DeemedDashboard[[#This Row],[MeasAppType]]=const_AR,DeemedDashboard[[#This Row],[Pre NPV Cost of Annual Leakage]]/(1+ACC_Inflation_Rate)^(DeemedDashboard[[#This Row],[Measure Start Year]]-DY),"")),"")</f>
        <v/>
      </c>
      <c r="CI49" s="296" t="str">
        <f>IFERROR(IF(ISBLANK(DeemedDashboard[[#This Row],[MeasAppType]]),NA(),IF(DeemedDashboard[[#This Row],[MeasAppType]]=const_AR,DeemedDashboard[[#This Row],[Ext NPV Cost of Annual Leakage]]/(1+ACC_Inflation_Rate)^(DeemedDashboard[[#This Row],[Measure Start Year]]-DY),"")),"")</f>
        <v/>
      </c>
      <c r="CJ49" s="296" t="str">
        <f ca="1">IFERROR((DeemedDashboard[[#This Row],[Msr % of device lifetime during measure years]]+DeemedDashboard[[#This Row],[Msr % of device lifetime retired early]])*DeemedDashboard[[#This Row],[Msr NPV Cost of EOL Leakage]]/(1+ACC_Inflation_Rate)^(DeemedDashboard[[#This Row],[Measure Start Year]]-DY),"")</f>
        <v/>
      </c>
      <c r="CK49" s="296" t="str">
        <f ca="1">IFERROR((DeemedDashboard[[#This Row],[Std % of device lifetime during measure years]]+DeemedDashboard[[#This Row],[Std % of device lifetime retired early]])*DeemedDashboard[[#This Row],[Std NPV Cost of EOL Leakage]]/(1+ACC_Inflation_Rate)^(DeemedDashboard[[#This Row],[Measure Start Year]]-DY),"")</f>
        <v/>
      </c>
      <c r="CL4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4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4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4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49" s="299" t="str">
        <f ca="1">IFERROR(DeemedDashboard[[#This Row],[Counter-factual total 
NPV cost]]-DeemedDashboard[[#This Row],[Measure total 
NPV cost]],"")</f>
        <v/>
      </c>
      <c r="CQ49" s="299" t="str">
        <f>IF(ISBLANK(DeemedDashboard[[#This Row],[MeasAppType]]),"",DeemedDashboard[[#This Row],[Refrigerant
NPV costs
avoided]]&gt;0)</f>
        <v/>
      </c>
      <c r="CR49" s="299" t="str">
        <f ca="1">IFERROR(DeemedDashboard[[#This Row],[Msr Adj NPV Cost of Annual Leakage]]+DeemedDashboard[[#This Row],[Msr Adj NPV Cost of EOL Leakage]],"")</f>
        <v/>
      </c>
      <c r="CS49" s="299" t="str">
        <f ca="1">IFERROR(DeemedDashboard[[#This Row],[Std Adj NPV Cost of Annual Leakage]]+DeemedDashboard[[#This Row],[Std Adj NPV Cost of EOL Leakage]],"")</f>
        <v/>
      </c>
      <c r="CT49" s="299" t="str">
        <f>IFERROR(IF((DeemedDashboard[[#This Row],[Pre Adj NPV Cost of Annual Leakage]]+DeemedDashboard[[#This Row],[Pre Adj NPV Cost of EOL Leakage]])=0,"",DeemedDashboard[[#This Row],[Pre Adj NPV Cost of Annual Leakage]]+DeemedDashboard[[#This Row],[Pre Adj NPV Cost of EOL Leakage]]),"")</f>
        <v/>
      </c>
      <c r="CU49" s="299" t="str">
        <f>IFERROR(IF((DeemedDashboard[[#This Row],[Ext Adj NPV Cost of Annual Leakage]]+DeemedDashboard[[#This Row],[Ext Adj NPV Cost of EOL Leakage]])=0,"",DeemedDashboard[[#This Row],[Ext Adj NPV Cost of Annual Leakage]]+DeemedDashboard[[#This Row],[Ext Adj NPV Cost of EOL Leakage]]),"")</f>
        <v/>
      </c>
      <c r="CV49" s="299" t="str">
        <f>IFERROR(IF(DeemedDashboard[[#This Row],[Is Avoided Net Cost &gt;0?]],"",-DeemedDashboard[[#This Row],[Refrigerant
NPV costs
avoided]]),"")</f>
        <v/>
      </c>
      <c r="CW49" s="299" t="str">
        <f>IFERROR(IF(DeemedDashboard[[#This Row],[Is Avoided Net Cost &gt;0?]],DeemedDashboard[[#This Row],[Refrigerant
NPV costs
avoided]],""),"")</f>
        <v/>
      </c>
      <c r="CX49" s="391">
        <f ca="1">IFERROR(MATCH(DeemedDashboard[[#This Row],[TechGroup and NormUnit]],TechGroup_and_NormUnit,0),1)</f>
        <v>1</v>
      </c>
      <c r="CY49" s="391" cm="1">
        <f t="array" aca="1" ref="CY49" ca="1">IFERROR(INDEX(TGRows,DeemedDashboard[[#This Row],[TGIndex]]),"")</f>
        <v>2</v>
      </c>
      <c r="CZ49" s="391">
        <f ca="1">IF(DeemedDashboard[[#This Row],[MeasAppType]]=const_AR,DeemedDashboard[[#This Row],[TGRows]],DeemedDashboard[[#This Row],[TGRows]]+1)</f>
        <v>3</v>
      </c>
      <c r="DA49" s="391" t="str">
        <f>IF(ISBLANK(DeemedDashboard[[#This Row],[MeasAppType]]),"",IF(DeemedDashboard[[#This Row],[Index]]=User_Specified_Refrigerant[[#This Row],[Index]],"OK","ERROR"))</f>
        <v/>
      </c>
    </row>
    <row r="50" spans="1:105" s="320" customFormat="1" x14ac:dyDescent="0.25">
      <c r="A50" s="297">
        <f>ROW(DeemedDashboard[[#This Row],[Index]])-ROW(DeemedDashboard[[#Headers],[Index]])</f>
        <v>41</v>
      </c>
      <c r="B50" s="298"/>
      <c r="C50" s="321"/>
      <c r="D50" s="403"/>
      <c r="E50" s="403"/>
      <c r="F50" s="403"/>
      <c r="G50" s="403"/>
      <c r="H50" s="366"/>
      <c r="I50" s="339"/>
      <c r="J50" s="339"/>
      <c r="K50" s="339"/>
      <c r="L50" s="322"/>
      <c r="M50" s="322"/>
      <c r="N50" s="322"/>
      <c r="O5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0" s="582" t="str" cm="1">
        <f t="array" ref="R50">IFERROR(IF(DeemedDashboard[[#This Row],[Msr device type]]=const_device_nonrefrig,0,INDEX(_xlfn.SWITCH($E$4,const_20_yr,GWP_Values_20_year_AR4,const_100_yr,GWP_Values_100_year_AR4),MATCH(DeemedDashboard[[#This Row],[Msr refrigerant Type]],RefrigDropdownList,0))),"")</f>
        <v/>
      </c>
      <c r="S50" s="582" t="str" cm="1">
        <f t="array" ref="S50">IFERROR(IF(DeemedDashboard[[#This Row],[Std device type]]=const_device_nonrefrig,0,INDEX(_xlfn.SWITCH($E$4,const_20_yr,GWP_Values_20_year_AR4,const_100_yr,GWP_Values_100_year_AR4),MATCH(DeemedDashboard[[#This Row],[Std refrigerant Type]],RefrigDropdownList,0))),"")</f>
        <v/>
      </c>
      <c r="T50" s="582" t="str" cm="1">
        <f t="array" ref="T50">IFERROR(IF(DeemedDashboard[[#This Row],[Pre/Ext device type]]=const_device_nonrefrig,0,INDEX(_xlfn.SWITCH($E$4,const_20_yr,GWP_Values_20_year_AR4,const_100_yr,GWP_Values_100_year_AR4),MATCH(DeemedDashboard[[#This Row],[Pre/Ext refrigerant Type]],RefrigDropdownList,0))),"")</f>
        <v/>
      </c>
      <c r="U5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0" s="326" t="str">
        <f>IFERROR(IF(DeemedDashboard[[#This Row],[Msr device type]]=const_userspec,IF(ISBLANK(User_Specified_Refrigerant[[#This Row],[Msr t_EOL]]),"",User_Specified_Refrigerant[[#This Row],[Msr t_EOL]]),INDEX(TechGroup_NormUnit_Table[t_EOL],MATCH(DeemedDashboard[[#This Row],[Msr device type]],DropdownRefrigTech,0))),"")</f>
        <v/>
      </c>
      <c r="AB50" s="326" t="str">
        <f>IFERROR(IF(DeemedDashboard[[#This Row],[Std device type]]=const_userspec,IF(ISBLANK(User_Specified_Refrigerant[[#This Row],[Std t_EOL]]),"",User_Specified_Refrigerant[[#This Row],[Std t_EOL]]),INDEX(TechGroup_NormUnit_Table[t_EOL],MATCH(DeemedDashboard[[#This Row],[Std device type]],DropdownRefrigTech,0))),"")</f>
        <v/>
      </c>
      <c r="AC5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0" s="395" t="str">
        <f>IF(ISBLANK(DeemedDashboard[[#This Row],[MeasAppType]]),"",$E$2)</f>
        <v/>
      </c>
      <c r="AE50" s="395" t="str">
        <f>IFERROR(IF(ISBLANK(DeemedDashboard[[#This Row],[MeasAppType]]),NA(),DeemedDashboard[[#This Row],[Measure Start Year]]+DeemedDashboard[[#This Row],[Msr EUL rounded]]-1),"")</f>
        <v/>
      </c>
      <c r="AF50" s="323" t="str">
        <f>IF(ISBLANK(DeemedDashboard[[#This Row],[Measure New Device EUL]]),"",ROUND(DeemedDashboard[[#This Row],[Measure New Device EUL]],0))</f>
        <v/>
      </c>
      <c r="AG50" s="323" t="str">
        <f>IF(ISBLANK(DeemedDashboard[[#This Row],[Counterfactual New Device EUL]]),"",ROUND(DeemedDashboard[[#This Row],[Counterfactual New Device EUL]],0))</f>
        <v/>
      </c>
      <c r="AH50" s="323" t="str">
        <f>IF(ISBLANK(DeemedDashboard[[#This Row],[Existing Device EUL]]),"",ROUND(DeemedDashboard[[#This Row],[Existing Device EUL]],0))</f>
        <v/>
      </c>
      <c r="AI50" s="323" t="str">
        <f>IF(ISBLANK(DeemedDashboard[[#This Row],[Existing Device RUL or AR First Baseline Life]]),"",ROUND(DeemedDashboard[[#This Row],[Existing Device RUL or AR First Baseline Life]],0))</f>
        <v/>
      </c>
      <c r="AJ50" s="327" t="str">
        <f>DeemedDashboard[[#This Row],[Measure Start Year]]</f>
        <v/>
      </c>
      <c r="AK50" s="327" t="str">
        <f>IF(DeemedDashboard[[#This Row],[MeasAppType]]&lt;&gt;const_AR,DeemedDashboard[[#This Row],[Measure Start Year]],DeemedDashboard[[#This Row],[Ext Device Retire-ment Year]]+1)</f>
        <v/>
      </c>
      <c r="AL50" s="327" t="str">
        <f>IFERROR(IF(DeemedDashboard[[#This Row],[MeasAppType]]=const_AR,DeemedDashboard[[#This Row],[Measure Start Year]]-(DeemedDashboard[[#This Row],[Existing Device EUL]]-DeemedDashboard[[#This Row],[Existing Device RUL or AR First Baseline Life]]),NA()),"")</f>
        <v/>
      </c>
      <c r="AM50" s="327" t="str">
        <f>DeemedDashboard[[#This Row],[Pre Device Install Year]]</f>
        <v/>
      </c>
      <c r="AN50" s="327" t="str">
        <f>IFERROR(IF(ISBLANK(DeemedDashboard[[#This Row],[MeasAppType]]),NA(),DeemedDashboard[[#This Row],[Measure Start Year]]+DeemedDashboard[[#This Row],[Msr EUL rounded]]-1),"")</f>
        <v/>
      </c>
      <c r="AO50" s="327" t="str">
        <f>IFERROR(DeemedDashboard[[#This Row],[Std Device Install Year]]+DeemedDashboard[[#This Row],[Counterfactual New Device EUL]]-1,"")</f>
        <v/>
      </c>
      <c r="AP50" s="327" t="str">
        <f>IFERROR(IF(AND(DeemedDashboard[[#This Row],[MeasAppType]]=const_AR,DeemedDashboard[[#This Row],[Measure Start Year]]&lt;(DeemedDashboard[[#This Row],[Pre Device Install Year]]+DeemedDashboard[[#This Row],[Existing Device EUL]]-1)),DeemedDashboard[[#This Row],[Measure Start Year]]-1,NA()),"")</f>
        <v/>
      </c>
      <c r="AQ50" s="327" t="str">
        <f>IFERROR(IF(DeemedDashboard[[#This Row],[MeasAppType]]=const_AR,DeemedDashboard[[#This Row],[Ext Device Install Year]]+DeemedDashboard[[#This Row],[Existing Device EUL]]-1,NA()),"")</f>
        <v/>
      </c>
      <c r="AR50" s="327" t="str">
        <f>IFERROR(IF(ISBLANK(DeemedDashboard[[#This Row],[MeasAppType]]),NA(),0),"")</f>
        <v/>
      </c>
      <c r="AS50" s="327" t="str">
        <f>IFERROR(IF(ISBLANK(DeemedDashboard[[#This Row],[MeasAppType]]),NA(),0),"")</f>
        <v/>
      </c>
      <c r="AT50" s="327" t="str">
        <f>IF(ISBLANK(DeemedDashboard[[#This Row],[MeasAppType]]),"",IF(DeemedDashboard[[#This Row],[MeasAppType]]&lt;&gt;const_AR,"",(DeemedDashboard[[#This Row],[Pre Device Install Year]]+DeemedDashboard[[#This Row],[Existing Device EUL]]-1)-DeemedDashboard[[#This Row],[Pre Device Retire-ment Year]]))</f>
        <v/>
      </c>
      <c r="AU50" s="327" t="str">
        <f>IF(ISBLANK(DeemedDashboard[[#This Row],[MeasAppType]]),"",IF(DeemedDashboard[[#This Row],[MeasAppType]]=const_AR,0,""))</f>
        <v/>
      </c>
      <c r="AV50" s="328" t="str">
        <f>IF(ISBLANK(DeemedDashboard[[#This Row],[MeasAppType]]),"",MAX((1+MIN(DeemedDashboard[[#This Row],[Msr Device Retire-ment Year]],DeemedDashboard[[#This Row],[Measure End 
Year]])-MAX(DeemedDashboard[[#This Row],[Msr Device Install Year]],DeemedDashboard[[#This Row],[Measure Start Year]])),0))</f>
        <v/>
      </c>
      <c r="AW50" s="328" t="str">
        <f>IF(ISBLANK(DeemedDashboard[[#This Row],[MeasAppType]]),"",MAX((1+MIN(DeemedDashboard[[#This Row],[Std Device Retire-ment Year]],DeemedDashboard[[#This Row],[Measure End 
Year]])-MAX(DeemedDashboard[[#This Row],[Std Device Install Year]],DeemedDashboard[[#This Row],[Measure Start Year]])),0))</f>
        <v/>
      </c>
      <c r="AX5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0" s="329" t="str">
        <f>IF(ISBLANK(DeemedDashboard[[#This Row],[MeasAppType]]),"",IF(DeemedDashboard[[#This Row],[Msr Device Years Over-lapping with Measure Years]]=0,0,DeemedDashboard[[#This Row],[Msr Device Years Over-lapping with Measure Years]]/DeemedDashboard[[#This Row],[Msr EUL rounded]]))</f>
        <v/>
      </c>
      <c r="BA50" s="329" t="str">
        <f>IF(ISBLANK(DeemedDashboard[[#This Row],[MeasAppType]]),"",IF(DeemedDashboard[[#This Row],[Std Device Years Over-lapping with Measure Years]]=0,0,DeemedDashboard[[#This Row],[Std Device Years Over-lapping with Measure Years]]/DeemedDashboard[[#This Row],[Counterfactual New Device EUL]]))</f>
        <v/>
      </c>
      <c r="BB50" s="329" t="str">
        <f>IF(ISBLANK(DeemedDashboard[[#This Row],[MeasAppType]]),"",IFERROR(IF(DeemedDashboard[[#This Row],[Pre Device Years Over-lapping with Measure Years]]=0,0,DeemedDashboard[[#This Row],[Pre Device Years Over-lapping with Measure Years]]/DeemedDashboard[[#This Row],[Existing Device EUL]]),""))</f>
        <v/>
      </c>
      <c r="BC50" s="329" t="str">
        <f>IFERROR(IF(DeemedDashboard[[#This Row],[Ext Device Years Over-lapping with Measure Years]]=0,0,DeemedDashboard[[#This Row],[Ext Device Years Over-lapping with Measure Years]]/DeemedDashboard[[#This Row],[Existing Device EUL]]),"")</f>
        <v/>
      </c>
      <c r="BD50" s="329" t="str">
        <f>IFERROR(IF(DeemedDashboard[[#This Row],[Msr Number of Years device retired early]]=0,0,DeemedDashboard[[#This Row],[Msr Number of Years device retired early]]/DeemedDashboard[[#This Row],[Msr EUL rounded]]),"")</f>
        <v/>
      </c>
      <c r="BE50" s="329" t="str">
        <f>IFERROR(IF(DeemedDashboard[[#This Row],[Std Number of Years device retired early]]=0,0,DeemedDashboard[[#This Row],[Std Number of Years device retired early]]/DeemedDashboard[[#This Row],[Msr EUL rounded]]),"")</f>
        <v/>
      </c>
      <c r="BF50" s="329" t="str">
        <f>IFERROR(IF(DeemedDashboard[[#This Row],[MeasAppType]]&lt;&gt;const_AR,"",IF(DeemedDashboard[[#This Row],[Pre Number of Years device retired early]]=0,0,DeemedDashboard[[#This Row],[Pre Number of Years device retired early]]/DeemedDashboard[[#This Row],[Existing Device EUL]])),"")</f>
        <v/>
      </c>
      <c r="BG50" s="329" t="str">
        <f>IFERROR(IF(DeemedDashboard[[#This Row],[Ext Number of Years device retired early]]=0,0,DeemedDashboard[[#This Row],[Ext Number of Years device retired early]]/DeemedDashboard[[#This Row],[Existing Device EUL]]),"")</f>
        <v/>
      </c>
      <c r="BH50" s="325" t="str">
        <f>IFERROR(1-DeemedDashboard[[#This Row],[Msr annual refrigerant leakage %]]*DeemedDashboard[[#This Row],[Msr t_EOL]],"")</f>
        <v/>
      </c>
      <c r="BI50" s="325" t="str">
        <f>IFERROR(1-DeemedDashboard[[#This Row],[Std annual refrigerant leakage %]]*DeemedDashboard[[#This Row],[Std t_EOL]],"")</f>
        <v/>
      </c>
      <c r="BJ50" s="325" t="str">
        <f>IFERROR(1-DeemedDashboard[[#This Row],[Pre/Ext annual refrigerant leakage %]]*DeemedDashboard[[#This Row],[Pre/Ext t_EOL]],"")</f>
        <v/>
      </c>
      <c r="BK50" s="325" t="str">
        <f>IFERROR(1-DeemedDashboard[[#This Row],[Pre/Ext annual refrigerant leakage %]]*DeemedDashboard[[#This Row],[Pre/Ext t_EOL]],"")</f>
        <v/>
      </c>
      <c r="BL50" s="325" t="str">
        <f>IFERROR(DeemedDashboard[[#This Row],[Msr charging remaining (%)]]*DeemedDashboard[[#This Row],[Msr gross EOL refrigerant leakage %]],"")</f>
        <v/>
      </c>
      <c r="BM50" s="325" t="str">
        <f>IFERROR(DeemedDashboard[[#This Row],[Std charging remaining (%)]]*DeemedDashboard[[#This Row],[Std gross EOL refrigerant leakage %]],"")</f>
        <v/>
      </c>
      <c r="BN50" s="325" t="str">
        <f>IFERROR(DeemedDashboard[[#This Row],[Pre charging remaining (%)]]*DeemedDashboard[[#This Row],[Pre/Ext gross EOL refrigerant leakage %]],"")</f>
        <v/>
      </c>
      <c r="BO50" s="325" t="str">
        <f>IFERROR(DeemedDashboard[[#This Row],[Ext charging remaining (%)]]*DeemedDashboard[[#This Row],[Pre/Ext gross EOL refrigerant leakage %]],"")</f>
        <v/>
      </c>
      <c r="BP50" s="330" t="str">
        <f>IFERROR((DeemedDashboard[[#This Row],[Msr refrigerant charge (lb) per NormUnit]]/pounds_per_metric_ton)*DeemedDashboard[[#This Row],[Msr annual refrigerant leakage %]]*DeemedDashboard[[#This Row],[Msr GWP]],"")</f>
        <v/>
      </c>
      <c r="BQ50" s="330" t="str">
        <f>IFERROR((DeemedDashboard[[#This Row],[Std refrigerant charge (lb) per NormUnit]]/pounds_per_metric_ton)*DeemedDashboard[[#This Row],[Std annual refrigerant leakage %]]*DeemedDashboard[[#This Row],[Std GWP]],"")</f>
        <v/>
      </c>
      <c r="BR50" s="330" t="str">
        <f>IF(DeemedDashboard[[#This Row],[MeasAppType]]=const_AR,(DeemedDashboard[[#This Row],[Pre/Ext refrigerant charge (lb) per NormUnit]]/pounds_per_metric_ton)*DeemedDashboard[[#This Row],[Pre/Ext annual refrigerant leakage %]]*DeemedDashboard[[#This Row],[Pre/Ext GWP]],"")</f>
        <v/>
      </c>
      <c r="BS50" s="330" t="str">
        <f>IF(DeemedDashboard[[#This Row],[MeasAppType]]=const_AR,(DeemedDashboard[[#This Row],[Pre/Ext refrigerant charge (lb) per NormUnit]]/pounds_per_metric_ton)*DeemedDashboard[[#This Row],[Pre/Ext annual refrigerant leakage %]]*DeemedDashboard[[#This Row],[Pre/Ext GWP]],"")</f>
        <v/>
      </c>
      <c r="BT50" s="330" t="str">
        <f>IFERROR((DeemedDashboard[[#This Row],[Msr refrigerant charge (lb) per NormUnit]]/pounds_per_metric_ton)*DeemedDashboard[[#This Row],[Msr net EOL refrigerant leakage (%)]]*DeemedDashboard[[#This Row],[Msr GWP]],"")</f>
        <v/>
      </c>
      <c r="BU50" s="330" t="str">
        <f>IFERROR((DeemedDashboard[[#This Row],[Std refrigerant charge (lb) per NormUnit]]/pounds_per_metric_ton)*DeemedDashboard[[#This Row],[Std net EOL refrigerant leakage (%)]]*DeemedDashboard[[#This Row],[Std GWP]],"")</f>
        <v/>
      </c>
      <c r="BV50" s="330" t="str">
        <f>IFERROR((DeemedDashboard[[#This Row],[Pre/Ext refrigerant charge (lb) per NormUnit]]/pounds_per_metric_ton)*DeemedDashboard[[#This Row],[Pre net EOL refrigerant leakage (%)]]*DeemedDashboard[[#This Row],[Pre/Ext GWP]],"")</f>
        <v/>
      </c>
      <c r="BW50" s="330" t="str">
        <f>IFERROR((DeemedDashboard[[#This Row],[Pre/Ext refrigerant charge (lb) per NormUnit]]/pounds_per_metric_ton)*DeemedDashboard[[#This Row],[Ext net EOL refrigerant leakage (%)]]*DeemedDashboard[[#This Row],[Pre/Ext GWP]],"")</f>
        <v/>
      </c>
      <c r="BX50" s="299" t="str" cm="1">
        <f t="array" aca="1" ref="BX5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0" s="305" t="str" cm="1">
        <f t="array" aca="1" ref="BY5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0" s="299" t="str">
        <f>IFERROR(IF(OR(DeemedDashboard[[#This Row],[MeasAppType]]&lt;&gt;const_AR,ISBLANK(DeemedDashboard[[#This Row],[MeasAppType]])),NA(),0),"")</f>
        <v/>
      </c>
      <c r="CA50" s="305" t="str" cm="1">
        <f t="array" aca="1" ref="CA5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0" s="299" t="str">
        <f ca="1">IFERROR((DeemedDashboard[[#This Row],[Msr EOL leakage tons CO2e]]*OFFSET(GHG_Adder_dollar_per_tonne,0,(DeemedDashboard[[#This Row],[Msr Device Retire-ment Year]]-DY+1),1,1))/(1+WACC)^(DeemedDashboard[[#This Row],[Msr Device Retire-ment Year]]-DeemedDashboard[[#This Row],[Measure Start Year]]+0.5),"")</f>
        <v/>
      </c>
      <c r="CC50" s="299" t="str">
        <f ca="1">IFERROR((DeemedDashboard[[#This Row],[Std EOL leakage tons CO2e]]*OFFSET(GHG_Adder_dollar_per_tonne,0,(DeemedDashboard[[#This Row],[Std Device Retire-ment Year]]-DY+1),1,1))/(1+WACC)^(DeemedDashboard[[#This Row],[Std Device Retire-ment Year]]-DeemedDashboard[[#This Row],[Measure Start Year]]+0.5),"")</f>
        <v/>
      </c>
      <c r="CD50" s="299" t="str">
        <f ca="1">IFERROR((DeemedDashboard[[#This Row],[Pre EOL leakage tons CO2e]]*OFFSET(GHG_Adder_dollar_per_tonne,0,(DeemedDashboard[[#This Row],[Measure Start Year]]-DY),1,1))/(1+WACC)^(-0.5),"")</f>
        <v/>
      </c>
      <c r="CE5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0" s="299" t="str">
        <f ca="1">IFERROR(DeemedDashboard[[#This Row],[Msr NPV Cost of Annual Leakage]]/(1+ACC_Inflation_Rate)^(DeemedDashboard[[#This Row],[Measure Start Year]]-DY),"")</f>
        <v/>
      </c>
      <c r="CG50" s="299" t="str">
        <f ca="1">IFERROR(DeemedDashboard[[#This Row],[Std NPV Cost of Annual Leakage]]/(1+ACC_Inflation_Rate)^(DeemedDashboard[[#This Row],[Measure Start Year]]-DY),"")</f>
        <v/>
      </c>
      <c r="CH50" s="299" t="str">
        <f>IFERROR(IF(ISBLANK(DeemedDashboard[[#This Row],[MeasAppType]]),NA(),IF(DeemedDashboard[[#This Row],[MeasAppType]]=const_AR,DeemedDashboard[[#This Row],[Pre NPV Cost of Annual Leakage]]/(1+ACC_Inflation_Rate)^(DeemedDashboard[[#This Row],[Measure Start Year]]-DY),"")),"")</f>
        <v/>
      </c>
      <c r="CI50" s="296" t="str">
        <f>IFERROR(IF(ISBLANK(DeemedDashboard[[#This Row],[MeasAppType]]),NA(),IF(DeemedDashboard[[#This Row],[MeasAppType]]=const_AR,DeemedDashboard[[#This Row],[Ext NPV Cost of Annual Leakage]]/(1+ACC_Inflation_Rate)^(DeemedDashboard[[#This Row],[Measure Start Year]]-DY),"")),"")</f>
        <v/>
      </c>
      <c r="CJ50" s="296" t="str">
        <f ca="1">IFERROR((DeemedDashboard[[#This Row],[Msr % of device lifetime during measure years]]+DeemedDashboard[[#This Row],[Msr % of device lifetime retired early]])*DeemedDashboard[[#This Row],[Msr NPV Cost of EOL Leakage]]/(1+ACC_Inflation_Rate)^(DeemedDashboard[[#This Row],[Measure Start Year]]-DY),"")</f>
        <v/>
      </c>
      <c r="CK50" s="296" t="str">
        <f ca="1">IFERROR((DeemedDashboard[[#This Row],[Std % of device lifetime during measure years]]+DeemedDashboard[[#This Row],[Std % of device lifetime retired early]])*DeemedDashboard[[#This Row],[Std NPV Cost of EOL Leakage]]/(1+ACC_Inflation_Rate)^(DeemedDashboard[[#This Row],[Measure Start Year]]-DY),"")</f>
        <v/>
      </c>
      <c r="CL5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0" s="299" t="str">
        <f ca="1">IFERROR(DeemedDashboard[[#This Row],[Counter-factual total 
NPV cost]]-DeemedDashboard[[#This Row],[Measure total 
NPV cost]],"")</f>
        <v/>
      </c>
      <c r="CQ50" s="299" t="str">
        <f>IF(ISBLANK(DeemedDashboard[[#This Row],[MeasAppType]]),"",DeemedDashboard[[#This Row],[Refrigerant
NPV costs
avoided]]&gt;0)</f>
        <v/>
      </c>
      <c r="CR50" s="299" t="str">
        <f ca="1">IFERROR(DeemedDashboard[[#This Row],[Msr Adj NPV Cost of Annual Leakage]]+DeemedDashboard[[#This Row],[Msr Adj NPV Cost of EOL Leakage]],"")</f>
        <v/>
      </c>
      <c r="CS50" s="299" t="str">
        <f ca="1">IFERROR(DeemedDashboard[[#This Row],[Std Adj NPV Cost of Annual Leakage]]+DeemedDashboard[[#This Row],[Std Adj NPV Cost of EOL Leakage]],"")</f>
        <v/>
      </c>
      <c r="CT50" s="299" t="str">
        <f>IFERROR(IF((DeemedDashboard[[#This Row],[Pre Adj NPV Cost of Annual Leakage]]+DeemedDashboard[[#This Row],[Pre Adj NPV Cost of EOL Leakage]])=0,"",DeemedDashboard[[#This Row],[Pre Adj NPV Cost of Annual Leakage]]+DeemedDashboard[[#This Row],[Pre Adj NPV Cost of EOL Leakage]]),"")</f>
        <v/>
      </c>
      <c r="CU50" s="299" t="str">
        <f>IFERROR(IF((DeemedDashboard[[#This Row],[Ext Adj NPV Cost of Annual Leakage]]+DeemedDashboard[[#This Row],[Ext Adj NPV Cost of EOL Leakage]])=0,"",DeemedDashboard[[#This Row],[Ext Adj NPV Cost of Annual Leakage]]+DeemedDashboard[[#This Row],[Ext Adj NPV Cost of EOL Leakage]]),"")</f>
        <v/>
      </c>
      <c r="CV50" s="299" t="str">
        <f>IFERROR(IF(DeemedDashboard[[#This Row],[Is Avoided Net Cost &gt;0?]],"",-DeemedDashboard[[#This Row],[Refrigerant
NPV costs
avoided]]),"")</f>
        <v/>
      </c>
      <c r="CW50" s="299" t="str">
        <f>IFERROR(IF(DeemedDashboard[[#This Row],[Is Avoided Net Cost &gt;0?]],DeemedDashboard[[#This Row],[Refrigerant
NPV costs
avoided]],""),"")</f>
        <v/>
      </c>
      <c r="CX50" s="391">
        <f ca="1">IFERROR(MATCH(DeemedDashboard[[#This Row],[TechGroup and NormUnit]],TechGroup_and_NormUnit,0),1)</f>
        <v>1</v>
      </c>
      <c r="CY50" s="391" cm="1">
        <f t="array" aca="1" ref="CY50" ca="1">IFERROR(INDEX(TGRows,DeemedDashboard[[#This Row],[TGIndex]]),"")</f>
        <v>2</v>
      </c>
      <c r="CZ50" s="391">
        <f ca="1">IF(DeemedDashboard[[#This Row],[MeasAppType]]=const_AR,DeemedDashboard[[#This Row],[TGRows]],DeemedDashboard[[#This Row],[TGRows]]+1)</f>
        <v>3</v>
      </c>
      <c r="DA50" s="391" t="str">
        <f>IF(ISBLANK(DeemedDashboard[[#This Row],[MeasAppType]]),"",IF(DeemedDashboard[[#This Row],[Index]]=User_Specified_Refrigerant[[#This Row],[Index]],"OK","ERROR"))</f>
        <v/>
      </c>
    </row>
    <row r="51" spans="1:105" s="320" customFormat="1" x14ac:dyDescent="0.25">
      <c r="A51" s="297">
        <f>ROW(DeemedDashboard[[#This Row],[Index]])-ROW(DeemedDashboard[[#Headers],[Index]])</f>
        <v>42</v>
      </c>
      <c r="B51" s="298"/>
      <c r="C51" s="321"/>
      <c r="D51" s="403"/>
      <c r="E51" s="403"/>
      <c r="F51" s="403"/>
      <c r="G51" s="403"/>
      <c r="H51" s="366"/>
      <c r="I51" s="339"/>
      <c r="J51" s="339"/>
      <c r="K51" s="339"/>
      <c r="L51" s="322"/>
      <c r="M51" s="322"/>
      <c r="N51" s="322"/>
      <c r="O5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1" s="582" t="str" cm="1">
        <f t="array" ref="R51">IFERROR(IF(DeemedDashboard[[#This Row],[Msr device type]]=const_device_nonrefrig,0,INDEX(_xlfn.SWITCH($E$4,const_20_yr,GWP_Values_20_year_AR4,const_100_yr,GWP_Values_100_year_AR4),MATCH(DeemedDashboard[[#This Row],[Msr refrigerant Type]],RefrigDropdownList,0))),"")</f>
        <v/>
      </c>
      <c r="S51" s="582" t="str" cm="1">
        <f t="array" ref="S51">IFERROR(IF(DeemedDashboard[[#This Row],[Std device type]]=const_device_nonrefrig,0,INDEX(_xlfn.SWITCH($E$4,const_20_yr,GWP_Values_20_year_AR4,const_100_yr,GWP_Values_100_year_AR4),MATCH(DeemedDashboard[[#This Row],[Std refrigerant Type]],RefrigDropdownList,0))),"")</f>
        <v/>
      </c>
      <c r="T51" s="582" t="str" cm="1">
        <f t="array" ref="T51">IFERROR(IF(DeemedDashboard[[#This Row],[Pre/Ext device type]]=const_device_nonrefrig,0,INDEX(_xlfn.SWITCH($E$4,const_20_yr,GWP_Values_20_year_AR4,const_100_yr,GWP_Values_100_year_AR4),MATCH(DeemedDashboard[[#This Row],[Pre/Ext refrigerant Type]],RefrigDropdownList,0))),"")</f>
        <v/>
      </c>
      <c r="U5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1" s="326" t="str">
        <f>IFERROR(IF(DeemedDashboard[[#This Row],[Msr device type]]=const_userspec,IF(ISBLANK(User_Specified_Refrigerant[[#This Row],[Msr t_EOL]]),"",User_Specified_Refrigerant[[#This Row],[Msr t_EOL]]),INDEX(TechGroup_NormUnit_Table[t_EOL],MATCH(DeemedDashboard[[#This Row],[Msr device type]],DropdownRefrigTech,0))),"")</f>
        <v/>
      </c>
      <c r="AB51" s="326" t="str">
        <f>IFERROR(IF(DeemedDashboard[[#This Row],[Std device type]]=const_userspec,IF(ISBLANK(User_Specified_Refrigerant[[#This Row],[Std t_EOL]]),"",User_Specified_Refrigerant[[#This Row],[Std t_EOL]]),INDEX(TechGroup_NormUnit_Table[t_EOL],MATCH(DeemedDashboard[[#This Row],[Std device type]],DropdownRefrigTech,0))),"")</f>
        <v/>
      </c>
      <c r="AC5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1" s="395" t="str">
        <f>IF(ISBLANK(DeemedDashboard[[#This Row],[MeasAppType]]),"",$E$2)</f>
        <v/>
      </c>
      <c r="AE51" s="395" t="str">
        <f>IFERROR(IF(ISBLANK(DeemedDashboard[[#This Row],[MeasAppType]]),NA(),DeemedDashboard[[#This Row],[Measure Start Year]]+DeemedDashboard[[#This Row],[Msr EUL rounded]]-1),"")</f>
        <v/>
      </c>
      <c r="AF51" s="323" t="str">
        <f>IF(ISBLANK(DeemedDashboard[[#This Row],[Measure New Device EUL]]),"",ROUND(DeemedDashboard[[#This Row],[Measure New Device EUL]],0))</f>
        <v/>
      </c>
      <c r="AG51" s="323" t="str">
        <f>IF(ISBLANK(DeemedDashboard[[#This Row],[Counterfactual New Device EUL]]),"",ROUND(DeemedDashboard[[#This Row],[Counterfactual New Device EUL]],0))</f>
        <v/>
      </c>
      <c r="AH51" s="323" t="str">
        <f>IF(ISBLANK(DeemedDashboard[[#This Row],[Existing Device EUL]]),"",ROUND(DeemedDashboard[[#This Row],[Existing Device EUL]],0))</f>
        <v/>
      </c>
      <c r="AI51" s="323" t="str">
        <f>IF(ISBLANK(DeemedDashboard[[#This Row],[Existing Device RUL or AR First Baseline Life]]),"",ROUND(DeemedDashboard[[#This Row],[Existing Device RUL or AR First Baseline Life]],0))</f>
        <v/>
      </c>
      <c r="AJ51" s="327" t="str">
        <f>DeemedDashboard[[#This Row],[Measure Start Year]]</f>
        <v/>
      </c>
      <c r="AK51" s="327" t="str">
        <f>IF(DeemedDashboard[[#This Row],[MeasAppType]]&lt;&gt;const_AR,DeemedDashboard[[#This Row],[Measure Start Year]],DeemedDashboard[[#This Row],[Ext Device Retire-ment Year]]+1)</f>
        <v/>
      </c>
      <c r="AL51" s="327" t="str">
        <f>IFERROR(IF(DeemedDashboard[[#This Row],[MeasAppType]]=const_AR,DeemedDashboard[[#This Row],[Measure Start Year]]-(DeemedDashboard[[#This Row],[Existing Device EUL]]-DeemedDashboard[[#This Row],[Existing Device RUL or AR First Baseline Life]]),NA()),"")</f>
        <v/>
      </c>
      <c r="AM51" s="327" t="str">
        <f>DeemedDashboard[[#This Row],[Pre Device Install Year]]</f>
        <v/>
      </c>
      <c r="AN51" s="327" t="str">
        <f>IFERROR(IF(ISBLANK(DeemedDashboard[[#This Row],[MeasAppType]]),NA(),DeemedDashboard[[#This Row],[Measure Start Year]]+DeemedDashboard[[#This Row],[Msr EUL rounded]]-1),"")</f>
        <v/>
      </c>
      <c r="AO51" s="327" t="str">
        <f>IFERROR(DeemedDashboard[[#This Row],[Std Device Install Year]]+DeemedDashboard[[#This Row],[Counterfactual New Device EUL]]-1,"")</f>
        <v/>
      </c>
      <c r="AP51" s="327" t="str">
        <f>IFERROR(IF(AND(DeemedDashboard[[#This Row],[MeasAppType]]=const_AR,DeemedDashboard[[#This Row],[Measure Start Year]]&lt;(DeemedDashboard[[#This Row],[Pre Device Install Year]]+DeemedDashboard[[#This Row],[Existing Device EUL]]-1)),DeemedDashboard[[#This Row],[Measure Start Year]]-1,NA()),"")</f>
        <v/>
      </c>
      <c r="AQ51" s="327" t="str">
        <f>IFERROR(IF(DeemedDashboard[[#This Row],[MeasAppType]]=const_AR,DeemedDashboard[[#This Row],[Ext Device Install Year]]+DeemedDashboard[[#This Row],[Existing Device EUL]]-1,NA()),"")</f>
        <v/>
      </c>
      <c r="AR51" s="327" t="str">
        <f>IFERROR(IF(ISBLANK(DeemedDashboard[[#This Row],[MeasAppType]]),NA(),0),"")</f>
        <v/>
      </c>
      <c r="AS51" s="327" t="str">
        <f>IFERROR(IF(ISBLANK(DeemedDashboard[[#This Row],[MeasAppType]]),NA(),0),"")</f>
        <v/>
      </c>
      <c r="AT51" s="327" t="str">
        <f>IF(ISBLANK(DeemedDashboard[[#This Row],[MeasAppType]]),"",IF(DeemedDashboard[[#This Row],[MeasAppType]]&lt;&gt;const_AR,"",(DeemedDashboard[[#This Row],[Pre Device Install Year]]+DeemedDashboard[[#This Row],[Existing Device EUL]]-1)-DeemedDashboard[[#This Row],[Pre Device Retire-ment Year]]))</f>
        <v/>
      </c>
      <c r="AU51" s="327" t="str">
        <f>IF(ISBLANK(DeemedDashboard[[#This Row],[MeasAppType]]),"",IF(DeemedDashboard[[#This Row],[MeasAppType]]=const_AR,0,""))</f>
        <v/>
      </c>
      <c r="AV51" s="328" t="str">
        <f>IF(ISBLANK(DeemedDashboard[[#This Row],[MeasAppType]]),"",MAX((1+MIN(DeemedDashboard[[#This Row],[Msr Device Retire-ment Year]],DeemedDashboard[[#This Row],[Measure End 
Year]])-MAX(DeemedDashboard[[#This Row],[Msr Device Install Year]],DeemedDashboard[[#This Row],[Measure Start Year]])),0))</f>
        <v/>
      </c>
      <c r="AW51" s="328" t="str">
        <f>IF(ISBLANK(DeemedDashboard[[#This Row],[MeasAppType]]),"",MAX((1+MIN(DeemedDashboard[[#This Row],[Std Device Retire-ment Year]],DeemedDashboard[[#This Row],[Measure End 
Year]])-MAX(DeemedDashboard[[#This Row],[Std Device Install Year]],DeemedDashboard[[#This Row],[Measure Start Year]])),0))</f>
        <v/>
      </c>
      <c r="AX5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1" s="329" t="str">
        <f>IF(ISBLANK(DeemedDashboard[[#This Row],[MeasAppType]]),"",IF(DeemedDashboard[[#This Row],[Msr Device Years Over-lapping with Measure Years]]=0,0,DeemedDashboard[[#This Row],[Msr Device Years Over-lapping with Measure Years]]/DeemedDashboard[[#This Row],[Msr EUL rounded]]))</f>
        <v/>
      </c>
      <c r="BA51" s="329" t="str">
        <f>IF(ISBLANK(DeemedDashboard[[#This Row],[MeasAppType]]),"",IF(DeemedDashboard[[#This Row],[Std Device Years Over-lapping with Measure Years]]=0,0,DeemedDashboard[[#This Row],[Std Device Years Over-lapping with Measure Years]]/DeemedDashboard[[#This Row],[Counterfactual New Device EUL]]))</f>
        <v/>
      </c>
      <c r="BB51" s="329" t="str">
        <f>IF(ISBLANK(DeemedDashboard[[#This Row],[MeasAppType]]),"",IFERROR(IF(DeemedDashboard[[#This Row],[Pre Device Years Over-lapping with Measure Years]]=0,0,DeemedDashboard[[#This Row],[Pre Device Years Over-lapping with Measure Years]]/DeemedDashboard[[#This Row],[Existing Device EUL]]),""))</f>
        <v/>
      </c>
      <c r="BC51" s="329" t="str">
        <f>IFERROR(IF(DeemedDashboard[[#This Row],[Ext Device Years Over-lapping with Measure Years]]=0,0,DeemedDashboard[[#This Row],[Ext Device Years Over-lapping with Measure Years]]/DeemedDashboard[[#This Row],[Existing Device EUL]]),"")</f>
        <v/>
      </c>
      <c r="BD51" s="329" t="str">
        <f>IFERROR(IF(DeemedDashboard[[#This Row],[Msr Number of Years device retired early]]=0,0,DeemedDashboard[[#This Row],[Msr Number of Years device retired early]]/DeemedDashboard[[#This Row],[Msr EUL rounded]]),"")</f>
        <v/>
      </c>
      <c r="BE51" s="329" t="str">
        <f>IFERROR(IF(DeemedDashboard[[#This Row],[Std Number of Years device retired early]]=0,0,DeemedDashboard[[#This Row],[Std Number of Years device retired early]]/DeemedDashboard[[#This Row],[Msr EUL rounded]]),"")</f>
        <v/>
      </c>
      <c r="BF51" s="329" t="str">
        <f>IFERROR(IF(DeemedDashboard[[#This Row],[MeasAppType]]&lt;&gt;const_AR,"",IF(DeemedDashboard[[#This Row],[Pre Number of Years device retired early]]=0,0,DeemedDashboard[[#This Row],[Pre Number of Years device retired early]]/DeemedDashboard[[#This Row],[Existing Device EUL]])),"")</f>
        <v/>
      </c>
      <c r="BG51" s="329" t="str">
        <f>IFERROR(IF(DeemedDashboard[[#This Row],[Ext Number of Years device retired early]]=0,0,DeemedDashboard[[#This Row],[Ext Number of Years device retired early]]/DeemedDashboard[[#This Row],[Existing Device EUL]]),"")</f>
        <v/>
      </c>
      <c r="BH51" s="325" t="str">
        <f>IFERROR(1-DeemedDashboard[[#This Row],[Msr annual refrigerant leakage %]]*DeemedDashboard[[#This Row],[Msr t_EOL]],"")</f>
        <v/>
      </c>
      <c r="BI51" s="325" t="str">
        <f>IFERROR(1-DeemedDashboard[[#This Row],[Std annual refrigerant leakage %]]*DeemedDashboard[[#This Row],[Std t_EOL]],"")</f>
        <v/>
      </c>
      <c r="BJ51" s="325" t="str">
        <f>IFERROR(1-DeemedDashboard[[#This Row],[Pre/Ext annual refrigerant leakage %]]*DeemedDashboard[[#This Row],[Pre/Ext t_EOL]],"")</f>
        <v/>
      </c>
      <c r="BK51" s="325" t="str">
        <f>IFERROR(1-DeemedDashboard[[#This Row],[Pre/Ext annual refrigerant leakage %]]*DeemedDashboard[[#This Row],[Pre/Ext t_EOL]],"")</f>
        <v/>
      </c>
      <c r="BL51" s="325" t="str">
        <f>IFERROR(DeemedDashboard[[#This Row],[Msr charging remaining (%)]]*DeemedDashboard[[#This Row],[Msr gross EOL refrigerant leakage %]],"")</f>
        <v/>
      </c>
      <c r="BM51" s="325" t="str">
        <f>IFERROR(DeemedDashboard[[#This Row],[Std charging remaining (%)]]*DeemedDashboard[[#This Row],[Std gross EOL refrigerant leakage %]],"")</f>
        <v/>
      </c>
      <c r="BN51" s="325" t="str">
        <f>IFERROR(DeemedDashboard[[#This Row],[Pre charging remaining (%)]]*DeemedDashboard[[#This Row],[Pre/Ext gross EOL refrigerant leakage %]],"")</f>
        <v/>
      </c>
      <c r="BO51" s="325" t="str">
        <f>IFERROR(DeemedDashboard[[#This Row],[Ext charging remaining (%)]]*DeemedDashboard[[#This Row],[Pre/Ext gross EOL refrigerant leakage %]],"")</f>
        <v/>
      </c>
      <c r="BP51" s="330" t="str">
        <f>IFERROR((DeemedDashboard[[#This Row],[Msr refrigerant charge (lb) per NormUnit]]/pounds_per_metric_ton)*DeemedDashboard[[#This Row],[Msr annual refrigerant leakage %]]*DeemedDashboard[[#This Row],[Msr GWP]],"")</f>
        <v/>
      </c>
      <c r="BQ51" s="330" t="str">
        <f>IFERROR((DeemedDashboard[[#This Row],[Std refrigerant charge (lb) per NormUnit]]/pounds_per_metric_ton)*DeemedDashboard[[#This Row],[Std annual refrigerant leakage %]]*DeemedDashboard[[#This Row],[Std GWP]],"")</f>
        <v/>
      </c>
      <c r="BR51" s="330" t="str">
        <f>IF(DeemedDashboard[[#This Row],[MeasAppType]]=const_AR,(DeemedDashboard[[#This Row],[Pre/Ext refrigerant charge (lb) per NormUnit]]/pounds_per_metric_ton)*DeemedDashboard[[#This Row],[Pre/Ext annual refrigerant leakage %]]*DeemedDashboard[[#This Row],[Pre/Ext GWP]],"")</f>
        <v/>
      </c>
      <c r="BS51" s="330" t="str">
        <f>IF(DeemedDashboard[[#This Row],[MeasAppType]]=const_AR,(DeemedDashboard[[#This Row],[Pre/Ext refrigerant charge (lb) per NormUnit]]/pounds_per_metric_ton)*DeemedDashboard[[#This Row],[Pre/Ext annual refrigerant leakage %]]*DeemedDashboard[[#This Row],[Pre/Ext GWP]],"")</f>
        <v/>
      </c>
      <c r="BT51" s="330" t="str">
        <f>IFERROR((DeemedDashboard[[#This Row],[Msr refrigerant charge (lb) per NormUnit]]/pounds_per_metric_ton)*DeemedDashboard[[#This Row],[Msr net EOL refrigerant leakage (%)]]*DeemedDashboard[[#This Row],[Msr GWP]],"")</f>
        <v/>
      </c>
      <c r="BU51" s="330" t="str">
        <f>IFERROR((DeemedDashboard[[#This Row],[Std refrigerant charge (lb) per NormUnit]]/pounds_per_metric_ton)*DeemedDashboard[[#This Row],[Std net EOL refrigerant leakage (%)]]*DeemedDashboard[[#This Row],[Std GWP]],"")</f>
        <v/>
      </c>
      <c r="BV51" s="330" t="str">
        <f>IFERROR((DeemedDashboard[[#This Row],[Pre/Ext refrigerant charge (lb) per NormUnit]]/pounds_per_metric_ton)*DeemedDashboard[[#This Row],[Pre net EOL refrigerant leakage (%)]]*DeemedDashboard[[#This Row],[Pre/Ext GWP]],"")</f>
        <v/>
      </c>
      <c r="BW51" s="330" t="str">
        <f>IFERROR((DeemedDashboard[[#This Row],[Pre/Ext refrigerant charge (lb) per NormUnit]]/pounds_per_metric_ton)*DeemedDashboard[[#This Row],[Ext net EOL refrigerant leakage (%)]]*DeemedDashboard[[#This Row],[Pre/Ext GWP]],"")</f>
        <v/>
      </c>
      <c r="BX51" s="299" t="str" cm="1">
        <f t="array" aca="1" ref="BX5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1" s="305" t="str" cm="1">
        <f t="array" aca="1" ref="BY5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1" s="299" t="str">
        <f>IFERROR(IF(OR(DeemedDashboard[[#This Row],[MeasAppType]]&lt;&gt;const_AR,ISBLANK(DeemedDashboard[[#This Row],[MeasAppType]])),NA(),0),"")</f>
        <v/>
      </c>
      <c r="CA51" s="305" t="str" cm="1">
        <f t="array" aca="1" ref="CA5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1" s="299" t="str">
        <f ca="1">IFERROR((DeemedDashboard[[#This Row],[Msr EOL leakage tons CO2e]]*OFFSET(GHG_Adder_dollar_per_tonne,0,(DeemedDashboard[[#This Row],[Msr Device Retire-ment Year]]-DY+1),1,1))/(1+WACC)^(DeemedDashboard[[#This Row],[Msr Device Retire-ment Year]]-DeemedDashboard[[#This Row],[Measure Start Year]]+0.5),"")</f>
        <v/>
      </c>
      <c r="CC51" s="299" t="str">
        <f ca="1">IFERROR((DeemedDashboard[[#This Row],[Std EOL leakage tons CO2e]]*OFFSET(GHG_Adder_dollar_per_tonne,0,(DeemedDashboard[[#This Row],[Std Device Retire-ment Year]]-DY+1),1,1))/(1+WACC)^(DeemedDashboard[[#This Row],[Std Device Retire-ment Year]]-DeemedDashboard[[#This Row],[Measure Start Year]]+0.5),"")</f>
        <v/>
      </c>
      <c r="CD51" s="299" t="str">
        <f ca="1">IFERROR((DeemedDashboard[[#This Row],[Pre EOL leakage tons CO2e]]*OFFSET(GHG_Adder_dollar_per_tonne,0,(DeemedDashboard[[#This Row],[Measure Start Year]]-DY),1,1))/(1+WACC)^(-0.5),"")</f>
        <v/>
      </c>
      <c r="CE5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1" s="299" t="str">
        <f ca="1">IFERROR(DeemedDashboard[[#This Row],[Msr NPV Cost of Annual Leakage]]/(1+ACC_Inflation_Rate)^(DeemedDashboard[[#This Row],[Measure Start Year]]-DY),"")</f>
        <v/>
      </c>
      <c r="CG51" s="299" t="str">
        <f ca="1">IFERROR(DeemedDashboard[[#This Row],[Std NPV Cost of Annual Leakage]]/(1+ACC_Inflation_Rate)^(DeemedDashboard[[#This Row],[Measure Start Year]]-DY),"")</f>
        <v/>
      </c>
      <c r="CH51" s="299" t="str">
        <f>IFERROR(IF(ISBLANK(DeemedDashboard[[#This Row],[MeasAppType]]),NA(),IF(DeemedDashboard[[#This Row],[MeasAppType]]=const_AR,DeemedDashboard[[#This Row],[Pre NPV Cost of Annual Leakage]]/(1+ACC_Inflation_Rate)^(DeemedDashboard[[#This Row],[Measure Start Year]]-DY),"")),"")</f>
        <v/>
      </c>
      <c r="CI51" s="296" t="str">
        <f>IFERROR(IF(ISBLANK(DeemedDashboard[[#This Row],[MeasAppType]]),NA(),IF(DeemedDashboard[[#This Row],[MeasAppType]]=const_AR,DeemedDashboard[[#This Row],[Ext NPV Cost of Annual Leakage]]/(1+ACC_Inflation_Rate)^(DeemedDashboard[[#This Row],[Measure Start Year]]-DY),"")),"")</f>
        <v/>
      </c>
      <c r="CJ51" s="296" t="str">
        <f ca="1">IFERROR((DeemedDashboard[[#This Row],[Msr % of device lifetime during measure years]]+DeemedDashboard[[#This Row],[Msr % of device lifetime retired early]])*DeemedDashboard[[#This Row],[Msr NPV Cost of EOL Leakage]]/(1+ACC_Inflation_Rate)^(DeemedDashboard[[#This Row],[Measure Start Year]]-DY),"")</f>
        <v/>
      </c>
      <c r="CK51" s="296" t="str">
        <f ca="1">IFERROR((DeemedDashboard[[#This Row],[Std % of device lifetime during measure years]]+DeemedDashboard[[#This Row],[Std % of device lifetime retired early]])*DeemedDashboard[[#This Row],[Std NPV Cost of EOL Leakage]]/(1+ACC_Inflation_Rate)^(DeemedDashboard[[#This Row],[Measure Start Year]]-DY),"")</f>
        <v/>
      </c>
      <c r="CL5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1" s="299" t="str">
        <f ca="1">IFERROR(DeemedDashboard[[#This Row],[Counter-factual total 
NPV cost]]-DeemedDashboard[[#This Row],[Measure total 
NPV cost]],"")</f>
        <v/>
      </c>
      <c r="CQ51" s="299" t="str">
        <f>IF(ISBLANK(DeemedDashboard[[#This Row],[MeasAppType]]),"",DeemedDashboard[[#This Row],[Refrigerant
NPV costs
avoided]]&gt;0)</f>
        <v/>
      </c>
      <c r="CR51" s="299" t="str">
        <f ca="1">IFERROR(DeemedDashboard[[#This Row],[Msr Adj NPV Cost of Annual Leakage]]+DeemedDashboard[[#This Row],[Msr Adj NPV Cost of EOL Leakage]],"")</f>
        <v/>
      </c>
      <c r="CS51" s="299" t="str">
        <f ca="1">IFERROR(DeemedDashboard[[#This Row],[Std Adj NPV Cost of Annual Leakage]]+DeemedDashboard[[#This Row],[Std Adj NPV Cost of EOL Leakage]],"")</f>
        <v/>
      </c>
      <c r="CT51" s="299" t="str">
        <f>IFERROR(IF((DeemedDashboard[[#This Row],[Pre Adj NPV Cost of Annual Leakage]]+DeemedDashboard[[#This Row],[Pre Adj NPV Cost of EOL Leakage]])=0,"",DeemedDashboard[[#This Row],[Pre Adj NPV Cost of Annual Leakage]]+DeemedDashboard[[#This Row],[Pre Adj NPV Cost of EOL Leakage]]),"")</f>
        <v/>
      </c>
      <c r="CU51" s="299" t="str">
        <f>IFERROR(IF((DeemedDashboard[[#This Row],[Ext Adj NPV Cost of Annual Leakage]]+DeemedDashboard[[#This Row],[Ext Adj NPV Cost of EOL Leakage]])=0,"",DeemedDashboard[[#This Row],[Ext Adj NPV Cost of Annual Leakage]]+DeemedDashboard[[#This Row],[Ext Adj NPV Cost of EOL Leakage]]),"")</f>
        <v/>
      </c>
      <c r="CV51" s="299" t="str">
        <f>IFERROR(IF(DeemedDashboard[[#This Row],[Is Avoided Net Cost &gt;0?]],"",-DeemedDashboard[[#This Row],[Refrigerant
NPV costs
avoided]]),"")</f>
        <v/>
      </c>
      <c r="CW51" s="299" t="str">
        <f>IFERROR(IF(DeemedDashboard[[#This Row],[Is Avoided Net Cost &gt;0?]],DeemedDashboard[[#This Row],[Refrigerant
NPV costs
avoided]],""),"")</f>
        <v/>
      </c>
      <c r="CX51" s="391">
        <f ca="1">IFERROR(MATCH(DeemedDashboard[[#This Row],[TechGroup and NormUnit]],TechGroup_and_NormUnit,0),1)</f>
        <v>1</v>
      </c>
      <c r="CY51" s="391" cm="1">
        <f t="array" aca="1" ref="CY51" ca="1">IFERROR(INDEX(TGRows,DeemedDashboard[[#This Row],[TGIndex]]),"")</f>
        <v>2</v>
      </c>
      <c r="CZ51" s="391">
        <f ca="1">IF(DeemedDashboard[[#This Row],[MeasAppType]]=const_AR,DeemedDashboard[[#This Row],[TGRows]],DeemedDashboard[[#This Row],[TGRows]]+1)</f>
        <v>3</v>
      </c>
      <c r="DA51" s="391" t="str">
        <f>IF(ISBLANK(DeemedDashboard[[#This Row],[MeasAppType]]),"",IF(DeemedDashboard[[#This Row],[Index]]=User_Specified_Refrigerant[[#This Row],[Index]],"OK","ERROR"))</f>
        <v/>
      </c>
    </row>
    <row r="52" spans="1:105" s="320" customFormat="1" x14ac:dyDescent="0.25">
      <c r="A52" s="297">
        <f>ROW(DeemedDashboard[[#This Row],[Index]])-ROW(DeemedDashboard[[#Headers],[Index]])</f>
        <v>43</v>
      </c>
      <c r="B52" s="298"/>
      <c r="C52" s="321"/>
      <c r="D52" s="403"/>
      <c r="E52" s="403"/>
      <c r="F52" s="403"/>
      <c r="G52" s="403"/>
      <c r="H52" s="366"/>
      <c r="I52" s="339"/>
      <c r="J52" s="339"/>
      <c r="K52" s="339"/>
      <c r="L52" s="322"/>
      <c r="M52" s="322"/>
      <c r="N52" s="322"/>
      <c r="O5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2" s="582" t="str" cm="1">
        <f t="array" ref="R52">IFERROR(IF(DeemedDashboard[[#This Row],[Msr device type]]=const_device_nonrefrig,0,INDEX(_xlfn.SWITCH($E$4,const_20_yr,GWP_Values_20_year_AR4,const_100_yr,GWP_Values_100_year_AR4),MATCH(DeemedDashboard[[#This Row],[Msr refrigerant Type]],RefrigDropdownList,0))),"")</f>
        <v/>
      </c>
      <c r="S52" s="582" t="str" cm="1">
        <f t="array" ref="S52">IFERROR(IF(DeemedDashboard[[#This Row],[Std device type]]=const_device_nonrefrig,0,INDEX(_xlfn.SWITCH($E$4,const_20_yr,GWP_Values_20_year_AR4,const_100_yr,GWP_Values_100_year_AR4),MATCH(DeemedDashboard[[#This Row],[Std refrigerant Type]],RefrigDropdownList,0))),"")</f>
        <v/>
      </c>
      <c r="T52" s="582" t="str" cm="1">
        <f t="array" ref="T52">IFERROR(IF(DeemedDashboard[[#This Row],[Pre/Ext device type]]=const_device_nonrefrig,0,INDEX(_xlfn.SWITCH($E$4,const_20_yr,GWP_Values_20_year_AR4,const_100_yr,GWP_Values_100_year_AR4),MATCH(DeemedDashboard[[#This Row],[Pre/Ext refrigerant Type]],RefrigDropdownList,0))),"")</f>
        <v/>
      </c>
      <c r="U5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2" s="326" t="str">
        <f>IFERROR(IF(DeemedDashboard[[#This Row],[Msr device type]]=const_userspec,IF(ISBLANK(User_Specified_Refrigerant[[#This Row],[Msr t_EOL]]),"",User_Specified_Refrigerant[[#This Row],[Msr t_EOL]]),INDEX(TechGroup_NormUnit_Table[t_EOL],MATCH(DeemedDashboard[[#This Row],[Msr device type]],DropdownRefrigTech,0))),"")</f>
        <v/>
      </c>
      <c r="AB52" s="326" t="str">
        <f>IFERROR(IF(DeemedDashboard[[#This Row],[Std device type]]=const_userspec,IF(ISBLANK(User_Specified_Refrigerant[[#This Row],[Std t_EOL]]),"",User_Specified_Refrigerant[[#This Row],[Std t_EOL]]),INDEX(TechGroup_NormUnit_Table[t_EOL],MATCH(DeemedDashboard[[#This Row],[Std device type]],DropdownRefrigTech,0))),"")</f>
        <v/>
      </c>
      <c r="AC5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2" s="395" t="str">
        <f>IF(ISBLANK(DeemedDashboard[[#This Row],[MeasAppType]]),"",$E$2)</f>
        <v/>
      </c>
      <c r="AE52" s="395" t="str">
        <f>IFERROR(IF(ISBLANK(DeemedDashboard[[#This Row],[MeasAppType]]),NA(),DeemedDashboard[[#This Row],[Measure Start Year]]+DeemedDashboard[[#This Row],[Msr EUL rounded]]-1),"")</f>
        <v/>
      </c>
      <c r="AF52" s="323" t="str">
        <f>IF(ISBLANK(DeemedDashboard[[#This Row],[Measure New Device EUL]]),"",ROUND(DeemedDashboard[[#This Row],[Measure New Device EUL]],0))</f>
        <v/>
      </c>
      <c r="AG52" s="323" t="str">
        <f>IF(ISBLANK(DeemedDashboard[[#This Row],[Counterfactual New Device EUL]]),"",ROUND(DeemedDashboard[[#This Row],[Counterfactual New Device EUL]],0))</f>
        <v/>
      </c>
      <c r="AH52" s="323" t="str">
        <f>IF(ISBLANK(DeemedDashboard[[#This Row],[Existing Device EUL]]),"",ROUND(DeemedDashboard[[#This Row],[Existing Device EUL]],0))</f>
        <v/>
      </c>
      <c r="AI52" s="323" t="str">
        <f>IF(ISBLANK(DeemedDashboard[[#This Row],[Existing Device RUL or AR First Baseline Life]]),"",ROUND(DeemedDashboard[[#This Row],[Existing Device RUL or AR First Baseline Life]],0))</f>
        <v/>
      </c>
      <c r="AJ52" s="327" t="str">
        <f>DeemedDashboard[[#This Row],[Measure Start Year]]</f>
        <v/>
      </c>
      <c r="AK52" s="327" t="str">
        <f>IF(DeemedDashboard[[#This Row],[MeasAppType]]&lt;&gt;const_AR,DeemedDashboard[[#This Row],[Measure Start Year]],DeemedDashboard[[#This Row],[Ext Device Retire-ment Year]]+1)</f>
        <v/>
      </c>
      <c r="AL52" s="327" t="str">
        <f>IFERROR(IF(DeemedDashboard[[#This Row],[MeasAppType]]=const_AR,DeemedDashboard[[#This Row],[Measure Start Year]]-(DeemedDashboard[[#This Row],[Existing Device EUL]]-DeemedDashboard[[#This Row],[Existing Device RUL or AR First Baseline Life]]),NA()),"")</f>
        <v/>
      </c>
      <c r="AM52" s="327" t="str">
        <f>DeemedDashboard[[#This Row],[Pre Device Install Year]]</f>
        <v/>
      </c>
      <c r="AN52" s="327" t="str">
        <f>IFERROR(IF(ISBLANK(DeemedDashboard[[#This Row],[MeasAppType]]),NA(),DeemedDashboard[[#This Row],[Measure Start Year]]+DeemedDashboard[[#This Row],[Msr EUL rounded]]-1),"")</f>
        <v/>
      </c>
      <c r="AO52" s="327" t="str">
        <f>IFERROR(DeemedDashboard[[#This Row],[Std Device Install Year]]+DeemedDashboard[[#This Row],[Counterfactual New Device EUL]]-1,"")</f>
        <v/>
      </c>
      <c r="AP52" s="327" t="str">
        <f>IFERROR(IF(AND(DeemedDashboard[[#This Row],[MeasAppType]]=const_AR,DeemedDashboard[[#This Row],[Measure Start Year]]&lt;(DeemedDashboard[[#This Row],[Pre Device Install Year]]+DeemedDashboard[[#This Row],[Existing Device EUL]]-1)),DeemedDashboard[[#This Row],[Measure Start Year]]-1,NA()),"")</f>
        <v/>
      </c>
      <c r="AQ52" s="327" t="str">
        <f>IFERROR(IF(DeemedDashboard[[#This Row],[MeasAppType]]=const_AR,DeemedDashboard[[#This Row],[Ext Device Install Year]]+DeemedDashboard[[#This Row],[Existing Device EUL]]-1,NA()),"")</f>
        <v/>
      </c>
      <c r="AR52" s="327" t="str">
        <f>IFERROR(IF(ISBLANK(DeemedDashboard[[#This Row],[MeasAppType]]),NA(),0),"")</f>
        <v/>
      </c>
      <c r="AS52" s="327" t="str">
        <f>IFERROR(IF(ISBLANK(DeemedDashboard[[#This Row],[MeasAppType]]),NA(),0),"")</f>
        <v/>
      </c>
      <c r="AT52" s="327" t="str">
        <f>IF(ISBLANK(DeemedDashboard[[#This Row],[MeasAppType]]),"",IF(DeemedDashboard[[#This Row],[MeasAppType]]&lt;&gt;const_AR,"",(DeemedDashboard[[#This Row],[Pre Device Install Year]]+DeemedDashboard[[#This Row],[Existing Device EUL]]-1)-DeemedDashboard[[#This Row],[Pre Device Retire-ment Year]]))</f>
        <v/>
      </c>
      <c r="AU52" s="327" t="str">
        <f>IF(ISBLANK(DeemedDashboard[[#This Row],[MeasAppType]]),"",IF(DeemedDashboard[[#This Row],[MeasAppType]]=const_AR,0,""))</f>
        <v/>
      </c>
      <c r="AV52" s="328" t="str">
        <f>IF(ISBLANK(DeemedDashboard[[#This Row],[MeasAppType]]),"",MAX((1+MIN(DeemedDashboard[[#This Row],[Msr Device Retire-ment Year]],DeemedDashboard[[#This Row],[Measure End 
Year]])-MAX(DeemedDashboard[[#This Row],[Msr Device Install Year]],DeemedDashboard[[#This Row],[Measure Start Year]])),0))</f>
        <v/>
      </c>
      <c r="AW52" s="328" t="str">
        <f>IF(ISBLANK(DeemedDashboard[[#This Row],[MeasAppType]]),"",MAX((1+MIN(DeemedDashboard[[#This Row],[Std Device Retire-ment Year]],DeemedDashboard[[#This Row],[Measure End 
Year]])-MAX(DeemedDashboard[[#This Row],[Std Device Install Year]],DeemedDashboard[[#This Row],[Measure Start Year]])),0))</f>
        <v/>
      </c>
      <c r="AX5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2" s="329" t="str">
        <f>IF(ISBLANK(DeemedDashboard[[#This Row],[MeasAppType]]),"",IF(DeemedDashboard[[#This Row],[Msr Device Years Over-lapping with Measure Years]]=0,0,DeemedDashboard[[#This Row],[Msr Device Years Over-lapping with Measure Years]]/DeemedDashboard[[#This Row],[Msr EUL rounded]]))</f>
        <v/>
      </c>
      <c r="BA52" s="329" t="str">
        <f>IF(ISBLANK(DeemedDashboard[[#This Row],[MeasAppType]]),"",IF(DeemedDashboard[[#This Row],[Std Device Years Over-lapping with Measure Years]]=0,0,DeemedDashboard[[#This Row],[Std Device Years Over-lapping with Measure Years]]/DeemedDashboard[[#This Row],[Counterfactual New Device EUL]]))</f>
        <v/>
      </c>
      <c r="BB52" s="329" t="str">
        <f>IF(ISBLANK(DeemedDashboard[[#This Row],[MeasAppType]]),"",IFERROR(IF(DeemedDashboard[[#This Row],[Pre Device Years Over-lapping with Measure Years]]=0,0,DeemedDashboard[[#This Row],[Pre Device Years Over-lapping with Measure Years]]/DeemedDashboard[[#This Row],[Existing Device EUL]]),""))</f>
        <v/>
      </c>
      <c r="BC52" s="329" t="str">
        <f>IFERROR(IF(DeemedDashboard[[#This Row],[Ext Device Years Over-lapping with Measure Years]]=0,0,DeemedDashboard[[#This Row],[Ext Device Years Over-lapping with Measure Years]]/DeemedDashboard[[#This Row],[Existing Device EUL]]),"")</f>
        <v/>
      </c>
      <c r="BD52" s="329" t="str">
        <f>IFERROR(IF(DeemedDashboard[[#This Row],[Msr Number of Years device retired early]]=0,0,DeemedDashboard[[#This Row],[Msr Number of Years device retired early]]/DeemedDashboard[[#This Row],[Msr EUL rounded]]),"")</f>
        <v/>
      </c>
      <c r="BE52" s="329" t="str">
        <f>IFERROR(IF(DeemedDashboard[[#This Row],[Std Number of Years device retired early]]=0,0,DeemedDashboard[[#This Row],[Std Number of Years device retired early]]/DeemedDashboard[[#This Row],[Msr EUL rounded]]),"")</f>
        <v/>
      </c>
      <c r="BF52" s="329" t="str">
        <f>IFERROR(IF(DeemedDashboard[[#This Row],[MeasAppType]]&lt;&gt;const_AR,"",IF(DeemedDashboard[[#This Row],[Pre Number of Years device retired early]]=0,0,DeemedDashboard[[#This Row],[Pre Number of Years device retired early]]/DeemedDashboard[[#This Row],[Existing Device EUL]])),"")</f>
        <v/>
      </c>
      <c r="BG52" s="329" t="str">
        <f>IFERROR(IF(DeemedDashboard[[#This Row],[Ext Number of Years device retired early]]=0,0,DeemedDashboard[[#This Row],[Ext Number of Years device retired early]]/DeemedDashboard[[#This Row],[Existing Device EUL]]),"")</f>
        <v/>
      </c>
      <c r="BH52" s="325" t="str">
        <f>IFERROR(1-DeemedDashboard[[#This Row],[Msr annual refrigerant leakage %]]*DeemedDashboard[[#This Row],[Msr t_EOL]],"")</f>
        <v/>
      </c>
      <c r="BI52" s="325" t="str">
        <f>IFERROR(1-DeemedDashboard[[#This Row],[Std annual refrigerant leakage %]]*DeemedDashboard[[#This Row],[Std t_EOL]],"")</f>
        <v/>
      </c>
      <c r="BJ52" s="325" t="str">
        <f>IFERROR(1-DeemedDashboard[[#This Row],[Pre/Ext annual refrigerant leakage %]]*DeemedDashboard[[#This Row],[Pre/Ext t_EOL]],"")</f>
        <v/>
      </c>
      <c r="BK52" s="325" t="str">
        <f>IFERROR(1-DeemedDashboard[[#This Row],[Pre/Ext annual refrigerant leakage %]]*DeemedDashboard[[#This Row],[Pre/Ext t_EOL]],"")</f>
        <v/>
      </c>
      <c r="BL52" s="325" t="str">
        <f>IFERROR(DeemedDashboard[[#This Row],[Msr charging remaining (%)]]*DeemedDashboard[[#This Row],[Msr gross EOL refrigerant leakage %]],"")</f>
        <v/>
      </c>
      <c r="BM52" s="325" t="str">
        <f>IFERROR(DeemedDashboard[[#This Row],[Std charging remaining (%)]]*DeemedDashboard[[#This Row],[Std gross EOL refrigerant leakage %]],"")</f>
        <v/>
      </c>
      <c r="BN52" s="325" t="str">
        <f>IFERROR(DeemedDashboard[[#This Row],[Pre charging remaining (%)]]*DeemedDashboard[[#This Row],[Pre/Ext gross EOL refrigerant leakage %]],"")</f>
        <v/>
      </c>
      <c r="BO52" s="325" t="str">
        <f>IFERROR(DeemedDashboard[[#This Row],[Ext charging remaining (%)]]*DeemedDashboard[[#This Row],[Pre/Ext gross EOL refrigerant leakage %]],"")</f>
        <v/>
      </c>
      <c r="BP52" s="330" t="str">
        <f>IFERROR((DeemedDashboard[[#This Row],[Msr refrigerant charge (lb) per NormUnit]]/pounds_per_metric_ton)*DeemedDashboard[[#This Row],[Msr annual refrigerant leakage %]]*DeemedDashboard[[#This Row],[Msr GWP]],"")</f>
        <v/>
      </c>
      <c r="BQ52" s="330" t="str">
        <f>IFERROR((DeemedDashboard[[#This Row],[Std refrigerant charge (lb) per NormUnit]]/pounds_per_metric_ton)*DeemedDashboard[[#This Row],[Std annual refrigerant leakage %]]*DeemedDashboard[[#This Row],[Std GWP]],"")</f>
        <v/>
      </c>
      <c r="BR52" s="330" t="str">
        <f>IF(DeemedDashboard[[#This Row],[MeasAppType]]=const_AR,(DeemedDashboard[[#This Row],[Pre/Ext refrigerant charge (lb) per NormUnit]]/pounds_per_metric_ton)*DeemedDashboard[[#This Row],[Pre/Ext annual refrigerant leakage %]]*DeemedDashboard[[#This Row],[Pre/Ext GWP]],"")</f>
        <v/>
      </c>
      <c r="BS52" s="330" t="str">
        <f>IF(DeemedDashboard[[#This Row],[MeasAppType]]=const_AR,(DeemedDashboard[[#This Row],[Pre/Ext refrigerant charge (lb) per NormUnit]]/pounds_per_metric_ton)*DeemedDashboard[[#This Row],[Pre/Ext annual refrigerant leakage %]]*DeemedDashboard[[#This Row],[Pre/Ext GWP]],"")</f>
        <v/>
      </c>
      <c r="BT52" s="330" t="str">
        <f>IFERROR((DeemedDashboard[[#This Row],[Msr refrigerant charge (lb) per NormUnit]]/pounds_per_metric_ton)*DeemedDashboard[[#This Row],[Msr net EOL refrigerant leakage (%)]]*DeemedDashboard[[#This Row],[Msr GWP]],"")</f>
        <v/>
      </c>
      <c r="BU52" s="330" t="str">
        <f>IFERROR((DeemedDashboard[[#This Row],[Std refrigerant charge (lb) per NormUnit]]/pounds_per_metric_ton)*DeemedDashboard[[#This Row],[Std net EOL refrigerant leakage (%)]]*DeemedDashboard[[#This Row],[Std GWP]],"")</f>
        <v/>
      </c>
      <c r="BV52" s="330" t="str">
        <f>IFERROR((DeemedDashboard[[#This Row],[Pre/Ext refrigerant charge (lb) per NormUnit]]/pounds_per_metric_ton)*DeemedDashboard[[#This Row],[Pre net EOL refrigerant leakage (%)]]*DeemedDashboard[[#This Row],[Pre/Ext GWP]],"")</f>
        <v/>
      </c>
      <c r="BW52" s="330" t="str">
        <f>IFERROR((DeemedDashboard[[#This Row],[Pre/Ext refrigerant charge (lb) per NormUnit]]/pounds_per_metric_ton)*DeemedDashboard[[#This Row],[Ext net EOL refrigerant leakage (%)]]*DeemedDashboard[[#This Row],[Pre/Ext GWP]],"")</f>
        <v/>
      </c>
      <c r="BX52" s="299" t="str" cm="1">
        <f t="array" aca="1" ref="BX5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2" s="305" t="str" cm="1">
        <f t="array" aca="1" ref="BY5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2" s="299" t="str">
        <f>IFERROR(IF(OR(DeemedDashboard[[#This Row],[MeasAppType]]&lt;&gt;const_AR,ISBLANK(DeemedDashboard[[#This Row],[MeasAppType]])),NA(),0),"")</f>
        <v/>
      </c>
      <c r="CA52" s="305" t="str" cm="1">
        <f t="array" aca="1" ref="CA5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2" s="299" t="str">
        <f ca="1">IFERROR((DeemedDashboard[[#This Row],[Msr EOL leakage tons CO2e]]*OFFSET(GHG_Adder_dollar_per_tonne,0,(DeemedDashboard[[#This Row],[Msr Device Retire-ment Year]]-DY+1),1,1))/(1+WACC)^(DeemedDashboard[[#This Row],[Msr Device Retire-ment Year]]-DeemedDashboard[[#This Row],[Measure Start Year]]+0.5),"")</f>
        <v/>
      </c>
      <c r="CC52" s="299" t="str">
        <f ca="1">IFERROR((DeemedDashboard[[#This Row],[Std EOL leakage tons CO2e]]*OFFSET(GHG_Adder_dollar_per_tonne,0,(DeemedDashboard[[#This Row],[Std Device Retire-ment Year]]-DY+1),1,1))/(1+WACC)^(DeemedDashboard[[#This Row],[Std Device Retire-ment Year]]-DeemedDashboard[[#This Row],[Measure Start Year]]+0.5),"")</f>
        <v/>
      </c>
      <c r="CD52" s="299" t="str">
        <f ca="1">IFERROR((DeemedDashboard[[#This Row],[Pre EOL leakage tons CO2e]]*OFFSET(GHG_Adder_dollar_per_tonne,0,(DeemedDashboard[[#This Row],[Measure Start Year]]-DY),1,1))/(1+WACC)^(-0.5),"")</f>
        <v/>
      </c>
      <c r="CE5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2" s="299" t="str">
        <f ca="1">IFERROR(DeemedDashboard[[#This Row],[Msr NPV Cost of Annual Leakage]]/(1+ACC_Inflation_Rate)^(DeemedDashboard[[#This Row],[Measure Start Year]]-DY),"")</f>
        <v/>
      </c>
      <c r="CG52" s="299" t="str">
        <f ca="1">IFERROR(DeemedDashboard[[#This Row],[Std NPV Cost of Annual Leakage]]/(1+ACC_Inflation_Rate)^(DeemedDashboard[[#This Row],[Measure Start Year]]-DY),"")</f>
        <v/>
      </c>
      <c r="CH52" s="299" t="str">
        <f>IFERROR(IF(ISBLANK(DeemedDashboard[[#This Row],[MeasAppType]]),NA(),IF(DeemedDashboard[[#This Row],[MeasAppType]]=const_AR,DeemedDashboard[[#This Row],[Pre NPV Cost of Annual Leakage]]/(1+ACC_Inflation_Rate)^(DeemedDashboard[[#This Row],[Measure Start Year]]-DY),"")),"")</f>
        <v/>
      </c>
      <c r="CI52" s="296" t="str">
        <f>IFERROR(IF(ISBLANK(DeemedDashboard[[#This Row],[MeasAppType]]),NA(),IF(DeemedDashboard[[#This Row],[MeasAppType]]=const_AR,DeemedDashboard[[#This Row],[Ext NPV Cost of Annual Leakage]]/(1+ACC_Inflation_Rate)^(DeemedDashboard[[#This Row],[Measure Start Year]]-DY),"")),"")</f>
        <v/>
      </c>
      <c r="CJ52" s="296" t="str">
        <f ca="1">IFERROR((DeemedDashboard[[#This Row],[Msr % of device lifetime during measure years]]+DeemedDashboard[[#This Row],[Msr % of device lifetime retired early]])*DeemedDashboard[[#This Row],[Msr NPV Cost of EOL Leakage]]/(1+ACC_Inflation_Rate)^(DeemedDashboard[[#This Row],[Measure Start Year]]-DY),"")</f>
        <v/>
      </c>
      <c r="CK52" s="296" t="str">
        <f ca="1">IFERROR((DeemedDashboard[[#This Row],[Std % of device lifetime during measure years]]+DeemedDashboard[[#This Row],[Std % of device lifetime retired early]])*DeemedDashboard[[#This Row],[Std NPV Cost of EOL Leakage]]/(1+ACC_Inflation_Rate)^(DeemedDashboard[[#This Row],[Measure Start Year]]-DY),"")</f>
        <v/>
      </c>
      <c r="CL5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2" s="299" t="str">
        <f ca="1">IFERROR(DeemedDashboard[[#This Row],[Counter-factual total 
NPV cost]]-DeemedDashboard[[#This Row],[Measure total 
NPV cost]],"")</f>
        <v/>
      </c>
      <c r="CQ52" s="299" t="str">
        <f>IF(ISBLANK(DeemedDashboard[[#This Row],[MeasAppType]]),"",DeemedDashboard[[#This Row],[Refrigerant
NPV costs
avoided]]&gt;0)</f>
        <v/>
      </c>
      <c r="CR52" s="299" t="str">
        <f ca="1">IFERROR(DeemedDashboard[[#This Row],[Msr Adj NPV Cost of Annual Leakage]]+DeemedDashboard[[#This Row],[Msr Adj NPV Cost of EOL Leakage]],"")</f>
        <v/>
      </c>
      <c r="CS52" s="299" t="str">
        <f ca="1">IFERROR(DeemedDashboard[[#This Row],[Std Adj NPV Cost of Annual Leakage]]+DeemedDashboard[[#This Row],[Std Adj NPV Cost of EOL Leakage]],"")</f>
        <v/>
      </c>
      <c r="CT52" s="299" t="str">
        <f>IFERROR(IF((DeemedDashboard[[#This Row],[Pre Adj NPV Cost of Annual Leakage]]+DeemedDashboard[[#This Row],[Pre Adj NPV Cost of EOL Leakage]])=0,"",DeemedDashboard[[#This Row],[Pre Adj NPV Cost of Annual Leakage]]+DeemedDashboard[[#This Row],[Pre Adj NPV Cost of EOL Leakage]]),"")</f>
        <v/>
      </c>
      <c r="CU52" s="299" t="str">
        <f>IFERROR(IF((DeemedDashboard[[#This Row],[Ext Adj NPV Cost of Annual Leakage]]+DeemedDashboard[[#This Row],[Ext Adj NPV Cost of EOL Leakage]])=0,"",DeemedDashboard[[#This Row],[Ext Adj NPV Cost of Annual Leakage]]+DeemedDashboard[[#This Row],[Ext Adj NPV Cost of EOL Leakage]]),"")</f>
        <v/>
      </c>
      <c r="CV52" s="299" t="str">
        <f>IFERROR(IF(DeemedDashboard[[#This Row],[Is Avoided Net Cost &gt;0?]],"",-DeemedDashboard[[#This Row],[Refrigerant
NPV costs
avoided]]),"")</f>
        <v/>
      </c>
      <c r="CW52" s="299" t="str">
        <f>IFERROR(IF(DeemedDashboard[[#This Row],[Is Avoided Net Cost &gt;0?]],DeemedDashboard[[#This Row],[Refrigerant
NPV costs
avoided]],""),"")</f>
        <v/>
      </c>
      <c r="CX52" s="391">
        <f ca="1">IFERROR(MATCH(DeemedDashboard[[#This Row],[TechGroup and NormUnit]],TechGroup_and_NormUnit,0),1)</f>
        <v>1</v>
      </c>
      <c r="CY52" s="391" cm="1">
        <f t="array" aca="1" ref="CY52" ca="1">IFERROR(INDEX(TGRows,DeemedDashboard[[#This Row],[TGIndex]]),"")</f>
        <v>2</v>
      </c>
      <c r="CZ52" s="391">
        <f ca="1">IF(DeemedDashboard[[#This Row],[MeasAppType]]=const_AR,DeemedDashboard[[#This Row],[TGRows]],DeemedDashboard[[#This Row],[TGRows]]+1)</f>
        <v>3</v>
      </c>
      <c r="DA52" s="391" t="str">
        <f>IF(ISBLANK(DeemedDashboard[[#This Row],[MeasAppType]]),"",IF(DeemedDashboard[[#This Row],[Index]]=User_Specified_Refrigerant[[#This Row],[Index]],"OK","ERROR"))</f>
        <v/>
      </c>
    </row>
    <row r="53" spans="1:105" s="320" customFormat="1" x14ac:dyDescent="0.25">
      <c r="A53" s="297">
        <f>ROW(DeemedDashboard[[#This Row],[Index]])-ROW(DeemedDashboard[[#Headers],[Index]])</f>
        <v>44</v>
      </c>
      <c r="B53" s="298"/>
      <c r="C53" s="321"/>
      <c r="D53" s="403"/>
      <c r="E53" s="403"/>
      <c r="F53" s="403"/>
      <c r="G53" s="403"/>
      <c r="H53" s="366"/>
      <c r="I53" s="339"/>
      <c r="J53" s="339"/>
      <c r="K53" s="339"/>
      <c r="L53" s="322"/>
      <c r="M53" s="322"/>
      <c r="N53" s="322"/>
      <c r="O5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3" s="582" t="str" cm="1">
        <f t="array" ref="R53">IFERROR(IF(DeemedDashboard[[#This Row],[Msr device type]]=const_device_nonrefrig,0,INDEX(_xlfn.SWITCH($E$4,const_20_yr,GWP_Values_20_year_AR4,const_100_yr,GWP_Values_100_year_AR4),MATCH(DeemedDashboard[[#This Row],[Msr refrigerant Type]],RefrigDropdownList,0))),"")</f>
        <v/>
      </c>
      <c r="S53" s="582" t="str" cm="1">
        <f t="array" ref="S53">IFERROR(IF(DeemedDashboard[[#This Row],[Std device type]]=const_device_nonrefrig,0,INDEX(_xlfn.SWITCH($E$4,const_20_yr,GWP_Values_20_year_AR4,const_100_yr,GWP_Values_100_year_AR4),MATCH(DeemedDashboard[[#This Row],[Std refrigerant Type]],RefrigDropdownList,0))),"")</f>
        <v/>
      </c>
      <c r="T53" s="582" t="str" cm="1">
        <f t="array" ref="T53">IFERROR(IF(DeemedDashboard[[#This Row],[Pre/Ext device type]]=const_device_nonrefrig,0,INDEX(_xlfn.SWITCH($E$4,const_20_yr,GWP_Values_20_year_AR4,const_100_yr,GWP_Values_100_year_AR4),MATCH(DeemedDashboard[[#This Row],[Pre/Ext refrigerant Type]],RefrigDropdownList,0))),"")</f>
        <v/>
      </c>
      <c r="U5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3" s="326" t="str">
        <f>IFERROR(IF(DeemedDashboard[[#This Row],[Msr device type]]=const_userspec,IF(ISBLANK(User_Specified_Refrigerant[[#This Row],[Msr t_EOL]]),"",User_Specified_Refrigerant[[#This Row],[Msr t_EOL]]),INDEX(TechGroup_NormUnit_Table[t_EOL],MATCH(DeemedDashboard[[#This Row],[Msr device type]],DropdownRefrigTech,0))),"")</f>
        <v/>
      </c>
      <c r="AB53" s="326" t="str">
        <f>IFERROR(IF(DeemedDashboard[[#This Row],[Std device type]]=const_userspec,IF(ISBLANK(User_Specified_Refrigerant[[#This Row],[Std t_EOL]]),"",User_Specified_Refrigerant[[#This Row],[Std t_EOL]]),INDEX(TechGroup_NormUnit_Table[t_EOL],MATCH(DeemedDashboard[[#This Row],[Std device type]],DropdownRefrigTech,0))),"")</f>
        <v/>
      </c>
      <c r="AC5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3" s="395" t="str">
        <f>IF(ISBLANK(DeemedDashboard[[#This Row],[MeasAppType]]),"",$E$2)</f>
        <v/>
      </c>
      <c r="AE53" s="395" t="str">
        <f>IFERROR(IF(ISBLANK(DeemedDashboard[[#This Row],[MeasAppType]]),NA(),DeemedDashboard[[#This Row],[Measure Start Year]]+DeemedDashboard[[#This Row],[Msr EUL rounded]]-1),"")</f>
        <v/>
      </c>
      <c r="AF53" s="323" t="str">
        <f>IF(ISBLANK(DeemedDashboard[[#This Row],[Measure New Device EUL]]),"",ROUND(DeemedDashboard[[#This Row],[Measure New Device EUL]],0))</f>
        <v/>
      </c>
      <c r="AG53" s="323" t="str">
        <f>IF(ISBLANK(DeemedDashboard[[#This Row],[Counterfactual New Device EUL]]),"",ROUND(DeemedDashboard[[#This Row],[Counterfactual New Device EUL]],0))</f>
        <v/>
      </c>
      <c r="AH53" s="323" t="str">
        <f>IF(ISBLANK(DeemedDashboard[[#This Row],[Existing Device EUL]]),"",ROUND(DeemedDashboard[[#This Row],[Existing Device EUL]],0))</f>
        <v/>
      </c>
      <c r="AI53" s="323" t="str">
        <f>IF(ISBLANK(DeemedDashboard[[#This Row],[Existing Device RUL or AR First Baseline Life]]),"",ROUND(DeemedDashboard[[#This Row],[Existing Device RUL or AR First Baseline Life]],0))</f>
        <v/>
      </c>
      <c r="AJ53" s="327" t="str">
        <f>DeemedDashboard[[#This Row],[Measure Start Year]]</f>
        <v/>
      </c>
      <c r="AK53" s="327" t="str">
        <f>IF(DeemedDashboard[[#This Row],[MeasAppType]]&lt;&gt;const_AR,DeemedDashboard[[#This Row],[Measure Start Year]],DeemedDashboard[[#This Row],[Ext Device Retire-ment Year]]+1)</f>
        <v/>
      </c>
      <c r="AL53" s="327" t="str">
        <f>IFERROR(IF(DeemedDashboard[[#This Row],[MeasAppType]]=const_AR,DeemedDashboard[[#This Row],[Measure Start Year]]-(DeemedDashboard[[#This Row],[Existing Device EUL]]-DeemedDashboard[[#This Row],[Existing Device RUL or AR First Baseline Life]]),NA()),"")</f>
        <v/>
      </c>
      <c r="AM53" s="327" t="str">
        <f>DeemedDashboard[[#This Row],[Pre Device Install Year]]</f>
        <v/>
      </c>
      <c r="AN53" s="327" t="str">
        <f>IFERROR(IF(ISBLANK(DeemedDashboard[[#This Row],[MeasAppType]]),NA(),DeemedDashboard[[#This Row],[Measure Start Year]]+DeemedDashboard[[#This Row],[Msr EUL rounded]]-1),"")</f>
        <v/>
      </c>
      <c r="AO53" s="327" t="str">
        <f>IFERROR(DeemedDashboard[[#This Row],[Std Device Install Year]]+DeemedDashboard[[#This Row],[Counterfactual New Device EUL]]-1,"")</f>
        <v/>
      </c>
      <c r="AP53" s="327" t="str">
        <f>IFERROR(IF(AND(DeemedDashboard[[#This Row],[MeasAppType]]=const_AR,DeemedDashboard[[#This Row],[Measure Start Year]]&lt;(DeemedDashboard[[#This Row],[Pre Device Install Year]]+DeemedDashboard[[#This Row],[Existing Device EUL]]-1)),DeemedDashboard[[#This Row],[Measure Start Year]]-1,NA()),"")</f>
        <v/>
      </c>
      <c r="AQ53" s="327" t="str">
        <f>IFERROR(IF(DeemedDashboard[[#This Row],[MeasAppType]]=const_AR,DeemedDashboard[[#This Row],[Ext Device Install Year]]+DeemedDashboard[[#This Row],[Existing Device EUL]]-1,NA()),"")</f>
        <v/>
      </c>
      <c r="AR53" s="327" t="str">
        <f>IFERROR(IF(ISBLANK(DeemedDashboard[[#This Row],[MeasAppType]]),NA(),0),"")</f>
        <v/>
      </c>
      <c r="AS53" s="327" t="str">
        <f>IFERROR(IF(ISBLANK(DeemedDashboard[[#This Row],[MeasAppType]]),NA(),0),"")</f>
        <v/>
      </c>
      <c r="AT53" s="327" t="str">
        <f>IF(ISBLANK(DeemedDashboard[[#This Row],[MeasAppType]]),"",IF(DeemedDashboard[[#This Row],[MeasAppType]]&lt;&gt;const_AR,"",(DeemedDashboard[[#This Row],[Pre Device Install Year]]+DeemedDashboard[[#This Row],[Existing Device EUL]]-1)-DeemedDashboard[[#This Row],[Pre Device Retire-ment Year]]))</f>
        <v/>
      </c>
      <c r="AU53" s="327" t="str">
        <f>IF(ISBLANK(DeemedDashboard[[#This Row],[MeasAppType]]),"",IF(DeemedDashboard[[#This Row],[MeasAppType]]=const_AR,0,""))</f>
        <v/>
      </c>
      <c r="AV53" s="328" t="str">
        <f>IF(ISBLANK(DeemedDashboard[[#This Row],[MeasAppType]]),"",MAX((1+MIN(DeemedDashboard[[#This Row],[Msr Device Retire-ment Year]],DeemedDashboard[[#This Row],[Measure End 
Year]])-MAX(DeemedDashboard[[#This Row],[Msr Device Install Year]],DeemedDashboard[[#This Row],[Measure Start Year]])),0))</f>
        <v/>
      </c>
      <c r="AW53" s="328" t="str">
        <f>IF(ISBLANK(DeemedDashboard[[#This Row],[MeasAppType]]),"",MAX((1+MIN(DeemedDashboard[[#This Row],[Std Device Retire-ment Year]],DeemedDashboard[[#This Row],[Measure End 
Year]])-MAX(DeemedDashboard[[#This Row],[Std Device Install Year]],DeemedDashboard[[#This Row],[Measure Start Year]])),0))</f>
        <v/>
      </c>
      <c r="AX5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3" s="329" t="str">
        <f>IF(ISBLANK(DeemedDashboard[[#This Row],[MeasAppType]]),"",IF(DeemedDashboard[[#This Row],[Msr Device Years Over-lapping with Measure Years]]=0,0,DeemedDashboard[[#This Row],[Msr Device Years Over-lapping with Measure Years]]/DeemedDashboard[[#This Row],[Msr EUL rounded]]))</f>
        <v/>
      </c>
      <c r="BA53" s="329" t="str">
        <f>IF(ISBLANK(DeemedDashboard[[#This Row],[MeasAppType]]),"",IF(DeemedDashboard[[#This Row],[Std Device Years Over-lapping with Measure Years]]=0,0,DeemedDashboard[[#This Row],[Std Device Years Over-lapping with Measure Years]]/DeemedDashboard[[#This Row],[Counterfactual New Device EUL]]))</f>
        <v/>
      </c>
      <c r="BB53" s="329" t="str">
        <f>IF(ISBLANK(DeemedDashboard[[#This Row],[MeasAppType]]),"",IFERROR(IF(DeemedDashboard[[#This Row],[Pre Device Years Over-lapping with Measure Years]]=0,0,DeemedDashboard[[#This Row],[Pre Device Years Over-lapping with Measure Years]]/DeemedDashboard[[#This Row],[Existing Device EUL]]),""))</f>
        <v/>
      </c>
      <c r="BC53" s="329" t="str">
        <f>IFERROR(IF(DeemedDashboard[[#This Row],[Ext Device Years Over-lapping with Measure Years]]=0,0,DeemedDashboard[[#This Row],[Ext Device Years Over-lapping with Measure Years]]/DeemedDashboard[[#This Row],[Existing Device EUL]]),"")</f>
        <v/>
      </c>
      <c r="BD53" s="329" t="str">
        <f>IFERROR(IF(DeemedDashboard[[#This Row],[Msr Number of Years device retired early]]=0,0,DeemedDashboard[[#This Row],[Msr Number of Years device retired early]]/DeemedDashboard[[#This Row],[Msr EUL rounded]]),"")</f>
        <v/>
      </c>
      <c r="BE53" s="329" t="str">
        <f>IFERROR(IF(DeemedDashboard[[#This Row],[Std Number of Years device retired early]]=0,0,DeemedDashboard[[#This Row],[Std Number of Years device retired early]]/DeemedDashboard[[#This Row],[Msr EUL rounded]]),"")</f>
        <v/>
      </c>
      <c r="BF53" s="329" t="str">
        <f>IFERROR(IF(DeemedDashboard[[#This Row],[MeasAppType]]&lt;&gt;const_AR,"",IF(DeemedDashboard[[#This Row],[Pre Number of Years device retired early]]=0,0,DeemedDashboard[[#This Row],[Pre Number of Years device retired early]]/DeemedDashboard[[#This Row],[Existing Device EUL]])),"")</f>
        <v/>
      </c>
      <c r="BG53" s="329" t="str">
        <f>IFERROR(IF(DeemedDashboard[[#This Row],[Ext Number of Years device retired early]]=0,0,DeemedDashboard[[#This Row],[Ext Number of Years device retired early]]/DeemedDashboard[[#This Row],[Existing Device EUL]]),"")</f>
        <v/>
      </c>
      <c r="BH53" s="325" t="str">
        <f>IFERROR(1-DeemedDashboard[[#This Row],[Msr annual refrigerant leakage %]]*DeemedDashboard[[#This Row],[Msr t_EOL]],"")</f>
        <v/>
      </c>
      <c r="BI53" s="325" t="str">
        <f>IFERROR(1-DeemedDashboard[[#This Row],[Std annual refrigerant leakage %]]*DeemedDashboard[[#This Row],[Std t_EOL]],"")</f>
        <v/>
      </c>
      <c r="BJ53" s="325" t="str">
        <f>IFERROR(1-DeemedDashboard[[#This Row],[Pre/Ext annual refrigerant leakage %]]*DeemedDashboard[[#This Row],[Pre/Ext t_EOL]],"")</f>
        <v/>
      </c>
      <c r="BK53" s="325" t="str">
        <f>IFERROR(1-DeemedDashboard[[#This Row],[Pre/Ext annual refrigerant leakage %]]*DeemedDashboard[[#This Row],[Pre/Ext t_EOL]],"")</f>
        <v/>
      </c>
      <c r="BL53" s="325" t="str">
        <f>IFERROR(DeemedDashboard[[#This Row],[Msr charging remaining (%)]]*DeemedDashboard[[#This Row],[Msr gross EOL refrigerant leakage %]],"")</f>
        <v/>
      </c>
      <c r="BM53" s="325" t="str">
        <f>IFERROR(DeemedDashboard[[#This Row],[Std charging remaining (%)]]*DeemedDashboard[[#This Row],[Std gross EOL refrigerant leakage %]],"")</f>
        <v/>
      </c>
      <c r="BN53" s="325" t="str">
        <f>IFERROR(DeemedDashboard[[#This Row],[Pre charging remaining (%)]]*DeemedDashboard[[#This Row],[Pre/Ext gross EOL refrigerant leakage %]],"")</f>
        <v/>
      </c>
      <c r="BO53" s="325" t="str">
        <f>IFERROR(DeemedDashboard[[#This Row],[Ext charging remaining (%)]]*DeemedDashboard[[#This Row],[Pre/Ext gross EOL refrigerant leakage %]],"")</f>
        <v/>
      </c>
      <c r="BP53" s="330" t="str">
        <f>IFERROR((DeemedDashboard[[#This Row],[Msr refrigerant charge (lb) per NormUnit]]/pounds_per_metric_ton)*DeemedDashboard[[#This Row],[Msr annual refrigerant leakage %]]*DeemedDashboard[[#This Row],[Msr GWP]],"")</f>
        <v/>
      </c>
      <c r="BQ53" s="330" t="str">
        <f>IFERROR((DeemedDashboard[[#This Row],[Std refrigerant charge (lb) per NormUnit]]/pounds_per_metric_ton)*DeemedDashboard[[#This Row],[Std annual refrigerant leakage %]]*DeemedDashboard[[#This Row],[Std GWP]],"")</f>
        <v/>
      </c>
      <c r="BR53" s="330" t="str">
        <f>IF(DeemedDashboard[[#This Row],[MeasAppType]]=const_AR,(DeemedDashboard[[#This Row],[Pre/Ext refrigerant charge (lb) per NormUnit]]/pounds_per_metric_ton)*DeemedDashboard[[#This Row],[Pre/Ext annual refrigerant leakage %]]*DeemedDashboard[[#This Row],[Pre/Ext GWP]],"")</f>
        <v/>
      </c>
      <c r="BS53" s="330" t="str">
        <f>IF(DeemedDashboard[[#This Row],[MeasAppType]]=const_AR,(DeemedDashboard[[#This Row],[Pre/Ext refrigerant charge (lb) per NormUnit]]/pounds_per_metric_ton)*DeemedDashboard[[#This Row],[Pre/Ext annual refrigerant leakage %]]*DeemedDashboard[[#This Row],[Pre/Ext GWP]],"")</f>
        <v/>
      </c>
      <c r="BT53" s="330" t="str">
        <f>IFERROR((DeemedDashboard[[#This Row],[Msr refrigerant charge (lb) per NormUnit]]/pounds_per_metric_ton)*DeemedDashboard[[#This Row],[Msr net EOL refrigerant leakage (%)]]*DeemedDashboard[[#This Row],[Msr GWP]],"")</f>
        <v/>
      </c>
      <c r="BU53" s="330" t="str">
        <f>IFERROR((DeemedDashboard[[#This Row],[Std refrigerant charge (lb) per NormUnit]]/pounds_per_metric_ton)*DeemedDashboard[[#This Row],[Std net EOL refrigerant leakage (%)]]*DeemedDashboard[[#This Row],[Std GWP]],"")</f>
        <v/>
      </c>
      <c r="BV53" s="330" t="str">
        <f>IFERROR((DeemedDashboard[[#This Row],[Pre/Ext refrigerant charge (lb) per NormUnit]]/pounds_per_metric_ton)*DeemedDashboard[[#This Row],[Pre net EOL refrigerant leakage (%)]]*DeemedDashboard[[#This Row],[Pre/Ext GWP]],"")</f>
        <v/>
      </c>
      <c r="BW53" s="330" t="str">
        <f>IFERROR((DeemedDashboard[[#This Row],[Pre/Ext refrigerant charge (lb) per NormUnit]]/pounds_per_metric_ton)*DeemedDashboard[[#This Row],[Ext net EOL refrigerant leakage (%)]]*DeemedDashboard[[#This Row],[Pre/Ext GWP]],"")</f>
        <v/>
      </c>
      <c r="BX53" s="299" t="str" cm="1">
        <f t="array" aca="1" ref="BX5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3" s="305" t="str" cm="1">
        <f t="array" aca="1" ref="BY5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3" s="299" t="str">
        <f>IFERROR(IF(OR(DeemedDashboard[[#This Row],[MeasAppType]]&lt;&gt;const_AR,ISBLANK(DeemedDashboard[[#This Row],[MeasAppType]])),NA(),0),"")</f>
        <v/>
      </c>
      <c r="CA53" s="305" t="str" cm="1">
        <f t="array" aca="1" ref="CA5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3" s="299" t="str">
        <f ca="1">IFERROR((DeemedDashboard[[#This Row],[Msr EOL leakage tons CO2e]]*OFFSET(GHG_Adder_dollar_per_tonne,0,(DeemedDashboard[[#This Row],[Msr Device Retire-ment Year]]-DY+1),1,1))/(1+WACC)^(DeemedDashboard[[#This Row],[Msr Device Retire-ment Year]]-DeemedDashboard[[#This Row],[Measure Start Year]]+0.5),"")</f>
        <v/>
      </c>
      <c r="CC53" s="299" t="str">
        <f ca="1">IFERROR((DeemedDashboard[[#This Row],[Std EOL leakage tons CO2e]]*OFFSET(GHG_Adder_dollar_per_tonne,0,(DeemedDashboard[[#This Row],[Std Device Retire-ment Year]]-DY+1),1,1))/(1+WACC)^(DeemedDashboard[[#This Row],[Std Device Retire-ment Year]]-DeemedDashboard[[#This Row],[Measure Start Year]]+0.5),"")</f>
        <v/>
      </c>
      <c r="CD53" s="299" t="str">
        <f ca="1">IFERROR((DeemedDashboard[[#This Row],[Pre EOL leakage tons CO2e]]*OFFSET(GHG_Adder_dollar_per_tonne,0,(DeemedDashboard[[#This Row],[Measure Start Year]]-DY),1,1))/(1+WACC)^(-0.5),"")</f>
        <v/>
      </c>
      <c r="CE5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3" s="299" t="str">
        <f ca="1">IFERROR(DeemedDashboard[[#This Row],[Msr NPV Cost of Annual Leakage]]/(1+ACC_Inflation_Rate)^(DeemedDashboard[[#This Row],[Measure Start Year]]-DY),"")</f>
        <v/>
      </c>
      <c r="CG53" s="299" t="str">
        <f ca="1">IFERROR(DeemedDashboard[[#This Row],[Std NPV Cost of Annual Leakage]]/(1+ACC_Inflation_Rate)^(DeemedDashboard[[#This Row],[Measure Start Year]]-DY),"")</f>
        <v/>
      </c>
      <c r="CH53" s="299" t="str">
        <f>IFERROR(IF(ISBLANK(DeemedDashboard[[#This Row],[MeasAppType]]),NA(),IF(DeemedDashboard[[#This Row],[MeasAppType]]=const_AR,DeemedDashboard[[#This Row],[Pre NPV Cost of Annual Leakage]]/(1+ACC_Inflation_Rate)^(DeemedDashboard[[#This Row],[Measure Start Year]]-DY),"")),"")</f>
        <v/>
      </c>
      <c r="CI53" s="296" t="str">
        <f>IFERROR(IF(ISBLANK(DeemedDashboard[[#This Row],[MeasAppType]]),NA(),IF(DeemedDashboard[[#This Row],[MeasAppType]]=const_AR,DeemedDashboard[[#This Row],[Ext NPV Cost of Annual Leakage]]/(1+ACC_Inflation_Rate)^(DeemedDashboard[[#This Row],[Measure Start Year]]-DY),"")),"")</f>
        <v/>
      </c>
      <c r="CJ53" s="296" t="str">
        <f ca="1">IFERROR((DeemedDashboard[[#This Row],[Msr % of device lifetime during measure years]]+DeemedDashboard[[#This Row],[Msr % of device lifetime retired early]])*DeemedDashboard[[#This Row],[Msr NPV Cost of EOL Leakage]]/(1+ACC_Inflation_Rate)^(DeemedDashboard[[#This Row],[Measure Start Year]]-DY),"")</f>
        <v/>
      </c>
      <c r="CK53" s="296" t="str">
        <f ca="1">IFERROR((DeemedDashboard[[#This Row],[Std % of device lifetime during measure years]]+DeemedDashboard[[#This Row],[Std % of device lifetime retired early]])*DeemedDashboard[[#This Row],[Std NPV Cost of EOL Leakage]]/(1+ACC_Inflation_Rate)^(DeemedDashboard[[#This Row],[Measure Start Year]]-DY),"")</f>
        <v/>
      </c>
      <c r="CL5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3" s="299" t="str">
        <f ca="1">IFERROR(DeemedDashboard[[#This Row],[Counter-factual total 
NPV cost]]-DeemedDashboard[[#This Row],[Measure total 
NPV cost]],"")</f>
        <v/>
      </c>
      <c r="CQ53" s="299" t="str">
        <f>IF(ISBLANK(DeemedDashboard[[#This Row],[MeasAppType]]),"",DeemedDashboard[[#This Row],[Refrigerant
NPV costs
avoided]]&gt;0)</f>
        <v/>
      </c>
      <c r="CR53" s="299" t="str">
        <f ca="1">IFERROR(DeemedDashboard[[#This Row],[Msr Adj NPV Cost of Annual Leakage]]+DeemedDashboard[[#This Row],[Msr Adj NPV Cost of EOL Leakage]],"")</f>
        <v/>
      </c>
      <c r="CS53" s="299" t="str">
        <f ca="1">IFERROR(DeemedDashboard[[#This Row],[Std Adj NPV Cost of Annual Leakage]]+DeemedDashboard[[#This Row],[Std Adj NPV Cost of EOL Leakage]],"")</f>
        <v/>
      </c>
      <c r="CT53" s="299" t="str">
        <f>IFERROR(IF((DeemedDashboard[[#This Row],[Pre Adj NPV Cost of Annual Leakage]]+DeemedDashboard[[#This Row],[Pre Adj NPV Cost of EOL Leakage]])=0,"",DeemedDashboard[[#This Row],[Pre Adj NPV Cost of Annual Leakage]]+DeemedDashboard[[#This Row],[Pre Adj NPV Cost of EOL Leakage]]),"")</f>
        <v/>
      </c>
      <c r="CU53" s="299" t="str">
        <f>IFERROR(IF((DeemedDashboard[[#This Row],[Ext Adj NPV Cost of Annual Leakage]]+DeemedDashboard[[#This Row],[Ext Adj NPV Cost of EOL Leakage]])=0,"",DeemedDashboard[[#This Row],[Ext Adj NPV Cost of Annual Leakage]]+DeemedDashboard[[#This Row],[Ext Adj NPV Cost of EOL Leakage]]),"")</f>
        <v/>
      </c>
      <c r="CV53" s="299" t="str">
        <f>IFERROR(IF(DeemedDashboard[[#This Row],[Is Avoided Net Cost &gt;0?]],"",-DeemedDashboard[[#This Row],[Refrigerant
NPV costs
avoided]]),"")</f>
        <v/>
      </c>
      <c r="CW53" s="299" t="str">
        <f>IFERROR(IF(DeemedDashboard[[#This Row],[Is Avoided Net Cost &gt;0?]],DeemedDashboard[[#This Row],[Refrigerant
NPV costs
avoided]],""),"")</f>
        <v/>
      </c>
      <c r="CX53" s="391">
        <f ca="1">IFERROR(MATCH(DeemedDashboard[[#This Row],[TechGroup and NormUnit]],TechGroup_and_NormUnit,0),1)</f>
        <v>1</v>
      </c>
      <c r="CY53" s="391" cm="1">
        <f t="array" aca="1" ref="CY53" ca="1">IFERROR(INDEX(TGRows,DeemedDashboard[[#This Row],[TGIndex]]),"")</f>
        <v>2</v>
      </c>
      <c r="CZ53" s="391">
        <f ca="1">IF(DeemedDashboard[[#This Row],[MeasAppType]]=const_AR,DeemedDashboard[[#This Row],[TGRows]],DeemedDashboard[[#This Row],[TGRows]]+1)</f>
        <v>3</v>
      </c>
      <c r="DA53" s="391" t="str">
        <f>IF(ISBLANK(DeemedDashboard[[#This Row],[MeasAppType]]),"",IF(DeemedDashboard[[#This Row],[Index]]=User_Specified_Refrigerant[[#This Row],[Index]],"OK","ERROR"))</f>
        <v/>
      </c>
    </row>
    <row r="54" spans="1:105" s="320" customFormat="1" x14ac:dyDescent="0.25">
      <c r="A54" s="297">
        <f>ROW(DeemedDashboard[[#This Row],[Index]])-ROW(DeemedDashboard[[#Headers],[Index]])</f>
        <v>45</v>
      </c>
      <c r="B54" s="298"/>
      <c r="C54" s="321"/>
      <c r="D54" s="403"/>
      <c r="E54" s="403"/>
      <c r="F54" s="403"/>
      <c r="G54" s="403"/>
      <c r="H54" s="366"/>
      <c r="I54" s="339"/>
      <c r="J54" s="339"/>
      <c r="K54" s="339"/>
      <c r="L54" s="322"/>
      <c r="M54" s="322"/>
      <c r="N54" s="322"/>
      <c r="O5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4" s="582" t="str" cm="1">
        <f t="array" ref="R54">IFERROR(IF(DeemedDashboard[[#This Row],[Msr device type]]=const_device_nonrefrig,0,INDEX(_xlfn.SWITCH($E$4,const_20_yr,GWP_Values_20_year_AR4,const_100_yr,GWP_Values_100_year_AR4),MATCH(DeemedDashboard[[#This Row],[Msr refrigerant Type]],RefrigDropdownList,0))),"")</f>
        <v/>
      </c>
      <c r="S54" s="582" t="str" cm="1">
        <f t="array" ref="S54">IFERROR(IF(DeemedDashboard[[#This Row],[Std device type]]=const_device_nonrefrig,0,INDEX(_xlfn.SWITCH($E$4,const_20_yr,GWP_Values_20_year_AR4,const_100_yr,GWP_Values_100_year_AR4),MATCH(DeemedDashboard[[#This Row],[Std refrigerant Type]],RefrigDropdownList,0))),"")</f>
        <v/>
      </c>
      <c r="T54" s="582" t="str" cm="1">
        <f t="array" ref="T54">IFERROR(IF(DeemedDashboard[[#This Row],[Pre/Ext device type]]=const_device_nonrefrig,0,INDEX(_xlfn.SWITCH($E$4,const_20_yr,GWP_Values_20_year_AR4,const_100_yr,GWP_Values_100_year_AR4),MATCH(DeemedDashboard[[#This Row],[Pre/Ext refrigerant Type]],RefrigDropdownList,0))),"")</f>
        <v/>
      </c>
      <c r="U5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4" s="326" t="str">
        <f>IFERROR(IF(DeemedDashboard[[#This Row],[Msr device type]]=const_userspec,IF(ISBLANK(User_Specified_Refrigerant[[#This Row],[Msr t_EOL]]),"",User_Specified_Refrigerant[[#This Row],[Msr t_EOL]]),INDEX(TechGroup_NormUnit_Table[t_EOL],MATCH(DeemedDashboard[[#This Row],[Msr device type]],DropdownRefrigTech,0))),"")</f>
        <v/>
      </c>
      <c r="AB54" s="326" t="str">
        <f>IFERROR(IF(DeemedDashboard[[#This Row],[Std device type]]=const_userspec,IF(ISBLANK(User_Specified_Refrigerant[[#This Row],[Std t_EOL]]),"",User_Specified_Refrigerant[[#This Row],[Std t_EOL]]),INDEX(TechGroup_NormUnit_Table[t_EOL],MATCH(DeemedDashboard[[#This Row],[Std device type]],DropdownRefrigTech,0))),"")</f>
        <v/>
      </c>
      <c r="AC5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4" s="395" t="str">
        <f>IF(ISBLANK(DeemedDashboard[[#This Row],[MeasAppType]]),"",$E$2)</f>
        <v/>
      </c>
      <c r="AE54" s="395" t="str">
        <f>IFERROR(IF(ISBLANK(DeemedDashboard[[#This Row],[MeasAppType]]),NA(),DeemedDashboard[[#This Row],[Measure Start Year]]+DeemedDashboard[[#This Row],[Msr EUL rounded]]-1),"")</f>
        <v/>
      </c>
      <c r="AF54" s="323" t="str">
        <f>IF(ISBLANK(DeemedDashboard[[#This Row],[Measure New Device EUL]]),"",ROUND(DeemedDashboard[[#This Row],[Measure New Device EUL]],0))</f>
        <v/>
      </c>
      <c r="AG54" s="323" t="str">
        <f>IF(ISBLANK(DeemedDashboard[[#This Row],[Counterfactual New Device EUL]]),"",ROUND(DeemedDashboard[[#This Row],[Counterfactual New Device EUL]],0))</f>
        <v/>
      </c>
      <c r="AH54" s="323" t="str">
        <f>IF(ISBLANK(DeemedDashboard[[#This Row],[Existing Device EUL]]),"",ROUND(DeemedDashboard[[#This Row],[Existing Device EUL]],0))</f>
        <v/>
      </c>
      <c r="AI54" s="323" t="str">
        <f>IF(ISBLANK(DeemedDashboard[[#This Row],[Existing Device RUL or AR First Baseline Life]]),"",ROUND(DeemedDashboard[[#This Row],[Existing Device RUL or AR First Baseline Life]],0))</f>
        <v/>
      </c>
      <c r="AJ54" s="327" t="str">
        <f>DeemedDashboard[[#This Row],[Measure Start Year]]</f>
        <v/>
      </c>
      <c r="AK54" s="327" t="str">
        <f>IF(DeemedDashboard[[#This Row],[MeasAppType]]&lt;&gt;const_AR,DeemedDashboard[[#This Row],[Measure Start Year]],DeemedDashboard[[#This Row],[Ext Device Retire-ment Year]]+1)</f>
        <v/>
      </c>
      <c r="AL54" s="327" t="str">
        <f>IFERROR(IF(DeemedDashboard[[#This Row],[MeasAppType]]=const_AR,DeemedDashboard[[#This Row],[Measure Start Year]]-(DeemedDashboard[[#This Row],[Existing Device EUL]]-DeemedDashboard[[#This Row],[Existing Device RUL or AR First Baseline Life]]),NA()),"")</f>
        <v/>
      </c>
      <c r="AM54" s="327" t="str">
        <f>DeemedDashboard[[#This Row],[Pre Device Install Year]]</f>
        <v/>
      </c>
      <c r="AN54" s="327" t="str">
        <f>IFERROR(IF(ISBLANK(DeemedDashboard[[#This Row],[MeasAppType]]),NA(),DeemedDashboard[[#This Row],[Measure Start Year]]+DeemedDashboard[[#This Row],[Msr EUL rounded]]-1),"")</f>
        <v/>
      </c>
      <c r="AO54" s="327" t="str">
        <f>IFERROR(DeemedDashboard[[#This Row],[Std Device Install Year]]+DeemedDashboard[[#This Row],[Counterfactual New Device EUL]]-1,"")</f>
        <v/>
      </c>
      <c r="AP54" s="327" t="str">
        <f>IFERROR(IF(AND(DeemedDashboard[[#This Row],[MeasAppType]]=const_AR,DeemedDashboard[[#This Row],[Measure Start Year]]&lt;(DeemedDashboard[[#This Row],[Pre Device Install Year]]+DeemedDashboard[[#This Row],[Existing Device EUL]]-1)),DeemedDashboard[[#This Row],[Measure Start Year]]-1,NA()),"")</f>
        <v/>
      </c>
      <c r="AQ54" s="327" t="str">
        <f>IFERROR(IF(DeemedDashboard[[#This Row],[MeasAppType]]=const_AR,DeemedDashboard[[#This Row],[Ext Device Install Year]]+DeemedDashboard[[#This Row],[Existing Device EUL]]-1,NA()),"")</f>
        <v/>
      </c>
      <c r="AR54" s="327" t="str">
        <f>IFERROR(IF(ISBLANK(DeemedDashboard[[#This Row],[MeasAppType]]),NA(),0),"")</f>
        <v/>
      </c>
      <c r="AS54" s="327" t="str">
        <f>IFERROR(IF(ISBLANK(DeemedDashboard[[#This Row],[MeasAppType]]),NA(),0),"")</f>
        <v/>
      </c>
      <c r="AT54" s="327" t="str">
        <f>IF(ISBLANK(DeemedDashboard[[#This Row],[MeasAppType]]),"",IF(DeemedDashboard[[#This Row],[MeasAppType]]&lt;&gt;const_AR,"",(DeemedDashboard[[#This Row],[Pre Device Install Year]]+DeemedDashboard[[#This Row],[Existing Device EUL]]-1)-DeemedDashboard[[#This Row],[Pre Device Retire-ment Year]]))</f>
        <v/>
      </c>
      <c r="AU54" s="327" t="str">
        <f>IF(ISBLANK(DeemedDashboard[[#This Row],[MeasAppType]]),"",IF(DeemedDashboard[[#This Row],[MeasAppType]]=const_AR,0,""))</f>
        <v/>
      </c>
      <c r="AV54" s="328" t="str">
        <f>IF(ISBLANK(DeemedDashboard[[#This Row],[MeasAppType]]),"",MAX((1+MIN(DeemedDashboard[[#This Row],[Msr Device Retire-ment Year]],DeemedDashboard[[#This Row],[Measure End 
Year]])-MAX(DeemedDashboard[[#This Row],[Msr Device Install Year]],DeemedDashboard[[#This Row],[Measure Start Year]])),0))</f>
        <v/>
      </c>
      <c r="AW54" s="328" t="str">
        <f>IF(ISBLANK(DeemedDashboard[[#This Row],[MeasAppType]]),"",MAX((1+MIN(DeemedDashboard[[#This Row],[Std Device Retire-ment Year]],DeemedDashboard[[#This Row],[Measure End 
Year]])-MAX(DeemedDashboard[[#This Row],[Std Device Install Year]],DeemedDashboard[[#This Row],[Measure Start Year]])),0))</f>
        <v/>
      </c>
      <c r="AX5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4" s="329" t="str">
        <f>IF(ISBLANK(DeemedDashboard[[#This Row],[MeasAppType]]),"",IF(DeemedDashboard[[#This Row],[Msr Device Years Over-lapping with Measure Years]]=0,0,DeemedDashboard[[#This Row],[Msr Device Years Over-lapping with Measure Years]]/DeemedDashboard[[#This Row],[Msr EUL rounded]]))</f>
        <v/>
      </c>
      <c r="BA54" s="329" t="str">
        <f>IF(ISBLANK(DeemedDashboard[[#This Row],[MeasAppType]]),"",IF(DeemedDashboard[[#This Row],[Std Device Years Over-lapping with Measure Years]]=0,0,DeemedDashboard[[#This Row],[Std Device Years Over-lapping with Measure Years]]/DeemedDashboard[[#This Row],[Counterfactual New Device EUL]]))</f>
        <v/>
      </c>
      <c r="BB54" s="329" t="str">
        <f>IF(ISBLANK(DeemedDashboard[[#This Row],[MeasAppType]]),"",IFERROR(IF(DeemedDashboard[[#This Row],[Pre Device Years Over-lapping with Measure Years]]=0,0,DeemedDashboard[[#This Row],[Pre Device Years Over-lapping with Measure Years]]/DeemedDashboard[[#This Row],[Existing Device EUL]]),""))</f>
        <v/>
      </c>
      <c r="BC54" s="329" t="str">
        <f>IFERROR(IF(DeemedDashboard[[#This Row],[Ext Device Years Over-lapping with Measure Years]]=0,0,DeemedDashboard[[#This Row],[Ext Device Years Over-lapping with Measure Years]]/DeemedDashboard[[#This Row],[Existing Device EUL]]),"")</f>
        <v/>
      </c>
      <c r="BD54" s="329" t="str">
        <f>IFERROR(IF(DeemedDashboard[[#This Row],[Msr Number of Years device retired early]]=0,0,DeemedDashboard[[#This Row],[Msr Number of Years device retired early]]/DeemedDashboard[[#This Row],[Msr EUL rounded]]),"")</f>
        <v/>
      </c>
      <c r="BE54" s="329" t="str">
        <f>IFERROR(IF(DeemedDashboard[[#This Row],[Std Number of Years device retired early]]=0,0,DeemedDashboard[[#This Row],[Std Number of Years device retired early]]/DeemedDashboard[[#This Row],[Msr EUL rounded]]),"")</f>
        <v/>
      </c>
      <c r="BF54" s="329" t="str">
        <f>IFERROR(IF(DeemedDashboard[[#This Row],[MeasAppType]]&lt;&gt;const_AR,"",IF(DeemedDashboard[[#This Row],[Pre Number of Years device retired early]]=0,0,DeemedDashboard[[#This Row],[Pre Number of Years device retired early]]/DeemedDashboard[[#This Row],[Existing Device EUL]])),"")</f>
        <v/>
      </c>
      <c r="BG54" s="329" t="str">
        <f>IFERROR(IF(DeemedDashboard[[#This Row],[Ext Number of Years device retired early]]=0,0,DeemedDashboard[[#This Row],[Ext Number of Years device retired early]]/DeemedDashboard[[#This Row],[Existing Device EUL]]),"")</f>
        <v/>
      </c>
      <c r="BH54" s="325" t="str">
        <f>IFERROR(1-DeemedDashboard[[#This Row],[Msr annual refrigerant leakage %]]*DeemedDashboard[[#This Row],[Msr t_EOL]],"")</f>
        <v/>
      </c>
      <c r="BI54" s="325" t="str">
        <f>IFERROR(1-DeemedDashboard[[#This Row],[Std annual refrigerant leakage %]]*DeemedDashboard[[#This Row],[Std t_EOL]],"")</f>
        <v/>
      </c>
      <c r="BJ54" s="325" t="str">
        <f>IFERROR(1-DeemedDashboard[[#This Row],[Pre/Ext annual refrigerant leakage %]]*DeemedDashboard[[#This Row],[Pre/Ext t_EOL]],"")</f>
        <v/>
      </c>
      <c r="BK54" s="325" t="str">
        <f>IFERROR(1-DeemedDashboard[[#This Row],[Pre/Ext annual refrigerant leakage %]]*DeemedDashboard[[#This Row],[Pre/Ext t_EOL]],"")</f>
        <v/>
      </c>
      <c r="BL54" s="325" t="str">
        <f>IFERROR(DeemedDashboard[[#This Row],[Msr charging remaining (%)]]*DeemedDashboard[[#This Row],[Msr gross EOL refrigerant leakage %]],"")</f>
        <v/>
      </c>
      <c r="BM54" s="325" t="str">
        <f>IFERROR(DeemedDashboard[[#This Row],[Std charging remaining (%)]]*DeemedDashboard[[#This Row],[Std gross EOL refrigerant leakage %]],"")</f>
        <v/>
      </c>
      <c r="BN54" s="325" t="str">
        <f>IFERROR(DeemedDashboard[[#This Row],[Pre charging remaining (%)]]*DeemedDashboard[[#This Row],[Pre/Ext gross EOL refrigerant leakage %]],"")</f>
        <v/>
      </c>
      <c r="BO54" s="325" t="str">
        <f>IFERROR(DeemedDashboard[[#This Row],[Ext charging remaining (%)]]*DeemedDashboard[[#This Row],[Pre/Ext gross EOL refrigerant leakage %]],"")</f>
        <v/>
      </c>
      <c r="BP54" s="330" t="str">
        <f>IFERROR((DeemedDashboard[[#This Row],[Msr refrigerant charge (lb) per NormUnit]]/pounds_per_metric_ton)*DeemedDashboard[[#This Row],[Msr annual refrigerant leakage %]]*DeemedDashboard[[#This Row],[Msr GWP]],"")</f>
        <v/>
      </c>
      <c r="BQ54" s="330" t="str">
        <f>IFERROR((DeemedDashboard[[#This Row],[Std refrigerant charge (lb) per NormUnit]]/pounds_per_metric_ton)*DeemedDashboard[[#This Row],[Std annual refrigerant leakage %]]*DeemedDashboard[[#This Row],[Std GWP]],"")</f>
        <v/>
      </c>
      <c r="BR54" s="330" t="str">
        <f>IF(DeemedDashboard[[#This Row],[MeasAppType]]=const_AR,(DeemedDashboard[[#This Row],[Pre/Ext refrigerant charge (lb) per NormUnit]]/pounds_per_metric_ton)*DeemedDashboard[[#This Row],[Pre/Ext annual refrigerant leakage %]]*DeemedDashboard[[#This Row],[Pre/Ext GWP]],"")</f>
        <v/>
      </c>
      <c r="BS54" s="330" t="str">
        <f>IF(DeemedDashboard[[#This Row],[MeasAppType]]=const_AR,(DeemedDashboard[[#This Row],[Pre/Ext refrigerant charge (lb) per NormUnit]]/pounds_per_metric_ton)*DeemedDashboard[[#This Row],[Pre/Ext annual refrigerant leakage %]]*DeemedDashboard[[#This Row],[Pre/Ext GWP]],"")</f>
        <v/>
      </c>
      <c r="BT54" s="330" t="str">
        <f>IFERROR((DeemedDashboard[[#This Row],[Msr refrigerant charge (lb) per NormUnit]]/pounds_per_metric_ton)*DeemedDashboard[[#This Row],[Msr net EOL refrigerant leakage (%)]]*DeemedDashboard[[#This Row],[Msr GWP]],"")</f>
        <v/>
      </c>
      <c r="BU54" s="330" t="str">
        <f>IFERROR((DeemedDashboard[[#This Row],[Std refrigerant charge (lb) per NormUnit]]/pounds_per_metric_ton)*DeemedDashboard[[#This Row],[Std net EOL refrigerant leakage (%)]]*DeemedDashboard[[#This Row],[Std GWP]],"")</f>
        <v/>
      </c>
      <c r="BV54" s="330" t="str">
        <f>IFERROR((DeemedDashboard[[#This Row],[Pre/Ext refrigerant charge (lb) per NormUnit]]/pounds_per_metric_ton)*DeemedDashboard[[#This Row],[Pre net EOL refrigerant leakage (%)]]*DeemedDashboard[[#This Row],[Pre/Ext GWP]],"")</f>
        <v/>
      </c>
      <c r="BW54" s="330" t="str">
        <f>IFERROR((DeemedDashboard[[#This Row],[Pre/Ext refrigerant charge (lb) per NormUnit]]/pounds_per_metric_ton)*DeemedDashboard[[#This Row],[Ext net EOL refrigerant leakage (%)]]*DeemedDashboard[[#This Row],[Pre/Ext GWP]],"")</f>
        <v/>
      </c>
      <c r="BX54" s="299" t="str" cm="1">
        <f t="array" aca="1" ref="BX5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4" s="305" t="str" cm="1">
        <f t="array" aca="1" ref="BY5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4" s="299" t="str">
        <f>IFERROR(IF(OR(DeemedDashboard[[#This Row],[MeasAppType]]&lt;&gt;const_AR,ISBLANK(DeemedDashboard[[#This Row],[MeasAppType]])),NA(),0),"")</f>
        <v/>
      </c>
      <c r="CA54" s="305" t="str" cm="1">
        <f t="array" aca="1" ref="CA5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4" s="299" t="str">
        <f ca="1">IFERROR((DeemedDashboard[[#This Row],[Msr EOL leakage tons CO2e]]*OFFSET(GHG_Adder_dollar_per_tonne,0,(DeemedDashboard[[#This Row],[Msr Device Retire-ment Year]]-DY+1),1,1))/(1+WACC)^(DeemedDashboard[[#This Row],[Msr Device Retire-ment Year]]-DeemedDashboard[[#This Row],[Measure Start Year]]+0.5),"")</f>
        <v/>
      </c>
      <c r="CC54" s="299" t="str">
        <f ca="1">IFERROR((DeemedDashboard[[#This Row],[Std EOL leakage tons CO2e]]*OFFSET(GHG_Adder_dollar_per_tonne,0,(DeemedDashboard[[#This Row],[Std Device Retire-ment Year]]-DY+1),1,1))/(1+WACC)^(DeemedDashboard[[#This Row],[Std Device Retire-ment Year]]-DeemedDashboard[[#This Row],[Measure Start Year]]+0.5),"")</f>
        <v/>
      </c>
      <c r="CD54" s="299" t="str">
        <f ca="1">IFERROR((DeemedDashboard[[#This Row],[Pre EOL leakage tons CO2e]]*OFFSET(GHG_Adder_dollar_per_tonne,0,(DeemedDashboard[[#This Row],[Measure Start Year]]-DY),1,1))/(1+WACC)^(-0.5),"")</f>
        <v/>
      </c>
      <c r="CE5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4" s="299" t="str">
        <f ca="1">IFERROR(DeemedDashboard[[#This Row],[Msr NPV Cost of Annual Leakage]]/(1+ACC_Inflation_Rate)^(DeemedDashboard[[#This Row],[Measure Start Year]]-DY),"")</f>
        <v/>
      </c>
      <c r="CG54" s="299" t="str">
        <f ca="1">IFERROR(DeemedDashboard[[#This Row],[Std NPV Cost of Annual Leakage]]/(1+ACC_Inflation_Rate)^(DeemedDashboard[[#This Row],[Measure Start Year]]-DY),"")</f>
        <v/>
      </c>
      <c r="CH54" s="299" t="str">
        <f>IFERROR(IF(ISBLANK(DeemedDashboard[[#This Row],[MeasAppType]]),NA(),IF(DeemedDashboard[[#This Row],[MeasAppType]]=const_AR,DeemedDashboard[[#This Row],[Pre NPV Cost of Annual Leakage]]/(1+ACC_Inflation_Rate)^(DeemedDashboard[[#This Row],[Measure Start Year]]-DY),"")),"")</f>
        <v/>
      </c>
      <c r="CI54" s="296" t="str">
        <f>IFERROR(IF(ISBLANK(DeemedDashboard[[#This Row],[MeasAppType]]),NA(),IF(DeemedDashboard[[#This Row],[MeasAppType]]=const_AR,DeemedDashboard[[#This Row],[Ext NPV Cost of Annual Leakage]]/(1+ACC_Inflation_Rate)^(DeemedDashboard[[#This Row],[Measure Start Year]]-DY),"")),"")</f>
        <v/>
      </c>
      <c r="CJ54" s="296" t="str">
        <f ca="1">IFERROR((DeemedDashboard[[#This Row],[Msr % of device lifetime during measure years]]+DeemedDashboard[[#This Row],[Msr % of device lifetime retired early]])*DeemedDashboard[[#This Row],[Msr NPV Cost of EOL Leakage]]/(1+ACC_Inflation_Rate)^(DeemedDashboard[[#This Row],[Measure Start Year]]-DY),"")</f>
        <v/>
      </c>
      <c r="CK54" s="296" t="str">
        <f ca="1">IFERROR((DeemedDashboard[[#This Row],[Std % of device lifetime during measure years]]+DeemedDashboard[[#This Row],[Std % of device lifetime retired early]])*DeemedDashboard[[#This Row],[Std NPV Cost of EOL Leakage]]/(1+ACC_Inflation_Rate)^(DeemedDashboard[[#This Row],[Measure Start Year]]-DY),"")</f>
        <v/>
      </c>
      <c r="CL5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4" s="299" t="str">
        <f ca="1">IFERROR(DeemedDashboard[[#This Row],[Counter-factual total 
NPV cost]]-DeemedDashboard[[#This Row],[Measure total 
NPV cost]],"")</f>
        <v/>
      </c>
      <c r="CQ54" s="299" t="str">
        <f>IF(ISBLANK(DeemedDashboard[[#This Row],[MeasAppType]]),"",DeemedDashboard[[#This Row],[Refrigerant
NPV costs
avoided]]&gt;0)</f>
        <v/>
      </c>
      <c r="CR54" s="299" t="str">
        <f ca="1">IFERROR(DeemedDashboard[[#This Row],[Msr Adj NPV Cost of Annual Leakage]]+DeemedDashboard[[#This Row],[Msr Adj NPV Cost of EOL Leakage]],"")</f>
        <v/>
      </c>
      <c r="CS54" s="299" t="str">
        <f ca="1">IFERROR(DeemedDashboard[[#This Row],[Std Adj NPV Cost of Annual Leakage]]+DeemedDashboard[[#This Row],[Std Adj NPV Cost of EOL Leakage]],"")</f>
        <v/>
      </c>
      <c r="CT54" s="299" t="str">
        <f>IFERROR(IF((DeemedDashboard[[#This Row],[Pre Adj NPV Cost of Annual Leakage]]+DeemedDashboard[[#This Row],[Pre Adj NPV Cost of EOL Leakage]])=0,"",DeemedDashboard[[#This Row],[Pre Adj NPV Cost of Annual Leakage]]+DeemedDashboard[[#This Row],[Pre Adj NPV Cost of EOL Leakage]]),"")</f>
        <v/>
      </c>
      <c r="CU54" s="299" t="str">
        <f>IFERROR(IF((DeemedDashboard[[#This Row],[Ext Adj NPV Cost of Annual Leakage]]+DeemedDashboard[[#This Row],[Ext Adj NPV Cost of EOL Leakage]])=0,"",DeemedDashboard[[#This Row],[Ext Adj NPV Cost of Annual Leakage]]+DeemedDashboard[[#This Row],[Ext Adj NPV Cost of EOL Leakage]]),"")</f>
        <v/>
      </c>
      <c r="CV54" s="299" t="str">
        <f>IFERROR(IF(DeemedDashboard[[#This Row],[Is Avoided Net Cost &gt;0?]],"",-DeemedDashboard[[#This Row],[Refrigerant
NPV costs
avoided]]),"")</f>
        <v/>
      </c>
      <c r="CW54" s="299" t="str">
        <f>IFERROR(IF(DeemedDashboard[[#This Row],[Is Avoided Net Cost &gt;0?]],DeemedDashboard[[#This Row],[Refrigerant
NPV costs
avoided]],""),"")</f>
        <v/>
      </c>
      <c r="CX54" s="391">
        <f ca="1">IFERROR(MATCH(DeemedDashboard[[#This Row],[TechGroup and NormUnit]],TechGroup_and_NormUnit,0),1)</f>
        <v>1</v>
      </c>
      <c r="CY54" s="391" cm="1">
        <f t="array" aca="1" ref="CY54" ca="1">IFERROR(INDEX(TGRows,DeemedDashboard[[#This Row],[TGIndex]]),"")</f>
        <v>2</v>
      </c>
      <c r="CZ54" s="391">
        <f ca="1">IF(DeemedDashboard[[#This Row],[MeasAppType]]=const_AR,DeemedDashboard[[#This Row],[TGRows]],DeemedDashboard[[#This Row],[TGRows]]+1)</f>
        <v>3</v>
      </c>
      <c r="DA54" s="391" t="str">
        <f>IF(ISBLANK(DeemedDashboard[[#This Row],[MeasAppType]]),"",IF(DeemedDashboard[[#This Row],[Index]]=User_Specified_Refrigerant[[#This Row],[Index]],"OK","ERROR"))</f>
        <v/>
      </c>
    </row>
    <row r="55" spans="1:105" s="320" customFormat="1" x14ac:dyDescent="0.25">
      <c r="A55" s="297">
        <f>ROW(DeemedDashboard[[#This Row],[Index]])-ROW(DeemedDashboard[[#Headers],[Index]])</f>
        <v>46</v>
      </c>
      <c r="B55" s="298"/>
      <c r="C55" s="321"/>
      <c r="D55" s="403"/>
      <c r="E55" s="403"/>
      <c r="F55" s="403"/>
      <c r="G55" s="403"/>
      <c r="H55" s="366"/>
      <c r="I55" s="339"/>
      <c r="J55" s="339"/>
      <c r="K55" s="339"/>
      <c r="L55" s="322"/>
      <c r="M55" s="322"/>
      <c r="N55" s="322"/>
      <c r="O5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5" s="582" t="str" cm="1">
        <f t="array" ref="R55">IFERROR(IF(DeemedDashboard[[#This Row],[Msr device type]]=const_device_nonrefrig,0,INDEX(_xlfn.SWITCH($E$4,const_20_yr,GWP_Values_20_year_AR4,const_100_yr,GWP_Values_100_year_AR4),MATCH(DeemedDashboard[[#This Row],[Msr refrigerant Type]],RefrigDropdownList,0))),"")</f>
        <v/>
      </c>
      <c r="S55" s="582" t="str" cm="1">
        <f t="array" ref="S55">IFERROR(IF(DeemedDashboard[[#This Row],[Std device type]]=const_device_nonrefrig,0,INDEX(_xlfn.SWITCH($E$4,const_20_yr,GWP_Values_20_year_AR4,const_100_yr,GWP_Values_100_year_AR4),MATCH(DeemedDashboard[[#This Row],[Std refrigerant Type]],RefrigDropdownList,0))),"")</f>
        <v/>
      </c>
      <c r="T55" s="582" t="str" cm="1">
        <f t="array" ref="T55">IFERROR(IF(DeemedDashboard[[#This Row],[Pre/Ext device type]]=const_device_nonrefrig,0,INDEX(_xlfn.SWITCH($E$4,const_20_yr,GWP_Values_20_year_AR4,const_100_yr,GWP_Values_100_year_AR4),MATCH(DeemedDashboard[[#This Row],[Pre/Ext refrigerant Type]],RefrigDropdownList,0))),"")</f>
        <v/>
      </c>
      <c r="U5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5" s="326" t="str">
        <f>IFERROR(IF(DeemedDashboard[[#This Row],[Msr device type]]=const_userspec,IF(ISBLANK(User_Specified_Refrigerant[[#This Row],[Msr t_EOL]]),"",User_Specified_Refrigerant[[#This Row],[Msr t_EOL]]),INDEX(TechGroup_NormUnit_Table[t_EOL],MATCH(DeemedDashboard[[#This Row],[Msr device type]],DropdownRefrigTech,0))),"")</f>
        <v/>
      </c>
      <c r="AB55" s="326" t="str">
        <f>IFERROR(IF(DeemedDashboard[[#This Row],[Std device type]]=const_userspec,IF(ISBLANK(User_Specified_Refrigerant[[#This Row],[Std t_EOL]]),"",User_Specified_Refrigerant[[#This Row],[Std t_EOL]]),INDEX(TechGroup_NormUnit_Table[t_EOL],MATCH(DeemedDashboard[[#This Row],[Std device type]],DropdownRefrigTech,0))),"")</f>
        <v/>
      </c>
      <c r="AC5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5" s="395" t="str">
        <f>IF(ISBLANK(DeemedDashboard[[#This Row],[MeasAppType]]),"",$E$2)</f>
        <v/>
      </c>
      <c r="AE55" s="395" t="str">
        <f>IFERROR(IF(ISBLANK(DeemedDashboard[[#This Row],[MeasAppType]]),NA(),DeemedDashboard[[#This Row],[Measure Start Year]]+DeemedDashboard[[#This Row],[Msr EUL rounded]]-1),"")</f>
        <v/>
      </c>
      <c r="AF55" s="323" t="str">
        <f>IF(ISBLANK(DeemedDashboard[[#This Row],[Measure New Device EUL]]),"",ROUND(DeemedDashboard[[#This Row],[Measure New Device EUL]],0))</f>
        <v/>
      </c>
      <c r="AG55" s="323" t="str">
        <f>IF(ISBLANK(DeemedDashboard[[#This Row],[Counterfactual New Device EUL]]),"",ROUND(DeemedDashboard[[#This Row],[Counterfactual New Device EUL]],0))</f>
        <v/>
      </c>
      <c r="AH55" s="323" t="str">
        <f>IF(ISBLANK(DeemedDashboard[[#This Row],[Existing Device EUL]]),"",ROUND(DeemedDashboard[[#This Row],[Existing Device EUL]],0))</f>
        <v/>
      </c>
      <c r="AI55" s="323" t="str">
        <f>IF(ISBLANK(DeemedDashboard[[#This Row],[Existing Device RUL or AR First Baseline Life]]),"",ROUND(DeemedDashboard[[#This Row],[Existing Device RUL or AR First Baseline Life]],0))</f>
        <v/>
      </c>
      <c r="AJ55" s="327" t="str">
        <f>DeemedDashboard[[#This Row],[Measure Start Year]]</f>
        <v/>
      </c>
      <c r="AK55" s="327" t="str">
        <f>IF(DeemedDashboard[[#This Row],[MeasAppType]]&lt;&gt;const_AR,DeemedDashboard[[#This Row],[Measure Start Year]],DeemedDashboard[[#This Row],[Ext Device Retire-ment Year]]+1)</f>
        <v/>
      </c>
      <c r="AL55" s="327" t="str">
        <f>IFERROR(IF(DeemedDashboard[[#This Row],[MeasAppType]]=const_AR,DeemedDashboard[[#This Row],[Measure Start Year]]-(DeemedDashboard[[#This Row],[Existing Device EUL]]-DeemedDashboard[[#This Row],[Existing Device RUL or AR First Baseline Life]]),NA()),"")</f>
        <v/>
      </c>
      <c r="AM55" s="327" t="str">
        <f>DeemedDashboard[[#This Row],[Pre Device Install Year]]</f>
        <v/>
      </c>
      <c r="AN55" s="327" t="str">
        <f>IFERROR(IF(ISBLANK(DeemedDashboard[[#This Row],[MeasAppType]]),NA(),DeemedDashboard[[#This Row],[Measure Start Year]]+DeemedDashboard[[#This Row],[Msr EUL rounded]]-1),"")</f>
        <v/>
      </c>
      <c r="AO55" s="327" t="str">
        <f>IFERROR(DeemedDashboard[[#This Row],[Std Device Install Year]]+DeemedDashboard[[#This Row],[Counterfactual New Device EUL]]-1,"")</f>
        <v/>
      </c>
      <c r="AP55" s="327" t="str">
        <f>IFERROR(IF(AND(DeemedDashboard[[#This Row],[MeasAppType]]=const_AR,DeemedDashboard[[#This Row],[Measure Start Year]]&lt;(DeemedDashboard[[#This Row],[Pre Device Install Year]]+DeemedDashboard[[#This Row],[Existing Device EUL]]-1)),DeemedDashboard[[#This Row],[Measure Start Year]]-1,NA()),"")</f>
        <v/>
      </c>
      <c r="AQ55" s="327" t="str">
        <f>IFERROR(IF(DeemedDashboard[[#This Row],[MeasAppType]]=const_AR,DeemedDashboard[[#This Row],[Ext Device Install Year]]+DeemedDashboard[[#This Row],[Existing Device EUL]]-1,NA()),"")</f>
        <v/>
      </c>
      <c r="AR55" s="327" t="str">
        <f>IFERROR(IF(ISBLANK(DeemedDashboard[[#This Row],[MeasAppType]]),NA(),0),"")</f>
        <v/>
      </c>
      <c r="AS55" s="327" t="str">
        <f>IFERROR(IF(ISBLANK(DeemedDashboard[[#This Row],[MeasAppType]]),NA(),0),"")</f>
        <v/>
      </c>
      <c r="AT55" s="327" t="str">
        <f>IF(ISBLANK(DeemedDashboard[[#This Row],[MeasAppType]]),"",IF(DeemedDashboard[[#This Row],[MeasAppType]]&lt;&gt;const_AR,"",(DeemedDashboard[[#This Row],[Pre Device Install Year]]+DeemedDashboard[[#This Row],[Existing Device EUL]]-1)-DeemedDashboard[[#This Row],[Pre Device Retire-ment Year]]))</f>
        <v/>
      </c>
      <c r="AU55" s="327" t="str">
        <f>IF(ISBLANK(DeemedDashboard[[#This Row],[MeasAppType]]),"",IF(DeemedDashboard[[#This Row],[MeasAppType]]=const_AR,0,""))</f>
        <v/>
      </c>
      <c r="AV55" s="328" t="str">
        <f>IF(ISBLANK(DeemedDashboard[[#This Row],[MeasAppType]]),"",MAX((1+MIN(DeemedDashboard[[#This Row],[Msr Device Retire-ment Year]],DeemedDashboard[[#This Row],[Measure End 
Year]])-MAX(DeemedDashboard[[#This Row],[Msr Device Install Year]],DeemedDashboard[[#This Row],[Measure Start Year]])),0))</f>
        <v/>
      </c>
      <c r="AW55" s="328" t="str">
        <f>IF(ISBLANK(DeemedDashboard[[#This Row],[MeasAppType]]),"",MAX((1+MIN(DeemedDashboard[[#This Row],[Std Device Retire-ment Year]],DeemedDashboard[[#This Row],[Measure End 
Year]])-MAX(DeemedDashboard[[#This Row],[Std Device Install Year]],DeemedDashboard[[#This Row],[Measure Start Year]])),0))</f>
        <v/>
      </c>
      <c r="AX5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5" s="329" t="str">
        <f>IF(ISBLANK(DeemedDashboard[[#This Row],[MeasAppType]]),"",IF(DeemedDashboard[[#This Row],[Msr Device Years Over-lapping with Measure Years]]=0,0,DeemedDashboard[[#This Row],[Msr Device Years Over-lapping with Measure Years]]/DeemedDashboard[[#This Row],[Msr EUL rounded]]))</f>
        <v/>
      </c>
      <c r="BA55" s="329" t="str">
        <f>IF(ISBLANK(DeemedDashboard[[#This Row],[MeasAppType]]),"",IF(DeemedDashboard[[#This Row],[Std Device Years Over-lapping with Measure Years]]=0,0,DeemedDashboard[[#This Row],[Std Device Years Over-lapping with Measure Years]]/DeemedDashboard[[#This Row],[Counterfactual New Device EUL]]))</f>
        <v/>
      </c>
      <c r="BB55" s="329" t="str">
        <f>IF(ISBLANK(DeemedDashboard[[#This Row],[MeasAppType]]),"",IFERROR(IF(DeemedDashboard[[#This Row],[Pre Device Years Over-lapping with Measure Years]]=0,0,DeemedDashboard[[#This Row],[Pre Device Years Over-lapping with Measure Years]]/DeemedDashboard[[#This Row],[Existing Device EUL]]),""))</f>
        <v/>
      </c>
      <c r="BC55" s="329" t="str">
        <f>IFERROR(IF(DeemedDashboard[[#This Row],[Ext Device Years Over-lapping with Measure Years]]=0,0,DeemedDashboard[[#This Row],[Ext Device Years Over-lapping with Measure Years]]/DeemedDashboard[[#This Row],[Existing Device EUL]]),"")</f>
        <v/>
      </c>
      <c r="BD55" s="329" t="str">
        <f>IFERROR(IF(DeemedDashboard[[#This Row],[Msr Number of Years device retired early]]=0,0,DeemedDashboard[[#This Row],[Msr Number of Years device retired early]]/DeemedDashboard[[#This Row],[Msr EUL rounded]]),"")</f>
        <v/>
      </c>
      <c r="BE55" s="329" t="str">
        <f>IFERROR(IF(DeemedDashboard[[#This Row],[Std Number of Years device retired early]]=0,0,DeemedDashboard[[#This Row],[Std Number of Years device retired early]]/DeemedDashboard[[#This Row],[Msr EUL rounded]]),"")</f>
        <v/>
      </c>
      <c r="BF55" s="329" t="str">
        <f>IFERROR(IF(DeemedDashboard[[#This Row],[MeasAppType]]&lt;&gt;const_AR,"",IF(DeemedDashboard[[#This Row],[Pre Number of Years device retired early]]=0,0,DeemedDashboard[[#This Row],[Pre Number of Years device retired early]]/DeemedDashboard[[#This Row],[Existing Device EUL]])),"")</f>
        <v/>
      </c>
      <c r="BG55" s="329" t="str">
        <f>IFERROR(IF(DeemedDashboard[[#This Row],[Ext Number of Years device retired early]]=0,0,DeemedDashboard[[#This Row],[Ext Number of Years device retired early]]/DeemedDashboard[[#This Row],[Existing Device EUL]]),"")</f>
        <v/>
      </c>
      <c r="BH55" s="325" t="str">
        <f>IFERROR(1-DeemedDashboard[[#This Row],[Msr annual refrigerant leakage %]]*DeemedDashboard[[#This Row],[Msr t_EOL]],"")</f>
        <v/>
      </c>
      <c r="BI55" s="325" t="str">
        <f>IFERROR(1-DeemedDashboard[[#This Row],[Std annual refrigerant leakage %]]*DeemedDashboard[[#This Row],[Std t_EOL]],"")</f>
        <v/>
      </c>
      <c r="BJ55" s="325" t="str">
        <f>IFERROR(1-DeemedDashboard[[#This Row],[Pre/Ext annual refrigerant leakage %]]*DeemedDashboard[[#This Row],[Pre/Ext t_EOL]],"")</f>
        <v/>
      </c>
      <c r="BK55" s="325" t="str">
        <f>IFERROR(1-DeemedDashboard[[#This Row],[Pre/Ext annual refrigerant leakage %]]*DeemedDashboard[[#This Row],[Pre/Ext t_EOL]],"")</f>
        <v/>
      </c>
      <c r="BL55" s="325" t="str">
        <f>IFERROR(DeemedDashboard[[#This Row],[Msr charging remaining (%)]]*DeemedDashboard[[#This Row],[Msr gross EOL refrigerant leakage %]],"")</f>
        <v/>
      </c>
      <c r="BM55" s="325" t="str">
        <f>IFERROR(DeemedDashboard[[#This Row],[Std charging remaining (%)]]*DeemedDashboard[[#This Row],[Std gross EOL refrigerant leakage %]],"")</f>
        <v/>
      </c>
      <c r="BN55" s="325" t="str">
        <f>IFERROR(DeemedDashboard[[#This Row],[Pre charging remaining (%)]]*DeemedDashboard[[#This Row],[Pre/Ext gross EOL refrigerant leakage %]],"")</f>
        <v/>
      </c>
      <c r="BO55" s="325" t="str">
        <f>IFERROR(DeemedDashboard[[#This Row],[Ext charging remaining (%)]]*DeemedDashboard[[#This Row],[Pre/Ext gross EOL refrigerant leakage %]],"")</f>
        <v/>
      </c>
      <c r="BP55" s="330" t="str">
        <f>IFERROR((DeemedDashboard[[#This Row],[Msr refrigerant charge (lb) per NormUnit]]/pounds_per_metric_ton)*DeemedDashboard[[#This Row],[Msr annual refrigerant leakage %]]*DeemedDashboard[[#This Row],[Msr GWP]],"")</f>
        <v/>
      </c>
      <c r="BQ55" s="330" t="str">
        <f>IFERROR((DeemedDashboard[[#This Row],[Std refrigerant charge (lb) per NormUnit]]/pounds_per_metric_ton)*DeemedDashboard[[#This Row],[Std annual refrigerant leakage %]]*DeemedDashboard[[#This Row],[Std GWP]],"")</f>
        <v/>
      </c>
      <c r="BR55" s="330" t="str">
        <f>IF(DeemedDashboard[[#This Row],[MeasAppType]]=const_AR,(DeemedDashboard[[#This Row],[Pre/Ext refrigerant charge (lb) per NormUnit]]/pounds_per_metric_ton)*DeemedDashboard[[#This Row],[Pre/Ext annual refrigerant leakage %]]*DeemedDashboard[[#This Row],[Pre/Ext GWP]],"")</f>
        <v/>
      </c>
      <c r="BS55" s="330" t="str">
        <f>IF(DeemedDashboard[[#This Row],[MeasAppType]]=const_AR,(DeemedDashboard[[#This Row],[Pre/Ext refrigerant charge (lb) per NormUnit]]/pounds_per_metric_ton)*DeemedDashboard[[#This Row],[Pre/Ext annual refrigerant leakage %]]*DeemedDashboard[[#This Row],[Pre/Ext GWP]],"")</f>
        <v/>
      </c>
      <c r="BT55" s="330" t="str">
        <f>IFERROR((DeemedDashboard[[#This Row],[Msr refrigerant charge (lb) per NormUnit]]/pounds_per_metric_ton)*DeemedDashboard[[#This Row],[Msr net EOL refrigerant leakage (%)]]*DeemedDashboard[[#This Row],[Msr GWP]],"")</f>
        <v/>
      </c>
      <c r="BU55" s="330" t="str">
        <f>IFERROR((DeemedDashboard[[#This Row],[Std refrigerant charge (lb) per NormUnit]]/pounds_per_metric_ton)*DeemedDashboard[[#This Row],[Std net EOL refrigerant leakage (%)]]*DeemedDashboard[[#This Row],[Std GWP]],"")</f>
        <v/>
      </c>
      <c r="BV55" s="330" t="str">
        <f>IFERROR((DeemedDashboard[[#This Row],[Pre/Ext refrigerant charge (lb) per NormUnit]]/pounds_per_metric_ton)*DeemedDashboard[[#This Row],[Pre net EOL refrigerant leakage (%)]]*DeemedDashboard[[#This Row],[Pre/Ext GWP]],"")</f>
        <v/>
      </c>
      <c r="BW55" s="330" t="str">
        <f>IFERROR((DeemedDashboard[[#This Row],[Pre/Ext refrigerant charge (lb) per NormUnit]]/pounds_per_metric_ton)*DeemedDashboard[[#This Row],[Ext net EOL refrigerant leakage (%)]]*DeemedDashboard[[#This Row],[Pre/Ext GWP]],"")</f>
        <v/>
      </c>
      <c r="BX55" s="299" t="str" cm="1">
        <f t="array" aca="1" ref="BX5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5" s="305" t="str" cm="1">
        <f t="array" aca="1" ref="BY5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5" s="299" t="str">
        <f>IFERROR(IF(OR(DeemedDashboard[[#This Row],[MeasAppType]]&lt;&gt;const_AR,ISBLANK(DeemedDashboard[[#This Row],[MeasAppType]])),NA(),0),"")</f>
        <v/>
      </c>
      <c r="CA55" s="305" t="str" cm="1">
        <f t="array" aca="1" ref="CA5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5" s="299" t="str">
        <f ca="1">IFERROR((DeemedDashboard[[#This Row],[Msr EOL leakage tons CO2e]]*OFFSET(GHG_Adder_dollar_per_tonne,0,(DeemedDashboard[[#This Row],[Msr Device Retire-ment Year]]-DY+1),1,1))/(1+WACC)^(DeemedDashboard[[#This Row],[Msr Device Retire-ment Year]]-DeemedDashboard[[#This Row],[Measure Start Year]]+0.5),"")</f>
        <v/>
      </c>
      <c r="CC55" s="299" t="str">
        <f ca="1">IFERROR((DeemedDashboard[[#This Row],[Std EOL leakage tons CO2e]]*OFFSET(GHG_Adder_dollar_per_tonne,0,(DeemedDashboard[[#This Row],[Std Device Retire-ment Year]]-DY+1),1,1))/(1+WACC)^(DeemedDashboard[[#This Row],[Std Device Retire-ment Year]]-DeemedDashboard[[#This Row],[Measure Start Year]]+0.5),"")</f>
        <v/>
      </c>
      <c r="CD55" s="299" t="str">
        <f ca="1">IFERROR((DeemedDashboard[[#This Row],[Pre EOL leakage tons CO2e]]*OFFSET(GHG_Adder_dollar_per_tonne,0,(DeemedDashboard[[#This Row],[Measure Start Year]]-DY),1,1))/(1+WACC)^(-0.5),"")</f>
        <v/>
      </c>
      <c r="CE5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5" s="299" t="str">
        <f ca="1">IFERROR(DeemedDashboard[[#This Row],[Msr NPV Cost of Annual Leakage]]/(1+ACC_Inflation_Rate)^(DeemedDashboard[[#This Row],[Measure Start Year]]-DY),"")</f>
        <v/>
      </c>
      <c r="CG55" s="299" t="str">
        <f ca="1">IFERROR(DeemedDashboard[[#This Row],[Std NPV Cost of Annual Leakage]]/(1+ACC_Inflation_Rate)^(DeemedDashboard[[#This Row],[Measure Start Year]]-DY),"")</f>
        <v/>
      </c>
      <c r="CH55" s="299" t="str">
        <f>IFERROR(IF(ISBLANK(DeemedDashboard[[#This Row],[MeasAppType]]),NA(),IF(DeemedDashboard[[#This Row],[MeasAppType]]=const_AR,DeemedDashboard[[#This Row],[Pre NPV Cost of Annual Leakage]]/(1+ACC_Inflation_Rate)^(DeemedDashboard[[#This Row],[Measure Start Year]]-DY),"")),"")</f>
        <v/>
      </c>
      <c r="CI55" s="296" t="str">
        <f>IFERROR(IF(ISBLANK(DeemedDashboard[[#This Row],[MeasAppType]]),NA(),IF(DeemedDashboard[[#This Row],[MeasAppType]]=const_AR,DeemedDashboard[[#This Row],[Ext NPV Cost of Annual Leakage]]/(1+ACC_Inflation_Rate)^(DeemedDashboard[[#This Row],[Measure Start Year]]-DY),"")),"")</f>
        <v/>
      </c>
      <c r="CJ55" s="296" t="str">
        <f ca="1">IFERROR((DeemedDashboard[[#This Row],[Msr % of device lifetime during measure years]]+DeemedDashboard[[#This Row],[Msr % of device lifetime retired early]])*DeemedDashboard[[#This Row],[Msr NPV Cost of EOL Leakage]]/(1+ACC_Inflation_Rate)^(DeemedDashboard[[#This Row],[Measure Start Year]]-DY),"")</f>
        <v/>
      </c>
      <c r="CK55" s="296" t="str">
        <f ca="1">IFERROR((DeemedDashboard[[#This Row],[Std % of device lifetime during measure years]]+DeemedDashboard[[#This Row],[Std % of device lifetime retired early]])*DeemedDashboard[[#This Row],[Std NPV Cost of EOL Leakage]]/(1+ACC_Inflation_Rate)^(DeemedDashboard[[#This Row],[Measure Start Year]]-DY),"")</f>
        <v/>
      </c>
      <c r="CL5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5" s="299" t="str">
        <f ca="1">IFERROR(DeemedDashboard[[#This Row],[Counter-factual total 
NPV cost]]-DeemedDashboard[[#This Row],[Measure total 
NPV cost]],"")</f>
        <v/>
      </c>
      <c r="CQ55" s="299" t="str">
        <f>IF(ISBLANK(DeemedDashboard[[#This Row],[MeasAppType]]),"",DeemedDashboard[[#This Row],[Refrigerant
NPV costs
avoided]]&gt;0)</f>
        <v/>
      </c>
      <c r="CR55" s="299" t="str">
        <f ca="1">IFERROR(DeemedDashboard[[#This Row],[Msr Adj NPV Cost of Annual Leakage]]+DeemedDashboard[[#This Row],[Msr Adj NPV Cost of EOL Leakage]],"")</f>
        <v/>
      </c>
      <c r="CS55" s="299" t="str">
        <f ca="1">IFERROR(DeemedDashboard[[#This Row],[Std Adj NPV Cost of Annual Leakage]]+DeemedDashboard[[#This Row],[Std Adj NPV Cost of EOL Leakage]],"")</f>
        <v/>
      </c>
      <c r="CT55" s="299" t="str">
        <f>IFERROR(IF((DeemedDashboard[[#This Row],[Pre Adj NPV Cost of Annual Leakage]]+DeemedDashboard[[#This Row],[Pre Adj NPV Cost of EOL Leakage]])=0,"",DeemedDashboard[[#This Row],[Pre Adj NPV Cost of Annual Leakage]]+DeemedDashboard[[#This Row],[Pre Adj NPV Cost of EOL Leakage]]),"")</f>
        <v/>
      </c>
      <c r="CU55" s="299" t="str">
        <f>IFERROR(IF((DeemedDashboard[[#This Row],[Ext Adj NPV Cost of Annual Leakage]]+DeemedDashboard[[#This Row],[Ext Adj NPV Cost of EOL Leakage]])=0,"",DeemedDashboard[[#This Row],[Ext Adj NPV Cost of Annual Leakage]]+DeemedDashboard[[#This Row],[Ext Adj NPV Cost of EOL Leakage]]),"")</f>
        <v/>
      </c>
      <c r="CV55" s="299" t="str">
        <f>IFERROR(IF(DeemedDashboard[[#This Row],[Is Avoided Net Cost &gt;0?]],"",-DeemedDashboard[[#This Row],[Refrigerant
NPV costs
avoided]]),"")</f>
        <v/>
      </c>
      <c r="CW55" s="299" t="str">
        <f>IFERROR(IF(DeemedDashboard[[#This Row],[Is Avoided Net Cost &gt;0?]],DeemedDashboard[[#This Row],[Refrigerant
NPV costs
avoided]],""),"")</f>
        <v/>
      </c>
      <c r="CX55" s="391">
        <f ca="1">IFERROR(MATCH(DeemedDashboard[[#This Row],[TechGroup and NormUnit]],TechGroup_and_NormUnit,0),1)</f>
        <v>1</v>
      </c>
      <c r="CY55" s="391" cm="1">
        <f t="array" aca="1" ref="CY55" ca="1">IFERROR(INDEX(TGRows,DeemedDashboard[[#This Row],[TGIndex]]),"")</f>
        <v>2</v>
      </c>
      <c r="CZ55" s="391">
        <f ca="1">IF(DeemedDashboard[[#This Row],[MeasAppType]]=const_AR,DeemedDashboard[[#This Row],[TGRows]],DeemedDashboard[[#This Row],[TGRows]]+1)</f>
        <v>3</v>
      </c>
      <c r="DA55" s="391" t="str">
        <f>IF(ISBLANK(DeemedDashboard[[#This Row],[MeasAppType]]),"",IF(DeemedDashboard[[#This Row],[Index]]=User_Specified_Refrigerant[[#This Row],[Index]],"OK","ERROR"))</f>
        <v/>
      </c>
    </row>
    <row r="56" spans="1:105" s="320" customFormat="1" x14ac:dyDescent="0.25">
      <c r="A56" s="297">
        <f>ROW(DeemedDashboard[[#This Row],[Index]])-ROW(DeemedDashboard[[#Headers],[Index]])</f>
        <v>47</v>
      </c>
      <c r="B56" s="298"/>
      <c r="C56" s="321"/>
      <c r="D56" s="403"/>
      <c r="E56" s="403"/>
      <c r="F56" s="403"/>
      <c r="G56" s="403"/>
      <c r="H56" s="366"/>
      <c r="I56" s="339"/>
      <c r="J56" s="339"/>
      <c r="K56" s="339"/>
      <c r="L56" s="322"/>
      <c r="M56" s="322"/>
      <c r="N56" s="322"/>
      <c r="O5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6" s="582" t="str" cm="1">
        <f t="array" ref="R56">IFERROR(IF(DeemedDashboard[[#This Row],[Msr device type]]=const_device_nonrefrig,0,INDEX(_xlfn.SWITCH($E$4,const_20_yr,GWP_Values_20_year_AR4,const_100_yr,GWP_Values_100_year_AR4),MATCH(DeemedDashboard[[#This Row],[Msr refrigerant Type]],RefrigDropdownList,0))),"")</f>
        <v/>
      </c>
      <c r="S56" s="582" t="str" cm="1">
        <f t="array" ref="S56">IFERROR(IF(DeemedDashboard[[#This Row],[Std device type]]=const_device_nonrefrig,0,INDEX(_xlfn.SWITCH($E$4,const_20_yr,GWP_Values_20_year_AR4,const_100_yr,GWP_Values_100_year_AR4),MATCH(DeemedDashboard[[#This Row],[Std refrigerant Type]],RefrigDropdownList,0))),"")</f>
        <v/>
      </c>
      <c r="T56" s="582" t="str" cm="1">
        <f t="array" ref="T56">IFERROR(IF(DeemedDashboard[[#This Row],[Pre/Ext device type]]=const_device_nonrefrig,0,INDEX(_xlfn.SWITCH($E$4,const_20_yr,GWP_Values_20_year_AR4,const_100_yr,GWP_Values_100_year_AR4),MATCH(DeemedDashboard[[#This Row],[Pre/Ext refrigerant Type]],RefrigDropdownList,0))),"")</f>
        <v/>
      </c>
      <c r="U5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6" s="326" t="str">
        <f>IFERROR(IF(DeemedDashboard[[#This Row],[Msr device type]]=const_userspec,IF(ISBLANK(User_Specified_Refrigerant[[#This Row],[Msr t_EOL]]),"",User_Specified_Refrigerant[[#This Row],[Msr t_EOL]]),INDEX(TechGroup_NormUnit_Table[t_EOL],MATCH(DeemedDashboard[[#This Row],[Msr device type]],DropdownRefrigTech,0))),"")</f>
        <v/>
      </c>
      <c r="AB56" s="326" t="str">
        <f>IFERROR(IF(DeemedDashboard[[#This Row],[Std device type]]=const_userspec,IF(ISBLANK(User_Specified_Refrigerant[[#This Row],[Std t_EOL]]),"",User_Specified_Refrigerant[[#This Row],[Std t_EOL]]),INDEX(TechGroup_NormUnit_Table[t_EOL],MATCH(DeemedDashboard[[#This Row],[Std device type]],DropdownRefrigTech,0))),"")</f>
        <v/>
      </c>
      <c r="AC5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6" s="395" t="str">
        <f>IF(ISBLANK(DeemedDashboard[[#This Row],[MeasAppType]]),"",$E$2)</f>
        <v/>
      </c>
      <c r="AE56" s="395" t="str">
        <f>IFERROR(IF(ISBLANK(DeemedDashboard[[#This Row],[MeasAppType]]),NA(),DeemedDashboard[[#This Row],[Measure Start Year]]+DeemedDashboard[[#This Row],[Msr EUL rounded]]-1),"")</f>
        <v/>
      </c>
      <c r="AF56" s="323" t="str">
        <f>IF(ISBLANK(DeemedDashboard[[#This Row],[Measure New Device EUL]]),"",ROUND(DeemedDashboard[[#This Row],[Measure New Device EUL]],0))</f>
        <v/>
      </c>
      <c r="AG56" s="323" t="str">
        <f>IF(ISBLANK(DeemedDashboard[[#This Row],[Counterfactual New Device EUL]]),"",ROUND(DeemedDashboard[[#This Row],[Counterfactual New Device EUL]],0))</f>
        <v/>
      </c>
      <c r="AH56" s="323" t="str">
        <f>IF(ISBLANK(DeemedDashboard[[#This Row],[Existing Device EUL]]),"",ROUND(DeemedDashboard[[#This Row],[Existing Device EUL]],0))</f>
        <v/>
      </c>
      <c r="AI56" s="323" t="str">
        <f>IF(ISBLANK(DeemedDashboard[[#This Row],[Existing Device RUL or AR First Baseline Life]]),"",ROUND(DeemedDashboard[[#This Row],[Existing Device RUL or AR First Baseline Life]],0))</f>
        <v/>
      </c>
      <c r="AJ56" s="327" t="str">
        <f>DeemedDashboard[[#This Row],[Measure Start Year]]</f>
        <v/>
      </c>
      <c r="AK56" s="327" t="str">
        <f>IF(DeemedDashboard[[#This Row],[MeasAppType]]&lt;&gt;const_AR,DeemedDashboard[[#This Row],[Measure Start Year]],DeemedDashboard[[#This Row],[Ext Device Retire-ment Year]]+1)</f>
        <v/>
      </c>
      <c r="AL56" s="327" t="str">
        <f>IFERROR(IF(DeemedDashboard[[#This Row],[MeasAppType]]=const_AR,DeemedDashboard[[#This Row],[Measure Start Year]]-(DeemedDashboard[[#This Row],[Existing Device EUL]]-DeemedDashboard[[#This Row],[Existing Device RUL or AR First Baseline Life]]),NA()),"")</f>
        <v/>
      </c>
      <c r="AM56" s="327" t="str">
        <f>DeemedDashboard[[#This Row],[Pre Device Install Year]]</f>
        <v/>
      </c>
      <c r="AN56" s="327" t="str">
        <f>IFERROR(IF(ISBLANK(DeemedDashboard[[#This Row],[MeasAppType]]),NA(),DeemedDashboard[[#This Row],[Measure Start Year]]+DeemedDashboard[[#This Row],[Msr EUL rounded]]-1),"")</f>
        <v/>
      </c>
      <c r="AO56" s="327" t="str">
        <f>IFERROR(DeemedDashboard[[#This Row],[Std Device Install Year]]+DeemedDashboard[[#This Row],[Counterfactual New Device EUL]]-1,"")</f>
        <v/>
      </c>
      <c r="AP56" s="327" t="str">
        <f>IFERROR(IF(AND(DeemedDashboard[[#This Row],[MeasAppType]]=const_AR,DeemedDashboard[[#This Row],[Measure Start Year]]&lt;(DeemedDashboard[[#This Row],[Pre Device Install Year]]+DeemedDashboard[[#This Row],[Existing Device EUL]]-1)),DeemedDashboard[[#This Row],[Measure Start Year]]-1,NA()),"")</f>
        <v/>
      </c>
      <c r="AQ56" s="327" t="str">
        <f>IFERROR(IF(DeemedDashboard[[#This Row],[MeasAppType]]=const_AR,DeemedDashboard[[#This Row],[Ext Device Install Year]]+DeemedDashboard[[#This Row],[Existing Device EUL]]-1,NA()),"")</f>
        <v/>
      </c>
      <c r="AR56" s="327" t="str">
        <f>IFERROR(IF(ISBLANK(DeemedDashboard[[#This Row],[MeasAppType]]),NA(),0),"")</f>
        <v/>
      </c>
      <c r="AS56" s="327" t="str">
        <f>IFERROR(IF(ISBLANK(DeemedDashboard[[#This Row],[MeasAppType]]),NA(),0),"")</f>
        <v/>
      </c>
      <c r="AT56" s="327" t="str">
        <f>IF(ISBLANK(DeemedDashboard[[#This Row],[MeasAppType]]),"",IF(DeemedDashboard[[#This Row],[MeasAppType]]&lt;&gt;const_AR,"",(DeemedDashboard[[#This Row],[Pre Device Install Year]]+DeemedDashboard[[#This Row],[Existing Device EUL]]-1)-DeemedDashboard[[#This Row],[Pre Device Retire-ment Year]]))</f>
        <v/>
      </c>
      <c r="AU56" s="327" t="str">
        <f>IF(ISBLANK(DeemedDashboard[[#This Row],[MeasAppType]]),"",IF(DeemedDashboard[[#This Row],[MeasAppType]]=const_AR,0,""))</f>
        <v/>
      </c>
      <c r="AV56" s="328" t="str">
        <f>IF(ISBLANK(DeemedDashboard[[#This Row],[MeasAppType]]),"",MAX((1+MIN(DeemedDashboard[[#This Row],[Msr Device Retire-ment Year]],DeemedDashboard[[#This Row],[Measure End 
Year]])-MAX(DeemedDashboard[[#This Row],[Msr Device Install Year]],DeemedDashboard[[#This Row],[Measure Start Year]])),0))</f>
        <v/>
      </c>
      <c r="AW56" s="328" t="str">
        <f>IF(ISBLANK(DeemedDashboard[[#This Row],[MeasAppType]]),"",MAX((1+MIN(DeemedDashboard[[#This Row],[Std Device Retire-ment Year]],DeemedDashboard[[#This Row],[Measure End 
Year]])-MAX(DeemedDashboard[[#This Row],[Std Device Install Year]],DeemedDashboard[[#This Row],[Measure Start Year]])),0))</f>
        <v/>
      </c>
      <c r="AX5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6" s="329" t="str">
        <f>IF(ISBLANK(DeemedDashboard[[#This Row],[MeasAppType]]),"",IF(DeemedDashboard[[#This Row],[Msr Device Years Over-lapping with Measure Years]]=0,0,DeemedDashboard[[#This Row],[Msr Device Years Over-lapping with Measure Years]]/DeemedDashboard[[#This Row],[Msr EUL rounded]]))</f>
        <v/>
      </c>
      <c r="BA56" s="329" t="str">
        <f>IF(ISBLANK(DeemedDashboard[[#This Row],[MeasAppType]]),"",IF(DeemedDashboard[[#This Row],[Std Device Years Over-lapping with Measure Years]]=0,0,DeemedDashboard[[#This Row],[Std Device Years Over-lapping with Measure Years]]/DeemedDashboard[[#This Row],[Counterfactual New Device EUL]]))</f>
        <v/>
      </c>
      <c r="BB56" s="329" t="str">
        <f>IF(ISBLANK(DeemedDashboard[[#This Row],[MeasAppType]]),"",IFERROR(IF(DeemedDashboard[[#This Row],[Pre Device Years Over-lapping with Measure Years]]=0,0,DeemedDashboard[[#This Row],[Pre Device Years Over-lapping with Measure Years]]/DeemedDashboard[[#This Row],[Existing Device EUL]]),""))</f>
        <v/>
      </c>
      <c r="BC56" s="329" t="str">
        <f>IFERROR(IF(DeemedDashboard[[#This Row],[Ext Device Years Over-lapping with Measure Years]]=0,0,DeemedDashboard[[#This Row],[Ext Device Years Over-lapping with Measure Years]]/DeemedDashboard[[#This Row],[Existing Device EUL]]),"")</f>
        <v/>
      </c>
      <c r="BD56" s="329" t="str">
        <f>IFERROR(IF(DeemedDashboard[[#This Row],[Msr Number of Years device retired early]]=0,0,DeemedDashboard[[#This Row],[Msr Number of Years device retired early]]/DeemedDashboard[[#This Row],[Msr EUL rounded]]),"")</f>
        <v/>
      </c>
      <c r="BE56" s="329" t="str">
        <f>IFERROR(IF(DeemedDashboard[[#This Row],[Std Number of Years device retired early]]=0,0,DeemedDashboard[[#This Row],[Std Number of Years device retired early]]/DeemedDashboard[[#This Row],[Msr EUL rounded]]),"")</f>
        <v/>
      </c>
      <c r="BF56" s="329" t="str">
        <f>IFERROR(IF(DeemedDashboard[[#This Row],[MeasAppType]]&lt;&gt;const_AR,"",IF(DeemedDashboard[[#This Row],[Pre Number of Years device retired early]]=0,0,DeemedDashboard[[#This Row],[Pre Number of Years device retired early]]/DeemedDashboard[[#This Row],[Existing Device EUL]])),"")</f>
        <v/>
      </c>
      <c r="BG56" s="329" t="str">
        <f>IFERROR(IF(DeemedDashboard[[#This Row],[Ext Number of Years device retired early]]=0,0,DeemedDashboard[[#This Row],[Ext Number of Years device retired early]]/DeemedDashboard[[#This Row],[Existing Device EUL]]),"")</f>
        <v/>
      </c>
      <c r="BH56" s="325" t="str">
        <f>IFERROR(1-DeemedDashboard[[#This Row],[Msr annual refrigerant leakage %]]*DeemedDashboard[[#This Row],[Msr t_EOL]],"")</f>
        <v/>
      </c>
      <c r="BI56" s="325" t="str">
        <f>IFERROR(1-DeemedDashboard[[#This Row],[Std annual refrigerant leakage %]]*DeemedDashboard[[#This Row],[Std t_EOL]],"")</f>
        <v/>
      </c>
      <c r="BJ56" s="325" t="str">
        <f>IFERROR(1-DeemedDashboard[[#This Row],[Pre/Ext annual refrigerant leakage %]]*DeemedDashboard[[#This Row],[Pre/Ext t_EOL]],"")</f>
        <v/>
      </c>
      <c r="BK56" s="325" t="str">
        <f>IFERROR(1-DeemedDashboard[[#This Row],[Pre/Ext annual refrigerant leakage %]]*DeemedDashboard[[#This Row],[Pre/Ext t_EOL]],"")</f>
        <v/>
      </c>
      <c r="BL56" s="325" t="str">
        <f>IFERROR(DeemedDashboard[[#This Row],[Msr charging remaining (%)]]*DeemedDashboard[[#This Row],[Msr gross EOL refrigerant leakage %]],"")</f>
        <v/>
      </c>
      <c r="BM56" s="325" t="str">
        <f>IFERROR(DeemedDashboard[[#This Row],[Std charging remaining (%)]]*DeemedDashboard[[#This Row],[Std gross EOL refrigerant leakage %]],"")</f>
        <v/>
      </c>
      <c r="BN56" s="325" t="str">
        <f>IFERROR(DeemedDashboard[[#This Row],[Pre charging remaining (%)]]*DeemedDashboard[[#This Row],[Pre/Ext gross EOL refrigerant leakage %]],"")</f>
        <v/>
      </c>
      <c r="BO56" s="325" t="str">
        <f>IFERROR(DeemedDashboard[[#This Row],[Ext charging remaining (%)]]*DeemedDashboard[[#This Row],[Pre/Ext gross EOL refrigerant leakage %]],"")</f>
        <v/>
      </c>
      <c r="BP56" s="330" t="str">
        <f>IFERROR((DeemedDashboard[[#This Row],[Msr refrigerant charge (lb) per NormUnit]]/pounds_per_metric_ton)*DeemedDashboard[[#This Row],[Msr annual refrigerant leakage %]]*DeemedDashboard[[#This Row],[Msr GWP]],"")</f>
        <v/>
      </c>
      <c r="BQ56" s="330" t="str">
        <f>IFERROR((DeemedDashboard[[#This Row],[Std refrigerant charge (lb) per NormUnit]]/pounds_per_metric_ton)*DeemedDashboard[[#This Row],[Std annual refrigerant leakage %]]*DeemedDashboard[[#This Row],[Std GWP]],"")</f>
        <v/>
      </c>
      <c r="BR56" s="330" t="str">
        <f>IF(DeemedDashboard[[#This Row],[MeasAppType]]=const_AR,(DeemedDashboard[[#This Row],[Pre/Ext refrigerant charge (lb) per NormUnit]]/pounds_per_metric_ton)*DeemedDashboard[[#This Row],[Pre/Ext annual refrigerant leakage %]]*DeemedDashboard[[#This Row],[Pre/Ext GWP]],"")</f>
        <v/>
      </c>
      <c r="BS56" s="330" t="str">
        <f>IF(DeemedDashboard[[#This Row],[MeasAppType]]=const_AR,(DeemedDashboard[[#This Row],[Pre/Ext refrigerant charge (lb) per NormUnit]]/pounds_per_metric_ton)*DeemedDashboard[[#This Row],[Pre/Ext annual refrigerant leakage %]]*DeemedDashboard[[#This Row],[Pre/Ext GWP]],"")</f>
        <v/>
      </c>
      <c r="BT56" s="330" t="str">
        <f>IFERROR((DeemedDashboard[[#This Row],[Msr refrigerant charge (lb) per NormUnit]]/pounds_per_metric_ton)*DeemedDashboard[[#This Row],[Msr net EOL refrigerant leakage (%)]]*DeemedDashboard[[#This Row],[Msr GWP]],"")</f>
        <v/>
      </c>
      <c r="BU56" s="330" t="str">
        <f>IFERROR((DeemedDashboard[[#This Row],[Std refrigerant charge (lb) per NormUnit]]/pounds_per_metric_ton)*DeemedDashboard[[#This Row],[Std net EOL refrigerant leakage (%)]]*DeemedDashboard[[#This Row],[Std GWP]],"")</f>
        <v/>
      </c>
      <c r="BV56" s="330" t="str">
        <f>IFERROR((DeemedDashboard[[#This Row],[Pre/Ext refrigerant charge (lb) per NormUnit]]/pounds_per_metric_ton)*DeemedDashboard[[#This Row],[Pre net EOL refrigerant leakage (%)]]*DeemedDashboard[[#This Row],[Pre/Ext GWP]],"")</f>
        <v/>
      </c>
      <c r="BW56" s="330" t="str">
        <f>IFERROR((DeemedDashboard[[#This Row],[Pre/Ext refrigerant charge (lb) per NormUnit]]/pounds_per_metric_ton)*DeemedDashboard[[#This Row],[Ext net EOL refrigerant leakage (%)]]*DeemedDashboard[[#This Row],[Pre/Ext GWP]],"")</f>
        <v/>
      </c>
      <c r="BX56" s="299" t="str" cm="1">
        <f t="array" aca="1" ref="BX5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6" s="305" t="str" cm="1">
        <f t="array" aca="1" ref="BY5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6" s="299" t="str">
        <f>IFERROR(IF(OR(DeemedDashboard[[#This Row],[MeasAppType]]&lt;&gt;const_AR,ISBLANK(DeemedDashboard[[#This Row],[MeasAppType]])),NA(),0),"")</f>
        <v/>
      </c>
      <c r="CA56" s="305" t="str" cm="1">
        <f t="array" aca="1" ref="CA5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6" s="299" t="str">
        <f ca="1">IFERROR((DeemedDashboard[[#This Row],[Msr EOL leakage tons CO2e]]*OFFSET(GHG_Adder_dollar_per_tonne,0,(DeemedDashboard[[#This Row],[Msr Device Retire-ment Year]]-DY+1),1,1))/(1+WACC)^(DeemedDashboard[[#This Row],[Msr Device Retire-ment Year]]-DeemedDashboard[[#This Row],[Measure Start Year]]+0.5),"")</f>
        <v/>
      </c>
      <c r="CC56" s="299" t="str">
        <f ca="1">IFERROR((DeemedDashboard[[#This Row],[Std EOL leakage tons CO2e]]*OFFSET(GHG_Adder_dollar_per_tonne,0,(DeemedDashboard[[#This Row],[Std Device Retire-ment Year]]-DY+1),1,1))/(1+WACC)^(DeemedDashboard[[#This Row],[Std Device Retire-ment Year]]-DeemedDashboard[[#This Row],[Measure Start Year]]+0.5),"")</f>
        <v/>
      </c>
      <c r="CD56" s="299" t="str">
        <f ca="1">IFERROR((DeemedDashboard[[#This Row],[Pre EOL leakage tons CO2e]]*OFFSET(GHG_Adder_dollar_per_tonne,0,(DeemedDashboard[[#This Row],[Measure Start Year]]-DY),1,1))/(1+WACC)^(-0.5),"")</f>
        <v/>
      </c>
      <c r="CE5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6" s="299" t="str">
        <f ca="1">IFERROR(DeemedDashboard[[#This Row],[Msr NPV Cost of Annual Leakage]]/(1+ACC_Inflation_Rate)^(DeemedDashboard[[#This Row],[Measure Start Year]]-DY),"")</f>
        <v/>
      </c>
      <c r="CG56" s="299" t="str">
        <f ca="1">IFERROR(DeemedDashboard[[#This Row],[Std NPV Cost of Annual Leakage]]/(1+ACC_Inflation_Rate)^(DeemedDashboard[[#This Row],[Measure Start Year]]-DY),"")</f>
        <v/>
      </c>
      <c r="CH56" s="299" t="str">
        <f>IFERROR(IF(ISBLANK(DeemedDashboard[[#This Row],[MeasAppType]]),NA(),IF(DeemedDashboard[[#This Row],[MeasAppType]]=const_AR,DeemedDashboard[[#This Row],[Pre NPV Cost of Annual Leakage]]/(1+ACC_Inflation_Rate)^(DeemedDashboard[[#This Row],[Measure Start Year]]-DY),"")),"")</f>
        <v/>
      </c>
      <c r="CI56" s="296" t="str">
        <f>IFERROR(IF(ISBLANK(DeemedDashboard[[#This Row],[MeasAppType]]),NA(),IF(DeemedDashboard[[#This Row],[MeasAppType]]=const_AR,DeemedDashboard[[#This Row],[Ext NPV Cost of Annual Leakage]]/(1+ACC_Inflation_Rate)^(DeemedDashboard[[#This Row],[Measure Start Year]]-DY),"")),"")</f>
        <v/>
      </c>
      <c r="CJ56" s="296" t="str">
        <f ca="1">IFERROR((DeemedDashboard[[#This Row],[Msr % of device lifetime during measure years]]+DeemedDashboard[[#This Row],[Msr % of device lifetime retired early]])*DeemedDashboard[[#This Row],[Msr NPV Cost of EOL Leakage]]/(1+ACC_Inflation_Rate)^(DeemedDashboard[[#This Row],[Measure Start Year]]-DY),"")</f>
        <v/>
      </c>
      <c r="CK56" s="296" t="str">
        <f ca="1">IFERROR((DeemedDashboard[[#This Row],[Std % of device lifetime during measure years]]+DeemedDashboard[[#This Row],[Std % of device lifetime retired early]])*DeemedDashboard[[#This Row],[Std NPV Cost of EOL Leakage]]/(1+ACC_Inflation_Rate)^(DeemedDashboard[[#This Row],[Measure Start Year]]-DY),"")</f>
        <v/>
      </c>
      <c r="CL5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6" s="299" t="str">
        <f ca="1">IFERROR(DeemedDashboard[[#This Row],[Counter-factual total 
NPV cost]]-DeemedDashboard[[#This Row],[Measure total 
NPV cost]],"")</f>
        <v/>
      </c>
      <c r="CQ56" s="299" t="str">
        <f>IF(ISBLANK(DeemedDashboard[[#This Row],[MeasAppType]]),"",DeemedDashboard[[#This Row],[Refrigerant
NPV costs
avoided]]&gt;0)</f>
        <v/>
      </c>
      <c r="CR56" s="299" t="str">
        <f ca="1">IFERROR(DeemedDashboard[[#This Row],[Msr Adj NPV Cost of Annual Leakage]]+DeemedDashboard[[#This Row],[Msr Adj NPV Cost of EOL Leakage]],"")</f>
        <v/>
      </c>
      <c r="CS56" s="299" t="str">
        <f ca="1">IFERROR(DeemedDashboard[[#This Row],[Std Adj NPV Cost of Annual Leakage]]+DeemedDashboard[[#This Row],[Std Adj NPV Cost of EOL Leakage]],"")</f>
        <v/>
      </c>
      <c r="CT56" s="299" t="str">
        <f>IFERROR(IF((DeemedDashboard[[#This Row],[Pre Adj NPV Cost of Annual Leakage]]+DeemedDashboard[[#This Row],[Pre Adj NPV Cost of EOL Leakage]])=0,"",DeemedDashboard[[#This Row],[Pre Adj NPV Cost of Annual Leakage]]+DeemedDashboard[[#This Row],[Pre Adj NPV Cost of EOL Leakage]]),"")</f>
        <v/>
      </c>
      <c r="CU56" s="299" t="str">
        <f>IFERROR(IF((DeemedDashboard[[#This Row],[Ext Adj NPV Cost of Annual Leakage]]+DeemedDashboard[[#This Row],[Ext Adj NPV Cost of EOL Leakage]])=0,"",DeemedDashboard[[#This Row],[Ext Adj NPV Cost of Annual Leakage]]+DeemedDashboard[[#This Row],[Ext Adj NPV Cost of EOL Leakage]]),"")</f>
        <v/>
      </c>
      <c r="CV56" s="299" t="str">
        <f>IFERROR(IF(DeemedDashboard[[#This Row],[Is Avoided Net Cost &gt;0?]],"",-DeemedDashboard[[#This Row],[Refrigerant
NPV costs
avoided]]),"")</f>
        <v/>
      </c>
      <c r="CW56" s="299" t="str">
        <f>IFERROR(IF(DeemedDashboard[[#This Row],[Is Avoided Net Cost &gt;0?]],DeemedDashboard[[#This Row],[Refrigerant
NPV costs
avoided]],""),"")</f>
        <v/>
      </c>
      <c r="CX56" s="391">
        <f ca="1">IFERROR(MATCH(DeemedDashboard[[#This Row],[TechGroup and NormUnit]],TechGroup_and_NormUnit,0),1)</f>
        <v>1</v>
      </c>
      <c r="CY56" s="391" cm="1">
        <f t="array" aca="1" ref="CY56" ca="1">IFERROR(INDEX(TGRows,DeemedDashboard[[#This Row],[TGIndex]]),"")</f>
        <v>2</v>
      </c>
      <c r="CZ56" s="391">
        <f ca="1">IF(DeemedDashboard[[#This Row],[MeasAppType]]=const_AR,DeemedDashboard[[#This Row],[TGRows]],DeemedDashboard[[#This Row],[TGRows]]+1)</f>
        <v>3</v>
      </c>
      <c r="DA56" s="391" t="str">
        <f>IF(ISBLANK(DeemedDashboard[[#This Row],[MeasAppType]]),"",IF(DeemedDashboard[[#This Row],[Index]]=User_Specified_Refrigerant[[#This Row],[Index]],"OK","ERROR"))</f>
        <v/>
      </c>
    </row>
    <row r="57" spans="1:105" s="320" customFormat="1" x14ac:dyDescent="0.25">
      <c r="A57" s="297">
        <f>ROW(DeemedDashboard[[#This Row],[Index]])-ROW(DeemedDashboard[[#Headers],[Index]])</f>
        <v>48</v>
      </c>
      <c r="B57" s="298"/>
      <c r="C57" s="321"/>
      <c r="D57" s="403"/>
      <c r="E57" s="403"/>
      <c r="F57" s="403"/>
      <c r="G57" s="403"/>
      <c r="H57" s="366"/>
      <c r="I57" s="339"/>
      <c r="J57" s="339"/>
      <c r="K57" s="339"/>
      <c r="L57" s="322"/>
      <c r="M57" s="322"/>
      <c r="N57" s="322"/>
      <c r="O5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7" s="582" t="str" cm="1">
        <f t="array" ref="R57">IFERROR(IF(DeemedDashboard[[#This Row],[Msr device type]]=const_device_nonrefrig,0,INDEX(_xlfn.SWITCH($E$4,const_20_yr,GWP_Values_20_year_AR4,const_100_yr,GWP_Values_100_year_AR4),MATCH(DeemedDashboard[[#This Row],[Msr refrigerant Type]],RefrigDropdownList,0))),"")</f>
        <v/>
      </c>
      <c r="S57" s="582" t="str" cm="1">
        <f t="array" ref="S57">IFERROR(IF(DeemedDashboard[[#This Row],[Std device type]]=const_device_nonrefrig,0,INDEX(_xlfn.SWITCH($E$4,const_20_yr,GWP_Values_20_year_AR4,const_100_yr,GWP_Values_100_year_AR4),MATCH(DeemedDashboard[[#This Row],[Std refrigerant Type]],RefrigDropdownList,0))),"")</f>
        <v/>
      </c>
      <c r="T57" s="582" t="str" cm="1">
        <f t="array" ref="T57">IFERROR(IF(DeemedDashboard[[#This Row],[Pre/Ext device type]]=const_device_nonrefrig,0,INDEX(_xlfn.SWITCH($E$4,const_20_yr,GWP_Values_20_year_AR4,const_100_yr,GWP_Values_100_year_AR4),MATCH(DeemedDashboard[[#This Row],[Pre/Ext refrigerant Type]],RefrigDropdownList,0))),"")</f>
        <v/>
      </c>
      <c r="U5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7" s="326" t="str">
        <f>IFERROR(IF(DeemedDashboard[[#This Row],[Msr device type]]=const_userspec,IF(ISBLANK(User_Specified_Refrigerant[[#This Row],[Msr t_EOL]]),"",User_Specified_Refrigerant[[#This Row],[Msr t_EOL]]),INDEX(TechGroup_NormUnit_Table[t_EOL],MATCH(DeemedDashboard[[#This Row],[Msr device type]],DropdownRefrigTech,0))),"")</f>
        <v/>
      </c>
      <c r="AB57" s="326" t="str">
        <f>IFERROR(IF(DeemedDashboard[[#This Row],[Std device type]]=const_userspec,IF(ISBLANK(User_Specified_Refrigerant[[#This Row],[Std t_EOL]]),"",User_Specified_Refrigerant[[#This Row],[Std t_EOL]]),INDEX(TechGroup_NormUnit_Table[t_EOL],MATCH(DeemedDashboard[[#This Row],[Std device type]],DropdownRefrigTech,0))),"")</f>
        <v/>
      </c>
      <c r="AC5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7" s="395" t="str">
        <f>IF(ISBLANK(DeemedDashboard[[#This Row],[MeasAppType]]),"",$E$2)</f>
        <v/>
      </c>
      <c r="AE57" s="395" t="str">
        <f>IFERROR(IF(ISBLANK(DeemedDashboard[[#This Row],[MeasAppType]]),NA(),DeemedDashboard[[#This Row],[Measure Start Year]]+DeemedDashboard[[#This Row],[Msr EUL rounded]]-1),"")</f>
        <v/>
      </c>
      <c r="AF57" s="323" t="str">
        <f>IF(ISBLANK(DeemedDashboard[[#This Row],[Measure New Device EUL]]),"",ROUND(DeemedDashboard[[#This Row],[Measure New Device EUL]],0))</f>
        <v/>
      </c>
      <c r="AG57" s="323" t="str">
        <f>IF(ISBLANK(DeemedDashboard[[#This Row],[Counterfactual New Device EUL]]),"",ROUND(DeemedDashboard[[#This Row],[Counterfactual New Device EUL]],0))</f>
        <v/>
      </c>
      <c r="AH57" s="323" t="str">
        <f>IF(ISBLANK(DeemedDashboard[[#This Row],[Existing Device EUL]]),"",ROUND(DeemedDashboard[[#This Row],[Existing Device EUL]],0))</f>
        <v/>
      </c>
      <c r="AI57" s="323" t="str">
        <f>IF(ISBLANK(DeemedDashboard[[#This Row],[Existing Device RUL or AR First Baseline Life]]),"",ROUND(DeemedDashboard[[#This Row],[Existing Device RUL or AR First Baseline Life]],0))</f>
        <v/>
      </c>
      <c r="AJ57" s="327" t="str">
        <f>DeemedDashboard[[#This Row],[Measure Start Year]]</f>
        <v/>
      </c>
      <c r="AK57" s="327" t="str">
        <f>IF(DeemedDashboard[[#This Row],[MeasAppType]]&lt;&gt;const_AR,DeemedDashboard[[#This Row],[Measure Start Year]],DeemedDashboard[[#This Row],[Ext Device Retire-ment Year]]+1)</f>
        <v/>
      </c>
      <c r="AL57" s="327" t="str">
        <f>IFERROR(IF(DeemedDashboard[[#This Row],[MeasAppType]]=const_AR,DeemedDashboard[[#This Row],[Measure Start Year]]-(DeemedDashboard[[#This Row],[Existing Device EUL]]-DeemedDashboard[[#This Row],[Existing Device RUL or AR First Baseline Life]]),NA()),"")</f>
        <v/>
      </c>
      <c r="AM57" s="327" t="str">
        <f>DeemedDashboard[[#This Row],[Pre Device Install Year]]</f>
        <v/>
      </c>
      <c r="AN57" s="327" t="str">
        <f>IFERROR(IF(ISBLANK(DeemedDashboard[[#This Row],[MeasAppType]]),NA(),DeemedDashboard[[#This Row],[Measure Start Year]]+DeemedDashboard[[#This Row],[Msr EUL rounded]]-1),"")</f>
        <v/>
      </c>
      <c r="AO57" s="327" t="str">
        <f>IFERROR(DeemedDashboard[[#This Row],[Std Device Install Year]]+DeemedDashboard[[#This Row],[Counterfactual New Device EUL]]-1,"")</f>
        <v/>
      </c>
      <c r="AP57" s="327" t="str">
        <f>IFERROR(IF(AND(DeemedDashboard[[#This Row],[MeasAppType]]=const_AR,DeemedDashboard[[#This Row],[Measure Start Year]]&lt;(DeemedDashboard[[#This Row],[Pre Device Install Year]]+DeemedDashboard[[#This Row],[Existing Device EUL]]-1)),DeemedDashboard[[#This Row],[Measure Start Year]]-1,NA()),"")</f>
        <v/>
      </c>
      <c r="AQ57" s="327" t="str">
        <f>IFERROR(IF(DeemedDashboard[[#This Row],[MeasAppType]]=const_AR,DeemedDashboard[[#This Row],[Ext Device Install Year]]+DeemedDashboard[[#This Row],[Existing Device EUL]]-1,NA()),"")</f>
        <v/>
      </c>
      <c r="AR57" s="327" t="str">
        <f>IFERROR(IF(ISBLANK(DeemedDashboard[[#This Row],[MeasAppType]]),NA(),0),"")</f>
        <v/>
      </c>
      <c r="AS57" s="327" t="str">
        <f>IFERROR(IF(ISBLANK(DeemedDashboard[[#This Row],[MeasAppType]]),NA(),0),"")</f>
        <v/>
      </c>
      <c r="AT57" s="327" t="str">
        <f>IF(ISBLANK(DeemedDashboard[[#This Row],[MeasAppType]]),"",IF(DeemedDashboard[[#This Row],[MeasAppType]]&lt;&gt;const_AR,"",(DeemedDashboard[[#This Row],[Pre Device Install Year]]+DeemedDashboard[[#This Row],[Existing Device EUL]]-1)-DeemedDashboard[[#This Row],[Pre Device Retire-ment Year]]))</f>
        <v/>
      </c>
      <c r="AU57" s="327" t="str">
        <f>IF(ISBLANK(DeemedDashboard[[#This Row],[MeasAppType]]),"",IF(DeemedDashboard[[#This Row],[MeasAppType]]=const_AR,0,""))</f>
        <v/>
      </c>
      <c r="AV57" s="328" t="str">
        <f>IF(ISBLANK(DeemedDashboard[[#This Row],[MeasAppType]]),"",MAX((1+MIN(DeemedDashboard[[#This Row],[Msr Device Retire-ment Year]],DeemedDashboard[[#This Row],[Measure End 
Year]])-MAX(DeemedDashboard[[#This Row],[Msr Device Install Year]],DeemedDashboard[[#This Row],[Measure Start Year]])),0))</f>
        <v/>
      </c>
      <c r="AW57" s="328" t="str">
        <f>IF(ISBLANK(DeemedDashboard[[#This Row],[MeasAppType]]),"",MAX((1+MIN(DeemedDashboard[[#This Row],[Std Device Retire-ment Year]],DeemedDashboard[[#This Row],[Measure End 
Year]])-MAX(DeemedDashboard[[#This Row],[Std Device Install Year]],DeemedDashboard[[#This Row],[Measure Start Year]])),0))</f>
        <v/>
      </c>
      <c r="AX5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7" s="329" t="str">
        <f>IF(ISBLANK(DeemedDashboard[[#This Row],[MeasAppType]]),"",IF(DeemedDashboard[[#This Row],[Msr Device Years Over-lapping with Measure Years]]=0,0,DeemedDashboard[[#This Row],[Msr Device Years Over-lapping with Measure Years]]/DeemedDashboard[[#This Row],[Msr EUL rounded]]))</f>
        <v/>
      </c>
      <c r="BA57" s="329" t="str">
        <f>IF(ISBLANK(DeemedDashboard[[#This Row],[MeasAppType]]),"",IF(DeemedDashboard[[#This Row],[Std Device Years Over-lapping with Measure Years]]=0,0,DeemedDashboard[[#This Row],[Std Device Years Over-lapping with Measure Years]]/DeemedDashboard[[#This Row],[Counterfactual New Device EUL]]))</f>
        <v/>
      </c>
      <c r="BB57" s="329" t="str">
        <f>IF(ISBLANK(DeemedDashboard[[#This Row],[MeasAppType]]),"",IFERROR(IF(DeemedDashboard[[#This Row],[Pre Device Years Over-lapping with Measure Years]]=0,0,DeemedDashboard[[#This Row],[Pre Device Years Over-lapping with Measure Years]]/DeemedDashboard[[#This Row],[Existing Device EUL]]),""))</f>
        <v/>
      </c>
      <c r="BC57" s="329" t="str">
        <f>IFERROR(IF(DeemedDashboard[[#This Row],[Ext Device Years Over-lapping with Measure Years]]=0,0,DeemedDashboard[[#This Row],[Ext Device Years Over-lapping with Measure Years]]/DeemedDashboard[[#This Row],[Existing Device EUL]]),"")</f>
        <v/>
      </c>
      <c r="BD57" s="329" t="str">
        <f>IFERROR(IF(DeemedDashboard[[#This Row],[Msr Number of Years device retired early]]=0,0,DeemedDashboard[[#This Row],[Msr Number of Years device retired early]]/DeemedDashboard[[#This Row],[Msr EUL rounded]]),"")</f>
        <v/>
      </c>
      <c r="BE57" s="329" t="str">
        <f>IFERROR(IF(DeemedDashboard[[#This Row],[Std Number of Years device retired early]]=0,0,DeemedDashboard[[#This Row],[Std Number of Years device retired early]]/DeemedDashboard[[#This Row],[Msr EUL rounded]]),"")</f>
        <v/>
      </c>
      <c r="BF57" s="329" t="str">
        <f>IFERROR(IF(DeemedDashboard[[#This Row],[MeasAppType]]&lt;&gt;const_AR,"",IF(DeemedDashboard[[#This Row],[Pre Number of Years device retired early]]=0,0,DeemedDashboard[[#This Row],[Pre Number of Years device retired early]]/DeemedDashboard[[#This Row],[Existing Device EUL]])),"")</f>
        <v/>
      </c>
      <c r="BG57" s="329" t="str">
        <f>IFERROR(IF(DeemedDashboard[[#This Row],[Ext Number of Years device retired early]]=0,0,DeemedDashboard[[#This Row],[Ext Number of Years device retired early]]/DeemedDashboard[[#This Row],[Existing Device EUL]]),"")</f>
        <v/>
      </c>
      <c r="BH57" s="325" t="str">
        <f>IFERROR(1-DeemedDashboard[[#This Row],[Msr annual refrigerant leakage %]]*DeemedDashboard[[#This Row],[Msr t_EOL]],"")</f>
        <v/>
      </c>
      <c r="BI57" s="325" t="str">
        <f>IFERROR(1-DeemedDashboard[[#This Row],[Std annual refrigerant leakage %]]*DeemedDashboard[[#This Row],[Std t_EOL]],"")</f>
        <v/>
      </c>
      <c r="BJ57" s="325" t="str">
        <f>IFERROR(1-DeemedDashboard[[#This Row],[Pre/Ext annual refrigerant leakage %]]*DeemedDashboard[[#This Row],[Pre/Ext t_EOL]],"")</f>
        <v/>
      </c>
      <c r="BK57" s="325" t="str">
        <f>IFERROR(1-DeemedDashboard[[#This Row],[Pre/Ext annual refrigerant leakage %]]*DeemedDashboard[[#This Row],[Pre/Ext t_EOL]],"")</f>
        <v/>
      </c>
      <c r="BL57" s="325" t="str">
        <f>IFERROR(DeemedDashboard[[#This Row],[Msr charging remaining (%)]]*DeemedDashboard[[#This Row],[Msr gross EOL refrigerant leakage %]],"")</f>
        <v/>
      </c>
      <c r="BM57" s="325" t="str">
        <f>IFERROR(DeemedDashboard[[#This Row],[Std charging remaining (%)]]*DeemedDashboard[[#This Row],[Std gross EOL refrigerant leakage %]],"")</f>
        <v/>
      </c>
      <c r="BN57" s="325" t="str">
        <f>IFERROR(DeemedDashboard[[#This Row],[Pre charging remaining (%)]]*DeemedDashboard[[#This Row],[Pre/Ext gross EOL refrigerant leakage %]],"")</f>
        <v/>
      </c>
      <c r="BO57" s="325" t="str">
        <f>IFERROR(DeemedDashboard[[#This Row],[Ext charging remaining (%)]]*DeemedDashboard[[#This Row],[Pre/Ext gross EOL refrigerant leakage %]],"")</f>
        <v/>
      </c>
      <c r="BP57" s="330" t="str">
        <f>IFERROR((DeemedDashboard[[#This Row],[Msr refrigerant charge (lb) per NormUnit]]/pounds_per_metric_ton)*DeemedDashboard[[#This Row],[Msr annual refrigerant leakage %]]*DeemedDashboard[[#This Row],[Msr GWP]],"")</f>
        <v/>
      </c>
      <c r="BQ57" s="330" t="str">
        <f>IFERROR((DeemedDashboard[[#This Row],[Std refrigerant charge (lb) per NormUnit]]/pounds_per_metric_ton)*DeemedDashboard[[#This Row],[Std annual refrigerant leakage %]]*DeemedDashboard[[#This Row],[Std GWP]],"")</f>
        <v/>
      </c>
      <c r="BR57" s="330" t="str">
        <f>IF(DeemedDashboard[[#This Row],[MeasAppType]]=const_AR,(DeemedDashboard[[#This Row],[Pre/Ext refrigerant charge (lb) per NormUnit]]/pounds_per_metric_ton)*DeemedDashboard[[#This Row],[Pre/Ext annual refrigerant leakage %]]*DeemedDashboard[[#This Row],[Pre/Ext GWP]],"")</f>
        <v/>
      </c>
      <c r="BS57" s="330" t="str">
        <f>IF(DeemedDashboard[[#This Row],[MeasAppType]]=const_AR,(DeemedDashboard[[#This Row],[Pre/Ext refrigerant charge (lb) per NormUnit]]/pounds_per_metric_ton)*DeemedDashboard[[#This Row],[Pre/Ext annual refrigerant leakage %]]*DeemedDashboard[[#This Row],[Pre/Ext GWP]],"")</f>
        <v/>
      </c>
      <c r="BT57" s="330" t="str">
        <f>IFERROR((DeemedDashboard[[#This Row],[Msr refrigerant charge (lb) per NormUnit]]/pounds_per_metric_ton)*DeemedDashboard[[#This Row],[Msr net EOL refrigerant leakage (%)]]*DeemedDashboard[[#This Row],[Msr GWP]],"")</f>
        <v/>
      </c>
      <c r="BU57" s="330" t="str">
        <f>IFERROR((DeemedDashboard[[#This Row],[Std refrigerant charge (lb) per NormUnit]]/pounds_per_metric_ton)*DeemedDashboard[[#This Row],[Std net EOL refrigerant leakage (%)]]*DeemedDashboard[[#This Row],[Std GWP]],"")</f>
        <v/>
      </c>
      <c r="BV57" s="330" t="str">
        <f>IFERROR((DeemedDashboard[[#This Row],[Pre/Ext refrigerant charge (lb) per NormUnit]]/pounds_per_metric_ton)*DeemedDashboard[[#This Row],[Pre net EOL refrigerant leakage (%)]]*DeemedDashboard[[#This Row],[Pre/Ext GWP]],"")</f>
        <v/>
      </c>
      <c r="BW57" s="330" t="str">
        <f>IFERROR((DeemedDashboard[[#This Row],[Pre/Ext refrigerant charge (lb) per NormUnit]]/pounds_per_metric_ton)*DeemedDashboard[[#This Row],[Ext net EOL refrigerant leakage (%)]]*DeemedDashboard[[#This Row],[Pre/Ext GWP]],"")</f>
        <v/>
      </c>
      <c r="BX57" s="299" t="str" cm="1">
        <f t="array" aca="1" ref="BX5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7" s="305" t="str" cm="1">
        <f t="array" aca="1" ref="BY5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7" s="299" t="str">
        <f>IFERROR(IF(OR(DeemedDashboard[[#This Row],[MeasAppType]]&lt;&gt;const_AR,ISBLANK(DeemedDashboard[[#This Row],[MeasAppType]])),NA(),0),"")</f>
        <v/>
      </c>
      <c r="CA57" s="305" t="str" cm="1">
        <f t="array" aca="1" ref="CA5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7" s="299" t="str">
        <f ca="1">IFERROR((DeemedDashboard[[#This Row],[Msr EOL leakage tons CO2e]]*OFFSET(GHG_Adder_dollar_per_tonne,0,(DeemedDashboard[[#This Row],[Msr Device Retire-ment Year]]-DY+1),1,1))/(1+WACC)^(DeemedDashboard[[#This Row],[Msr Device Retire-ment Year]]-DeemedDashboard[[#This Row],[Measure Start Year]]+0.5),"")</f>
        <v/>
      </c>
      <c r="CC57" s="299" t="str">
        <f ca="1">IFERROR((DeemedDashboard[[#This Row],[Std EOL leakage tons CO2e]]*OFFSET(GHG_Adder_dollar_per_tonne,0,(DeemedDashboard[[#This Row],[Std Device Retire-ment Year]]-DY+1),1,1))/(1+WACC)^(DeemedDashboard[[#This Row],[Std Device Retire-ment Year]]-DeemedDashboard[[#This Row],[Measure Start Year]]+0.5),"")</f>
        <v/>
      </c>
      <c r="CD57" s="299" t="str">
        <f ca="1">IFERROR((DeemedDashboard[[#This Row],[Pre EOL leakage tons CO2e]]*OFFSET(GHG_Adder_dollar_per_tonne,0,(DeemedDashboard[[#This Row],[Measure Start Year]]-DY),1,1))/(1+WACC)^(-0.5),"")</f>
        <v/>
      </c>
      <c r="CE5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7" s="296" t="str">
        <f ca="1">IFERROR(DeemedDashboard[[#This Row],[Msr NPV Cost of Annual Leakage]]/(1+ACC_Inflation_Rate)^(DeemedDashboard[[#This Row],[Measure Start Year]]-DY),"")</f>
        <v/>
      </c>
      <c r="CG57" s="296" t="str">
        <f ca="1">IFERROR(DeemedDashboard[[#This Row],[Std NPV Cost of Annual Leakage]]/(1+ACC_Inflation_Rate)^(DeemedDashboard[[#This Row],[Measure Start Year]]-DY),"")</f>
        <v/>
      </c>
      <c r="CH57" s="296" t="str">
        <f>IFERROR(IF(ISBLANK(DeemedDashboard[[#This Row],[MeasAppType]]),NA(),IF(DeemedDashboard[[#This Row],[MeasAppType]]=const_AR,DeemedDashboard[[#This Row],[Pre NPV Cost of Annual Leakage]]/(1+ACC_Inflation_Rate)^(DeemedDashboard[[#This Row],[Measure Start Year]]-DY),"")),"")</f>
        <v/>
      </c>
      <c r="CI57" s="296" t="str">
        <f>IFERROR(IF(ISBLANK(DeemedDashboard[[#This Row],[MeasAppType]]),NA(),IF(DeemedDashboard[[#This Row],[MeasAppType]]=const_AR,DeemedDashboard[[#This Row],[Ext NPV Cost of Annual Leakage]]/(1+ACC_Inflation_Rate)^(DeemedDashboard[[#This Row],[Measure Start Year]]-DY),"")),"")</f>
        <v/>
      </c>
      <c r="CJ57" s="296" t="str">
        <f ca="1">IFERROR((DeemedDashboard[[#This Row],[Msr % of device lifetime during measure years]]+DeemedDashboard[[#This Row],[Msr % of device lifetime retired early]])*DeemedDashboard[[#This Row],[Msr NPV Cost of EOL Leakage]]/(1+ACC_Inflation_Rate)^(DeemedDashboard[[#This Row],[Measure Start Year]]-DY),"")</f>
        <v/>
      </c>
      <c r="CK57" s="296" t="str">
        <f ca="1">IFERROR((DeemedDashboard[[#This Row],[Std % of device lifetime during measure years]]+DeemedDashboard[[#This Row],[Std % of device lifetime retired early]])*DeemedDashboard[[#This Row],[Std NPV Cost of EOL Leakage]]/(1+ACC_Inflation_Rate)^(DeemedDashboard[[#This Row],[Measure Start Year]]-DY),"")</f>
        <v/>
      </c>
      <c r="CL5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7" s="299" t="str">
        <f ca="1">IFERROR(DeemedDashboard[[#This Row],[Counter-factual total 
NPV cost]]-DeemedDashboard[[#This Row],[Measure total 
NPV cost]],"")</f>
        <v/>
      </c>
      <c r="CQ57" s="299" t="str">
        <f>IF(ISBLANK(DeemedDashboard[[#This Row],[MeasAppType]]),"",DeemedDashboard[[#This Row],[Refrigerant
NPV costs
avoided]]&gt;0)</f>
        <v/>
      </c>
      <c r="CR57" s="299" t="str">
        <f ca="1">IFERROR(DeemedDashboard[[#This Row],[Msr Adj NPV Cost of Annual Leakage]]+DeemedDashboard[[#This Row],[Msr Adj NPV Cost of EOL Leakage]],"")</f>
        <v/>
      </c>
      <c r="CS57" s="299" t="str">
        <f ca="1">IFERROR(DeemedDashboard[[#This Row],[Std Adj NPV Cost of Annual Leakage]]+DeemedDashboard[[#This Row],[Std Adj NPV Cost of EOL Leakage]],"")</f>
        <v/>
      </c>
      <c r="CT57" s="299" t="str">
        <f>IFERROR(IF((DeemedDashboard[[#This Row],[Pre Adj NPV Cost of Annual Leakage]]+DeemedDashboard[[#This Row],[Pre Adj NPV Cost of EOL Leakage]])=0,"",DeemedDashboard[[#This Row],[Pre Adj NPV Cost of Annual Leakage]]+DeemedDashboard[[#This Row],[Pre Adj NPV Cost of EOL Leakage]]),"")</f>
        <v/>
      </c>
      <c r="CU57" s="299" t="str">
        <f>IFERROR(IF((DeemedDashboard[[#This Row],[Ext Adj NPV Cost of Annual Leakage]]+DeemedDashboard[[#This Row],[Ext Adj NPV Cost of EOL Leakage]])=0,"",DeemedDashboard[[#This Row],[Ext Adj NPV Cost of Annual Leakage]]+DeemedDashboard[[#This Row],[Ext Adj NPV Cost of EOL Leakage]]),"")</f>
        <v/>
      </c>
      <c r="CV57" s="299" t="str">
        <f>IFERROR(IF(DeemedDashboard[[#This Row],[Is Avoided Net Cost &gt;0?]],"",-DeemedDashboard[[#This Row],[Refrigerant
NPV costs
avoided]]),"")</f>
        <v/>
      </c>
      <c r="CW57" s="299" t="str">
        <f>IFERROR(IF(DeemedDashboard[[#This Row],[Is Avoided Net Cost &gt;0?]],DeemedDashboard[[#This Row],[Refrigerant
NPV costs
avoided]],""),"")</f>
        <v/>
      </c>
      <c r="CX57" s="391">
        <f ca="1">IFERROR(MATCH(DeemedDashboard[[#This Row],[TechGroup and NormUnit]],TechGroup_and_NormUnit,0),1)</f>
        <v>1</v>
      </c>
      <c r="CY57" s="391" cm="1">
        <f t="array" aca="1" ref="CY57" ca="1">IFERROR(INDEX(TGRows,DeemedDashboard[[#This Row],[TGIndex]]),"")</f>
        <v>2</v>
      </c>
      <c r="CZ57" s="391">
        <f ca="1">IF(DeemedDashboard[[#This Row],[MeasAppType]]=const_AR,DeemedDashboard[[#This Row],[TGRows]],DeemedDashboard[[#This Row],[TGRows]]+1)</f>
        <v>3</v>
      </c>
      <c r="DA57" s="391" t="str">
        <f>IF(ISBLANK(DeemedDashboard[[#This Row],[MeasAppType]]),"",IF(DeemedDashboard[[#This Row],[Index]]=User_Specified_Refrigerant[[#This Row],[Index]],"OK","ERROR"))</f>
        <v/>
      </c>
    </row>
    <row r="58" spans="1:105" s="320" customFormat="1" x14ac:dyDescent="0.25">
      <c r="A58" s="297">
        <f>ROW(DeemedDashboard[[#This Row],[Index]])-ROW(DeemedDashboard[[#Headers],[Index]])</f>
        <v>49</v>
      </c>
      <c r="B58" s="298"/>
      <c r="C58" s="321"/>
      <c r="D58" s="403"/>
      <c r="E58" s="403"/>
      <c r="F58" s="403"/>
      <c r="G58" s="403"/>
      <c r="H58" s="366"/>
      <c r="I58" s="339"/>
      <c r="J58" s="339"/>
      <c r="K58" s="339"/>
      <c r="L58" s="322"/>
      <c r="M58" s="322"/>
      <c r="N58" s="322"/>
      <c r="O5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8" s="582" t="str" cm="1">
        <f t="array" ref="R58">IFERROR(IF(DeemedDashboard[[#This Row],[Msr device type]]=const_device_nonrefrig,0,INDEX(_xlfn.SWITCH($E$4,const_20_yr,GWP_Values_20_year_AR4,const_100_yr,GWP_Values_100_year_AR4),MATCH(DeemedDashboard[[#This Row],[Msr refrigerant Type]],RefrigDropdownList,0))),"")</f>
        <v/>
      </c>
      <c r="S58" s="582" t="str" cm="1">
        <f t="array" ref="S58">IFERROR(IF(DeemedDashboard[[#This Row],[Std device type]]=const_device_nonrefrig,0,INDEX(_xlfn.SWITCH($E$4,const_20_yr,GWP_Values_20_year_AR4,const_100_yr,GWP_Values_100_year_AR4),MATCH(DeemedDashboard[[#This Row],[Std refrigerant Type]],RefrigDropdownList,0))),"")</f>
        <v/>
      </c>
      <c r="T58" s="582" t="str" cm="1">
        <f t="array" ref="T58">IFERROR(IF(DeemedDashboard[[#This Row],[Pre/Ext device type]]=const_device_nonrefrig,0,INDEX(_xlfn.SWITCH($E$4,const_20_yr,GWP_Values_20_year_AR4,const_100_yr,GWP_Values_100_year_AR4),MATCH(DeemedDashboard[[#This Row],[Pre/Ext refrigerant Type]],RefrigDropdownList,0))),"")</f>
        <v/>
      </c>
      <c r="U5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8" s="326" t="str">
        <f>IFERROR(IF(DeemedDashboard[[#This Row],[Msr device type]]=const_userspec,IF(ISBLANK(User_Specified_Refrigerant[[#This Row],[Msr t_EOL]]),"",User_Specified_Refrigerant[[#This Row],[Msr t_EOL]]),INDEX(TechGroup_NormUnit_Table[t_EOL],MATCH(DeemedDashboard[[#This Row],[Msr device type]],DropdownRefrigTech,0))),"")</f>
        <v/>
      </c>
      <c r="AB58" s="326" t="str">
        <f>IFERROR(IF(DeemedDashboard[[#This Row],[Std device type]]=const_userspec,IF(ISBLANK(User_Specified_Refrigerant[[#This Row],[Std t_EOL]]),"",User_Specified_Refrigerant[[#This Row],[Std t_EOL]]),INDEX(TechGroup_NormUnit_Table[t_EOL],MATCH(DeemedDashboard[[#This Row],[Std device type]],DropdownRefrigTech,0))),"")</f>
        <v/>
      </c>
      <c r="AC5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8" s="395" t="str">
        <f>IF(ISBLANK(DeemedDashboard[[#This Row],[MeasAppType]]),"",$E$2)</f>
        <v/>
      </c>
      <c r="AE58" s="395" t="str">
        <f>IFERROR(IF(ISBLANK(DeemedDashboard[[#This Row],[MeasAppType]]),NA(),DeemedDashboard[[#This Row],[Measure Start Year]]+DeemedDashboard[[#This Row],[Msr EUL rounded]]-1),"")</f>
        <v/>
      </c>
      <c r="AF58" s="323" t="str">
        <f>IF(ISBLANK(DeemedDashboard[[#This Row],[Measure New Device EUL]]),"",ROUND(DeemedDashboard[[#This Row],[Measure New Device EUL]],0))</f>
        <v/>
      </c>
      <c r="AG58" s="323" t="str">
        <f>IF(ISBLANK(DeemedDashboard[[#This Row],[Counterfactual New Device EUL]]),"",ROUND(DeemedDashboard[[#This Row],[Counterfactual New Device EUL]],0))</f>
        <v/>
      </c>
      <c r="AH58" s="323" t="str">
        <f>IF(ISBLANK(DeemedDashboard[[#This Row],[Existing Device EUL]]),"",ROUND(DeemedDashboard[[#This Row],[Existing Device EUL]],0))</f>
        <v/>
      </c>
      <c r="AI58" s="323" t="str">
        <f>IF(ISBLANK(DeemedDashboard[[#This Row],[Existing Device RUL or AR First Baseline Life]]),"",ROUND(DeemedDashboard[[#This Row],[Existing Device RUL or AR First Baseline Life]],0))</f>
        <v/>
      </c>
      <c r="AJ58" s="327" t="str">
        <f>DeemedDashboard[[#This Row],[Measure Start Year]]</f>
        <v/>
      </c>
      <c r="AK58" s="327" t="str">
        <f>IF(DeemedDashboard[[#This Row],[MeasAppType]]&lt;&gt;const_AR,DeemedDashboard[[#This Row],[Measure Start Year]],DeemedDashboard[[#This Row],[Ext Device Retire-ment Year]]+1)</f>
        <v/>
      </c>
      <c r="AL58" s="327" t="str">
        <f>IFERROR(IF(DeemedDashboard[[#This Row],[MeasAppType]]=const_AR,DeemedDashboard[[#This Row],[Measure Start Year]]-(DeemedDashboard[[#This Row],[Existing Device EUL]]-DeemedDashboard[[#This Row],[Existing Device RUL or AR First Baseline Life]]),NA()),"")</f>
        <v/>
      </c>
      <c r="AM58" s="327" t="str">
        <f>DeemedDashboard[[#This Row],[Pre Device Install Year]]</f>
        <v/>
      </c>
      <c r="AN58" s="327" t="str">
        <f>IFERROR(IF(ISBLANK(DeemedDashboard[[#This Row],[MeasAppType]]),NA(),DeemedDashboard[[#This Row],[Measure Start Year]]+DeemedDashboard[[#This Row],[Msr EUL rounded]]-1),"")</f>
        <v/>
      </c>
      <c r="AO58" s="327" t="str">
        <f>IFERROR(DeemedDashboard[[#This Row],[Std Device Install Year]]+DeemedDashboard[[#This Row],[Counterfactual New Device EUL]]-1,"")</f>
        <v/>
      </c>
      <c r="AP58" s="327" t="str">
        <f>IFERROR(IF(AND(DeemedDashboard[[#This Row],[MeasAppType]]=const_AR,DeemedDashboard[[#This Row],[Measure Start Year]]&lt;(DeemedDashboard[[#This Row],[Pre Device Install Year]]+DeemedDashboard[[#This Row],[Existing Device EUL]]-1)),DeemedDashboard[[#This Row],[Measure Start Year]]-1,NA()),"")</f>
        <v/>
      </c>
      <c r="AQ58" s="327" t="str">
        <f>IFERROR(IF(DeemedDashboard[[#This Row],[MeasAppType]]=const_AR,DeemedDashboard[[#This Row],[Ext Device Install Year]]+DeemedDashboard[[#This Row],[Existing Device EUL]]-1,NA()),"")</f>
        <v/>
      </c>
      <c r="AR58" s="327" t="str">
        <f>IFERROR(IF(ISBLANK(DeemedDashboard[[#This Row],[MeasAppType]]),NA(),0),"")</f>
        <v/>
      </c>
      <c r="AS58" s="327" t="str">
        <f>IFERROR(IF(ISBLANK(DeemedDashboard[[#This Row],[MeasAppType]]),NA(),0),"")</f>
        <v/>
      </c>
      <c r="AT58" s="327" t="str">
        <f>IF(ISBLANK(DeemedDashboard[[#This Row],[MeasAppType]]),"",IF(DeemedDashboard[[#This Row],[MeasAppType]]&lt;&gt;const_AR,"",(DeemedDashboard[[#This Row],[Pre Device Install Year]]+DeemedDashboard[[#This Row],[Existing Device EUL]]-1)-DeemedDashboard[[#This Row],[Pre Device Retire-ment Year]]))</f>
        <v/>
      </c>
      <c r="AU58" s="327" t="str">
        <f>IF(ISBLANK(DeemedDashboard[[#This Row],[MeasAppType]]),"",IF(DeemedDashboard[[#This Row],[MeasAppType]]=const_AR,0,""))</f>
        <v/>
      </c>
      <c r="AV58" s="328" t="str">
        <f>IF(ISBLANK(DeemedDashboard[[#This Row],[MeasAppType]]),"",MAX((1+MIN(DeemedDashboard[[#This Row],[Msr Device Retire-ment Year]],DeemedDashboard[[#This Row],[Measure End 
Year]])-MAX(DeemedDashboard[[#This Row],[Msr Device Install Year]],DeemedDashboard[[#This Row],[Measure Start Year]])),0))</f>
        <v/>
      </c>
      <c r="AW58" s="328" t="str">
        <f>IF(ISBLANK(DeemedDashboard[[#This Row],[MeasAppType]]),"",MAX((1+MIN(DeemedDashboard[[#This Row],[Std Device Retire-ment Year]],DeemedDashboard[[#This Row],[Measure End 
Year]])-MAX(DeemedDashboard[[#This Row],[Std Device Install Year]],DeemedDashboard[[#This Row],[Measure Start Year]])),0))</f>
        <v/>
      </c>
      <c r="AX5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8" s="329" t="str">
        <f>IF(ISBLANK(DeemedDashboard[[#This Row],[MeasAppType]]),"",IF(DeemedDashboard[[#This Row],[Msr Device Years Over-lapping with Measure Years]]=0,0,DeemedDashboard[[#This Row],[Msr Device Years Over-lapping with Measure Years]]/DeemedDashboard[[#This Row],[Msr EUL rounded]]))</f>
        <v/>
      </c>
      <c r="BA58" s="329" t="str">
        <f>IF(ISBLANK(DeemedDashboard[[#This Row],[MeasAppType]]),"",IF(DeemedDashboard[[#This Row],[Std Device Years Over-lapping with Measure Years]]=0,0,DeemedDashboard[[#This Row],[Std Device Years Over-lapping with Measure Years]]/DeemedDashboard[[#This Row],[Counterfactual New Device EUL]]))</f>
        <v/>
      </c>
      <c r="BB58" s="329" t="str">
        <f>IF(ISBLANK(DeemedDashboard[[#This Row],[MeasAppType]]),"",IFERROR(IF(DeemedDashboard[[#This Row],[Pre Device Years Over-lapping with Measure Years]]=0,0,DeemedDashboard[[#This Row],[Pre Device Years Over-lapping with Measure Years]]/DeemedDashboard[[#This Row],[Existing Device EUL]]),""))</f>
        <v/>
      </c>
      <c r="BC58" s="329" t="str">
        <f>IFERROR(IF(DeemedDashboard[[#This Row],[Ext Device Years Over-lapping with Measure Years]]=0,0,DeemedDashboard[[#This Row],[Ext Device Years Over-lapping with Measure Years]]/DeemedDashboard[[#This Row],[Existing Device EUL]]),"")</f>
        <v/>
      </c>
      <c r="BD58" s="329" t="str">
        <f>IFERROR(IF(DeemedDashboard[[#This Row],[Msr Number of Years device retired early]]=0,0,DeemedDashboard[[#This Row],[Msr Number of Years device retired early]]/DeemedDashboard[[#This Row],[Msr EUL rounded]]),"")</f>
        <v/>
      </c>
      <c r="BE58" s="329" t="str">
        <f>IFERROR(IF(DeemedDashboard[[#This Row],[Std Number of Years device retired early]]=0,0,DeemedDashboard[[#This Row],[Std Number of Years device retired early]]/DeemedDashboard[[#This Row],[Msr EUL rounded]]),"")</f>
        <v/>
      </c>
      <c r="BF58" s="329" t="str">
        <f>IFERROR(IF(DeemedDashboard[[#This Row],[MeasAppType]]&lt;&gt;const_AR,"",IF(DeemedDashboard[[#This Row],[Pre Number of Years device retired early]]=0,0,DeemedDashboard[[#This Row],[Pre Number of Years device retired early]]/DeemedDashboard[[#This Row],[Existing Device EUL]])),"")</f>
        <v/>
      </c>
      <c r="BG58" s="329" t="str">
        <f>IFERROR(IF(DeemedDashboard[[#This Row],[Ext Number of Years device retired early]]=0,0,DeemedDashboard[[#This Row],[Ext Number of Years device retired early]]/DeemedDashboard[[#This Row],[Existing Device EUL]]),"")</f>
        <v/>
      </c>
      <c r="BH58" s="325" t="str">
        <f>IFERROR(1-DeemedDashboard[[#This Row],[Msr annual refrigerant leakage %]]*DeemedDashboard[[#This Row],[Msr t_EOL]],"")</f>
        <v/>
      </c>
      <c r="BI58" s="325" t="str">
        <f>IFERROR(1-DeemedDashboard[[#This Row],[Std annual refrigerant leakage %]]*DeemedDashboard[[#This Row],[Std t_EOL]],"")</f>
        <v/>
      </c>
      <c r="BJ58" s="325" t="str">
        <f>IFERROR(1-DeemedDashboard[[#This Row],[Pre/Ext annual refrigerant leakage %]]*DeemedDashboard[[#This Row],[Pre/Ext t_EOL]],"")</f>
        <v/>
      </c>
      <c r="BK58" s="325" t="str">
        <f>IFERROR(1-DeemedDashboard[[#This Row],[Pre/Ext annual refrigerant leakage %]]*DeemedDashboard[[#This Row],[Pre/Ext t_EOL]],"")</f>
        <v/>
      </c>
      <c r="BL58" s="325" t="str">
        <f>IFERROR(DeemedDashboard[[#This Row],[Msr charging remaining (%)]]*DeemedDashboard[[#This Row],[Msr gross EOL refrigerant leakage %]],"")</f>
        <v/>
      </c>
      <c r="BM58" s="325" t="str">
        <f>IFERROR(DeemedDashboard[[#This Row],[Std charging remaining (%)]]*DeemedDashboard[[#This Row],[Std gross EOL refrigerant leakage %]],"")</f>
        <v/>
      </c>
      <c r="BN58" s="325" t="str">
        <f>IFERROR(DeemedDashboard[[#This Row],[Pre charging remaining (%)]]*DeemedDashboard[[#This Row],[Pre/Ext gross EOL refrigerant leakage %]],"")</f>
        <v/>
      </c>
      <c r="BO58" s="325" t="str">
        <f>IFERROR(DeemedDashboard[[#This Row],[Ext charging remaining (%)]]*DeemedDashboard[[#This Row],[Pre/Ext gross EOL refrigerant leakage %]],"")</f>
        <v/>
      </c>
      <c r="BP58" s="330" t="str">
        <f>IFERROR((DeemedDashboard[[#This Row],[Msr refrigerant charge (lb) per NormUnit]]/pounds_per_metric_ton)*DeemedDashboard[[#This Row],[Msr annual refrigerant leakage %]]*DeemedDashboard[[#This Row],[Msr GWP]],"")</f>
        <v/>
      </c>
      <c r="BQ58" s="330" t="str">
        <f>IFERROR((DeemedDashboard[[#This Row],[Std refrigerant charge (lb) per NormUnit]]/pounds_per_metric_ton)*DeemedDashboard[[#This Row],[Std annual refrigerant leakage %]]*DeemedDashboard[[#This Row],[Std GWP]],"")</f>
        <v/>
      </c>
      <c r="BR58" s="330" t="str">
        <f>IF(DeemedDashboard[[#This Row],[MeasAppType]]=const_AR,(DeemedDashboard[[#This Row],[Pre/Ext refrigerant charge (lb) per NormUnit]]/pounds_per_metric_ton)*DeemedDashboard[[#This Row],[Pre/Ext annual refrigerant leakage %]]*DeemedDashboard[[#This Row],[Pre/Ext GWP]],"")</f>
        <v/>
      </c>
      <c r="BS58" s="330" t="str">
        <f>IF(DeemedDashboard[[#This Row],[MeasAppType]]=const_AR,(DeemedDashboard[[#This Row],[Pre/Ext refrigerant charge (lb) per NormUnit]]/pounds_per_metric_ton)*DeemedDashboard[[#This Row],[Pre/Ext annual refrigerant leakage %]]*DeemedDashboard[[#This Row],[Pre/Ext GWP]],"")</f>
        <v/>
      </c>
      <c r="BT58" s="330" t="str">
        <f>IFERROR((DeemedDashboard[[#This Row],[Msr refrigerant charge (lb) per NormUnit]]/pounds_per_metric_ton)*DeemedDashboard[[#This Row],[Msr net EOL refrigerant leakage (%)]]*DeemedDashboard[[#This Row],[Msr GWP]],"")</f>
        <v/>
      </c>
      <c r="BU58" s="330" t="str">
        <f>IFERROR((DeemedDashboard[[#This Row],[Std refrigerant charge (lb) per NormUnit]]/pounds_per_metric_ton)*DeemedDashboard[[#This Row],[Std net EOL refrigerant leakage (%)]]*DeemedDashboard[[#This Row],[Std GWP]],"")</f>
        <v/>
      </c>
      <c r="BV58" s="330" t="str">
        <f>IFERROR((DeemedDashboard[[#This Row],[Pre/Ext refrigerant charge (lb) per NormUnit]]/pounds_per_metric_ton)*DeemedDashboard[[#This Row],[Pre net EOL refrigerant leakage (%)]]*DeemedDashboard[[#This Row],[Pre/Ext GWP]],"")</f>
        <v/>
      </c>
      <c r="BW58" s="330" t="str">
        <f>IFERROR((DeemedDashboard[[#This Row],[Pre/Ext refrigerant charge (lb) per NormUnit]]/pounds_per_metric_ton)*DeemedDashboard[[#This Row],[Ext net EOL refrigerant leakage (%)]]*DeemedDashboard[[#This Row],[Pre/Ext GWP]],"")</f>
        <v/>
      </c>
      <c r="BX58" s="299" t="str" cm="1">
        <f t="array" aca="1" ref="BX5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8" s="305" t="str" cm="1">
        <f t="array" aca="1" ref="BY5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8" s="299" t="str">
        <f>IFERROR(IF(OR(DeemedDashboard[[#This Row],[MeasAppType]]&lt;&gt;const_AR,ISBLANK(DeemedDashboard[[#This Row],[MeasAppType]])),NA(),0),"")</f>
        <v/>
      </c>
      <c r="CA58" s="305" t="str" cm="1">
        <f t="array" aca="1" ref="CA5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8" s="299" t="str">
        <f ca="1">IFERROR((DeemedDashboard[[#This Row],[Msr EOL leakage tons CO2e]]*OFFSET(GHG_Adder_dollar_per_tonne,0,(DeemedDashboard[[#This Row],[Msr Device Retire-ment Year]]-DY+1),1,1))/(1+WACC)^(DeemedDashboard[[#This Row],[Msr Device Retire-ment Year]]-DeemedDashboard[[#This Row],[Measure Start Year]]+0.5),"")</f>
        <v/>
      </c>
      <c r="CC58" s="299" t="str">
        <f ca="1">IFERROR((DeemedDashboard[[#This Row],[Std EOL leakage tons CO2e]]*OFFSET(GHG_Adder_dollar_per_tonne,0,(DeemedDashboard[[#This Row],[Std Device Retire-ment Year]]-DY+1),1,1))/(1+WACC)^(DeemedDashboard[[#This Row],[Std Device Retire-ment Year]]-DeemedDashboard[[#This Row],[Measure Start Year]]+0.5),"")</f>
        <v/>
      </c>
      <c r="CD58" s="299" t="str">
        <f ca="1">IFERROR((DeemedDashboard[[#This Row],[Pre EOL leakage tons CO2e]]*OFFSET(GHG_Adder_dollar_per_tonne,0,(DeemedDashboard[[#This Row],[Measure Start Year]]-DY),1,1))/(1+WACC)^(-0.5),"")</f>
        <v/>
      </c>
      <c r="CE5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8" s="299" t="str">
        <f ca="1">IFERROR(DeemedDashboard[[#This Row],[Msr NPV Cost of Annual Leakage]]/(1+ACC_Inflation_Rate)^(DeemedDashboard[[#This Row],[Measure Start Year]]-DY),"")</f>
        <v/>
      </c>
      <c r="CG58" s="299" t="str">
        <f ca="1">IFERROR(DeemedDashboard[[#This Row],[Std NPV Cost of Annual Leakage]]/(1+ACC_Inflation_Rate)^(DeemedDashboard[[#This Row],[Measure Start Year]]-DY),"")</f>
        <v/>
      </c>
      <c r="CH58" s="299" t="str">
        <f>IFERROR(IF(ISBLANK(DeemedDashboard[[#This Row],[MeasAppType]]),NA(),IF(DeemedDashboard[[#This Row],[MeasAppType]]=const_AR,DeemedDashboard[[#This Row],[Pre NPV Cost of Annual Leakage]]/(1+ACC_Inflation_Rate)^(DeemedDashboard[[#This Row],[Measure Start Year]]-DY),"")),"")</f>
        <v/>
      </c>
      <c r="CI58" s="296" t="str">
        <f>IFERROR(IF(ISBLANK(DeemedDashboard[[#This Row],[MeasAppType]]),NA(),IF(DeemedDashboard[[#This Row],[MeasAppType]]=const_AR,DeemedDashboard[[#This Row],[Ext NPV Cost of Annual Leakage]]/(1+ACC_Inflation_Rate)^(DeemedDashboard[[#This Row],[Measure Start Year]]-DY),"")),"")</f>
        <v/>
      </c>
      <c r="CJ58" s="296" t="str">
        <f ca="1">IFERROR((DeemedDashboard[[#This Row],[Msr % of device lifetime during measure years]]+DeemedDashboard[[#This Row],[Msr % of device lifetime retired early]])*DeemedDashboard[[#This Row],[Msr NPV Cost of EOL Leakage]]/(1+ACC_Inflation_Rate)^(DeemedDashboard[[#This Row],[Measure Start Year]]-DY),"")</f>
        <v/>
      </c>
      <c r="CK58" s="296" t="str">
        <f ca="1">IFERROR((DeemedDashboard[[#This Row],[Std % of device lifetime during measure years]]+DeemedDashboard[[#This Row],[Std % of device lifetime retired early]])*DeemedDashboard[[#This Row],[Std NPV Cost of EOL Leakage]]/(1+ACC_Inflation_Rate)^(DeemedDashboard[[#This Row],[Measure Start Year]]-DY),"")</f>
        <v/>
      </c>
      <c r="CL5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8" s="299" t="str">
        <f ca="1">IFERROR(DeemedDashboard[[#This Row],[Counter-factual total 
NPV cost]]-DeemedDashboard[[#This Row],[Measure total 
NPV cost]],"")</f>
        <v/>
      </c>
      <c r="CQ58" s="299" t="str">
        <f>IF(ISBLANK(DeemedDashboard[[#This Row],[MeasAppType]]),"",DeemedDashboard[[#This Row],[Refrigerant
NPV costs
avoided]]&gt;0)</f>
        <v/>
      </c>
      <c r="CR58" s="299" t="str">
        <f ca="1">IFERROR(DeemedDashboard[[#This Row],[Msr Adj NPV Cost of Annual Leakage]]+DeemedDashboard[[#This Row],[Msr Adj NPV Cost of EOL Leakage]],"")</f>
        <v/>
      </c>
      <c r="CS58" s="299" t="str">
        <f ca="1">IFERROR(DeemedDashboard[[#This Row],[Std Adj NPV Cost of Annual Leakage]]+DeemedDashboard[[#This Row],[Std Adj NPV Cost of EOL Leakage]],"")</f>
        <v/>
      </c>
      <c r="CT58" s="299" t="str">
        <f>IFERROR(IF((DeemedDashboard[[#This Row],[Pre Adj NPV Cost of Annual Leakage]]+DeemedDashboard[[#This Row],[Pre Adj NPV Cost of EOL Leakage]])=0,"",DeemedDashboard[[#This Row],[Pre Adj NPV Cost of Annual Leakage]]+DeemedDashboard[[#This Row],[Pre Adj NPV Cost of EOL Leakage]]),"")</f>
        <v/>
      </c>
      <c r="CU58" s="299" t="str">
        <f>IFERROR(IF((DeemedDashboard[[#This Row],[Ext Adj NPV Cost of Annual Leakage]]+DeemedDashboard[[#This Row],[Ext Adj NPV Cost of EOL Leakage]])=0,"",DeemedDashboard[[#This Row],[Ext Adj NPV Cost of Annual Leakage]]+DeemedDashboard[[#This Row],[Ext Adj NPV Cost of EOL Leakage]]),"")</f>
        <v/>
      </c>
      <c r="CV58" s="299" t="str">
        <f>IFERROR(IF(DeemedDashboard[[#This Row],[Is Avoided Net Cost &gt;0?]],"",-DeemedDashboard[[#This Row],[Refrigerant
NPV costs
avoided]]),"")</f>
        <v/>
      </c>
      <c r="CW58" s="299" t="str">
        <f>IFERROR(IF(DeemedDashboard[[#This Row],[Is Avoided Net Cost &gt;0?]],DeemedDashboard[[#This Row],[Refrigerant
NPV costs
avoided]],""),"")</f>
        <v/>
      </c>
      <c r="CX58" s="391">
        <f ca="1">IFERROR(MATCH(DeemedDashboard[[#This Row],[TechGroup and NormUnit]],TechGroup_and_NormUnit,0),1)</f>
        <v>1</v>
      </c>
      <c r="CY58" s="391" cm="1">
        <f t="array" aca="1" ref="CY58" ca="1">IFERROR(INDEX(TGRows,DeemedDashboard[[#This Row],[TGIndex]]),"")</f>
        <v>2</v>
      </c>
      <c r="CZ58" s="391">
        <f ca="1">IF(DeemedDashboard[[#This Row],[MeasAppType]]=const_AR,DeemedDashboard[[#This Row],[TGRows]],DeemedDashboard[[#This Row],[TGRows]]+1)</f>
        <v>3</v>
      </c>
      <c r="DA58" s="391" t="str">
        <f>IF(ISBLANK(DeemedDashboard[[#This Row],[MeasAppType]]),"",IF(DeemedDashboard[[#This Row],[Index]]=User_Specified_Refrigerant[[#This Row],[Index]],"OK","ERROR"))</f>
        <v/>
      </c>
    </row>
    <row r="59" spans="1:105" s="320" customFormat="1" x14ac:dyDescent="0.25">
      <c r="A59" s="297">
        <f>ROW(DeemedDashboard[[#This Row],[Index]])-ROW(DeemedDashboard[[#Headers],[Index]])</f>
        <v>50</v>
      </c>
      <c r="B59" s="298"/>
      <c r="C59" s="321"/>
      <c r="D59" s="403"/>
      <c r="E59" s="403"/>
      <c r="F59" s="403"/>
      <c r="G59" s="403"/>
      <c r="H59" s="366"/>
      <c r="I59" s="339"/>
      <c r="J59" s="339"/>
      <c r="K59" s="339"/>
      <c r="L59" s="322"/>
      <c r="M59" s="322"/>
      <c r="N59" s="322"/>
      <c r="O5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5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5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59" s="582" t="str" cm="1">
        <f t="array" ref="R59">IFERROR(IF(DeemedDashboard[[#This Row],[Msr device type]]=const_device_nonrefrig,0,INDEX(_xlfn.SWITCH($E$4,const_20_yr,GWP_Values_20_year_AR4,const_100_yr,GWP_Values_100_year_AR4),MATCH(DeemedDashboard[[#This Row],[Msr refrigerant Type]],RefrigDropdownList,0))),"")</f>
        <v/>
      </c>
      <c r="S59" s="582" t="str" cm="1">
        <f t="array" ref="S59">IFERROR(IF(DeemedDashboard[[#This Row],[Std device type]]=const_device_nonrefrig,0,INDEX(_xlfn.SWITCH($E$4,const_20_yr,GWP_Values_20_year_AR4,const_100_yr,GWP_Values_100_year_AR4),MATCH(DeemedDashboard[[#This Row],[Std refrigerant Type]],RefrigDropdownList,0))),"")</f>
        <v/>
      </c>
      <c r="T59" s="582" t="str" cm="1">
        <f t="array" ref="T59">IFERROR(IF(DeemedDashboard[[#This Row],[Pre/Ext device type]]=const_device_nonrefrig,0,INDEX(_xlfn.SWITCH($E$4,const_20_yr,GWP_Values_20_year_AR4,const_100_yr,GWP_Values_100_year_AR4),MATCH(DeemedDashboard[[#This Row],[Pre/Ext refrigerant Type]],RefrigDropdownList,0))),"")</f>
        <v/>
      </c>
      <c r="U5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5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5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5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5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5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59" s="326" t="str">
        <f>IFERROR(IF(DeemedDashboard[[#This Row],[Msr device type]]=const_userspec,IF(ISBLANK(User_Specified_Refrigerant[[#This Row],[Msr t_EOL]]),"",User_Specified_Refrigerant[[#This Row],[Msr t_EOL]]),INDEX(TechGroup_NormUnit_Table[t_EOL],MATCH(DeemedDashboard[[#This Row],[Msr device type]],DropdownRefrigTech,0))),"")</f>
        <v/>
      </c>
      <c r="AB59" s="326" t="str">
        <f>IFERROR(IF(DeemedDashboard[[#This Row],[Std device type]]=const_userspec,IF(ISBLANK(User_Specified_Refrigerant[[#This Row],[Std t_EOL]]),"",User_Specified_Refrigerant[[#This Row],[Std t_EOL]]),INDEX(TechGroup_NormUnit_Table[t_EOL],MATCH(DeemedDashboard[[#This Row],[Std device type]],DropdownRefrigTech,0))),"")</f>
        <v/>
      </c>
      <c r="AC5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59" s="395" t="str">
        <f>IF(ISBLANK(DeemedDashboard[[#This Row],[MeasAppType]]),"",$E$2)</f>
        <v/>
      </c>
      <c r="AE59" s="395" t="str">
        <f>IFERROR(IF(ISBLANK(DeemedDashboard[[#This Row],[MeasAppType]]),NA(),DeemedDashboard[[#This Row],[Measure Start Year]]+DeemedDashboard[[#This Row],[Msr EUL rounded]]-1),"")</f>
        <v/>
      </c>
      <c r="AF59" s="323" t="str">
        <f>IF(ISBLANK(DeemedDashboard[[#This Row],[Measure New Device EUL]]),"",ROUND(DeemedDashboard[[#This Row],[Measure New Device EUL]],0))</f>
        <v/>
      </c>
      <c r="AG59" s="323" t="str">
        <f>IF(ISBLANK(DeemedDashboard[[#This Row],[Counterfactual New Device EUL]]),"",ROUND(DeemedDashboard[[#This Row],[Counterfactual New Device EUL]],0))</f>
        <v/>
      </c>
      <c r="AH59" s="323" t="str">
        <f>IF(ISBLANK(DeemedDashboard[[#This Row],[Existing Device EUL]]),"",ROUND(DeemedDashboard[[#This Row],[Existing Device EUL]],0))</f>
        <v/>
      </c>
      <c r="AI59" s="323" t="str">
        <f>IF(ISBLANK(DeemedDashboard[[#This Row],[Existing Device RUL or AR First Baseline Life]]),"",ROUND(DeemedDashboard[[#This Row],[Existing Device RUL or AR First Baseline Life]],0))</f>
        <v/>
      </c>
      <c r="AJ59" s="327" t="str">
        <f>DeemedDashboard[[#This Row],[Measure Start Year]]</f>
        <v/>
      </c>
      <c r="AK59" s="327" t="str">
        <f>IF(DeemedDashboard[[#This Row],[MeasAppType]]&lt;&gt;const_AR,DeemedDashboard[[#This Row],[Measure Start Year]],DeemedDashboard[[#This Row],[Ext Device Retire-ment Year]]+1)</f>
        <v/>
      </c>
      <c r="AL59" s="327" t="str">
        <f>IFERROR(IF(DeemedDashboard[[#This Row],[MeasAppType]]=const_AR,DeemedDashboard[[#This Row],[Measure Start Year]]-(DeemedDashboard[[#This Row],[Existing Device EUL]]-DeemedDashboard[[#This Row],[Existing Device RUL or AR First Baseline Life]]),NA()),"")</f>
        <v/>
      </c>
      <c r="AM59" s="327" t="str">
        <f>DeemedDashboard[[#This Row],[Pre Device Install Year]]</f>
        <v/>
      </c>
      <c r="AN59" s="327" t="str">
        <f>IFERROR(IF(ISBLANK(DeemedDashboard[[#This Row],[MeasAppType]]),NA(),DeemedDashboard[[#This Row],[Measure Start Year]]+DeemedDashboard[[#This Row],[Msr EUL rounded]]-1),"")</f>
        <v/>
      </c>
      <c r="AO59" s="327" t="str">
        <f>IFERROR(DeemedDashboard[[#This Row],[Std Device Install Year]]+DeemedDashboard[[#This Row],[Counterfactual New Device EUL]]-1,"")</f>
        <v/>
      </c>
      <c r="AP59" s="327" t="str">
        <f>IFERROR(IF(AND(DeemedDashboard[[#This Row],[MeasAppType]]=const_AR,DeemedDashboard[[#This Row],[Measure Start Year]]&lt;(DeemedDashboard[[#This Row],[Pre Device Install Year]]+DeemedDashboard[[#This Row],[Existing Device EUL]]-1)),DeemedDashboard[[#This Row],[Measure Start Year]]-1,NA()),"")</f>
        <v/>
      </c>
      <c r="AQ59" s="327" t="str">
        <f>IFERROR(IF(DeemedDashboard[[#This Row],[MeasAppType]]=const_AR,DeemedDashboard[[#This Row],[Ext Device Install Year]]+DeemedDashboard[[#This Row],[Existing Device EUL]]-1,NA()),"")</f>
        <v/>
      </c>
      <c r="AR59" s="327" t="str">
        <f>IFERROR(IF(ISBLANK(DeemedDashboard[[#This Row],[MeasAppType]]),NA(),0),"")</f>
        <v/>
      </c>
      <c r="AS59" s="327" t="str">
        <f>IFERROR(IF(ISBLANK(DeemedDashboard[[#This Row],[MeasAppType]]),NA(),0),"")</f>
        <v/>
      </c>
      <c r="AT59" s="327" t="str">
        <f>IF(ISBLANK(DeemedDashboard[[#This Row],[MeasAppType]]),"",IF(DeemedDashboard[[#This Row],[MeasAppType]]&lt;&gt;const_AR,"",(DeemedDashboard[[#This Row],[Pre Device Install Year]]+DeemedDashboard[[#This Row],[Existing Device EUL]]-1)-DeemedDashboard[[#This Row],[Pre Device Retire-ment Year]]))</f>
        <v/>
      </c>
      <c r="AU59" s="327" t="str">
        <f>IF(ISBLANK(DeemedDashboard[[#This Row],[MeasAppType]]),"",IF(DeemedDashboard[[#This Row],[MeasAppType]]=const_AR,0,""))</f>
        <v/>
      </c>
      <c r="AV59" s="328" t="str">
        <f>IF(ISBLANK(DeemedDashboard[[#This Row],[MeasAppType]]),"",MAX((1+MIN(DeemedDashboard[[#This Row],[Msr Device Retire-ment Year]],DeemedDashboard[[#This Row],[Measure End 
Year]])-MAX(DeemedDashboard[[#This Row],[Msr Device Install Year]],DeemedDashboard[[#This Row],[Measure Start Year]])),0))</f>
        <v/>
      </c>
      <c r="AW59" s="328" t="str">
        <f>IF(ISBLANK(DeemedDashboard[[#This Row],[MeasAppType]]),"",MAX((1+MIN(DeemedDashboard[[#This Row],[Std Device Retire-ment Year]],DeemedDashboard[[#This Row],[Measure End 
Year]])-MAX(DeemedDashboard[[#This Row],[Std Device Install Year]],DeemedDashboard[[#This Row],[Measure Start Year]])),0))</f>
        <v/>
      </c>
      <c r="AX5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5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59" s="329" t="str">
        <f>IF(ISBLANK(DeemedDashboard[[#This Row],[MeasAppType]]),"",IF(DeemedDashboard[[#This Row],[Msr Device Years Over-lapping with Measure Years]]=0,0,DeemedDashboard[[#This Row],[Msr Device Years Over-lapping with Measure Years]]/DeemedDashboard[[#This Row],[Msr EUL rounded]]))</f>
        <v/>
      </c>
      <c r="BA59" s="329" t="str">
        <f>IF(ISBLANK(DeemedDashboard[[#This Row],[MeasAppType]]),"",IF(DeemedDashboard[[#This Row],[Std Device Years Over-lapping with Measure Years]]=0,0,DeemedDashboard[[#This Row],[Std Device Years Over-lapping with Measure Years]]/DeemedDashboard[[#This Row],[Counterfactual New Device EUL]]))</f>
        <v/>
      </c>
      <c r="BB59" s="329" t="str">
        <f>IF(ISBLANK(DeemedDashboard[[#This Row],[MeasAppType]]),"",IFERROR(IF(DeemedDashboard[[#This Row],[Pre Device Years Over-lapping with Measure Years]]=0,0,DeemedDashboard[[#This Row],[Pre Device Years Over-lapping with Measure Years]]/DeemedDashboard[[#This Row],[Existing Device EUL]]),""))</f>
        <v/>
      </c>
      <c r="BC59" s="329" t="str">
        <f>IFERROR(IF(DeemedDashboard[[#This Row],[Ext Device Years Over-lapping with Measure Years]]=0,0,DeemedDashboard[[#This Row],[Ext Device Years Over-lapping with Measure Years]]/DeemedDashboard[[#This Row],[Existing Device EUL]]),"")</f>
        <v/>
      </c>
      <c r="BD59" s="329" t="str">
        <f>IFERROR(IF(DeemedDashboard[[#This Row],[Msr Number of Years device retired early]]=0,0,DeemedDashboard[[#This Row],[Msr Number of Years device retired early]]/DeemedDashboard[[#This Row],[Msr EUL rounded]]),"")</f>
        <v/>
      </c>
      <c r="BE59" s="329" t="str">
        <f>IFERROR(IF(DeemedDashboard[[#This Row],[Std Number of Years device retired early]]=0,0,DeemedDashboard[[#This Row],[Std Number of Years device retired early]]/DeemedDashboard[[#This Row],[Msr EUL rounded]]),"")</f>
        <v/>
      </c>
      <c r="BF59" s="329" t="str">
        <f>IFERROR(IF(DeemedDashboard[[#This Row],[MeasAppType]]&lt;&gt;const_AR,"",IF(DeemedDashboard[[#This Row],[Pre Number of Years device retired early]]=0,0,DeemedDashboard[[#This Row],[Pre Number of Years device retired early]]/DeemedDashboard[[#This Row],[Existing Device EUL]])),"")</f>
        <v/>
      </c>
      <c r="BG59" s="329" t="str">
        <f>IFERROR(IF(DeemedDashboard[[#This Row],[Ext Number of Years device retired early]]=0,0,DeemedDashboard[[#This Row],[Ext Number of Years device retired early]]/DeemedDashboard[[#This Row],[Existing Device EUL]]),"")</f>
        <v/>
      </c>
      <c r="BH59" s="325" t="str">
        <f>IFERROR(1-DeemedDashboard[[#This Row],[Msr annual refrigerant leakage %]]*DeemedDashboard[[#This Row],[Msr t_EOL]],"")</f>
        <v/>
      </c>
      <c r="BI59" s="325" t="str">
        <f>IFERROR(1-DeemedDashboard[[#This Row],[Std annual refrigerant leakage %]]*DeemedDashboard[[#This Row],[Std t_EOL]],"")</f>
        <v/>
      </c>
      <c r="BJ59" s="325" t="str">
        <f>IFERROR(1-DeemedDashboard[[#This Row],[Pre/Ext annual refrigerant leakage %]]*DeemedDashboard[[#This Row],[Pre/Ext t_EOL]],"")</f>
        <v/>
      </c>
      <c r="BK59" s="325" t="str">
        <f>IFERROR(1-DeemedDashboard[[#This Row],[Pre/Ext annual refrigerant leakage %]]*DeemedDashboard[[#This Row],[Pre/Ext t_EOL]],"")</f>
        <v/>
      </c>
      <c r="BL59" s="325" t="str">
        <f>IFERROR(DeemedDashboard[[#This Row],[Msr charging remaining (%)]]*DeemedDashboard[[#This Row],[Msr gross EOL refrigerant leakage %]],"")</f>
        <v/>
      </c>
      <c r="BM59" s="325" t="str">
        <f>IFERROR(DeemedDashboard[[#This Row],[Std charging remaining (%)]]*DeemedDashboard[[#This Row],[Std gross EOL refrigerant leakage %]],"")</f>
        <v/>
      </c>
      <c r="BN59" s="325" t="str">
        <f>IFERROR(DeemedDashboard[[#This Row],[Pre charging remaining (%)]]*DeemedDashboard[[#This Row],[Pre/Ext gross EOL refrigerant leakage %]],"")</f>
        <v/>
      </c>
      <c r="BO59" s="325" t="str">
        <f>IFERROR(DeemedDashboard[[#This Row],[Ext charging remaining (%)]]*DeemedDashboard[[#This Row],[Pre/Ext gross EOL refrigerant leakage %]],"")</f>
        <v/>
      </c>
      <c r="BP59" s="330" t="str">
        <f>IFERROR((DeemedDashboard[[#This Row],[Msr refrigerant charge (lb) per NormUnit]]/pounds_per_metric_ton)*DeemedDashboard[[#This Row],[Msr annual refrigerant leakage %]]*DeemedDashboard[[#This Row],[Msr GWP]],"")</f>
        <v/>
      </c>
      <c r="BQ59" s="330" t="str">
        <f>IFERROR((DeemedDashboard[[#This Row],[Std refrigerant charge (lb) per NormUnit]]/pounds_per_metric_ton)*DeemedDashboard[[#This Row],[Std annual refrigerant leakage %]]*DeemedDashboard[[#This Row],[Std GWP]],"")</f>
        <v/>
      </c>
      <c r="BR59" s="330" t="str">
        <f>IF(DeemedDashboard[[#This Row],[MeasAppType]]=const_AR,(DeemedDashboard[[#This Row],[Pre/Ext refrigerant charge (lb) per NormUnit]]/pounds_per_metric_ton)*DeemedDashboard[[#This Row],[Pre/Ext annual refrigerant leakage %]]*DeemedDashboard[[#This Row],[Pre/Ext GWP]],"")</f>
        <v/>
      </c>
      <c r="BS59" s="330" t="str">
        <f>IF(DeemedDashboard[[#This Row],[MeasAppType]]=const_AR,(DeemedDashboard[[#This Row],[Pre/Ext refrigerant charge (lb) per NormUnit]]/pounds_per_metric_ton)*DeemedDashboard[[#This Row],[Pre/Ext annual refrigerant leakage %]]*DeemedDashboard[[#This Row],[Pre/Ext GWP]],"")</f>
        <v/>
      </c>
      <c r="BT59" s="330" t="str">
        <f>IFERROR((DeemedDashboard[[#This Row],[Msr refrigerant charge (lb) per NormUnit]]/pounds_per_metric_ton)*DeemedDashboard[[#This Row],[Msr net EOL refrigerant leakage (%)]]*DeemedDashboard[[#This Row],[Msr GWP]],"")</f>
        <v/>
      </c>
      <c r="BU59" s="330" t="str">
        <f>IFERROR((DeemedDashboard[[#This Row],[Std refrigerant charge (lb) per NormUnit]]/pounds_per_metric_ton)*DeemedDashboard[[#This Row],[Std net EOL refrigerant leakage (%)]]*DeemedDashboard[[#This Row],[Std GWP]],"")</f>
        <v/>
      </c>
      <c r="BV59" s="330" t="str">
        <f>IFERROR((DeemedDashboard[[#This Row],[Pre/Ext refrigerant charge (lb) per NormUnit]]/pounds_per_metric_ton)*DeemedDashboard[[#This Row],[Pre net EOL refrigerant leakage (%)]]*DeemedDashboard[[#This Row],[Pre/Ext GWP]],"")</f>
        <v/>
      </c>
      <c r="BW59" s="330" t="str">
        <f>IFERROR((DeemedDashboard[[#This Row],[Pre/Ext refrigerant charge (lb) per NormUnit]]/pounds_per_metric_ton)*DeemedDashboard[[#This Row],[Ext net EOL refrigerant leakage (%)]]*DeemedDashboard[[#This Row],[Pre/Ext GWP]],"")</f>
        <v/>
      </c>
      <c r="BX59" s="299" t="str" cm="1">
        <f t="array" aca="1" ref="BX5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59" s="305" t="str" cm="1">
        <f t="array" aca="1" ref="BY5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59" s="299" t="str">
        <f>IFERROR(IF(OR(DeemedDashboard[[#This Row],[MeasAppType]]&lt;&gt;const_AR,ISBLANK(DeemedDashboard[[#This Row],[MeasAppType]])),NA(),0),"")</f>
        <v/>
      </c>
      <c r="CA59" s="305" t="str" cm="1">
        <f t="array" aca="1" ref="CA5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59" s="299" t="str">
        <f ca="1">IFERROR((DeemedDashboard[[#This Row],[Msr EOL leakage tons CO2e]]*OFFSET(GHG_Adder_dollar_per_tonne,0,(DeemedDashboard[[#This Row],[Msr Device Retire-ment Year]]-DY+1),1,1))/(1+WACC)^(DeemedDashboard[[#This Row],[Msr Device Retire-ment Year]]-DeemedDashboard[[#This Row],[Measure Start Year]]+0.5),"")</f>
        <v/>
      </c>
      <c r="CC59" s="299" t="str">
        <f ca="1">IFERROR((DeemedDashboard[[#This Row],[Std EOL leakage tons CO2e]]*OFFSET(GHG_Adder_dollar_per_tonne,0,(DeemedDashboard[[#This Row],[Std Device Retire-ment Year]]-DY+1),1,1))/(1+WACC)^(DeemedDashboard[[#This Row],[Std Device Retire-ment Year]]-DeemedDashboard[[#This Row],[Measure Start Year]]+0.5),"")</f>
        <v/>
      </c>
      <c r="CD59" s="299" t="str">
        <f ca="1">IFERROR((DeemedDashboard[[#This Row],[Pre EOL leakage tons CO2e]]*OFFSET(GHG_Adder_dollar_per_tonne,0,(DeemedDashboard[[#This Row],[Measure Start Year]]-DY),1,1))/(1+WACC)^(-0.5),"")</f>
        <v/>
      </c>
      <c r="CE5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59" s="299" t="str">
        <f ca="1">IFERROR(DeemedDashboard[[#This Row],[Msr NPV Cost of Annual Leakage]]/(1+ACC_Inflation_Rate)^(DeemedDashboard[[#This Row],[Measure Start Year]]-DY),"")</f>
        <v/>
      </c>
      <c r="CG59" s="299" t="str">
        <f ca="1">IFERROR(DeemedDashboard[[#This Row],[Std NPV Cost of Annual Leakage]]/(1+ACC_Inflation_Rate)^(DeemedDashboard[[#This Row],[Measure Start Year]]-DY),"")</f>
        <v/>
      </c>
      <c r="CH59" s="299" t="str">
        <f>IFERROR(IF(ISBLANK(DeemedDashboard[[#This Row],[MeasAppType]]),NA(),IF(DeemedDashboard[[#This Row],[MeasAppType]]=const_AR,DeemedDashboard[[#This Row],[Pre NPV Cost of Annual Leakage]]/(1+ACC_Inflation_Rate)^(DeemedDashboard[[#This Row],[Measure Start Year]]-DY),"")),"")</f>
        <v/>
      </c>
      <c r="CI59" s="296" t="str">
        <f>IFERROR(IF(ISBLANK(DeemedDashboard[[#This Row],[MeasAppType]]),NA(),IF(DeemedDashboard[[#This Row],[MeasAppType]]=const_AR,DeemedDashboard[[#This Row],[Ext NPV Cost of Annual Leakage]]/(1+ACC_Inflation_Rate)^(DeemedDashboard[[#This Row],[Measure Start Year]]-DY),"")),"")</f>
        <v/>
      </c>
      <c r="CJ59" s="296" t="str">
        <f ca="1">IFERROR((DeemedDashboard[[#This Row],[Msr % of device lifetime during measure years]]+DeemedDashboard[[#This Row],[Msr % of device lifetime retired early]])*DeemedDashboard[[#This Row],[Msr NPV Cost of EOL Leakage]]/(1+ACC_Inflation_Rate)^(DeemedDashboard[[#This Row],[Measure Start Year]]-DY),"")</f>
        <v/>
      </c>
      <c r="CK59" s="296" t="str">
        <f ca="1">IFERROR((DeemedDashboard[[#This Row],[Std % of device lifetime during measure years]]+DeemedDashboard[[#This Row],[Std % of device lifetime retired early]])*DeemedDashboard[[#This Row],[Std NPV Cost of EOL Leakage]]/(1+ACC_Inflation_Rate)^(DeemedDashboard[[#This Row],[Measure Start Year]]-DY),"")</f>
        <v/>
      </c>
      <c r="CL5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5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5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5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59" s="299" t="str">
        <f ca="1">IFERROR(DeemedDashboard[[#This Row],[Counter-factual total 
NPV cost]]-DeemedDashboard[[#This Row],[Measure total 
NPV cost]],"")</f>
        <v/>
      </c>
      <c r="CQ59" s="299" t="str">
        <f>IF(ISBLANK(DeemedDashboard[[#This Row],[MeasAppType]]),"",DeemedDashboard[[#This Row],[Refrigerant
NPV costs
avoided]]&gt;0)</f>
        <v/>
      </c>
      <c r="CR59" s="299" t="str">
        <f ca="1">IFERROR(DeemedDashboard[[#This Row],[Msr Adj NPV Cost of Annual Leakage]]+DeemedDashboard[[#This Row],[Msr Adj NPV Cost of EOL Leakage]],"")</f>
        <v/>
      </c>
      <c r="CS59" s="299" t="str">
        <f ca="1">IFERROR(DeemedDashboard[[#This Row],[Std Adj NPV Cost of Annual Leakage]]+DeemedDashboard[[#This Row],[Std Adj NPV Cost of EOL Leakage]],"")</f>
        <v/>
      </c>
      <c r="CT59" s="299" t="str">
        <f>IFERROR(IF((DeemedDashboard[[#This Row],[Pre Adj NPV Cost of Annual Leakage]]+DeemedDashboard[[#This Row],[Pre Adj NPV Cost of EOL Leakage]])=0,"",DeemedDashboard[[#This Row],[Pre Adj NPV Cost of Annual Leakage]]+DeemedDashboard[[#This Row],[Pre Adj NPV Cost of EOL Leakage]]),"")</f>
        <v/>
      </c>
      <c r="CU59" s="299" t="str">
        <f>IFERROR(IF((DeemedDashboard[[#This Row],[Ext Adj NPV Cost of Annual Leakage]]+DeemedDashboard[[#This Row],[Ext Adj NPV Cost of EOL Leakage]])=0,"",DeemedDashboard[[#This Row],[Ext Adj NPV Cost of Annual Leakage]]+DeemedDashboard[[#This Row],[Ext Adj NPV Cost of EOL Leakage]]),"")</f>
        <v/>
      </c>
      <c r="CV59" s="299" t="str">
        <f>IFERROR(IF(DeemedDashboard[[#This Row],[Is Avoided Net Cost &gt;0?]],"",-DeemedDashboard[[#This Row],[Refrigerant
NPV costs
avoided]]),"")</f>
        <v/>
      </c>
      <c r="CW59" s="299" t="str">
        <f>IFERROR(IF(DeemedDashboard[[#This Row],[Is Avoided Net Cost &gt;0?]],DeemedDashboard[[#This Row],[Refrigerant
NPV costs
avoided]],""),"")</f>
        <v/>
      </c>
      <c r="CX59" s="391">
        <f ca="1">IFERROR(MATCH(DeemedDashboard[[#This Row],[TechGroup and NormUnit]],TechGroup_and_NormUnit,0),1)</f>
        <v>1</v>
      </c>
      <c r="CY59" s="391" cm="1">
        <f t="array" aca="1" ref="CY59" ca="1">IFERROR(INDEX(TGRows,DeemedDashboard[[#This Row],[TGIndex]]),"")</f>
        <v>2</v>
      </c>
      <c r="CZ59" s="391">
        <f ca="1">IF(DeemedDashboard[[#This Row],[MeasAppType]]=const_AR,DeemedDashboard[[#This Row],[TGRows]],DeemedDashboard[[#This Row],[TGRows]]+1)</f>
        <v>3</v>
      </c>
      <c r="DA59" s="391" t="str">
        <f>IF(ISBLANK(DeemedDashboard[[#This Row],[MeasAppType]]),"",IF(DeemedDashboard[[#This Row],[Index]]=User_Specified_Refrigerant[[#This Row],[Index]],"OK","ERROR"))</f>
        <v/>
      </c>
    </row>
    <row r="60" spans="1:105" s="320" customFormat="1" x14ac:dyDescent="0.25">
      <c r="A60" s="297">
        <f>ROW(DeemedDashboard[[#This Row],[Index]])-ROW(DeemedDashboard[[#Headers],[Index]])</f>
        <v>51</v>
      </c>
      <c r="B60" s="298"/>
      <c r="C60" s="321"/>
      <c r="D60" s="403"/>
      <c r="E60" s="403"/>
      <c r="F60" s="403"/>
      <c r="G60" s="403"/>
      <c r="H60" s="366"/>
      <c r="I60" s="339"/>
      <c r="J60" s="339"/>
      <c r="K60" s="339"/>
      <c r="L60" s="322"/>
      <c r="M60" s="322"/>
      <c r="N60" s="322"/>
      <c r="O6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0" s="582" t="str" cm="1">
        <f t="array" ref="R60">IFERROR(IF(DeemedDashboard[[#This Row],[Msr device type]]=const_device_nonrefrig,0,INDEX(_xlfn.SWITCH($E$4,const_20_yr,GWP_Values_20_year_AR4,const_100_yr,GWP_Values_100_year_AR4),MATCH(DeemedDashboard[[#This Row],[Msr refrigerant Type]],RefrigDropdownList,0))),"")</f>
        <v/>
      </c>
      <c r="S60" s="582" t="str" cm="1">
        <f t="array" ref="S60">IFERROR(IF(DeemedDashboard[[#This Row],[Std device type]]=const_device_nonrefrig,0,INDEX(_xlfn.SWITCH($E$4,const_20_yr,GWP_Values_20_year_AR4,const_100_yr,GWP_Values_100_year_AR4),MATCH(DeemedDashboard[[#This Row],[Std refrigerant Type]],RefrigDropdownList,0))),"")</f>
        <v/>
      </c>
      <c r="T60" s="582" t="str" cm="1">
        <f t="array" ref="T60">IFERROR(IF(DeemedDashboard[[#This Row],[Pre/Ext device type]]=const_device_nonrefrig,0,INDEX(_xlfn.SWITCH($E$4,const_20_yr,GWP_Values_20_year_AR4,const_100_yr,GWP_Values_100_year_AR4),MATCH(DeemedDashboard[[#This Row],[Pre/Ext refrigerant Type]],RefrigDropdownList,0))),"")</f>
        <v/>
      </c>
      <c r="U6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0" s="326" t="str">
        <f>IFERROR(IF(DeemedDashboard[[#This Row],[Msr device type]]=const_userspec,IF(ISBLANK(User_Specified_Refrigerant[[#This Row],[Msr t_EOL]]),"",User_Specified_Refrigerant[[#This Row],[Msr t_EOL]]),INDEX(TechGroup_NormUnit_Table[t_EOL],MATCH(DeemedDashboard[[#This Row],[Msr device type]],DropdownRefrigTech,0))),"")</f>
        <v/>
      </c>
      <c r="AB60" s="326" t="str">
        <f>IFERROR(IF(DeemedDashboard[[#This Row],[Std device type]]=const_userspec,IF(ISBLANK(User_Specified_Refrigerant[[#This Row],[Std t_EOL]]),"",User_Specified_Refrigerant[[#This Row],[Std t_EOL]]),INDEX(TechGroup_NormUnit_Table[t_EOL],MATCH(DeemedDashboard[[#This Row],[Std device type]],DropdownRefrigTech,0))),"")</f>
        <v/>
      </c>
      <c r="AC6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0" s="395" t="str">
        <f>IF(ISBLANK(DeemedDashboard[[#This Row],[MeasAppType]]),"",$E$2)</f>
        <v/>
      </c>
      <c r="AE60" s="395" t="str">
        <f>IFERROR(IF(ISBLANK(DeemedDashboard[[#This Row],[MeasAppType]]),NA(),DeemedDashboard[[#This Row],[Measure Start Year]]+DeemedDashboard[[#This Row],[Msr EUL rounded]]-1),"")</f>
        <v/>
      </c>
      <c r="AF60" s="323" t="str">
        <f>IF(ISBLANK(DeemedDashboard[[#This Row],[Measure New Device EUL]]),"",ROUND(DeemedDashboard[[#This Row],[Measure New Device EUL]],0))</f>
        <v/>
      </c>
      <c r="AG60" s="323" t="str">
        <f>IF(ISBLANK(DeemedDashboard[[#This Row],[Counterfactual New Device EUL]]),"",ROUND(DeemedDashboard[[#This Row],[Counterfactual New Device EUL]],0))</f>
        <v/>
      </c>
      <c r="AH60" s="323" t="str">
        <f>IF(ISBLANK(DeemedDashboard[[#This Row],[Existing Device EUL]]),"",ROUND(DeemedDashboard[[#This Row],[Existing Device EUL]],0))</f>
        <v/>
      </c>
      <c r="AI60" s="323" t="str">
        <f>IF(ISBLANK(DeemedDashboard[[#This Row],[Existing Device RUL or AR First Baseline Life]]),"",ROUND(DeemedDashboard[[#This Row],[Existing Device RUL or AR First Baseline Life]],0))</f>
        <v/>
      </c>
      <c r="AJ60" s="327" t="str">
        <f>DeemedDashboard[[#This Row],[Measure Start Year]]</f>
        <v/>
      </c>
      <c r="AK60" s="327" t="str">
        <f>IF(DeemedDashboard[[#This Row],[MeasAppType]]&lt;&gt;const_AR,DeemedDashboard[[#This Row],[Measure Start Year]],DeemedDashboard[[#This Row],[Ext Device Retire-ment Year]]+1)</f>
        <v/>
      </c>
      <c r="AL60" s="327" t="str">
        <f>IFERROR(IF(DeemedDashboard[[#This Row],[MeasAppType]]=const_AR,DeemedDashboard[[#This Row],[Measure Start Year]]-(DeemedDashboard[[#This Row],[Existing Device EUL]]-DeemedDashboard[[#This Row],[Existing Device RUL or AR First Baseline Life]]),NA()),"")</f>
        <v/>
      </c>
      <c r="AM60" s="327" t="str">
        <f>DeemedDashboard[[#This Row],[Pre Device Install Year]]</f>
        <v/>
      </c>
      <c r="AN60" s="327" t="str">
        <f>IFERROR(IF(ISBLANK(DeemedDashboard[[#This Row],[MeasAppType]]),NA(),DeemedDashboard[[#This Row],[Measure Start Year]]+DeemedDashboard[[#This Row],[Msr EUL rounded]]-1),"")</f>
        <v/>
      </c>
      <c r="AO60" s="327" t="str">
        <f>IFERROR(DeemedDashboard[[#This Row],[Std Device Install Year]]+DeemedDashboard[[#This Row],[Counterfactual New Device EUL]]-1,"")</f>
        <v/>
      </c>
      <c r="AP60" s="327" t="str">
        <f>IFERROR(IF(AND(DeemedDashboard[[#This Row],[MeasAppType]]=const_AR,DeemedDashboard[[#This Row],[Measure Start Year]]&lt;(DeemedDashboard[[#This Row],[Pre Device Install Year]]+DeemedDashboard[[#This Row],[Existing Device EUL]]-1)),DeemedDashboard[[#This Row],[Measure Start Year]]-1,NA()),"")</f>
        <v/>
      </c>
      <c r="AQ60" s="327" t="str">
        <f>IFERROR(IF(DeemedDashboard[[#This Row],[MeasAppType]]=const_AR,DeemedDashboard[[#This Row],[Ext Device Install Year]]+DeemedDashboard[[#This Row],[Existing Device EUL]]-1,NA()),"")</f>
        <v/>
      </c>
      <c r="AR60" s="327" t="str">
        <f>IFERROR(IF(ISBLANK(DeemedDashboard[[#This Row],[MeasAppType]]),NA(),0),"")</f>
        <v/>
      </c>
      <c r="AS60" s="327" t="str">
        <f>IFERROR(IF(ISBLANK(DeemedDashboard[[#This Row],[MeasAppType]]),NA(),0),"")</f>
        <v/>
      </c>
      <c r="AT60" s="327" t="str">
        <f>IF(ISBLANK(DeemedDashboard[[#This Row],[MeasAppType]]),"",IF(DeemedDashboard[[#This Row],[MeasAppType]]&lt;&gt;const_AR,"",(DeemedDashboard[[#This Row],[Pre Device Install Year]]+DeemedDashboard[[#This Row],[Existing Device EUL]]-1)-DeemedDashboard[[#This Row],[Pre Device Retire-ment Year]]))</f>
        <v/>
      </c>
      <c r="AU60" s="327" t="str">
        <f>IF(ISBLANK(DeemedDashboard[[#This Row],[MeasAppType]]),"",IF(DeemedDashboard[[#This Row],[MeasAppType]]=const_AR,0,""))</f>
        <v/>
      </c>
      <c r="AV60" s="328" t="str">
        <f>IF(ISBLANK(DeemedDashboard[[#This Row],[MeasAppType]]),"",MAX((1+MIN(DeemedDashboard[[#This Row],[Msr Device Retire-ment Year]],DeemedDashboard[[#This Row],[Measure End 
Year]])-MAX(DeemedDashboard[[#This Row],[Msr Device Install Year]],DeemedDashboard[[#This Row],[Measure Start Year]])),0))</f>
        <v/>
      </c>
      <c r="AW60" s="328" t="str">
        <f>IF(ISBLANK(DeemedDashboard[[#This Row],[MeasAppType]]),"",MAX((1+MIN(DeemedDashboard[[#This Row],[Std Device Retire-ment Year]],DeemedDashboard[[#This Row],[Measure End 
Year]])-MAX(DeemedDashboard[[#This Row],[Std Device Install Year]],DeemedDashboard[[#This Row],[Measure Start Year]])),0))</f>
        <v/>
      </c>
      <c r="AX6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0" s="329" t="str">
        <f>IF(ISBLANK(DeemedDashboard[[#This Row],[MeasAppType]]),"",IF(DeemedDashboard[[#This Row],[Msr Device Years Over-lapping with Measure Years]]=0,0,DeemedDashboard[[#This Row],[Msr Device Years Over-lapping with Measure Years]]/DeemedDashboard[[#This Row],[Msr EUL rounded]]))</f>
        <v/>
      </c>
      <c r="BA60" s="329" t="str">
        <f>IF(ISBLANK(DeemedDashboard[[#This Row],[MeasAppType]]),"",IF(DeemedDashboard[[#This Row],[Std Device Years Over-lapping with Measure Years]]=0,0,DeemedDashboard[[#This Row],[Std Device Years Over-lapping with Measure Years]]/DeemedDashboard[[#This Row],[Counterfactual New Device EUL]]))</f>
        <v/>
      </c>
      <c r="BB60" s="329" t="str">
        <f>IF(ISBLANK(DeemedDashboard[[#This Row],[MeasAppType]]),"",IFERROR(IF(DeemedDashboard[[#This Row],[Pre Device Years Over-lapping with Measure Years]]=0,0,DeemedDashboard[[#This Row],[Pre Device Years Over-lapping with Measure Years]]/DeemedDashboard[[#This Row],[Existing Device EUL]]),""))</f>
        <v/>
      </c>
      <c r="BC60" s="329" t="str">
        <f>IFERROR(IF(DeemedDashboard[[#This Row],[Ext Device Years Over-lapping with Measure Years]]=0,0,DeemedDashboard[[#This Row],[Ext Device Years Over-lapping with Measure Years]]/DeemedDashboard[[#This Row],[Existing Device EUL]]),"")</f>
        <v/>
      </c>
      <c r="BD60" s="329" t="str">
        <f>IFERROR(IF(DeemedDashboard[[#This Row],[Msr Number of Years device retired early]]=0,0,DeemedDashboard[[#This Row],[Msr Number of Years device retired early]]/DeemedDashboard[[#This Row],[Msr EUL rounded]]),"")</f>
        <v/>
      </c>
      <c r="BE60" s="329" t="str">
        <f>IFERROR(IF(DeemedDashboard[[#This Row],[Std Number of Years device retired early]]=0,0,DeemedDashboard[[#This Row],[Std Number of Years device retired early]]/DeemedDashboard[[#This Row],[Msr EUL rounded]]),"")</f>
        <v/>
      </c>
      <c r="BF60" s="329" t="str">
        <f>IFERROR(IF(DeemedDashboard[[#This Row],[MeasAppType]]&lt;&gt;const_AR,"",IF(DeemedDashboard[[#This Row],[Pre Number of Years device retired early]]=0,0,DeemedDashboard[[#This Row],[Pre Number of Years device retired early]]/DeemedDashboard[[#This Row],[Existing Device EUL]])),"")</f>
        <v/>
      </c>
      <c r="BG60" s="329" t="str">
        <f>IFERROR(IF(DeemedDashboard[[#This Row],[Ext Number of Years device retired early]]=0,0,DeemedDashboard[[#This Row],[Ext Number of Years device retired early]]/DeemedDashboard[[#This Row],[Existing Device EUL]]),"")</f>
        <v/>
      </c>
      <c r="BH60" s="325" t="str">
        <f>IFERROR(1-DeemedDashboard[[#This Row],[Msr annual refrigerant leakage %]]*DeemedDashboard[[#This Row],[Msr t_EOL]],"")</f>
        <v/>
      </c>
      <c r="BI60" s="325" t="str">
        <f>IFERROR(1-DeemedDashboard[[#This Row],[Std annual refrigerant leakage %]]*DeemedDashboard[[#This Row],[Std t_EOL]],"")</f>
        <v/>
      </c>
      <c r="BJ60" s="325" t="str">
        <f>IFERROR(1-DeemedDashboard[[#This Row],[Pre/Ext annual refrigerant leakage %]]*DeemedDashboard[[#This Row],[Pre/Ext t_EOL]],"")</f>
        <v/>
      </c>
      <c r="BK60" s="325" t="str">
        <f>IFERROR(1-DeemedDashboard[[#This Row],[Pre/Ext annual refrigerant leakage %]]*DeemedDashboard[[#This Row],[Pre/Ext t_EOL]],"")</f>
        <v/>
      </c>
      <c r="BL60" s="325" t="str">
        <f>IFERROR(DeemedDashboard[[#This Row],[Msr charging remaining (%)]]*DeemedDashboard[[#This Row],[Msr gross EOL refrigerant leakage %]],"")</f>
        <v/>
      </c>
      <c r="BM60" s="325" t="str">
        <f>IFERROR(DeemedDashboard[[#This Row],[Std charging remaining (%)]]*DeemedDashboard[[#This Row],[Std gross EOL refrigerant leakage %]],"")</f>
        <v/>
      </c>
      <c r="BN60" s="325" t="str">
        <f>IFERROR(DeemedDashboard[[#This Row],[Pre charging remaining (%)]]*DeemedDashboard[[#This Row],[Pre/Ext gross EOL refrigerant leakage %]],"")</f>
        <v/>
      </c>
      <c r="BO60" s="325" t="str">
        <f>IFERROR(DeemedDashboard[[#This Row],[Ext charging remaining (%)]]*DeemedDashboard[[#This Row],[Pre/Ext gross EOL refrigerant leakage %]],"")</f>
        <v/>
      </c>
      <c r="BP60" s="330" t="str">
        <f>IFERROR((DeemedDashboard[[#This Row],[Msr refrigerant charge (lb) per NormUnit]]/pounds_per_metric_ton)*DeemedDashboard[[#This Row],[Msr annual refrigerant leakage %]]*DeemedDashboard[[#This Row],[Msr GWP]],"")</f>
        <v/>
      </c>
      <c r="BQ60" s="330" t="str">
        <f>IFERROR((DeemedDashboard[[#This Row],[Std refrigerant charge (lb) per NormUnit]]/pounds_per_metric_ton)*DeemedDashboard[[#This Row],[Std annual refrigerant leakage %]]*DeemedDashboard[[#This Row],[Std GWP]],"")</f>
        <v/>
      </c>
      <c r="BR60" s="330" t="str">
        <f>IF(DeemedDashboard[[#This Row],[MeasAppType]]=const_AR,(DeemedDashboard[[#This Row],[Pre/Ext refrigerant charge (lb) per NormUnit]]/pounds_per_metric_ton)*DeemedDashboard[[#This Row],[Pre/Ext annual refrigerant leakage %]]*DeemedDashboard[[#This Row],[Pre/Ext GWP]],"")</f>
        <v/>
      </c>
      <c r="BS60" s="330" t="str">
        <f>IF(DeemedDashboard[[#This Row],[MeasAppType]]=const_AR,(DeemedDashboard[[#This Row],[Pre/Ext refrigerant charge (lb) per NormUnit]]/pounds_per_metric_ton)*DeemedDashboard[[#This Row],[Pre/Ext annual refrigerant leakage %]]*DeemedDashboard[[#This Row],[Pre/Ext GWP]],"")</f>
        <v/>
      </c>
      <c r="BT60" s="330" t="str">
        <f>IFERROR((DeemedDashboard[[#This Row],[Msr refrigerant charge (lb) per NormUnit]]/pounds_per_metric_ton)*DeemedDashboard[[#This Row],[Msr net EOL refrigerant leakage (%)]]*DeemedDashboard[[#This Row],[Msr GWP]],"")</f>
        <v/>
      </c>
      <c r="BU60" s="330" t="str">
        <f>IFERROR((DeemedDashboard[[#This Row],[Std refrigerant charge (lb) per NormUnit]]/pounds_per_metric_ton)*DeemedDashboard[[#This Row],[Std net EOL refrigerant leakage (%)]]*DeemedDashboard[[#This Row],[Std GWP]],"")</f>
        <v/>
      </c>
      <c r="BV60" s="330" t="str">
        <f>IFERROR((DeemedDashboard[[#This Row],[Pre/Ext refrigerant charge (lb) per NormUnit]]/pounds_per_metric_ton)*DeemedDashboard[[#This Row],[Pre net EOL refrigerant leakage (%)]]*DeemedDashboard[[#This Row],[Pre/Ext GWP]],"")</f>
        <v/>
      </c>
      <c r="BW60" s="330" t="str">
        <f>IFERROR((DeemedDashboard[[#This Row],[Pre/Ext refrigerant charge (lb) per NormUnit]]/pounds_per_metric_ton)*DeemedDashboard[[#This Row],[Ext net EOL refrigerant leakage (%)]]*DeemedDashboard[[#This Row],[Pre/Ext GWP]],"")</f>
        <v/>
      </c>
      <c r="BX60" s="299" t="str" cm="1">
        <f t="array" aca="1" ref="BX6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0" s="305" t="str" cm="1">
        <f t="array" aca="1" ref="BY6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0" s="299" t="str">
        <f>IFERROR(IF(OR(DeemedDashboard[[#This Row],[MeasAppType]]&lt;&gt;const_AR,ISBLANK(DeemedDashboard[[#This Row],[MeasAppType]])),NA(),0),"")</f>
        <v/>
      </c>
      <c r="CA60" s="305" t="str" cm="1">
        <f t="array" aca="1" ref="CA6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0" s="299" t="str">
        <f ca="1">IFERROR((DeemedDashboard[[#This Row],[Msr EOL leakage tons CO2e]]*OFFSET(GHG_Adder_dollar_per_tonne,0,(DeemedDashboard[[#This Row],[Msr Device Retire-ment Year]]-DY+1),1,1))/(1+WACC)^(DeemedDashboard[[#This Row],[Msr Device Retire-ment Year]]-DeemedDashboard[[#This Row],[Measure Start Year]]+0.5),"")</f>
        <v/>
      </c>
      <c r="CC60" s="299" t="str">
        <f ca="1">IFERROR((DeemedDashboard[[#This Row],[Std EOL leakage tons CO2e]]*OFFSET(GHG_Adder_dollar_per_tonne,0,(DeemedDashboard[[#This Row],[Std Device Retire-ment Year]]-DY+1),1,1))/(1+WACC)^(DeemedDashboard[[#This Row],[Std Device Retire-ment Year]]-DeemedDashboard[[#This Row],[Measure Start Year]]+0.5),"")</f>
        <v/>
      </c>
      <c r="CD60" s="299" t="str">
        <f ca="1">IFERROR((DeemedDashboard[[#This Row],[Pre EOL leakage tons CO2e]]*OFFSET(GHG_Adder_dollar_per_tonne,0,(DeemedDashboard[[#This Row],[Measure Start Year]]-DY),1,1))/(1+WACC)^(-0.5),"")</f>
        <v/>
      </c>
      <c r="CE6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0" s="299" t="str">
        <f ca="1">IFERROR(DeemedDashboard[[#This Row],[Msr NPV Cost of Annual Leakage]]/(1+ACC_Inflation_Rate)^(DeemedDashboard[[#This Row],[Measure Start Year]]-DY),"")</f>
        <v/>
      </c>
      <c r="CG60" s="299" t="str">
        <f ca="1">IFERROR(DeemedDashboard[[#This Row],[Std NPV Cost of Annual Leakage]]/(1+ACC_Inflation_Rate)^(DeemedDashboard[[#This Row],[Measure Start Year]]-DY),"")</f>
        <v/>
      </c>
      <c r="CH60" s="299" t="str">
        <f>IFERROR(IF(ISBLANK(DeemedDashboard[[#This Row],[MeasAppType]]),NA(),IF(DeemedDashboard[[#This Row],[MeasAppType]]=const_AR,DeemedDashboard[[#This Row],[Pre NPV Cost of Annual Leakage]]/(1+ACC_Inflation_Rate)^(DeemedDashboard[[#This Row],[Measure Start Year]]-DY),"")),"")</f>
        <v/>
      </c>
      <c r="CI60" s="296" t="str">
        <f>IFERROR(IF(ISBLANK(DeemedDashboard[[#This Row],[MeasAppType]]),NA(),IF(DeemedDashboard[[#This Row],[MeasAppType]]=const_AR,DeemedDashboard[[#This Row],[Ext NPV Cost of Annual Leakage]]/(1+ACC_Inflation_Rate)^(DeemedDashboard[[#This Row],[Measure Start Year]]-DY),"")),"")</f>
        <v/>
      </c>
      <c r="CJ60" s="296" t="str">
        <f ca="1">IFERROR((DeemedDashboard[[#This Row],[Msr % of device lifetime during measure years]]+DeemedDashboard[[#This Row],[Msr % of device lifetime retired early]])*DeemedDashboard[[#This Row],[Msr NPV Cost of EOL Leakage]]/(1+ACC_Inflation_Rate)^(DeemedDashboard[[#This Row],[Measure Start Year]]-DY),"")</f>
        <v/>
      </c>
      <c r="CK60" s="296" t="str">
        <f ca="1">IFERROR((DeemedDashboard[[#This Row],[Std % of device lifetime during measure years]]+DeemedDashboard[[#This Row],[Std % of device lifetime retired early]])*DeemedDashboard[[#This Row],[Std NPV Cost of EOL Leakage]]/(1+ACC_Inflation_Rate)^(DeemedDashboard[[#This Row],[Measure Start Year]]-DY),"")</f>
        <v/>
      </c>
      <c r="CL6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0" s="299" t="str">
        <f ca="1">IFERROR(DeemedDashboard[[#This Row],[Counter-factual total 
NPV cost]]-DeemedDashboard[[#This Row],[Measure total 
NPV cost]],"")</f>
        <v/>
      </c>
      <c r="CQ60" s="299" t="str">
        <f>IF(ISBLANK(DeemedDashboard[[#This Row],[MeasAppType]]),"",DeemedDashboard[[#This Row],[Refrigerant
NPV costs
avoided]]&gt;0)</f>
        <v/>
      </c>
      <c r="CR60" s="299" t="str">
        <f ca="1">IFERROR(DeemedDashboard[[#This Row],[Msr Adj NPV Cost of Annual Leakage]]+DeemedDashboard[[#This Row],[Msr Adj NPV Cost of EOL Leakage]],"")</f>
        <v/>
      </c>
      <c r="CS60" s="299" t="str">
        <f ca="1">IFERROR(DeemedDashboard[[#This Row],[Std Adj NPV Cost of Annual Leakage]]+DeemedDashboard[[#This Row],[Std Adj NPV Cost of EOL Leakage]],"")</f>
        <v/>
      </c>
      <c r="CT60" s="299" t="str">
        <f>IFERROR(IF((DeemedDashboard[[#This Row],[Pre Adj NPV Cost of Annual Leakage]]+DeemedDashboard[[#This Row],[Pre Adj NPV Cost of EOL Leakage]])=0,"",DeemedDashboard[[#This Row],[Pre Adj NPV Cost of Annual Leakage]]+DeemedDashboard[[#This Row],[Pre Adj NPV Cost of EOL Leakage]]),"")</f>
        <v/>
      </c>
      <c r="CU60" s="299" t="str">
        <f>IFERROR(IF((DeemedDashboard[[#This Row],[Ext Adj NPV Cost of Annual Leakage]]+DeemedDashboard[[#This Row],[Ext Adj NPV Cost of EOL Leakage]])=0,"",DeemedDashboard[[#This Row],[Ext Adj NPV Cost of Annual Leakage]]+DeemedDashboard[[#This Row],[Ext Adj NPV Cost of EOL Leakage]]),"")</f>
        <v/>
      </c>
      <c r="CV60" s="299" t="str">
        <f>IFERROR(IF(DeemedDashboard[[#This Row],[Is Avoided Net Cost &gt;0?]],"",-DeemedDashboard[[#This Row],[Refrigerant
NPV costs
avoided]]),"")</f>
        <v/>
      </c>
      <c r="CW60" s="299" t="str">
        <f>IFERROR(IF(DeemedDashboard[[#This Row],[Is Avoided Net Cost &gt;0?]],DeemedDashboard[[#This Row],[Refrigerant
NPV costs
avoided]],""),"")</f>
        <v/>
      </c>
      <c r="CX60" s="391">
        <f ca="1">IFERROR(MATCH(DeemedDashboard[[#This Row],[TechGroup and NormUnit]],TechGroup_and_NormUnit,0),1)</f>
        <v>1</v>
      </c>
      <c r="CY60" s="391" cm="1">
        <f t="array" aca="1" ref="CY60" ca="1">IFERROR(INDEX(TGRows,DeemedDashboard[[#This Row],[TGIndex]]),"")</f>
        <v>2</v>
      </c>
      <c r="CZ60" s="391">
        <f ca="1">IF(DeemedDashboard[[#This Row],[MeasAppType]]=const_AR,DeemedDashboard[[#This Row],[TGRows]],DeemedDashboard[[#This Row],[TGRows]]+1)</f>
        <v>3</v>
      </c>
      <c r="DA60" s="391" t="str">
        <f>IF(ISBLANK(DeemedDashboard[[#This Row],[MeasAppType]]),"",IF(DeemedDashboard[[#This Row],[Index]]=User_Specified_Refrigerant[[#This Row],[Index]],"OK","ERROR"))</f>
        <v/>
      </c>
    </row>
    <row r="61" spans="1:105" s="320" customFormat="1" x14ac:dyDescent="0.25">
      <c r="A61" s="297">
        <f>ROW(DeemedDashboard[[#This Row],[Index]])-ROW(DeemedDashboard[[#Headers],[Index]])</f>
        <v>52</v>
      </c>
      <c r="B61" s="298"/>
      <c r="C61" s="321"/>
      <c r="D61" s="403"/>
      <c r="E61" s="403"/>
      <c r="F61" s="403"/>
      <c r="G61" s="403"/>
      <c r="H61" s="366"/>
      <c r="I61" s="339"/>
      <c r="J61" s="339"/>
      <c r="K61" s="339"/>
      <c r="L61" s="322"/>
      <c r="M61" s="322"/>
      <c r="N61" s="322"/>
      <c r="O6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1" s="582" t="str" cm="1">
        <f t="array" ref="R61">IFERROR(IF(DeemedDashboard[[#This Row],[Msr device type]]=const_device_nonrefrig,0,INDEX(_xlfn.SWITCH($E$4,const_20_yr,GWP_Values_20_year_AR4,const_100_yr,GWP_Values_100_year_AR4),MATCH(DeemedDashboard[[#This Row],[Msr refrigerant Type]],RefrigDropdownList,0))),"")</f>
        <v/>
      </c>
      <c r="S61" s="582" t="str" cm="1">
        <f t="array" ref="S61">IFERROR(IF(DeemedDashboard[[#This Row],[Std device type]]=const_device_nonrefrig,0,INDEX(_xlfn.SWITCH($E$4,const_20_yr,GWP_Values_20_year_AR4,const_100_yr,GWP_Values_100_year_AR4),MATCH(DeemedDashboard[[#This Row],[Std refrigerant Type]],RefrigDropdownList,0))),"")</f>
        <v/>
      </c>
      <c r="T61" s="582" t="str" cm="1">
        <f t="array" ref="T61">IFERROR(IF(DeemedDashboard[[#This Row],[Pre/Ext device type]]=const_device_nonrefrig,0,INDEX(_xlfn.SWITCH($E$4,const_20_yr,GWP_Values_20_year_AR4,const_100_yr,GWP_Values_100_year_AR4),MATCH(DeemedDashboard[[#This Row],[Pre/Ext refrigerant Type]],RefrigDropdownList,0))),"")</f>
        <v/>
      </c>
      <c r="U6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1" s="326" t="str">
        <f>IFERROR(IF(DeemedDashboard[[#This Row],[Msr device type]]=const_userspec,IF(ISBLANK(User_Specified_Refrigerant[[#This Row],[Msr t_EOL]]),"",User_Specified_Refrigerant[[#This Row],[Msr t_EOL]]),INDEX(TechGroup_NormUnit_Table[t_EOL],MATCH(DeemedDashboard[[#This Row],[Msr device type]],DropdownRefrigTech,0))),"")</f>
        <v/>
      </c>
      <c r="AB61" s="326" t="str">
        <f>IFERROR(IF(DeemedDashboard[[#This Row],[Std device type]]=const_userspec,IF(ISBLANK(User_Specified_Refrigerant[[#This Row],[Std t_EOL]]),"",User_Specified_Refrigerant[[#This Row],[Std t_EOL]]),INDEX(TechGroup_NormUnit_Table[t_EOL],MATCH(DeemedDashboard[[#This Row],[Std device type]],DropdownRefrigTech,0))),"")</f>
        <v/>
      </c>
      <c r="AC6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1" s="395" t="str">
        <f>IF(ISBLANK(DeemedDashboard[[#This Row],[MeasAppType]]),"",$E$2)</f>
        <v/>
      </c>
      <c r="AE61" s="395" t="str">
        <f>IFERROR(IF(ISBLANK(DeemedDashboard[[#This Row],[MeasAppType]]),NA(),DeemedDashboard[[#This Row],[Measure Start Year]]+DeemedDashboard[[#This Row],[Msr EUL rounded]]-1),"")</f>
        <v/>
      </c>
      <c r="AF61" s="323" t="str">
        <f>IF(ISBLANK(DeemedDashboard[[#This Row],[Measure New Device EUL]]),"",ROUND(DeemedDashboard[[#This Row],[Measure New Device EUL]],0))</f>
        <v/>
      </c>
      <c r="AG61" s="323" t="str">
        <f>IF(ISBLANK(DeemedDashboard[[#This Row],[Counterfactual New Device EUL]]),"",ROUND(DeemedDashboard[[#This Row],[Counterfactual New Device EUL]],0))</f>
        <v/>
      </c>
      <c r="AH61" s="323" t="str">
        <f>IF(ISBLANK(DeemedDashboard[[#This Row],[Existing Device EUL]]),"",ROUND(DeemedDashboard[[#This Row],[Existing Device EUL]],0))</f>
        <v/>
      </c>
      <c r="AI61" s="323" t="str">
        <f>IF(ISBLANK(DeemedDashboard[[#This Row],[Existing Device RUL or AR First Baseline Life]]),"",ROUND(DeemedDashboard[[#This Row],[Existing Device RUL or AR First Baseline Life]],0))</f>
        <v/>
      </c>
      <c r="AJ61" s="327" t="str">
        <f>DeemedDashboard[[#This Row],[Measure Start Year]]</f>
        <v/>
      </c>
      <c r="AK61" s="327" t="str">
        <f>IF(DeemedDashboard[[#This Row],[MeasAppType]]&lt;&gt;const_AR,DeemedDashboard[[#This Row],[Measure Start Year]],DeemedDashboard[[#This Row],[Ext Device Retire-ment Year]]+1)</f>
        <v/>
      </c>
      <c r="AL61" s="327" t="str">
        <f>IFERROR(IF(DeemedDashboard[[#This Row],[MeasAppType]]=const_AR,DeemedDashboard[[#This Row],[Measure Start Year]]-(DeemedDashboard[[#This Row],[Existing Device EUL]]-DeemedDashboard[[#This Row],[Existing Device RUL or AR First Baseline Life]]),NA()),"")</f>
        <v/>
      </c>
      <c r="AM61" s="327" t="str">
        <f>DeemedDashboard[[#This Row],[Pre Device Install Year]]</f>
        <v/>
      </c>
      <c r="AN61" s="327" t="str">
        <f>IFERROR(IF(ISBLANK(DeemedDashboard[[#This Row],[MeasAppType]]),NA(),DeemedDashboard[[#This Row],[Measure Start Year]]+DeemedDashboard[[#This Row],[Msr EUL rounded]]-1),"")</f>
        <v/>
      </c>
      <c r="AO61" s="327" t="str">
        <f>IFERROR(DeemedDashboard[[#This Row],[Std Device Install Year]]+DeemedDashboard[[#This Row],[Counterfactual New Device EUL]]-1,"")</f>
        <v/>
      </c>
      <c r="AP61" s="327" t="str">
        <f>IFERROR(IF(AND(DeemedDashboard[[#This Row],[MeasAppType]]=const_AR,DeemedDashboard[[#This Row],[Measure Start Year]]&lt;(DeemedDashboard[[#This Row],[Pre Device Install Year]]+DeemedDashboard[[#This Row],[Existing Device EUL]]-1)),DeemedDashboard[[#This Row],[Measure Start Year]]-1,NA()),"")</f>
        <v/>
      </c>
      <c r="AQ61" s="327" t="str">
        <f>IFERROR(IF(DeemedDashboard[[#This Row],[MeasAppType]]=const_AR,DeemedDashboard[[#This Row],[Ext Device Install Year]]+DeemedDashboard[[#This Row],[Existing Device EUL]]-1,NA()),"")</f>
        <v/>
      </c>
      <c r="AR61" s="327" t="str">
        <f>IFERROR(IF(ISBLANK(DeemedDashboard[[#This Row],[MeasAppType]]),NA(),0),"")</f>
        <v/>
      </c>
      <c r="AS61" s="327" t="str">
        <f>IFERROR(IF(ISBLANK(DeemedDashboard[[#This Row],[MeasAppType]]),NA(),0),"")</f>
        <v/>
      </c>
      <c r="AT61" s="327" t="str">
        <f>IF(ISBLANK(DeemedDashboard[[#This Row],[MeasAppType]]),"",IF(DeemedDashboard[[#This Row],[MeasAppType]]&lt;&gt;const_AR,"",(DeemedDashboard[[#This Row],[Pre Device Install Year]]+DeemedDashboard[[#This Row],[Existing Device EUL]]-1)-DeemedDashboard[[#This Row],[Pre Device Retire-ment Year]]))</f>
        <v/>
      </c>
      <c r="AU61" s="327" t="str">
        <f>IF(ISBLANK(DeemedDashboard[[#This Row],[MeasAppType]]),"",IF(DeemedDashboard[[#This Row],[MeasAppType]]=const_AR,0,""))</f>
        <v/>
      </c>
      <c r="AV61" s="328" t="str">
        <f>IF(ISBLANK(DeemedDashboard[[#This Row],[MeasAppType]]),"",MAX((1+MIN(DeemedDashboard[[#This Row],[Msr Device Retire-ment Year]],DeemedDashboard[[#This Row],[Measure End 
Year]])-MAX(DeemedDashboard[[#This Row],[Msr Device Install Year]],DeemedDashboard[[#This Row],[Measure Start Year]])),0))</f>
        <v/>
      </c>
      <c r="AW61" s="328" t="str">
        <f>IF(ISBLANK(DeemedDashboard[[#This Row],[MeasAppType]]),"",MAX((1+MIN(DeemedDashboard[[#This Row],[Std Device Retire-ment Year]],DeemedDashboard[[#This Row],[Measure End 
Year]])-MAX(DeemedDashboard[[#This Row],[Std Device Install Year]],DeemedDashboard[[#This Row],[Measure Start Year]])),0))</f>
        <v/>
      </c>
      <c r="AX6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1" s="329" t="str">
        <f>IF(ISBLANK(DeemedDashboard[[#This Row],[MeasAppType]]),"",IF(DeemedDashboard[[#This Row],[Msr Device Years Over-lapping with Measure Years]]=0,0,DeemedDashboard[[#This Row],[Msr Device Years Over-lapping with Measure Years]]/DeemedDashboard[[#This Row],[Msr EUL rounded]]))</f>
        <v/>
      </c>
      <c r="BA61" s="329" t="str">
        <f>IF(ISBLANK(DeemedDashboard[[#This Row],[MeasAppType]]),"",IF(DeemedDashboard[[#This Row],[Std Device Years Over-lapping with Measure Years]]=0,0,DeemedDashboard[[#This Row],[Std Device Years Over-lapping with Measure Years]]/DeemedDashboard[[#This Row],[Counterfactual New Device EUL]]))</f>
        <v/>
      </c>
      <c r="BB61" s="329" t="str">
        <f>IF(ISBLANK(DeemedDashboard[[#This Row],[MeasAppType]]),"",IFERROR(IF(DeemedDashboard[[#This Row],[Pre Device Years Over-lapping with Measure Years]]=0,0,DeemedDashboard[[#This Row],[Pre Device Years Over-lapping with Measure Years]]/DeemedDashboard[[#This Row],[Existing Device EUL]]),""))</f>
        <v/>
      </c>
      <c r="BC61" s="329" t="str">
        <f>IFERROR(IF(DeemedDashboard[[#This Row],[Ext Device Years Over-lapping with Measure Years]]=0,0,DeemedDashboard[[#This Row],[Ext Device Years Over-lapping with Measure Years]]/DeemedDashboard[[#This Row],[Existing Device EUL]]),"")</f>
        <v/>
      </c>
      <c r="BD61" s="329" t="str">
        <f>IFERROR(IF(DeemedDashboard[[#This Row],[Msr Number of Years device retired early]]=0,0,DeemedDashboard[[#This Row],[Msr Number of Years device retired early]]/DeemedDashboard[[#This Row],[Msr EUL rounded]]),"")</f>
        <v/>
      </c>
      <c r="BE61" s="329" t="str">
        <f>IFERROR(IF(DeemedDashboard[[#This Row],[Std Number of Years device retired early]]=0,0,DeemedDashboard[[#This Row],[Std Number of Years device retired early]]/DeemedDashboard[[#This Row],[Msr EUL rounded]]),"")</f>
        <v/>
      </c>
      <c r="BF61" s="329" t="str">
        <f>IFERROR(IF(DeemedDashboard[[#This Row],[MeasAppType]]&lt;&gt;const_AR,"",IF(DeemedDashboard[[#This Row],[Pre Number of Years device retired early]]=0,0,DeemedDashboard[[#This Row],[Pre Number of Years device retired early]]/DeemedDashboard[[#This Row],[Existing Device EUL]])),"")</f>
        <v/>
      </c>
      <c r="BG61" s="329" t="str">
        <f>IFERROR(IF(DeemedDashboard[[#This Row],[Ext Number of Years device retired early]]=0,0,DeemedDashboard[[#This Row],[Ext Number of Years device retired early]]/DeemedDashboard[[#This Row],[Existing Device EUL]]),"")</f>
        <v/>
      </c>
      <c r="BH61" s="325" t="str">
        <f>IFERROR(1-DeemedDashboard[[#This Row],[Msr annual refrigerant leakage %]]*DeemedDashboard[[#This Row],[Msr t_EOL]],"")</f>
        <v/>
      </c>
      <c r="BI61" s="325" t="str">
        <f>IFERROR(1-DeemedDashboard[[#This Row],[Std annual refrigerant leakage %]]*DeemedDashboard[[#This Row],[Std t_EOL]],"")</f>
        <v/>
      </c>
      <c r="BJ61" s="325" t="str">
        <f>IFERROR(1-DeemedDashboard[[#This Row],[Pre/Ext annual refrigerant leakage %]]*DeemedDashboard[[#This Row],[Pre/Ext t_EOL]],"")</f>
        <v/>
      </c>
      <c r="BK61" s="325" t="str">
        <f>IFERROR(1-DeemedDashboard[[#This Row],[Pre/Ext annual refrigerant leakage %]]*DeemedDashboard[[#This Row],[Pre/Ext t_EOL]],"")</f>
        <v/>
      </c>
      <c r="BL61" s="325" t="str">
        <f>IFERROR(DeemedDashboard[[#This Row],[Msr charging remaining (%)]]*DeemedDashboard[[#This Row],[Msr gross EOL refrigerant leakage %]],"")</f>
        <v/>
      </c>
      <c r="BM61" s="325" t="str">
        <f>IFERROR(DeemedDashboard[[#This Row],[Std charging remaining (%)]]*DeemedDashboard[[#This Row],[Std gross EOL refrigerant leakage %]],"")</f>
        <v/>
      </c>
      <c r="BN61" s="325" t="str">
        <f>IFERROR(DeemedDashboard[[#This Row],[Pre charging remaining (%)]]*DeemedDashboard[[#This Row],[Pre/Ext gross EOL refrigerant leakage %]],"")</f>
        <v/>
      </c>
      <c r="BO61" s="325" t="str">
        <f>IFERROR(DeemedDashboard[[#This Row],[Ext charging remaining (%)]]*DeemedDashboard[[#This Row],[Pre/Ext gross EOL refrigerant leakage %]],"")</f>
        <v/>
      </c>
      <c r="BP61" s="330" t="str">
        <f>IFERROR((DeemedDashboard[[#This Row],[Msr refrigerant charge (lb) per NormUnit]]/pounds_per_metric_ton)*DeemedDashboard[[#This Row],[Msr annual refrigerant leakage %]]*DeemedDashboard[[#This Row],[Msr GWP]],"")</f>
        <v/>
      </c>
      <c r="BQ61" s="330" t="str">
        <f>IFERROR((DeemedDashboard[[#This Row],[Std refrigerant charge (lb) per NormUnit]]/pounds_per_metric_ton)*DeemedDashboard[[#This Row],[Std annual refrigerant leakage %]]*DeemedDashboard[[#This Row],[Std GWP]],"")</f>
        <v/>
      </c>
      <c r="BR61" s="330" t="str">
        <f>IF(DeemedDashboard[[#This Row],[MeasAppType]]=const_AR,(DeemedDashboard[[#This Row],[Pre/Ext refrigerant charge (lb) per NormUnit]]/pounds_per_metric_ton)*DeemedDashboard[[#This Row],[Pre/Ext annual refrigerant leakage %]]*DeemedDashboard[[#This Row],[Pre/Ext GWP]],"")</f>
        <v/>
      </c>
      <c r="BS61" s="330" t="str">
        <f>IF(DeemedDashboard[[#This Row],[MeasAppType]]=const_AR,(DeemedDashboard[[#This Row],[Pre/Ext refrigerant charge (lb) per NormUnit]]/pounds_per_metric_ton)*DeemedDashboard[[#This Row],[Pre/Ext annual refrigerant leakage %]]*DeemedDashboard[[#This Row],[Pre/Ext GWP]],"")</f>
        <v/>
      </c>
      <c r="BT61" s="330" t="str">
        <f>IFERROR((DeemedDashboard[[#This Row],[Msr refrigerant charge (lb) per NormUnit]]/pounds_per_metric_ton)*DeemedDashboard[[#This Row],[Msr net EOL refrigerant leakage (%)]]*DeemedDashboard[[#This Row],[Msr GWP]],"")</f>
        <v/>
      </c>
      <c r="BU61" s="330" t="str">
        <f>IFERROR((DeemedDashboard[[#This Row],[Std refrigerant charge (lb) per NormUnit]]/pounds_per_metric_ton)*DeemedDashboard[[#This Row],[Std net EOL refrigerant leakage (%)]]*DeemedDashboard[[#This Row],[Std GWP]],"")</f>
        <v/>
      </c>
      <c r="BV61" s="330" t="str">
        <f>IFERROR((DeemedDashboard[[#This Row],[Pre/Ext refrigerant charge (lb) per NormUnit]]/pounds_per_metric_ton)*DeemedDashboard[[#This Row],[Pre net EOL refrigerant leakage (%)]]*DeemedDashboard[[#This Row],[Pre/Ext GWP]],"")</f>
        <v/>
      </c>
      <c r="BW61" s="330" t="str">
        <f>IFERROR((DeemedDashboard[[#This Row],[Pre/Ext refrigerant charge (lb) per NormUnit]]/pounds_per_metric_ton)*DeemedDashboard[[#This Row],[Ext net EOL refrigerant leakage (%)]]*DeemedDashboard[[#This Row],[Pre/Ext GWP]],"")</f>
        <v/>
      </c>
      <c r="BX61" s="299" t="str" cm="1">
        <f t="array" aca="1" ref="BX6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1" s="305" t="str" cm="1">
        <f t="array" aca="1" ref="BY6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1" s="299" t="str">
        <f>IFERROR(IF(OR(DeemedDashboard[[#This Row],[MeasAppType]]&lt;&gt;const_AR,ISBLANK(DeemedDashboard[[#This Row],[MeasAppType]])),NA(),0),"")</f>
        <v/>
      </c>
      <c r="CA61" s="305" t="str" cm="1">
        <f t="array" aca="1" ref="CA6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1" s="299" t="str">
        <f ca="1">IFERROR((DeemedDashboard[[#This Row],[Msr EOL leakage tons CO2e]]*OFFSET(GHG_Adder_dollar_per_tonne,0,(DeemedDashboard[[#This Row],[Msr Device Retire-ment Year]]-DY+1),1,1))/(1+WACC)^(DeemedDashboard[[#This Row],[Msr Device Retire-ment Year]]-DeemedDashboard[[#This Row],[Measure Start Year]]+0.5),"")</f>
        <v/>
      </c>
      <c r="CC61" s="299" t="str">
        <f ca="1">IFERROR((DeemedDashboard[[#This Row],[Std EOL leakage tons CO2e]]*OFFSET(GHG_Adder_dollar_per_tonne,0,(DeemedDashboard[[#This Row],[Std Device Retire-ment Year]]-DY+1),1,1))/(1+WACC)^(DeemedDashboard[[#This Row],[Std Device Retire-ment Year]]-DeemedDashboard[[#This Row],[Measure Start Year]]+0.5),"")</f>
        <v/>
      </c>
      <c r="CD61" s="299" t="str">
        <f ca="1">IFERROR((DeemedDashboard[[#This Row],[Pre EOL leakage tons CO2e]]*OFFSET(GHG_Adder_dollar_per_tonne,0,(DeemedDashboard[[#This Row],[Measure Start Year]]-DY),1,1))/(1+WACC)^(-0.5),"")</f>
        <v/>
      </c>
      <c r="CE6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1" s="299" t="str">
        <f ca="1">IFERROR(DeemedDashboard[[#This Row],[Msr NPV Cost of Annual Leakage]]/(1+ACC_Inflation_Rate)^(DeemedDashboard[[#This Row],[Measure Start Year]]-DY),"")</f>
        <v/>
      </c>
      <c r="CG61" s="299" t="str">
        <f ca="1">IFERROR(DeemedDashboard[[#This Row],[Std NPV Cost of Annual Leakage]]/(1+ACC_Inflation_Rate)^(DeemedDashboard[[#This Row],[Measure Start Year]]-DY),"")</f>
        <v/>
      </c>
      <c r="CH61" s="299" t="str">
        <f>IFERROR(IF(ISBLANK(DeemedDashboard[[#This Row],[MeasAppType]]),NA(),IF(DeemedDashboard[[#This Row],[MeasAppType]]=const_AR,DeemedDashboard[[#This Row],[Pre NPV Cost of Annual Leakage]]/(1+ACC_Inflation_Rate)^(DeemedDashboard[[#This Row],[Measure Start Year]]-DY),"")),"")</f>
        <v/>
      </c>
      <c r="CI61" s="296" t="str">
        <f>IFERROR(IF(ISBLANK(DeemedDashboard[[#This Row],[MeasAppType]]),NA(),IF(DeemedDashboard[[#This Row],[MeasAppType]]=const_AR,DeemedDashboard[[#This Row],[Ext NPV Cost of Annual Leakage]]/(1+ACC_Inflation_Rate)^(DeemedDashboard[[#This Row],[Measure Start Year]]-DY),"")),"")</f>
        <v/>
      </c>
      <c r="CJ61" s="296" t="str">
        <f ca="1">IFERROR((DeemedDashboard[[#This Row],[Msr % of device lifetime during measure years]]+DeemedDashboard[[#This Row],[Msr % of device lifetime retired early]])*DeemedDashboard[[#This Row],[Msr NPV Cost of EOL Leakage]]/(1+ACC_Inflation_Rate)^(DeemedDashboard[[#This Row],[Measure Start Year]]-DY),"")</f>
        <v/>
      </c>
      <c r="CK61" s="296" t="str">
        <f ca="1">IFERROR((DeemedDashboard[[#This Row],[Std % of device lifetime during measure years]]+DeemedDashboard[[#This Row],[Std % of device lifetime retired early]])*DeemedDashboard[[#This Row],[Std NPV Cost of EOL Leakage]]/(1+ACC_Inflation_Rate)^(DeemedDashboard[[#This Row],[Measure Start Year]]-DY),"")</f>
        <v/>
      </c>
      <c r="CL6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1" s="299" t="str">
        <f ca="1">IFERROR(DeemedDashboard[[#This Row],[Counter-factual total 
NPV cost]]-DeemedDashboard[[#This Row],[Measure total 
NPV cost]],"")</f>
        <v/>
      </c>
      <c r="CQ61" s="299" t="str">
        <f>IF(ISBLANK(DeemedDashboard[[#This Row],[MeasAppType]]),"",DeemedDashboard[[#This Row],[Refrigerant
NPV costs
avoided]]&gt;0)</f>
        <v/>
      </c>
      <c r="CR61" s="299" t="str">
        <f ca="1">IFERROR(DeemedDashboard[[#This Row],[Msr Adj NPV Cost of Annual Leakage]]+DeemedDashboard[[#This Row],[Msr Adj NPV Cost of EOL Leakage]],"")</f>
        <v/>
      </c>
      <c r="CS61" s="299" t="str">
        <f ca="1">IFERROR(DeemedDashboard[[#This Row],[Std Adj NPV Cost of Annual Leakage]]+DeemedDashboard[[#This Row],[Std Adj NPV Cost of EOL Leakage]],"")</f>
        <v/>
      </c>
      <c r="CT61" s="299" t="str">
        <f>IFERROR(IF((DeemedDashboard[[#This Row],[Pre Adj NPV Cost of Annual Leakage]]+DeemedDashboard[[#This Row],[Pre Adj NPV Cost of EOL Leakage]])=0,"",DeemedDashboard[[#This Row],[Pre Adj NPV Cost of Annual Leakage]]+DeemedDashboard[[#This Row],[Pre Adj NPV Cost of EOL Leakage]]),"")</f>
        <v/>
      </c>
      <c r="CU61" s="299" t="str">
        <f>IFERROR(IF((DeemedDashboard[[#This Row],[Ext Adj NPV Cost of Annual Leakage]]+DeemedDashboard[[#This Row],[Ext Adj NPV Cost of EOL Leakage]])=0,"",DeemedDashboard[[#This Row],[Ext Adj NPV Cost of Annual Leakage]]+DeemedDashboard[[#This Row],[Ext Adj NPV Cost of EOL Leakage]]),"")</f>
        <v/>
      </c>
      <c r="CV61" s="299" t="str">
        <f>IFERROR(IF(DeemedDashboard[[#This Row],[Is Avoided Net Cost &gt;0?]],"",-DeemedDashboard[[#This Row],[Refrigerant
NPV costs
avoided]]),"")</f>
        <v/>
      </c>
      <c r="CW61" s="299" t="str">
        <f>IFERROR(IF(DeemedDashboard[[#This Row],[Is Avoided Net Cost &gt;0?]],DeemedDashboard[[#This Row],[Refrigerant
NPV costs
avoided]],""),"")</f>
        <v/>
      </c>
      <c r="CX61" s="391">
        <f ca="1">IFERROR(MATCH(DeemedDashboard[[#This Row],[TechGroup and NormUnit]],TechGroup_and_NormUnit,0),1)</f>
        <v>1</v>
      </c>
      <c r="CY61" s="391" cm="1">
        <f t="array" aca="1" ref="CY61" ca="1">IFERROR(INDEX(TGRows,DeemedDashboard[[#This Row],[TGIndex]]),"")</f>
        <v>2</v>
      </c>
      <c r="CZ61" s="391">
        <f ca="1">IF(DeemedDashboard[[#This Row],[MeasAppType]]=const_AR,DeemedDashboard[[#This Row],[TGRows]],DeemedDashboard[[#This Row],[TGRows]]+1)</f>
        <v>3</v>
      </c>
      <c r="DA61" s="391" t="str">
        <f>IF(ISBLANK(DeemedDashboard[[#This Row],[MeasAppType]]),"",IF(DeemedDashboard[[#This Row],[Index]]=User_Specified_Refrigerant[[#This Row],[Index]],"OK","ERROR"))</f>
        <v/>
      </c>
    </row>
    <row r="62" spans="1:105" s="320" customFormat="1" x14ac:dyDescent="0.25">
      <c r="A62" s="297">
        <f>ROW(DeemedDashboard[[#This Row],[Index]])-ROW(DeemedDashboard[[#Headers],[Index]])</f>
        <v>53</v>
      </c>
      <c r="B62" s="298"/>
      <c r="C62" s="321"/>
      <c r="D62" s="403"/>
      <c r="E62" s="403"/>
      <c r="F62" s="403"/>
      <c r="G62" s="403"/>
      <c r="H62" s="366"/>
      <c r="I62" s="339"/>
      <c r="J62" s="339"/>
      <c r="K62" s="339"/>
      <c r="L62" s="322"/>
      <c r="M62" s="322"/>
      <c r="N62" s="322"/>
      <c r="O6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2" s="582" t="str" cm="1">
        <f t="array" ref="R62">IFERROR(IF(DeemedDashboard[[#This Row],[Msr device type]]=const_device_nonrefrig,0,INDEX(_xlfn.SWITCH($E$4,const_20_yr,GWP_Values_20_year_AR4,const_100_yr,GWP_Values_100_year_AR4),MATCH(DeemedDashboard[[#This Row],[Msr refrigerant Type]],RefrigDropdownList,0))),"")</f>
        <v/>
      </c>
      <c r="S62" s="582" t="str" cm="1">
        <f t="array" ref="S62">IFERROR(IF(DeemedDashboard[[#This Row],[Std device type]]=const_device_nonrefrig,0,INDEX(_xlfn.SWITCH($E$4,const_20_yr,GWP_Values_20_year_AR4,const_100_yr,GWP_Values_100_year_AR4),MATCH(DeemedDashboard[[#This Row],[Std refrigerant Type]],RefrigDropdownList,0))),"")</f>
        <v/>
      </c>
      <c r="T62" s="582" t="str" cm="1">
        <f t="array" ref="T62">IFERROR(IF(DeemedDashboard[[#This Row],[Pre/Ext device type]]=const_device_nonrefrig,0,INDEX(_xlfn.SWITCH($E$4,const_20_yr,GWP_Values_20_year_AR4,const_100_yr,GWP_Values_100_year_AR4),MATCH(DeemedDashboard[[#This Row],[Pre/Ext refrigerant Type]],RefrigDropdownList,0))),"")</f>
        <v/>
      </c>
      <c r="U6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2" s="326" t="str">
        <f>IFERROR(IF(DeemedDashboard[[#This Row],[Msr device type]]=const_userspec,IF(ISBLANK(User_Specified_Refrigerant[[#This Row],[Msr t_EOL]]),"",User_Specified_Refrigerant[[#This Row],[Msr t_EOL]]),INDEX(TechGroup_NormUnit_Table[t_EOL],MATCH(DeemedDashboard[[#This Row],[Msr device type]],DropdownRefrigTech,0))),"")</f>
        <v/>
      </c>
      <c r="AB62" s="326" t="str">
        <f>IFERROR(IF(DeemedDashboard[[#This Row],[Std device type]]=const_userspec,IF(ISBLANK(User_Specified_Refrigerant[[#This Row],[Std t_EOL]]),"",User_Specified_Refrigerant[[#This Row],[Std t_EOL]]),INDEX(TechGroup_NormUnit_Table[t_EOL],MATCH(DeemedDashboard[[#This Row],[Std device type]],DropdownRefrigTech,0))),"")</f>
        <v/>
      </c>
      <c r="AC6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2" s="395" t="str">
        <f>IF(ISBLANK(DeemedDashboard[[#This Row],[MeasAppType]]),"",$E$2)</f>
        <v/>
      </c>
      <c r="AE62" s="395" t="str">
        <f>IFERROR(IF(ISBLANK(DeemedDashboard[[#This Row],[MeasAppType]]),NA(),DeemedDashboard[[#This Row],[Measure Start Year]]+DeemedDashboard[[#This Row],[Msr EUL rounded]]-1),"")</f>
        <v/>
      </c>
      <c r="AF62" s="323" t="str">
        <f>IF(ISBLANK(DeemedDashboard[[#This Row],[Measure New Device EUL]]),"",ROUND(DeemedDashboard[[#This Row],[Measure New Device EUL]],0))</f>
        <v/>
      </c>
      <c r="AG62" s="323" t="str">
        <f>IF(ISBLANK(DeemedDashboard[[#This Row],[Counterfactual New Device EUL]]),"",ROUND(DeemedDashboard[[#This Row],[Counterfactual New Device EUL]],0))</f>
        <v/>
      </c>
      <c r="AH62" s="323" t="str">
        <f>IF(ISBLANK(DeemedDashboard[[#This Row],[Existing Device EUL]]),"",ROUND(DeemedDashboard[[#This Row],[Existing Device EUL]],0))</f>
        <v/>
      </c>
      <c r="AI62" s="323" t="str">
        <f>IF(ISBLANK(DeemedDashboard[[#This Row],[Existing Device RUL or AR First Baseline Life]]),"",ROUND(DeemedDashboard[[#This Row],[Existing Device RUL or AR First Baseline Life]],0))</f>
        <v/>
      </c>
      <c r="AJ62" s="327" t="str">
        <f>DeemedDashboard[[#This Row],[Measure Start Year]]</f>
        <v/>
      </c>
      <c r="AK62" s="327" t="str">
        <f>IF(DeemedDashboard[[#This Row],[MeasAppType]]&lt;&gt;const_AR,DeemedDashboard[[#This Row],[Measure Start Year]],DeemedDashboard[[#This Row],[Ext Device Retire-ment Year]]+1)</f>
        <v/>
      </c>
      <c r="AL62" s="327" t="str">
        <f>IFERROR(IF(DeemedDashboard[[#This Row],[MeasAppType]]=const_AR,DeemedDashboard[[#This Row],[Measure Start Year]]-(DeemedDashboard[[#This Row],[Existing Device EUL]]-DeemedDashboard[[#This Row],[Existing Device RUL or AR First Baseline Life]]),NA()),"")</f>
        <v/>
      </c>
      <c r="AM62" s="327" t="str">
        <f>DeemedDashboard[[#This Row],[Pre Device Install Year]]</f>
        <v/>
      </c>
      <c r="AN62" s="327" t="str">
        <f>IFERROR(IF(ISBLANK(DeemedDashboard[[#This Row],[MeasAppType]]),NA(),DeemedDashboard[[#This Row],[Measure Start Year]]+DeemedDashboard[[#This Row],[Msr EUL rounded]]-1),"")</f>
        <v/>
      </c>
      <c r="AO62" s="327" t="str">
        <f>IFERROR(DeemedDashboard[[#This Row],[Std Device Install Year]]+DeemedDashboard[[#This Row],[Counterfactual New Device EUL]]-1,"")</f>
        <v/>
      </c>
      <c r="AP62" s="327" t="str">
        <f>IFERROR(IF(AND(DeemedDashboard[[#This Row],[MeasAppType]]=const_AR,DeemedDashboard[[#This Row],[Measure Start Year]]&lt;(DeemedDashboard[[#This Row],[Pre Device Install Year]]+DeemedDashboard[[#This Row],[Existing Device EUL]]-1)),DeemedDashboard[[#This Row],[Measure Start Year]]-1,NA()),"")</f>
        <v/>
      </c>
      <c r="AQ62" s="327" t="str">
        <f>IFERROR(IF(DeemedDashboard[[#This Row],[MeasAppType]]=const_AR,DeemedDashboard[[#This Row],[Ext Device Install Year]]+DeemedDashboard[[#This Row],[Existing Device EUL]]-1,NA()),"")</f>
        <v/>
      </c>
      <c r="AR62" s="327" t="str">
        <f>IFERROR(IF(ISBLANK(DeemedDashboard[[#This Row],[MeasAppType]]),NA(),0),"")</f>
        <v/>
      </c>
      <c r="AS62" s="327" t="str">
        <f>IFERROR(IF(ISBLANK(DeemedDashboard[[#This Row],[MeasAppType]]),NA(),0),"")</f>
        <v/>
      </c>
      <c r="AT62" s="327" t="str">
        <f>IF(ISBLANK(DeemedDashboard[[#This Row],[MeasAppType]]),"",IF(DeemedDashboard[[#This Row],[MeasAppType]]&lt;&gt;const_AR,"",(DeemedDashboard[[#This Row],[Pre Device Install Year]]+DeemedDashboard[[#This Row],[Existing Device EUL]]-1)-DeemedDashboard[[#This Row],[Pre Device Retire-ment Year]]))</f>
        <v/>
      </c>
      <c r="AU62" s="327" t="str">
        <f>IF(ISBLANK(DeemedDashboard[[#This Row],[MeasAppType]]),"",IF(DeemedDashboard[[#This Row],[MeasAppType]]=const_AR,0,""))</f>
        <v/>
      </c>
      <c r="AV62" s="328" t="str">
        <f>IF(ISBLANK(DeemedDashboard[[#This Row],[MeasAppType]]),"",MAX((1+MIN(DeemedDashboard[[#This Row],[Msr Device Retire-ment Year]],DeemedDashboard[[#This Row],[Measure End 
Year]])-MAX(DeemedDashboard[[#This Row],[Msr Device Install Year]],DeemedDashboard[[#This Row],[Measure Start Year]])),0))</f>
        <v/>
      </c>
      <c r="AW62" s="328" t="str">
        <f>IF(ISBLANK(DeemedDashboard[[#This Row],[MeasAppType]]),"",MAX((1+MIN(DeemedDashboard[[#This Row],[Std Device Retire-ment Year]],DeemedDashboard[[#This Row],[Measure End 
Year]])-MAX(DeemedDashboard[[#This Row],[Std Device Install Year]],DeemedDashboard[[#This Row],[Measure Start Year]])),0))</f>
        <v/>
      </c>
      <c r="AX6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2" s="329" t="str">
        <f>IF(ISBLANK(DeemedDashboard[[#This Row],[MeasAppType]]),"",IF(DeemedDashboard[[#This Row],[Msr Device Years Over-lapping with Measure Years]]=0,0,DeemedDashboard[[#This Row],[Msr Device Years Over-lapping with Measure Years]]/DeemedDashboard[[#This Row],[Msr EUL rounded]]))</f>
        <v/>
      </c>
      <c r="BA62" s="329" t="str">
        <f>IF(ISBLANK(DeemedDashboard[[#This Row],[MeasAppType]]),"",IF(DeemedDashboard[[#This Row],[Std Device Years Over-lapping with Measure Years]]=0,0,DeemedDashboard[[#This Row],[Std Device Years Over-lapping with Measure Years]]/DeemedDashboard[[#This Row],[Counterfactual New Device EUL]]))</f>
        <v/>
      </c>
      <c r="BB62" s="329" t="str">
        <f>IF(ISBLANK(DeemedDashboard[[#This Row],[MeasAppType]]),"",IFERROR(IF(DeemedDashboard[[#This Row],[Pre Device Years Over-lapping with Measure Years]]=0,0,DeemedDashboard[[#This Row],[Pre Device Years Over-lapping with Measure Years]]/DeemedDashboard[[#This Row],[Existing Device EUL]]),""))</f>
        <v/>
      </c>
      <c r="BC62" s="329" t="str">
        <f>IFERROR(IF(DeemedDashboard[[#This Row],[Ext Device Years Over-lapping with Measure Years]]=0,0,DeemedDashboard[[#This Row],[Ext Device Years Over-lapping with Measure Years]]/DeemedDashboard[[#This Row],[Existing Device EUL]]),"")</f>
        <v/>
      </c>
      <c r="BD62" s="329" t="str">
        <f>IFERROR(IF(DeemedDashboard[[#This Row],[Msr Number of Years device retired early]]=0,0,DeemedDashboard[[#This Row],[Msr Number of Years device retired early]]/DeemedDashboard[[#This Row],[Msr EUL rounded]]),"")</f>
        <v/>
      </c>
      <c r="BE62" s="329" t="str">
        <f>IFERROR(IF(DeemedDashboard[[#This Row],[Std Number of Years device retired early]]=0,0,DeemedDashboard[[#This Row],[Std Number of Years device retired early]]/DeemedDashboard[[#This Row],[Msr EUL rounded]]),"")</f>
        <v/>
      </c>
      <c r="BF62" s="329" t="str">
        <f>IFERROR(IF(DeemedDashboard[[#This Row],[MeasAppType]]&lt;&gt;const_AR,"",IF(DeemedDashboard[[#This Row],[Pre Number of Years device retired early]]=0,0,DeemedDashboard[[#This Row],[Pre Number of Years device retired early]]/DeemedDashboard[[#This Row],[Existing Device EUL]])),"")</f>
        <v/>
      </c>
      <c r="BG62" s="329" t="str">
        <f>IFERROR(IF(DeemedDashboard[[#This Row],[Ext Number of Years device retired early]]=0,0,DeemedDashboard[[#This Row],[Ext Number of Years device retired early]]/DeemedDashboard[[#This Row],[Existing Device EUL]]),"")</f>
        <v/>
      </c>
      <c r="BH62" s="325" t="str">
        <f>IFERROR(1-DeemedDashboard[[#This Row],[Msr annual refrigerant leakage %]]*DeemedDashboard[[#This Row],[Msr t_EOL]],"")</f>
        <v/>
      </c>
      <c r="BI62" s="325" t="str">
        <f>IFERROR(1-DeemedDashboard[[#This Row],[Std annual refrigerant leakage %]]*DeemedDashboard[[#This Row],[Std t_EOL]],"")</f>
        <v/>
      </c>
      <c r="BJ62" s="325" t="str">
        <f>IFERROR(1-DeemedDashboard[[#This Row],[Pre/Ext annual refrigerant leakage %]]*DeemedDashboard[[#This Row],[Pre/Ext t_EOL]],"")</f>
        <v/>
      </c>
      <c r="BK62" s="325" t="str">
        <f>IFERROR(1-DeemedDashboard[[#This Row],[Pre/Ext annual refrigerant leakage %]]*DeemedDashboard[[#This Row],[Pre/Ext t_EOL]],"")</f>
        <v/>
      </c>
      <c r="BL62" s="325" t="str">
        <f>IFERROR(DeemedDashboard[[#This Row],[Msr charging remaining (%)]]*DeemedDashboard[[#This Row],[Msr gross EOL refrigerant leakage %]],"")</f>
        <v/>
      </c>
      <c r="BM62" s="325" t="str">
        <f>IFERROR(DeemedDashboard[[#This Row],[Std charging remaining (%)]]*DeemedDashboard[[#This Row],[Std gross EOL refrigerant leakage %]],"")</f>
        <v/>
      </c>
      <c r="BN62" s="325" t="str">
        <f>IFERROR(DeemedDashboard[[#This Row],[Pre charging remaining (%)]]*DeemedDashboard[[#This Row],[Pre/Ext gross EOL refrigerant leakage %]],"")</f>
        <v/>
      </c>
      <c r="BO62" s="325" t="str">
        <f>IFERROR(DeemedDashboard[[#This Row],[Ext charging remaining (%)]]*DeemedDashboard[[#This Row],[Pre/Ext gross EOL refrigerant leakage %]],"")</f>
        <v/>
      </c>
      <c r="BP62" s="330" t="str">
        <f>IFERROR((DeemedDashboard[[#This Row],[Msr refrigerant charge (lb) per NormUnit]]/pounds_per_metric_ton)*DeemedDashboard[[#This Row],[Msr annual refrigerant leakage %]]*DeemedDashboard[[#This Row],[Msr GWP]],"")</f>
        <v/>
      </c>
      <c r="BQ62" s="330" t="str">
        <f>IFERROR((DeemedDashboard[[#This Row],[Std refrigerant charge (lb) per NormUnit]]/pounds_per_metric_ton)*DeemedDashboard[[#This Row],[Std annual refrigerant leakage %]]*DeemedDashboard[[#This Row],[Std GWP]],"")</f>
        <v/>
      </c>
      <c r="BR62" s="330" t="str">
        <f>IF(DeemedDashboard[[#This Row],[MeasAppType]]=const_AR,(DeemedDashboard[[#This Row],[Pre/Ext refrigerant charge (lb) per NormUnit]]/pounds_per_metric_ton)*DeemedDashboard[[#This Row],[Pre/Ext annual refrigerant leakage %]]*DeemedDashboard[[#This Row],[Pre/Ext GWP]],"")</f>
        <v/>
      </c>
      <c r="BS62" s="330" t="str">
        <f>IF(DeemedDashboard[[#This Row],[MeasAppType]]=const_AR,(DeemedDashboard[[#This Row],[Pre/Ext refrigerant charge (lb) per NormUnit]]/pounds_per_metric_ton)*DeemedDashboard[[#This Row],[Pre/Ext annual refrigerant leakage %]]*DeemedDashboard[[#This Row],[Pre/Ext GWP]],"")</f>
        <v/>
      </c>
      <c r="BT62" s="330" t="str">
        <f>IFERROR((DeemedDashboard[[#This Row],[Msr refrigerant charge (lb) per NormUnit]]/pounds_per_metric_ton)*DeemedDashboard[[#This Row],[Msr net EOL refrigerant leakage (%)]]*DeemedDashboard[[#This Row],[Msr GWP]],"")</f>
        <v/>
      </c>
      <c r="BU62" s="330" t="str">
        <f>IFERROR((DeemedDashboard[[#This Row],[Std refrigerant charge (lb) per NormUnit]]/pounds_per_metric_ton)*DeemedDashboard[[#This Row],[Std net EOL refrigerant leakage (%)]]*DeemedDashboard[[#This Row],[Std GWP]],"")</f>
        <v/>
      </c>
      <c r="BV62" s="330" t="str">
        <f>IFERROR((DeemedDashboard[[#This Row],[Pre/Ext refrigerant charge (lb) per NormUnit]]/pounds_per_metric_ton)*DeemedDashboard[[#This Row],[Pre net EOL refrigerant leakage (%)]]*DeemedDashboard[[#This Row],[Pre/Ext GWP]],"")</f>
        <v/>
      </c>
      <c r="BW62" s="330" t="str">
        <f>IFERROR((DeemedDashboard[[#This Row],[Pre/Ext refrigerant charge (lb) per NormUnit]]/pounds_per_metric_ton)*DeemedDashboard[[#This Row],[Ext net EOL refrigerant leakage (%)]]*DeemedDashboard[[#This Row],[Pre/Ext GWP]],"")</f>
        <v/>
      </c>
      <c r="BX62" s="299" t="str" cm="1">
        <f t="array" aca="1" ref="BX6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2" s="305" t="str" cm="1">
        <f t="array" aca="1" ref="BY6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2" s="299" t="str">
        <f>IFERROR(IF(OR(DeemedDashboard[[#This Row],[MeasAppType]]&lt;&gt;const_AR,ISBLANK(DeemedDashboard[[#This Row],[MeasAppType]])),NA(),0),"")</f>
        <v/>
      </c>
      <c r="CA62" s="305" t="str" cm="1">
        <f t="array" aca="1" ref="CA6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2" s="299" t="str">
        <f ca="1">IFERROR((DeemedDashboard[[#This Row],[Msr EOL leakage tons CO2e]]*OFFSET(GHG_Adder_dollar_per_tonne,0,(DeemedDashboard[[#This Row],[Msr Device Retire-ment Year]]-DY+1),1,1))/(1+WACC)^(DeemedDashboard[[#This Row],[Msr Device Retire-ment Year]]-DeemedDashboard[[#This Row],[Measure Start Year]]+0.5),"")</f>
        <v/>
      </c>
      <c r="CC62" s="299" t="str">
        <f ca="1">IFERROR((DeemedDashboard[[#This Row],[Std EOL leakage tons CO2e]]*OFFSET(GHG_Adder_dollar_per_tonne,0,(DeemedDashboard[[#This Row],[Std Device Retire-ment Year]]-DY+1),1,1))/(1+WACC)^(DeemedDashboard[[#This Row],[Std Device Retire-ment Year]]-DeemedDashboard[[#This Row],[Measure Start Year]]+0.5),"")</f>
        <v/>
      </c>
      <c r="CD62" s="299" t="str">
        <f ca="1">IFERROR((DeemedDashboard[[#This Row],[Pre EOL leakage tons CO2e]]*OFFSET(GHG_Adder_dollar_per_tonne,0,(DeemedDashboard[[#This Row],[Measure Start Year]]-DY),1,1))/(1+WACC)^(-0.5),"")</f>
        <v/>
      </c>
      <c r="CE6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2" s="299" t="str">
        <f ca="1">IFERROR(DeemedDashboard[[#This Row],[Msr NPV Cost of Annual Leakage]]/(1+ACC_Inflation_Rate)^(DeemedDashboard[[#This Row],[Measure Start Year]]-DY),"")</f>
        <v/>
      </c>
      <c r="CG62" s="299" t="str">
        <f ca="1">IFERROR(DeemedDashboard[[#This Row],[Std NPV Cost of Annual Leakage]]/(1+ACC_Inflation_Rate)^(DeemedDashboard[[#This Row],[Measure Start Year]]-DY),"")</f>
        <v/>
      </c>
      <c r="CH62" s="299" t="str">
        <f>IFERROR(IF(ISBLANK(DeemedDashboard[[#This Row],[MeasAppType]]),NA(),IF(DeemedDashboard[[#This Row],[MeasAppType]]=const_AR,DeemedDashboard[[#This Row],[Pre NPV Cost of Annual Leakage]]/(1+ACC_Inflation_Rate)^(DeemedDashboard[[#This Row],[Measure Start Year]]-DY),"")),"")</f>
        <v/>
      </c>
      <c r="CI62" s="296" t="str">
        <f>IFERROR(IF(ISBLANK(DeemedDashboard[[#This Row],[MeasAppType]]),NA(),IF(DeemedDashboard[[#This Row],[MeasAppType]]=const_AR,DeemedDashboard[[#This Row],[Ext NPV Cost of Annual Leakage]]/(1+ACC_Inflation_Rate)^(DeemedDashboard[[#This Row],[Measure Start Year]]-DY),"")),"")</f>
        <v/>
      </c>
      <c r="CJ62" s="296" t="str">
        <f ca="1">IFERROR((DeemedDashboard[[#This Row],[Msr % of device lifetime during measure years]]+DeemedDashboard[[#This Row],[Msr % of device lifetime retired early]])*DeemedDashboard[[#This Row],[Msr NPV Cost of EOL Leakage]]/(1+ACC_Inflation_Rate)^(DeemedDashboard[[#This Row],[Measure Start Year]]-DY),"")</f>
        <v/>
      </c>
      <c r="CK62" s="296" t="str">
        <f ca="1">IFERROR((DeemedDashboard[[#This Row],[Std % of device lifetime during measure years]]+DeemedDashboard[[#This Row],[Std % of device lifetime retired early]])*DeemedDashboard[[#This Row],[Std NPV Cost of EOL Leakage]]/(1+ACC_Inflation_Rate)^(DeemedDashboard[[#This Row],[Measure Start Year]]-DY),"")</f>
        <v/>
      </c>
      <c r="CL6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2" s="299" t="str">
        <f ca="1">IFERROR(DeemedDashboard[[#This Row],[Counter-factual total 
NPV cost]]-DeemedDashboard[[#This Row],[Measure total 
NPV cost]],"")</f>
        <v/>
      </c>
      <c r="CQ62" s="299" t="str">
        <f>IF(ISBLANK(DeemedDashboard[[#This Row],[MeasAppType]]),"",DeemedDashboard[[#This Row],[Refrigerant
NPV costs
avoided]]&gt;0)</f>
        <v/>
      </c>
      <c r="CR62" s="299" t="str">
        <f ca="1">IFERROR(DeemedDashboard[[#This Row],[Msr Adj NPV Cost of Annual Leakage]]+DeemedDashboard[[#This Row],[Msr Adj NPV Cost of EOL Leakage]],"")</f>
        <v/>
      </c>
      <c r="CS62" s="299" t="str">
        <f ca="1">IFERROR(DeemedDashboard[[#This Row],[Std Adj NPV Cost of Annual Leakage]]+DeemedDashboard[[#This Row],[Std Adj NPV Cost of EOL Leakage]],"")</f>
        <v/>
      </c>
      <c r="CT62" s="299" t="str">
        <f>IFERROR(IF((DeemedDashboard[[#This Row],[Pre Adj NPV Cost of Annual Leakage]]+DeemedDashboard[[#This Row],[Pre Adj NPV Cost of EOL Leakage]])=0,"",DeemedDashboard[[#This Row],[Pre Adj NPV Cost of Annual Leakage]]+DeemedDashboard[[#This Row],[Pre Adj NPV Cost of EOL Leakage]]),"")</f>
        <v/>
      </c>
      <c r="CU62" s="299" t="str">
        <f>IFERROR(IF((DeemedDashboard[[#This Row],[Ext Adj NPV Cost of Annual Leakage]]+DeemedDashboard[[#This Row],[Ext Adj NPV Cost of EOL Leakage]])=0,"",DeemedDashboard[[#This Row],[Ext Adj NPV Cost of Annual Leakage]]+DeemedDashboard[[#This Row],[Ext Adj NPV Cost of EOL Leakage]]),"")</f>
        <v/>
      </c>
      <c r="CV62" s="299" t="str">
        <f>IFERROR(IF(DeemedDashboard[[#This Row],[Is Avoided Net Cost &gt;0?]],"",-DeemedDashboard[[#This Row],[Refrigerant
NPV costs
avoided]]),"")</f>
        <v/>
      </c>
      <c r="CW62" s="299" t="str">
        <f>IFERROR(IF(DeemedDashboard[[#This Row],[Is Avoided Net Cost &gt;0?]],DeemedDashboard[[#This Row],[Refrigerant
NPV costs
avoided]],""),"")</f>
        <v/>
      </c>
      <c r="CX62" s="391">
        <f ca="1">IFERROR(MATCH(DeemedDashboard[[#This Row],[TechGroup and NormUnit]],TechGroup_and_NormUnit,0),1)</f>
        <v>1</v>
      </c>
      <c r="CY62" s="391" cm="1">
        <f t="array" aca="1" ref="CY62" ca="1">IFERROR(INDEX(TGRows,DeemedDashboard[[#This Row],[TGIndex]]),"")</f>
        <v>2</v>
      </c>
      <c r="CZ62" s="391">
        <f ca="1">IF(DeemedDashboard[[#This Row],[MeasAppType]]=const_AR,DeemedDashboard[[#This Row],[TGRows]],DeemedDashboard[[#This Row],[TGRows]]+1)</f>
        <v>3</v>
      </c>
      <c r="DA62" s="391" t="str">
        <f>IF(ISBLANK(DeemedDashboard[[#This Row],[MeasAppType]]),"",IF(DeemedDashboard[[#This Row],[Index]]=User_Specified_Refrigerant[[#This Row],[Index]],"OK","ERROR"))</f>
        <v/>
      </c>
    </row>
    <row r="63" spans="1:105" s="320" customFormat="1" x14ac:dyDescent="0.25">
      <c r="A63" s="297">
        <f>ROW(DeemedDashboard[[#This Row],[Index]])-ROW(DeemedDashboard[[#Headers],[Index]])</f>
        <v>54</v>
      </c>
      <c r="B63" s="298"/>
      <c r="C63" s="321"/>
      <c r="D63" s="403"/>
      <c r="E63" s="403"/>
      <c r="F63" s="403"/>
      <c r="G63" s="403"/>
      <c r="H63" s="366"/>
      <c r="I63" s="339"/>
      <c r="J63" s="339"/>
      <c r="K63" s="339"/>
      <c r="L63" s="322"/>
      <c r="M63" s="322"/>
      <c r="N63" s="322"/>
      <c r="O6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3" s="582" t="str" cm="1">
        <f t="array" ref="R63">IFERROR(IF(DeemedDashboard[[#This Row],[Msr device type]]=const_device_nonrefrig,0,INDEX(_xlfn.SWITCH($E$4,const_20_yr,GWP_Values_20_year_AR4,const_100_yr,GWP_Values_100_year_AR4),MATCH(DeemedDashboard[[#This Row],[Msr refrigerant Type]],RefrigDropdownList,0))),"")</f>
        <v/>
      </c>
      <c r="S63" s="582" t="str" cm="1">
        <f t="array" ref="S63">IFERROR(IF(DeemedDashboard[[#This Row],[Std device type]]=const_device_nonrefrig,0,INDEX(_xlfn.SWITCH($E$4,const_20_yr,GWP_Values_20_year_AR4,const_100_yr,GWP_Values_100_year_AR4),MATCH(DeemedDashboard[[#This Row],[Std refrigerant Type]],RefrigDropdownList,0))),"")</f>
        <v/>
      </c>
      <c r="T63" s="582" t="str" cm="1">
        <f t="array" ref="T63">IFERROR(IF(DeemedDashboard[[#This Row],[Pre/Ext device type]]=const_device_nonrefrig,0,INDEX(_xlfn.SWITCH($E$4,const_20_yr,GWP_Values_20_year_AR4,const_100_yr,GWP_Values_100_year_AR4),MATCH(DeemedDashboard[[#This Row],[Pre/Ext refrigerant Type]],RefrigDropdownList,0))),"")</f>
        <v/>
      </c>
      <c r="U6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3" s="326" t="str">
        <f>IFERROR(IF(DeemedDashboard[[#This Row],[Msr device type]]=const_userspec,IF(ISBLANK(User_Specified_Refrigerant[[#This Row],[Msr t_EOL]]),"",User_Specified_Refrigerant[[#This Row],[Msr t_EOL]]),INDEX(TechGroup_NormUnit_Table[t_EOL],MATCH(DeemedDashboard[[#This Row],[Msr device type]],DropdownRefrigTech,0))),"")</f>
        <v/>
      </c>
      <c r="AB63" s="326" t="str">
        <f>IFERROR(IF(DeemedDashboard[[#This Row],[Std device type]]=const_userspec,IF(ISBLANK(User_Specified_Refrigerant[[#This Row],[Std t_EOL]]),"",User_Specified_Refrigerant[[#This Row],[Std t_EOL]]),INDEX(TechGroup_NormUnit_Table[t_EOL],MATCH(DeemedDashboard[[#This Row],[Std device type]],DropdownRefrigTech,0))),"")</f>
        <v/>
      </c>
      <c r="AC6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3" s="395" t="str">
        <f>IF(ISBLANK(DeemedDashboard[[#This Row],[MeasAppType]]),"",$E$2)</f>
        <v/>
      </c>
      <c r="AE63" s="395" t="str">
        <f>IFERROR(IF(ISBLANK(DeemedDashboard[[#This Row],[MeasAppType]]),NA(),DeemedDashboard[[#This Row],[Measure Start Year]]+DeemedDashboard[[#This Row],[Msr EUL rounded]]-1),"")</f>
        <v/>
      </c>
      <c r="AF63" s="323" t="str">
        <f>IF(ISBLANK(DeemedDashboard[[#This Row],[Measure New Device EUL]]),"",ROUND(DeemedDashboard[[#This Row],[Measure New Device EUL]],0))</f>
        <v/>
      </c>
      <c r="AG63" s="323" t="str">
        <f>IF(ISBLANK(DeemedDashboard[[#This Row],[Counterfactual New Device EUL]]),"",ROUND(DeemedDashboard[[#This Row],[Counterfactual New Device EUL]],0))</f>
        <v/>
      </c>
      <c r="AH63" s="323" t="str">
        <f>IF(ISBLANK(DeemedDashboard[[#This Row],[Existing Device EUL]]),"",ROUND(DeemedDashboard[[#This Row],[Existing Device EUL]],0))</f>
        <v/>
      </c>
      <c r="AI63" s="323" t="str">
        <f>IF(ISBLANK(DeemedDashboard[[#This Row],[Existing Device RUL or AR First Baseline Life]]),"",ROUND(DeemedDashboard[[#This Row],[Existing Device RUL or AR First Baseline Life]],0))</f>
        <v/>
      </c>
      <c r="AJ63" s="327" t="str">
        <f>DeemedDashboard[[#This Row],[Measure Start Year]]</f>
        <v/>
      </c>
      <c r="AK63" s="327" t="str">
        <f>IF(DeemedDashboard[[#This Row],[MeasAppType]]&lt;&gt;const_AR,DeemedDashboard[[#This Row],[Measure Start Year]],DeemedDashboard[[#This Row],[Ext Device Retire-ment Year]]+1)</f>
        <v/>
      </c>
      <c r="AL63" s="327" t="str">
        <f>IFERROR(IF(DeemedDashboard[[#This Row],[MeasAppType]]=const_AR,DeemedDashboard[[#This Row],[Measure Start Year]]-(DeemedDashboard[[#This Row],[Existing Device EUL]]-DeemedDashboard[[#This Row],[Existing Device RUL or AR First Baseline Life]]),NA()),"")</f>
        <v/>
      </c>
      <c r="AM63" s="327" t="str">
        <f>DeemedDashboard[[#This Row],[Pre Device Install Year]]</f>
        <v/>
      </c>
      <c r="AN63" s="327" t="str">
        <f>IFERROR(IF(ISBLANK(DeemedDashboard[[#This Row],[MeasAppType]]),NA(),DeemedDashboard[[#This Row],[Measure Start Year]]+DeemedDashboard[[#This Row],[Msr EUL rounded]]-1),"")</f>
        <v/>
      </c>
      <c r="AO63" s="327" t="str">
        <f>IFERROR(DeemedDashboard[[#This Row],[Std Device Install Year]]+DeemedDashboard[[#This Row],[Counterfactual New Device EUL]]-1,"")</f>
        <v/>
      </c>
      <c r="AP63" s="327" t="str">
        <f>IFERROR(IF(AND(DeemedDashboard[[#This Row],[MeasAppType]]=const_AR,DeemedDashboard[[#This Row],[Measure Start Year]]&lt;(DeemedDashboard[[#This Row],[Pre Device Install Year]]+DeemedDashboard[[#This Row],[Existing Device EUL]]-1)),DeemedDashboard[[#This Row],[Measure Start Year]]-1,NA()),"")</f>
        <v/>
      </c>
      <c r="AQ63" s="327" t="str">
        <f>IFERROR(IF(DeemedDashboard[[#This Row],[MeasAppType]]=const_AR,DeemedDashboard[[#This Row],[Ext Device Install Year]]+DeemedDashboard[[#This Row],[Existing Device EUL]]-1,NA()),"")</f>
        <v/>
      </c>
      <c r="AR63" s="327" t="str">
        <f>IFERROR(IF(ISBLANK(DeemedDashboard[[#This Row],[MeasAppType]]),NA(),0),"")</f>
        <v/>
      </c>
      <c r="AS63" s="327" t="str">
        <f>IFERROR(IF(ISBLANK(DeemedDashboard[[#This Row],[MeasAppType]]),NA(),0),"")</f>
        <v/>
      </c>
      <c r="AT63" s="327" t="str">
        <f>IF(ISBLANK(DeemedDashboard[[#This Row],[MeasAppType]]),"",IF(DeemedDashboard[[#This Row],[MeasAppType]]&lt;&gt;const_AR,"",(DeemedDashboard[[#This Row],[Pre Device Install Year]]+DeemedDashboard[[#This Row],[Existing Device EUL]]-1)-DeemedDashboard[[#This Row],[Pre Device Retire-ment Year]]))</f>
        <v/>
      </c>
      <c r="AU63" s="327" t="str">
        <f>IF(ISBLANK(DeemedDashboard[[#This Row],[MeasAppType]]),"",IF(DeemedDashboard[[#This Row],[MeasAppType]]=const_AR,0,""))</f>
        <v/>
      </c>
      <c r="AV63" s="328" t="str">
        <f>IF(ISBLANK(DeemedDashboard[[#This Row],[MeasAppType]]),"",MAX((1+MIN(DeemedDashboard[[#This Row],[Msr Device Retire-ment Year]],DeemedDashboard[[#This Row],[Measure End 
Year]])-MAX(DeemedDashboard[[#This Row],[Msr Device Install Year]],DeemedDashboard[[#This Row],[Measure Start Year]])),0))</f>
        <v/>
      </c>
      <c r="AW63" s="328" t="str">
        <f>IF(ISBLANK(DeemedDashboard[[#This Row],[MeasAppType]]),"",MAX((1+MIN(DeemedDashboard[[#This Row],[Std Device Retire-ment Year]],DeemedDashboard[[#This Row],[Measure End 
Year]])-MAX(DeemedDashboard[[#This Row],[Std Device Install Year]],DeemedDashboard[[#This Row],[Measure Start Year]])),0))</f>
        <v/>
      </c>
      <c r="AX6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3" s="329" t="str">
        <f>IF(ISBLANK(DeemedDashboard[[#This Row],[MeasAppType]]),"",IF(DeemedDashboard[[#This Row],[Msr Device Years Over-lapping with Measure Years]]=0,0,DeemedDashboard[[#This Row],[Msr Device Years Over-lapping with Measure Years]]/DeemedDashboard[[#This Row],[Msr EUL rounded]]))</f>
        <v/>
      </c>
      <c r="BA63" s="329" t="str">
        <f>IF(ISBLANK(DeemedDashboard[[#This Row],[MeasAppType]]),"",IF(DeemedDashboard[[#This Row],[Std Device Years Over-lapping with Measure Years]]=0,0,DeemedDashboard[[#This Row],[Std Device Years Over-lapping with Measure Years]]/DeemedDashboard[[#This Row],[Counterfactual New Device EUL]]))</f>
        <v/>
      </c>
      <c r="BB63" s="329" t="str">
        <f>IF(ISBLANK(DeemedDashboard[[#This Row],[MeasAppType]]),"",IFERROR(IF(DeemedDashboard[[#This Row],[Pre Device Years Over-lapping with Measure Years]]=0,0,DeemedDashboard[[#This Row],[Pre Device Years Over-lapping with Measure Years]]/DeemedDashboard[[#This Row],[Existing Device EUL]]),""))</f>
        <v/>
      </c>
      <c r="BC63" s="329" t="str">
        <f>IFERROR(IF(DeemedDashboard[[#This Row],[Ext Device Years Over-lapping with Measure Years]]=0,0,DeemedDashboard[[#This Row],[Ext Device Years Over-lapping with Measure Years]]/DeemedDashboard[[#This Row],[Existing Device EUL]]),"")</f>
        <v/>
      </c>
      <c r="BD63" s="329" t="str">
        <f>IFERROR(IF(DeemedDashboard[[#This Row],[Msr Number of Years device retired early]]=0,0,DeemedDashboard[[#This Row],[Msr Number of Years device retired early]]/DeemedDashboard[[#This Row],[Msr EUL rounded]]),"")</f>
        <v/>
      </c>
      <c r="BE63" s="329" t="str">
        <f>IFERROR(IF(DeemedDashboard[[#This Row],[Std Number of Years device retired early]]=0,0,DeemedDashboard[[#This Row],[Std Number of Years device retired early]]/DeemedDashboard[[#This Row],[Msr EUL rounded]]),"")</f>
        <v/>
      </c>
      <c r="BF63" s="329" t="str">
        <f>IFERROR(IF(DeemedDashboard[[#This Row],[MeasAppType]]&lt;&gt;const_AR,"",IF(DeemedDashboard[[#This Row],[Pre Number of Years device retired early]]=0,0,DeemedDashboard[[#This Row],[Pre Number of Years device retired early]]/DeemedDashboard[[#This Row],[Existing Device EUL]])),"")</f>
        <v/>
      </c>
      <c r="BG63" s="329" t="str">
        <f>IFERROR(IF(DeemedDashboard[[#This Row],[Ext Number of Years device retired early]]=0,0,DeemedDashboard[[#This Row],[Ext Number of Years device retired early]]/DeemedDashboard[[#This Row],[Existing Device EUL]]),"")</f>
        <v/>
      </c>
      <c r="BH63" s="325" t="str">
        <f>IFERROR(1-DeemedDashboard[[#This Row],[Msr annual refrigerant leakage %]]*DeemedDashboard[[#This Row],[Msr t_EOL]],"")</f>
        <v/>
      </c>
      <c r="BI63" s="325" t="str">
        <f>IFERROR(1-DeemedDashboard[[#This Row],[Std annual refrigerant leakage %]]*DeemedDashboard[[#This Row],[Std t_EOL]],"")</f>
        <v/>
      </c>
      <c r="BJ63" s="325" t="str">
        <f>IFERROR(1-DeemedDashboard[[#This Row],[Pre/Ext annual refrigerant leakage %]]*DeemedDashboard[[#This Row],[Pre/Ext t_EOL]],"")</f>
        <v/>
      </c>
      <c r="BK63" s="325" t="str">
        <f>IFERROR(1-DeemedDashboard[[#This Row],[Pre/Ext annual refrigerant leakage %]]*DeemedDashboard[[#This Row],[Pre/Ext t_EOL]],"")</f>
        <v/>
      </c>
      <c r="BL63" s="325" t="str">
        <f>IFERROR(DeemedDashboard[[#This Row],[Msr charging remaining (%)]]*DeemedDashboard[[#This Row],[Msr gross EOL refrigerant leakage %]],"")</f>
        <v/>
      </c>
      <c r="BM63" s="325" t="str">
        <f>IFERROR(DeemedDashboard[[#This Row],[Std charging remaining (%)]]*DeemedDashboard[[#This Row],[Std gross EOL refrigerant leakage %]],"")</f>
        <v/>
      </c>
      <c r="BN63" s="325" t="str">
        <f>IFERROR(DeemedDashboard[[#This Row],[Pre charging remaining (%)]]*DeemedDashboard[[#This Row],[Pre/Ext gross EOL refrigerant leakage %]],"")</f>
        <v/>
      </c>
      <c r="BO63" s="325" t="str">
        <f>IFERROR(DeemedDashboard[[#This Row],[Ext charging remaining (%)]]*DeemedDashboard[[#This Row],[Pre/Ext gross EOL refrigerant leakage %]],"")</f>
        <v/>
      </c>
      <c r="BP63" s="330" t="str">
        <f>IFERROR((DeemedDashboard[[#This Row],[Msr refrigerant charge (lb) per NormUnit]]/pounds_per_metric_ton)*DeemedDashboard[[#This Row],[Msr annual refrigerant leakage %]]*DeemedDashboard[[#This Row],[Msr GWP]],"")</f>
        <v/>
      </c>
      <c r="BQ63" s="330" t="str">
        <f>IFERROR((DeemedDashboard[[#This Row],[Std refrigerant charge (lb) per NormUnit]]/pounds_per_metric_ton)*DeemedDashboard[[#This Row],[Std annual refrigerant leakage %]]*DeemedDashboard[[#This Row],[Std GWP]],"")</f>
        <v/>
      </c>
      <c r="BR63" s="330" t="str">
        <f>IF(DeemedDashboard[[#This Row],[MeasAppType]]=const_AR,(DeemedDashboard[[#This Row],[Pre/Ext refrigerant charge (lb) per NormUnit]]/pounds_per_metric_ton)*DeemedDashboard[[#This Row],[Pre/Ext annual refrigerant leakage %]]*DeemedDashboard[[#This Row],[Pre/Ext GWP]],"")</f>
        <v/>
      </c>
      <c r="BS63" s="330" t="str">
        <f>IF(DeemedDashboard[[#This Row],[MeasAppType]]=const_AR,(DeemedDashboard[[#This Row],[Pre/Ext refrigerant charge (lb) per NormUnit]]/pounds_per_metric_ton)*DeemedDashboard[[#This Row],[Pre/Ext annual refrigerant leakage %]]*DeemedDashboard[[#This Row],[Pre/Ext GWP]],"")</f>
        <v/>
      </c>
      <c r="BT63" s="330" t="str">
        <f>IFERROR((DeemedDashboard[[#This Row],[Msr refrigerant charge (lb) per NormUnit]]/pounds_per_metric_ton)*DeemedDashboard[[#This Row],[Msr net EOL refrigerant leakage (%)]]*DeemedDashboard[[#This Row],[Msr GWP]],"")</f>
        <v/>
      </c>
      <c r="BU63" s="330" t="str">
        <f>IFERROR((DeemedDashboard[[#This Row],[Std refrigerant charge (lb) per NormUnit]]/pounds_per_metric_ton)*DeemedDashboard[[#This Row],[Std net EOL refrigerant leakage (%)]]*DeemedDashboard[[#This Row],[Std GWP]],"")</f>
        <v/>
      </c>
      <c r="BV63" s="330" t="str">
        <f>IFERROR((DeemedDashboard[[#This Row],[Pre/Ext refrigerant charge (lb) per NormUnit]]/pounds_per_metric_ton)*DeemedDashboard[[#This Row],[Pre net EOL refrigerant leakage (%)]]*DeemedDashboard[[#This Row],[Pre/Ext GWP]],"")</f>
        <v/>
      </c>
      <c r="BW63" s="330" t="str">
        <f>IFERROR((DeemedDashboard[[#This Row],[Pre/Ext refrigerant charge (lb) per NormUnit]]/pounds_per_metric_ton)*DeemedDashboard[[#This Row],[Ext net EOL refrigerant leakage (%)]]*DeemedDashboard[[#This Row],[Pre/Ext GWP]],"")</f>
        <v/>
      </c>
      <c r="BX63" s="299" t="str" cm="1">
        <f t="array" aca="1" ref="BX6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3" s="305" t="str" cm="1">
        <f t="array" aca="1" ref="BY6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3" s="299" t="str">
        <f>IFERROR(IF(OR(DeemedDashboard[[#This Row],[MeasAppType]]&lt;&gt;const_AR,ISBLANK(DeemedDashboard[[#This Row],[MeasAppType]])),NA(),0),"")</f>
        <v/>
      </c>
      <c r="CA63" s="305" t="str" cm="1">
        <f t="array" aca="1" ref="CA6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3" s="299" t="str">
        <f ca="1">IFERROR((DeemedDashboard[[#This Row],[Msr EOL leakage tons CO2e]]*OFFSET(GHG_Adder_dollar_per_tonne,0,(DeemedDashboard[[#This Row],[Msr Device Retire-ment Year]]-DY+1),1,1))/(1+WACC)^(DeemedDashboard[[#This Row],[Msr Device Retire-ment Year]]-DeemedDashboard[[#This Row],[Measure Start Year]]+0.5),"")</f>
        <v/>
      </c>
      <c r="CC63" s="299" t="str">
        <f ca="1">IFERROR((DeemedDashboard[[#This Row],[Std EOL leakage tons CO2e]]*OFFSET(GHG_Adder_dollar_per_tonne,0,(DeemedDashboard[[#This Row],[Std Device Retire-ment Year]]-DY+1),1,1))/(1+WACC)^(DeemedDashboard[[#This Row],[Std Device Retire-ment Year]]-DeemedDashboard[[#This Row],[Measure Start Year]]+0.5),"")</f>
        <v/>
      </c>
      <c r="CD63" s="299" t="str">
        <f ca="1">IFERROR((DeemedDashboard[[#This Row],[Pre EOL leakage tons CO2e]]*OFFSET(GHG_Adder_dollar_per_tonne,0,(DeemedDashboard[[#This Row],[Measure Start Year]]-DY),1,1))/(1+WACC)^(-0.5),"")</f>
        <v/>
      </c>
      <c r="CE6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3" s="299" t="str">
        <f ca="1">IFERROR(DeemedDashboard[[#This Row],[Msr NPV Cost of Annual Leakage]]/(1+ACC_Inflation_Rate)^(DeemedDashboard[[#This Row],[Measure Start Year]]-DY),"")</f>
        <v/>
      </c>
      <c r="CG63" s="299" t="str">
        <f ca="1">IFERROR(DeemedDashboard[[#This Row],[Std NPV Cost of Annual Leakage]]/(1+ACC_Inflation_Rate)^(DeemedDashboard[[#This Row],[Measure Start Year]]-DY),"")</f>
        <v/>
      </c>
      <c r="CH63" s="299" t="str">
        <f>IFERROR(IF(ISBLANK(DeemedDashboard[[#This Row],[MeasAppType]]),NA(),IF(DeemedDashboard[[#This Row],[MeasAppType]]=const_AR,DeemedDashboard[[#This Row],[Pre NPV Cost of Annual Leakage]]/(1+ACC_Inflation_Rate)^(DeemedDashboard[[#This Row],[Measure Start Year]]-DY),"")),"")</f>
        <v/>
      </c>
      <c r="CI63" s="296" t="str">
        <f>IFERROR(IF(ISBLANK(DeemedDashboard[[#This Row],[MeasAppType]]),NA(),IF(DeemedDashboard[[#This Row],[MeasAppType]]=const_AR,DeemedDashboard[[#This Row],[Ext NPV Cost of Annual Leakage]]/(1+ACC_Inflation_Rate)^(DeemedDashboard[[#This Row],[Measure Start Year]]-DY),"")),"")</f>
        <v/>
      </c>
      <c r="CJ63" s="296" t="str">
        <f ca="1">IFERROR((DeemedDashboard[[#This Row],[Msr % of device lifetime during measure years]]+DeemedDashboard[[#This Row],[Msr % of device lifetime retired early]])*DeemedDashboard[[#This Row],[Msr NPV Cost of EOL Leakage]]/(1+ACC_Inflation_Rate)^(DeemedDashboard[[#This Row],[Measure Start Year]]-DY),"")</f>
        <v/>
      </c>
      <c r="CK63" s="296" t="str">
        <f ca="1">IFERROR((DeemedDashboard[[#This Row],[Std % of device lifetime during measure years]]+DeemedDashboard[[#This Row],[Std % of device lifetime retired early]])*DeemedDashboard[[#This Row],[Std NPV Cost of EOL Leakage]]/(1+ACC_Inflation_Rate)^(DeemedDashboard[[#This Row],[Measure Start Year]]-DY),"")</f>
        <v/>
      </c>
      <c r="CL6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3" s="299" t="str">
        <f ca="1">IFERROR(DeemedDashboard[[#This Row],[Counter-factual total 
NPV cost]]-DeemedDashboard[[#This Row],[Measure total 
NPV cost]],"")</f>
        <v/>
      </c>
      <c r="CQ63" s="299" t="str">
        <f>IF(ISBLANK(DeemedDashboard[[#This Row],[MeasAppType]]),"",DeemedDashboard[[#This Row],[Refrigerant
NPV costs
avoided]]&gt;0)</f>
        <v/>
      </c>
      <c r="CR63" s="299" t="str">
        <f ca="1">IFERROR(DeemedDashboard[[#This Row],[Msr Adj NPV Cost of Annual Leakage]]+DeemedDashboard[[#This Row],[Msr Adj NPV Cost of EOL Leakage]],"")</f>
        <v/>
      </c>
      <c r="CS63" s="299" t="str">
        <f ca="1">IFERROR(DeemedDashboard[[#This Row],[Std Adj NPV Cost of Annual Leakage]]+DeemedDashboard[[#This Row],[Std Adj NPV Cost of EOL Leakage]],"")</f>
        <v/>
      </c>
      <c r="CT63" s="299" t="str">
        <f>IFERROR(IF((DeemedDashboard[[#This Row],[Pre Adj NPV Cost of Annual Leakage]]+DeemedDashboard[[#This Row],[Pre Adj NPV Cost of EOL Leakage]])=0,"",DeemedDashboard[[#This Row],[Pre Adj NPV Cost of Annual Leakage]]+DeemedDashboard[[#This Row],[Pre Adj NPV Cost of EOL Leakage]]),"")</f>
        <v/>
      </c>
      <c r="CU63" s="299" t="str">
        <f>IFERROR(IF((DeemedDashboard[[#This Row],[Ext Adj NPV Cost of Annual Leakage]]+DeemedDashboard[[#This Row],[Ext Adj NPV Cost of EOL Leakage]])=0,"",DeemedDashboard[[#This Row],[Ext Adj NPV Cost of Annual Leakage]]+DeemedDashboard[[#This Row],[Ext Adj NPV Cost of EOL Leakage]]),"")</f>
        <v/>
      </c>
      <c r="CV63" s="299" t="str">
        <f>IFERROR(IF(DeemedDashboard[[#This Row],[Is Avoided Net Cost &gt;0?]],"",-DeemedDashboard[[#This Row],[Refrigerant
NPV costs
avoided]]),"")</f>
        <v/>
      </c>
      <c r="CW63" s="299" t="str">
        <f>IFERROR(IF(DeemedDashboard[[#This Row],[Is Avoided Net Cost &gt;0?]],DeemedDashboard[[#This Row],[Refrigerant
NPV costs
avoided]],""),"")</f>
        <v/>
      </c>
      <c r="CX63" s="391">
        <f ca="1">IFERROR(MATCH(DeemedDashboard[[#This Row],[TechGroup and NormUnit]],TechGroup_and_NormUnit,0),1)</f>
        <v>1</v>
      </c>
      <c r="CY63" s="391" cm="1">
        <f t="array" aca="1" ref="CY63" ca="1">IFERROR(INDEX(TGRows,DeemedDashboard[[#This Row],[TGIndex]]),"")</f>
        <v>2</v>
      </c>
      <c r="CZ63" s="391">
        <f ca="1">IF(DeemedDashboard[[#This Row],[MeasAppType]]=const_AR,DeemedDashboard[[#This Row],[TGRows]],DeemedDashboard[[#This Row],[TGRows]]+1)</f>
        <v>3</v>
      </c>
      <c r="DA63" s="391" t="str">
        <f>IF(ISBLANK(DeemedDashboard[[#This Row],[MeasAppType]]),"",IF(DeemedDashboard[[#This Row],[Index]]=User_Specified_Refrigerant[[#This Row],[Index]],"OK","ERROR"))</f>
        <v/>
      </c>
    </row>
    <row r="64" spans="1:105" s="320" customFormat="1" x14ac:dyDescent="0.25">
      <c r="A64" s="297">
        <f>ROW(DeemedDashboard[[#This Row],[Index]])-ROW(DeemedDashboard[[#Headers],[Index]])</f>
        <v>55</v>
      </c>
      <c r="B64" s="298"/>
      <c r="C64" s="321"/>
      <c r="D64" s="403"/>
      <c r="E64" s="403"/>
      <c r="F64" s="403"/>
      <c r="G64" s="403"/>
      <c r="H64" s="366"/>
      <c r="I64" s="339"/>
      <c r="J64" s="339"/>
      <c r="K64" s="339"/>
      <c r="L64" s="322"/>
      <c r="M64" s="322"/>
      <c r="N64" s="322"/>
      <c r="O6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4" s="582" t="str" cm="1">
        <f t="array" ref="R64">IFERROR(IF(DeemedDashboard[[#This Row],[Msr device type]]=const_device_nonrefrig,0,INDEX(_xlfn.SWITCH($E$4,const_20_yr,GWP_Values_20_year_AR4,const_100_yr,GWP_Values_100_year_AR4),MATCH(DeemedDashboard[[#This Row],[Msr refrigerant Type]],RefrigDropdownList,0))),"")</f>
        <v/>
      </c>
      <c r="S64" s="582" t="str" cm="1">
        <f t="array" ref="S64">IFERROR(IF(DeemedDashboard[[#This Row],[Std device type]]=const_device_nonrefrig,0,INDEX(_xlfn.SWITCH($E$4,const_20_yr,GWP_Values_20_year_AR4,const_100_yr,GWP_Values_100_year_AR4),MATCH(DeemedDashboard[[#This Row],[Std refrigerant Type]],RefrigDropdownList,0))),"")</f>
        <v/>
      </c>
      <c r="T64" s="582" t="str" cm="1">
        <f t="array" ref="T64">IFERROR(IF(DeemedDashboard[[#This Row],[Pre/Ext device type]]=const_device_nonrefrig,0,INDEX(_xlfn.SWITCH($E$4,const_20_yr,GWP_Values_20_year_AR4,const_100_yr,GWP_Values_100_year_AR4),MATCH(DeemedDashboard[[#This Row],[Pre/Ext refrigerant Type]],RefrigDropdownList,0))),"")</f>
        <v/>
      </c>
      <c r="U6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4" s="326" t="str">
        <f>IFERROR(IF(DeemedDashboard[[#This Row],[Msr device type]]=const_userspec,IF(ISBLANK(User_Specified_Refrigerant[[#This Row],[Msr t_EOL]]),"",User_Specified_Refrigerant[[#This Row],[Msr t_EOL]]),INDEX(TechGroup_NormUnit_Table[t_EOL],MATCH(DeemedDashboard[[#This Row],[Msr device type]],DropdownRefrigTech,0))),"")</f>
        <v/>
      </c>
      <c r="AB64" s="326" t="str">
        <f>IFERROR(IF(DeemedDashboard[[#This Row],[Std device type]]=const_userspec,IF(ISBLANK(User_Specified_Refrigerant[[#This Row],[Std t_EOL]]),"",User_Specified_Refrigerant[[#This Row],[Std t_EOL]]),INDEX(TechGroup_NormUnit_Table[t_EOL],MATCH(DeemedDashboard[[#This Row],[Std device type]],DropdownRefrigTech,0))),"")</f>
        <v/>
      </c>
      <c r="AC6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4" s="395" t="str">
        <f>IF(ISBLANK(DeemedDashboard[[#This Row],[MeasAppType]]),"",$E$2)</f>
        <v/>
      </c>
      <c r="AE64" s="395" t="str">
        <f>IFERROR(IF(ISBLANK(DeemedDashboard[[#This Row],[MeasAppType]]),NA(),DeemedDashboard[[#This Row],[Measure Start Year]]+DeemedDashboard[[#This Row],[Msr EUL rounded]]-1),"")</f>
        <v/>
      </c>
      <c r="AF64" s="323" t="str">
        <f>IF(ISBLANK(DeemedDashboard[[#This Row],[Measure New Device EUL]]),"",ROUND(DeemedDashboard[[#This Row],[Measure New Device EUL]],0))</f>
        <v/>
      </c>
      <c r="AG64" s="323" t="str">
        <f>IF(ISBLANK(DeemedDashboard[[#This Row],[Counterfactual New Device EUL]]),"",ROUND(DeemedDashboard[[#This Row],[Counterfactual New Device EUL]],0))</f>
        <v/>
      </c>
      <c r="AH64" s="323" t="str">
        <f>IF(ISBLANK(DeemedDashboard[[#This Row],[Existing Device EUL]]),"",ROUND(DeemedDashboard[[#This Row],[Existing Device EUL]],0))</f>
        <v/>
      </c>
      <c r="AI64" s="323" t="str">
        <f>IF(ISBLANK(DeemedDashboard[[#This Row],[Existing Device RUL or AR First Baseline Life]]),"",ROUND(DeemedDashboard[[#This Row],[Existing Device RUL or AR First Baseline Life]],0))</f>
        <v/>
      </c>
      <c r="AJ64" s="327" t="str">
        <f>DeemedDashboard[[#This Row],[Measure Start Year]]</f>
        <v/>
      </c>
      <c r="AK64" s="327" t="str">
        <f>IF(DeemedDashboard[[#This Row],[MeasAppType]]&lt;&gt;const_AR,DeemedDashboard[[#This Row],[Measure Start Year]],DeemedDashboard[[#This Row],[Ext Device Retire-ment Year]]+1)</f>
        <v/>
      </c>
      <c r="AL64" s="327" t="str">
        <f>IFERROR(IF(DeemedDashboard[[#This Row],[MeasAppType]]=const_AR,DeemedDashboard[[#This Row],[Measure Start Year]]-(DeemedDashboard[[#This Row],[Existing Device EUL]]-DeemedDashboard[[#This Row],[Existing Device RUL or AR First Baseline Life]]),NA()),"")</f>
        <v/>
      </c>
      <c r="AM64" s="327" t="str">
        <f>DeemedDashboard[[#This Row],[Pre Device Install Year]]</f>
        <v/>
      </c>
      <c r="AN64" s="327" t="str">
        <f>IFERROR(IF(ISBLANK(DeemedDashboard[[#This Row],[MeasAppType]]),NA(),DeemedDashboard[[#This Row],[Measure Start Year]]+DeemedDashboard[[#This Row],[Msr EUL rounded]]-1),"")</f>
        <v/>
      </c>
      <c r="AO64" s="327" t="str">
        <f>IFERROR(DeemedDashboard[[#This Row],[Std Device Install Year]]+DeemedDashboard[[#This Row],[Counterfactual New Device EUL]]-1,"")</f>
        <v/>
      </c>
      <c r="AP64" s="327" t="str">
        <f>IFERROR(IF(AND(DeemedDashboard[[#This Row],[MeasAppType]]=const_AR,DeemedDashboard[[#This Row],[Measure Start Year]]&lt;(DeemedDashboard[[#This Row],[Pre Device Install Year]]+DeemedDashboard[[#This Row],[Existing Device EUL]]-1)),DeemedDashboard[[#This Row],[Measure Start Year]]-1,NA()),"")</f>
        <v/>
      </c>
      <c r="AQ64" s="327" t="str">
        <f>IFERROR(IF(DeemedDashboard[[#This Row],[MeasAppType]]=const_AR,DeemedDashboard[[#This Row],[Ext Device Install Year]]+DeemedDashboard[[#This Row],[Existing Device EUL]]-1,NA()),"")</f>
        <v/>
      </c>
      <c r="AR64" s="327" t="str">
        <f>IFERROR(IF(ISBLANK(DeemedDashboard[[#This Row],[MeasAppType]]),NA(),0),"")</f>
        <v/>
      </c>
      <c r="AS64" s="327" t="str">
        <f>IFERROR(IF(ISBLANK(DeemedDashboard[[#This Row],[MeasAppType]]),NA(),0),"")</f>
        <v/>
      </c>
      <c r="AT64" s="327" t="str">
        <f>IF(ISBLANK(DeemedDashboard[[#This Row],[MeasAppType]]),"",IF(DeemedDashboard[[#This Row],[MeasAppType]]&lt;&gt;const_AR,"",(DeemedDashboard[[#This Row],[Pre Device Install Year]]+DeemedDashboard[[#This Row],[Existing Device EUL]]-1)-DeemedDashboard[[#This Row],[Pre Device Retire-ment Year]]))</f>
        <v/>
      </c>
      <c r="AU64" s="327" t="str">
        <f>IF(ISBLANK(DeemedDashboard[[#This Row],[MeasAppType]]),"",IF(DeemedDashboard[[#This Row],[MeasAppType]]=const_AR,0,""))</f>
        <v/>
      </c>
      <c r="AV64" s="328" t="str">
        <f>IF(ISBLANK(DeemedDashboard[[#This Row],[MeasAppType]]),"",MAX((1+MIN(DeemedDashboard[[#This Row],[Msr Device Retire-ment Year]],DeemedDashboard[[#This Row],[Measure End 
Year]])-MAX(DeemedDashboard[[#This Row],[Msr Device Install Year]],DeemedDashboard[[#This Row],[Measure Start Year]])),0))</f>
        <v/>
      </c>
      <c r="AW64" s="328" t="str">
        <f>IF(ISBLANK(DeemedDashboard[[#This Row],[MeasAppType]]),"",MAX((1+MIN(DeemedDashboard[[#This Row],[Std Device Retire-ment Year]],DeemedDashboard[[#This Row],[Measure End 
Year]])-MAX(DeemedDashboard[[#This Row],[Std Device Install Year]],DeemedDashboard[[#This Row],[Measure Start Year]])),0))</f>
        <v/>
      </c>
      <c r="AX6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4" s="329" t="str">
        <f>IF(ISBLANK(DeemedDashboard[[#This Row],[MeasAppType]]),"",IF(DeemedDashboard[[#This Row],[Msr Device Years Over-lapping with Measure Years]]=0,0,DeemedDashboard[[#This Row],[Msr Device Years Over-lapping with Measure Years]]/DeemedDashboard[[#This Row],[Msr EUL rounded]]))</f>
        <v/>
      </c>
      <c r="BA64" s="329" t="str">
        <f>IF(ISBLANK(DeemedDashboard[[#This Row],[MeasAppType]]),"",IF(DeemedDashboard[[#This Row],[Std Device Years Over-lapping with Measure Years]]=0,0,DeemedDashboard[[#This Row],[Std Device Years Over-lapping with Measure Years]]/DeemedDashboard[[#This Row],[Counterfactual New Device EUL]]))</f>
        <v/>
      </c>
      <c r="BB64" s="329" t="str">
        <f>IF(ISBLANK(DeemedDashboard[[#This Row],[MeasAppType]]),"",IFERROR(IF(DeemedDashboard[[#This Row],[Pre Device Years Over-lapping with Measure Years]]=0,0,DeemedDashboard[[#This Row],[Pre Device Years Over-lapping with Measure Years]]/DeemedDashboard[[#This Row],[Existing Device EUL]]),""))</f>
        <v/>
      </c>
      <c r="BC64" s="329" t="str">
        <f>IFERROR(IF(DeemedDashboard[[#This Row],[Ext Device Years Over-lapping with Measure Years]]=0,0,DeemedDashboard[[#This Row],[Ext Device Years Over-lapping with Measure Years]]/DeemedDashboard[[#This Row],[Existing Device EUL]]),"")</f>
        <v/>
      </c>
      <c r="BD64" s="329" t="str">
        <f>IFERROR(IF(DeemedDashboard[[#This Row],[Msr Number of Years device retired early]]=0,0,DeemedDashboard[[#This Row],[Msr Number of Years device retired early]]/DeemedDashboard[[#This Row],[Msr EUL rounded]]),"")</f>
        <v/>
      </c>
      <c r="BE64" s="329" t="str">
        <f>IFERROR(IF(DeemedDashboard[[#This Row],[Std Number of Years device retired early]]=0,0,DeemedDashboard[[#This Row],[Std Number of Years device retired early]]/DeemedDashboard[[#This Row],[Msr EUL rounded]]),"")</f>
        <v/>
      </c>
      <c r="BF64" s="329" t="str">
        <f>IFERROR(IF(DeemedDashboard[[#This Row],[MeasAppType]]&lt;&gt;const_AR,"",IF(DeemedDashboard[[#This Row],[Pre Number of Years device retired early]]=0,0,DeemedDashboard[[#This Row],[Pre Number of Years device retired early]]/DeemedDashboard[[#This Row],[Existing Device EUL]])),"")</f>
        <v/>
      </c>
      <c r="BG64" s="329" t="str">
        <f>IFERROR(IF(DeemedDashboard[[#This Row],[Ext Number of Years device retired early]]=0,0,DeemedDashboard[[#This Row],[Ext Number of Years device retired early]]/DeemedDashboard[[#This Row],[Existing Device EUL]]),"")</f>
        <v/>
      </c>
      <c r="BH64" s="325" t="str">
        <f>IFERROR(1-DeemedDashboard[[#This Row],[Msr annual refrigerant leakage %]]*DeemedDashboard[[#This Row],[Msr t_EOL]],"")</f>
        <v/>
      </c>
      <c r="BI64" s="325" t="str">
        <f>IFERROR(1-DeemedDashboard[[#This Row],[Std annual refrigerant leakage %]]*DeemedDashboard[[#This Row],[Std t_EOL]],"")</f>
        <v/>
      </c>
      <c r="BJ64" s="325" t="str">
        <f>IFERROR(1-DeemedDashboard[[#This Row],[Pre/Ext annual refrigerant leakage %]]*DeemedDashboard[[#This Row],[Pre/Ext t_EOL]],"")</f>
        <v/>
      </c>
      <c r="BK64" s="325" t="str">
        <f>IFERROR(1-DeemedDashboard[[#This Row],[Pre/Ext annual refrigerant leakage %]]*DeemedDashboard[[#This Row],[Pre/Ext t_EOL]],"")</f>
        <v/>
      </c>
      <c r="BL64" s="325" t="str">
        <f>IFERROR(DeemedDashboard[[#This Row],[Msr charging remaining (%)]]*DeemedDashboard[[#This Row],[Msr gross EOL refrigerant leakage %]],"")</f>
        <v/>
      </c>
      <c r="BM64" s="325" t="str">
        <f>IFERROR(DeemedDashboard[[#This Row],[Std charging remaining (%)]]*DeemedDashboard[[#This Row],[Std gross EOL refrigerant leakage %]],"")</f>
        <v/>
      </c>
      <c r="BN64" s="325" t="str">
        <f>IFERROR(DeemedDashboard[[#This Row],[Pre charging remaining (%)]]*DeemedDashboard[[#This Row],[Pre/Ext gross EOL refrigerant leakage %]],"")</f>
        <v/>
      </c>
      <c r="BO64" s="325" t="str">
        <f>IFERROR(DeemedDashboard[[#This Row],[Ext charging remaining (%)]]*DeemedDashboard[[#This Row],[Pre/Ext gross EOL refrigerant leakage %]],"")</f>
        <v/>
      </c>
      <c r="BP64" s="330" t="str">
        <f>IFERROR((DeemedDashboard[[#This Row],[Msr refrigerant charge (lb) per NormUnit]]/pounds_per_metric_ton)*DeemedDashboard[[#This Row],[Msr annual refrigerant leakage %]]*DeemedDashboard[[#This Row],[Msr GWP]],"")</f>
        <v/>
      </c>
      <c r="BQ64" s="330" t="str">
        <f>IFERROR((DeemedDashboard[[#This Row],[Std refrigerant charge (lb) per NormUnit]]/pounds_per_metric_ton)*DeemedDashboard[[#This Row],[Std annual refrigerant leakage %]]*DeemedDashboard[[#This Row],[Std GWP]],"")</f>
        <v/>
      </c>
      <c r="BR64" s="330" t="str">
        <f>IF(DeemedDashboard[[#This Row],[MeasAppType]]=const_AR,(DeemedDashboard[[#This Row],[Pre/Ext refrigerant charge (lb) per NormUnit]]/pounds_per_metric_ton)*DeemedDashboard[[#This Row],[Pre/Ext annual refrigerant leakage %]]*DeemedDashboard[[#This Row],[Pre/Ext GWP]],"")</f>
        <v/>
      </c>
      <c r="BS64" s="330" t="str">
        <f>IF(DeemedDashboard[[#This Row],[MeasAppType]]=const_AR,(DeemedDashboard[[#This Row],[Pre/Ext refrigerant charge (lb) per NormUnit]]/pounds_per_metric_ton)*DeemedDashboard[[#This Row],[Pre/Ext annual refrigerant leakage %]]*DeemedDashboard[[#This Row],[Pre/Ext GWP]],"")</f>
        <v/>
      </c>
      <c r="BT64" s="330" t="str">
        <f>IFERROR((DeemedDashboard[[#This Row],[Msr refrigerant charge (lb) per NormUnit]]/pounds_per_metric_ton)*DeemedDashboard[[#This Row],[Msr net EOL refrigerant leakage (%)]]*DeemedDashboard[[#This Row],[Msr GWP]],"")</f>
        <v/>
      </c>
      <c r="BU64" s="330" t="str">
        <f>IFERROR((DeemedDashboard[[#This Row],[Std refrigerant charge (lb) per NormUnit]]/pounds_per_metric_ton)*DeemedDashboard[[#This Row],[Std net EOL refrigerant leakage (%)]]*DeemedDashboard[[#This Row],[Std GWP]],"")</f>
        <v/>
      </c>
      <c r="BV64" s="330" t="str">
        <f>IFERROR((DeemedDashboard[[#This Row],[Pre/Ext refrigerant charge (lb) per NormUnit]]/pounds_per_metric_ton)*DeemedDashboard[[#This Row],[Pre net EOL refrigerant leakage (%)]]*DeemedDashboard[[#This Row],[Pre/Ext GWP]],"")</f>
        <v/>
      </c>
      <c r="BW64" s="330" t="str">
        <f>IFERROR((DeemedDashboard[[#This Row],[Pre/Ext refrigerant charge (lb) per NormUnit]]/pounds_per_metric_ton)*DeemedDashboard[[#This Row],[Ext net EOL refrigerant leakage (%)]]*DeemedDashboard[[#This Row],[Pre/Ext GWP]],"")</f>
        <v/>
      </c>
      <c r="BX64" s="299" t="str" cm="1">
        <f t="array" aca="1" ref="BX6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4" s="305" t="str" cm="1">
        <f t="array" aca="1" ref="BY6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4" s="299" t="str">
        <f>IFERROR(IF(OR(DeemedDashboard[[#This Row],[MeasAppType]]&lt;&gt;const_AR,ISBLANK(DeemedDashboard[[#This Row],[MeasAppType]])),NA(),0),"")</f>
        <v/>
      </c>
      <c r="CA64" s="305" t="str" cm="1">
        <f t="array" aca="1" ref="CA6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4" s="299" t="str">
        <f ca="1">IFERROR((DeemedDashboard[[#This Row],[Msr EOL leakage tons CO2e]]*OFFSET(GHG_Adder_dollar_per_tonne,0,(DeemedDashboard[[#This Row],[Msr Device Retire-ment Year]]-DY+1),1,1))/(1+WACC)^(DeemedDashboard[[#This Row],[Msr Device Retire-ment Year]]-DeemedDashboard[[#This Row],[Measure Start Year]]+0.5),"")</f>
        <v/>
      </c>
      <c r="CC64" s="299" t="str">
        <f ca="1">IFERROR((DeemedDashboard[[#This Row],[Std EOL leakage tons CO2e]]*OFFSET(GHG_Adder_dollar_per_tonne,0,(DeemedDashboard[[#This Row],[Std Device Retire-ment Year]]-DY+1),1,1))/(1+WACC)^(DeemedDashboard[[#This Row],[Std Device Retire-ment Year]]-DeemedDashboard[[#This Row],[Measure Start Year]]+0.5),"")</f>
        <v/>
      </c>
      <c r="CD64" s="299" t="str">
        <f ca="1">IFERROR((DeemedDashboard[[#This Row],[Pre EOL leakage tons CO2e]]*OFFSET(GHG_Adder_dollar_per_tonne,0,(DeemedDashboard[[#This Row],[Measure Start Year]]-DY),1,1))/(1+WACC)^(-0.5),"")</f>
        <v/>
      </c>
      <c r="CE6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4" s="299" t="str">
        <f ca="1">IFERROR(DeemedDashboard[[#This Row],[Msr NPV Cost of Annual Leakage]]/(1+ACC_Inflation_Rate)^(DeemedDashboard[[#This Row],[Measure Start Year]]-DY),"")</f>
        <v/>
      </c>
      <c r="CG64" s="299" t="str">
        <f ca="1">IFERROR(DeemedDashboard[[#This Row],[Std NPV Cost of Annual Leakage]]/(1+ACC_Inflation_Rate)^(DeemedDashboard[[#This Row],[Measure Start Year]]-DY),"")</f>
        <v/>
      </c>
      <c r="CH64" s="299" t="str">
        <f>IFERROR(IF(ISBLANK(DeemedDashboard[[#This Row],[MeasAppType]]),NA(),IF(DeemedDashboard[[#This Row],[MeasAppType]]=const_AR,DeemedDashboard[[#This Row],[Pre NPV Cost of Annual Leakage]]/(1+ACC_Inflation_Rate)^(DeemedDashboard[[#This Row],[Measure Start Year]]-DY),"")),"")</f>
        <v/>
      </c>
      <c r="CI64" s="296" t="str">
        <f>IFERROR(IF(ISBLANK(DeemedDashboard[[#This Row],[MeasAppType]]),NA(),IF(DeemedDashboard[[#This Row],[MeasAppType]]=const_AR,DeemedDashboard[[#This Row],[Ext NPV Cost of Annual Leakage]]/(1+ACC_Inflation_Rate)^(DeemedDashboard[[#This Row],[Measure Start Year]]-DY),"")),"")</f>
        <v/>
      </c>
      <c r="CJ64" s="296" t="str">
        <f ca="1">IFERROR((DeemedDashboard[[#This Row],[Msr % of device lifetime during measure years]]+DeemedDashboard[[#This Row],[Msr % of device lifetime retired early]])*DeemedDashboard[[#This Row],[Msr NPV Cost of EOL Leakage]]/(1+ACC_Inflation_Rate)^(DeemedDashboard[[#This Row],[Measure Start Year]]-DY),"")</f>
        <v/>
      </c>
      <c r="CK64" s="296" t="str">
        <f ca="1">IFERROR((DeemedDashboard[[#This Row],[Std % of device lifetime during measure years]]+DeemedDashboard[[#This Row],[Std % of device lifetime retired early]])*DeemedDashboard[[#This Row],[Std NPV Cost of EOL Leakage]]/(1+ACC_Inflation_Rate)^(DeemedDashboard[[#This Row],[Measure Start Year]]-DY),"")</f>
        <v/>
      </c>
      <c r="CL6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4" s="299" t="str">
        <f ca="1">IFERROR(DeemedDashboard[[#This Row],[Counter-factual total 
NPV cost]]-DeemedDashboard[[#This Row],[Measure total 
NPV cost]],"")</f>
        <v/>
      </c>
      <c r="CQ64" s="299" t="str">
        <f>IF(ISBLANK(DeemedDashboard[[#This Row],[MeasAppType]]),"",DeemedDashboard[[#This Row],[Refrigerant
NPV costs
avoided]]&gt;0)</f>
        <v/>
      </c>
      <c r="CR64" s="299" t="str">
        <f ca="1">IFERROR(DeemedDashboard[[#This Row],[Msr Adj NPV Cost of Annual Leakage]]+DeemedDashboard[[#This Row],[Msr Adj NPV Cost of EOL Leakage]],"")</f>
        <v/>
      </c>
      <c r="CS64" s="299" t="str">
        <f ca="1">IFERROR(DeemedDashboard[[#This Row],[Std Adj NPV Cost of Annual Leakage]]+DeemedDashboard[[#This Row],[Std Adj NPV Cost of EOL Leakage]],"")</f>
        <v/>
      </c>
      <c r="CT64" s="299" t="str">
        <f>IFERROR(IF((DeemedDashboard[[#This Row],[Pre Adj NPV Cost of Annual Leakage]]+DeemedDashboard[[#This Row],[Pre Adj NPV Cost of EOL Leakage]])=0,"",DeemedDashboard[[#This Row],[Pre Adj NPV Cost of Annual Leakage]]+DeemedDashboard[[#This Row],[Pre Adj NPV Cost of EOL Leakage]]),"")</f>
        <v/>
      </c>
      <c r="CU64" s="299" t="str">
        <f>IFERROR(IF((DeemedDashboard[[#This Row],[Ext Adj NPV Cost of Annual Leakage]]+DeemedDashboard[[#This Row],[Ext Adj NPV Cost of EOL Leakage]])=0,"",DeemedDashboard[[#This Row],[Ext Adj NPV Cost of Annual Leakage]]+DeemedDashboard[[#This Row],[Ext Adj NPV Cost of EOL Leakage]]),"")</f>
        <v/>
      </c>
      <c r="CV64" s="299" t="str">
        <f>IFERROR(IF(DeemedDashboard[[#This Row],[Is Avoided Net Cost &gt;0?]],"",-DeemedDashboard[[#This Row],[Refrigerant
NPV costs
avoided]]),"")</f>
        <v/>
      </c>
      <c r="CW64" s="299" t="str">
        <f>IFERROR(IF(DeemedDashboard[[#This Row],[Is Avoided Net Cost &gt;0?]],DeemedDashboard[[#This Row],[Refrigerant
NPV costs
avoided]],""),"")</f>
        <v/>
      </c>
      <c r="CX64" s="391">
        <f ca="1">IFERROR(MATCH(DeemedDashboard[[#This Row],[TechGroup and NormUnit]],TechGroup_and_NormUnit,0),1)</f>
        <v>1</v>
      </c>
      <c r="CY64" s="391" cm="1">
        <f t="array" aca="1" ref="CY64" ca="1">IFERROR(INDEX(TGRows,DeemedDashboard[[#This Row],[TGIndex]]),"")</f>
        <v>2</v>
      </c>
      <c r="CZ64" s="391">
        <f ca="1">IF(DeemedDashboard[[#This Row],[MeasAppType]]=const_AR,DeemedDashboard[[#This Row],[TGRows]],DeemedDashboard[[#This Row],[TGRows]]+1)</f>
        <v>3</v>
      </c>
      <c r="DA64" s="391" t="str">
        <f>IF(ISBLANK(DeemedDashboard[[#This Row],[MeasAppType]]),"",IF(DeemedDashboard[[#This Row],[Index]]=User_Specified_Refrigerant[[#This Row],[Index]],"OK","ERROR"))</f>
        <v/>
      </c>
    </row>
    <row r="65" spans="1:105" s="320" customFormat="1" x14ac:dyDescent="0.25">
      <c r="A65" s="297">
        <f>ROW(DeemedDashboard[[#This Row],[Index]])-ROW(DeemedDashboard[[#Headers],[Index]])</f>
        <v>56</v>
      </c>
      <c r="B65" s="298"/>
      <c r="C65" s="321"/>
      <c r="D65" s="403"/>
      <c r="E65" s="403"/>
      <c r="F65" s="403"/>
      <c r="G65" s="403"/>
      <c r="H65" s="366"/>
      <c r="I65" s="339"/>
      <c r="J65" s="339"/>
      <c r="K65" s="339"/>
      <c r="L65" s="322"/>
      <c r="M65" s="322"/>
      <c r="N65" s="322"/>
      <c r="O6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5" s="582" t="str" cm="1">
        <f t="array" ref="R65">IFERROR(IF(DeemedDashboard[[#This Row],[Msr device type]]=const_device_nonrefrig,0,INDEX(_xlfn.SWITCH($E$4,const_20_yr,GWP_Values_20_year_AR4,const_100_yr,GWP_Values_100_year_AR4),MATCH(DeemedDashboard[[#This Row],[Msr refrigerant Type]],RefrigDropdownList,0))),"")</f>
        <v/>
      </c>
      <c r="S65" s="582" t="str" cm="1">
        <f t="array" ref="S65">IFERROR(IF(DeemedDashboard[[#This Row],[Std device type]]=const_device_nonrefrig,0,INDEX(_xlfn.SWITCH($E$4,const_20_yr,GWP_Values_20_year_AR4,const_100_yr,GWP_Values_100_year_AR4),MATCH(DeemedDashboard[[#This Row],[Std refrigerant Type]],RefrigDropdownList,0))),"")</f>
        <v/>
      </c>
      <c r="T65" s="582" t="str" cm="1">
        <f t="array" ref="T65">IFERROR(IF(DeemedDashboard[[#This Row],[Pre/Ext device type]]=const_device_nonrefrig,0,INDEX(_xlfn.SWITCH($E$4,const_20_yr,GWP_Values_20_year_AR4,const_100_yr,GWP_Values_100_year_AR4),MATCH(DeemedDashboard[[#This Row],[Pre/Ext refrigerant Type]],RefrigDropdownList,0))),"")</f>
        <v/>
      </c>
      <c r="U6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5" s="326" t="str">
        <f>IFERROR(IF(DeemedDashboard[[#This Row],[Msr device type]]=const_userspec,IF(ISBLANK(User_Specified_Refrigerant[[#This Row],[Msr t_EOL]]),"",User_Specified_Refrigerant[[#This Row],[Msr t_EOL]]),INDEX(TechGroup_NormUnit_Table[t_EOL],MATCH(DeemedDashboard[[#This Row],[Msr device type]],DropdownRefrigTech,0))),"")</f>
        <v/>
      </c>
      <c r="AB65" s="326" t="str">
        <f>IFERROR(IF(DeemedDashboard[[#This Row],[Std device type]]=const_userspec,IF(ISBLANK(User_Specified_Refrigerant[[#This Row],[Std t_EOL]]),"",User_Specified_Refrigerant[[#This Row],[Std t_EOL]]),INDEX(TechGroup_NormUnit_Table[t_EOL],MATCH(DeemedDashboard[[#This Row],[Std device type]],DropdownRefrigTech,0))),"")</f>
        <v/>
      </c>
      <c r="AC6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5" s="395" t="str">
        <f>IF(ISBLANK(DeemedDashboard[[#This Row],[MeasAppType]]),"",$E$2)</f>
        <v/>
      </c>
      <c r="AE65" s="395" t="str">
        <f>IFERROR(IF(ISBLANK(DeemedDashboard[[#This Row],[MeasAppType]]),NA(),DeemedDashboard[[#This Row],[Measure Start Year]]+DeemedDashboard[[#This Row],[Msr EUL rounded]]-1),"")</f>
        <v/>
      </c>
      <c r="AF65" s="323" t="str">
        <f>IF(ISBLANK(DeemedDashboard[[#This Row],[Measure New Device EUL]]),"",ROUND(DeemedDashboard[[#This Row],[Measure New Device EUL]],0))</f>
        <v/>
      </c>
      <c r="AG65" s="323" t="str">
        <f>IF(ISBLANK(DeemedDashboard[[#This Row],[Counterfactual New Device EUL]]),"",ROUND(DeemedDashboard[[#This Row],[Counterfactual New Device EUL]],0))</f>
        <v/>
      </c>
      <c r="AH65" s="323" t="str">
        <f>IF(ISBLANK(DeemedDashboard[[#This Row],[Existing Device EUL]]),"",ROUND(DeemedDashboard[[#This Row],[Existing Device EUL]],0))</f>
        <v/>
      </c>
      <c r="AI65" s="323" t="str">
        <f>IF(ISBLANK(DeemedDashboard[[#This Row],[Existing Device RUL or AR First Baseline Life]]),"",ROUND(DeemedDashboard[[#This Row],[Existing Device RUL or AR First Baseline Life]],0))</f>
        <v/>
      </c>
      <c r="AJ65" s="327" t="str">
        <f>DeemedDashboard[[#This Row],[Measure Start Year]]</f>
        <v/>
      </c>
      <c r="AK65" s="327" t="str">
        <f>IF(DeemedDashboard[[#This Row],[MeasAppType]]&lt;&gt;const_AR,DeemedDashboard[[#This Row],[Measure Start Year]],DeemedDashboard[[#This Row],[Ext Device Retire-ment Year]]+1)</f>
        <v/>
      </c>
      <c r="AL65" s="327" t="str">
        <f>IFERROR(IF(DeemedDashboard[[#This Row],[MeasAppType]]=const_AR,DeemedDashboard[[#This Row],[Measure Start Year]]-(DeemedDashboard[[#This Row],[Existing Device EUL]]-DeemedDashboard[[#This Row],[Existing Device RUL or AR First Baseline Life]]),NA()),"")</f>
        <v/>
      </c>
      <c r="AM65" s="327" t="str">
        <f>DeemedDashboard[[#This Row],[Pre Device Install Year]]</f>
        <v/>
      </c>
      <c r="AN65" s="327" t="str">
        <f>IFERROR(IF(ISBLANK(DeemedDashboard[[#This Row],[MeasAppType]]),NA(),DeemedDashboard[[#This Row],[Measure Start Year]]+DeemedDashboard[[#This Row],[Msr EUL rounded]]-1),"")</f>
        <v/>
      </c>
      <c r="AO65" s="327" t="str">
        <f>IFERROR(DeemedDashboard[[#This Row],[Std Device Install Year]]+DeemedDashboard[[#This Row],[Counterfactual New Device EUL]]-1,"")</f>
        <v/>
      </c>
      <c r="AP65" s="327" t="str">
        <f>IFERROR(IF(AND(DeemedDashboard[[#This Row],[MeasAppType]]=const_AR,DeemedDashboard[[#This Row],[Measure Start Year]]&lt;(DeemedDashboard[[#This Row],[Pre Device Install Year]]+DeemedDashboard[[#This Row],[Existing Device EUL]]-1)),DeemedDashboard[[#This Row],[Measure Start Year]]-1,NA()),"")</f>
        <v/>
      </c>
      <c r="AQ65" s="327" t="str">
        <f>IFERROR(IF(DeemedDashboard[[#This Row],[MeasAppType]]=const_AR,DeemedDashboard[[#This Row],[Ext Device Install Year]]+DeemedDashboard[[#This Row],[Existing Device EUL]]-1,NA()),"")</f>
        <v/>
      </c>
      <c r="AR65" s="327" t="str">
        <f>IFERROR(IF(ISBLANK(DeemedDashboard[[#This Row],[MeasAppType]]),NA(),0),"")</f>
        <v/>
      </c>
      <c r="AS65" s="327" t="str">
        <f>IFERROR(IF(ISBLANK(DeemedDashboard[[#This Row],[MeasAppType]]),NA(),0),"")</f>
        <v/>
      </c>
      <c r="AT65" s="327" t="str">
        <f>IF(ISBLANK(DeemedDashboard[[#This Row],[MeasAppType]]),"",IF(DeemedDashboard[[#This Row],[MeasAppType]]&lt;&gt;const_AR,"",(DeemedDashboard[[#This Row],[Pre Device Install Year]]+DeemedDashboard[[#This Row],[Existing Device EUL]]-1)-DeemedDashboard[[#This Row],[Pre Device Retire-ment Year]]))</f>
        <v/>
      </c>
      <c r="AU65" s="327" t="str">
        <f>IF(ISBLANK(DeemedDashboard[[#This Row],[MeasAppType]]),"",IF(DeemedDashboard[[#This Row],[MeasAppType]]=const_AR,0,""))</f>
        <v/>
      </c>
      <c r="AV65" s="328" t="str">
        <f>IF(ISBLANK(DeemedDashboard[[#This Row],[MeasAppType]]),"",MAX((1+MIN(DeemedDashboard[[#This Row],[Msr Device Retire-ment Year]],DeemedDashboard[[#This Row],[Measure End 
Year]])-MAX(DeemedDashboard[[#This Row],[Msr Device Install Year]],DeemedDashboard[[#This Row],[Measure Start Year]])),0))</f>
        <v/>
      </c>
      <c r="AW65" s="328" t="str">
        <f>IF(ISBLANK(DeemedDashboard[[#This Row],[MeasAppType]]),"",MAX((1+MIN(DeemedDashboard[[#This Row],[Std Device Retire-ment Year]],DeemedDashboard[[#This Row],[Measure End 
Year]])-MAX(DeemedDashboard[[#This Row],[Std Device Install Year]],DeemedDashboard[[#This Row],[Measure Start Year]])),0))</f>
        <v/>
      </c>
      <c r="AX6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5" s="329" t="str">
        <f>IF(ISBLANK(DeemedDashboard[[#This Row],[MeasAppType]]),"",IF(DeemedDashboard[[#This Row],[Msr Device Years Over-lapping with Measure Years]]=0,0,DeemedDashboard[[#This Row],[Msr Device Years Over-lapping with Measure Years]]/DeemedDashboard[[#This Row],[Msr EUL rounded]]))</f>
        <v/>
      </c>
      <c r="BA65" s="329" t="str">
        <f>IF(ISBLANK(DeemedDashboard[[#This Row],[MeasAppType]]),"",IF(DeemedDashboard[[#This Row],[Std Device Years Over-lapping with Measure Years]]=0,0,DeemedDashboard[[#This Row],[Std Device Years Over-lapping with Measure Years]]/DeemedDashboard[[#This Row],[Counterfactual New Device EUL]]))</f>
        <v/>
      </c>
      <c r="BB65" s="329" t="str">
        <f>IF(ISBLANK(DeemedDashboard[[#This Row],[MeasAppType]]),"",IFERROR(IF(DeemedDashboard[[#This Row],[Pre Device Years Over-lapping with Measure Years]]=0,0,DeemedDashboard[[#This Row],[Pre Device Years Over-lapping with Measure Years]]/DeemedDashboard[[#This Row],[Existing Device EUL]]),""))</f>
        <v/>
      </c>
      <c r="BC65" s="329" t="str">
        <f>IFERROR(IF(DeemedDashboard[[#This Row],[Ext Device Years Over-lapping with Measure Years]]=0,0,DeemedDashboard[[#This Row],[Ext Device Years Over-lapping with Measure Years]]/DeemedDashboard[[#This Row],[Existing Device EUL]]),"")</f>
        <v/>
      </c>
      <c r="BD65" s="329" t="str">
        <f>IFERROR(IF(DeemedDashboard[[#This Row],[Msr Number of Years device retired early]]=0,0,DeemedDashboard[[#This Row],[Msr Number of Years device retired early]]/DeemedDashboard[[#This Row],[Msr EUL rounded]]),"")</f>
        <v/>
      </c>
      <c r="BE65" s="329" t="str">
        <f>IFERROR(IF(DeemedDashboard[[#This Row],[Std Number of Years device retired early]]=0,0,DeemedDashboard[[#This Row],[Std Number of Years device retired early]]/DeemedDashboard[[#This Row],[Msr EUL rounded]]),"")</f>
        <v/>
      </c>
      <c r="BF65" s="329" t="str">
        <f>IFERROR(IF(DeemedDashboard[[#This Row],[MeasAppType]]&lt;&gt;const_AR,"",IF(DeemedDashboard[[#This Row],[Pre Number of Years device retired early]]=0,0,DeemedDashboard[[#This Row],[Pre Number of Years device retired early]]/DeemedDashboard[[#This Row],[Existing Device EUL]])),"")</f>
        <v/>
      </c>
      <c r="BG65" s="329" t="str">
        <f>IFERROR(IF(DeemedDashboard[[#This Row],[Ext Number of Years device retired early]]=0,0,DeemedDashboard[[#This Row],[Ext Number of Years device retired early]]/DeemedDashboard[[#This Row],[Existing Device EUL]]),"")</f>
        <v/>
      </c>
      <c r="BH65" s="325" t="str">
        <f>IFERROR(1-DeemedDashboard[[#This Row],[Msr annual refrigerant leakage %]]*DeemedDashboard[[#This Row],[Msr t_EOL]],"")</f>
        <v/>
      </c>
      <c r="BI65" s="325" t="str">
        <f>IFERROR(1-DeemedDashboard[[#This Row],[Std annual refrigerant leakage %]]*DeemedDashboard[[#This Row],[Std t_EOL]],"")</f>
        <v/>
      </c>
      <c r="BJ65" s="325" t="str">
        <f>IFERROR(1-DeemedDashboard[[#This Row],[Pre/Ext annual refrigerant leakage %]]*DeemedDashboard[[#This Row],[Pre/Ext t_EOL]],"")</f>
        <v/>
      </c>
      <c r="BK65" s="325" t="str">
        <f>IFERROR(1-DeemedDashboard[[#This Row],[Pre/Ext annual refrigerant leakage %]]*DeemedDashboard[[#This Row],[Pre/Ext t_EOL]],"")</f>
        <v/>
      </c>
      <c r="BL65" s="325" t="str">
        <f>IFERROR(DeemedDashboard[[#This Row],[Msr charging remaining (%)]]*DeemedDashboard[[#This Row],[Msr gross EOL refrigerant leakage %]],"")</f>
        <v/>
      </c>
      <c r="BM65" s="325" t="str">
        <f>IFERROR(DeemedDashboard[[#This Row],[Std charging remaining (%)]]*DeemedDashboard[[#This Row],[Std gross EOL refrigerant leakage %]],"")</f>
        <v/>
      </c>
      <c r="BN65" s="325" t="str">
        <f>IFERROR(DeemedDashboard[[#This Row],[Pre charging remaining (%)]]*DeemedDashboard[[#This Row],[Pre/Ext gross EOL refrigerant leakage %]],"")</f>
        <v/>
      </c>
      <c r="BO65" s="325" t="str">
        <f>IFERROR(DeemedDashboard[[#This Row],[Ext charging remaining (%)]]*DeemedDashboard[[#This Row],[Pre/Ext gross EOL refrigerant leakage %]],"")</f>
        <v/>
      </c>
      <c r="BP65" s="330" t="str">
        <f>IFERROR((DeemedDashboard[[#This Row],[Msr refrigerant charge (lb) per NormUnit]]/pounds_per_metric_ton)*DeemedDashboard[[#This Row],[Msr annual refrigerant leakage %]]*DeemedDashboard[[#This Row],[Msr GWP]],"")</f>
        <v/>
      </c>
      <c r="BQ65" s="330" t="str">
        <f>IFERROR((DeemedDashboard[[#This Row],[Std refrigerant charge (lb) per NormUnit]]/pounds_per_metric_ton)*DeemedDashboard[[#This Row],[Std annual refrigerant leakage %]]*DeemedDashboard[[#This Row],[Std GWP]],"")</f>
        <v/>
      </c>
      <c r="BR65" s="330" t="str">
        <f>IF(DeemedDashboard[[#This Row],[MeasAppType]]=const_AR,(DeemedDashboard[[#This Row],[Pre/Ext refrigerant charge (lb) per NormUnit]]/pounds_per_metric_ton)*DeemedDashboard[[#This Row],[Pre/Ext annual refrigerant leakage %]]*DeemedDashboard[[#This Row],[Pre/Ext GWP]],"")</f>
        <v/>
      </c>
      <c r="BS65" s="330" t="str">
        <f>IF(DeemedDashboard[[#This Row],[MeasAppType]]=const_AR,(DeemedDashboard[[#This Row],[Pre/Ext refrigerant charge (lb) per NormUnit]]/pounds_per_metric_ton)*DeemedDashboard[[#This Row],[Pre/Ext annual refrigerant leakage %]]*DeemedDashboard[[#This Row],[Pre/Ext GWP]],"")</f>
        <v/>
      </c>
      <c r="BT65" s="330" t="str">
        <f>IFERROR((DeemedDashboard[[#This Row],[Msr refrigerant charge (lb) per NormUnit]]/pounds_per_metric_ton)*DeemedDashboard[[#This Row],[Msr net EOL refrigerant leakage (%)]]*DeemedDashboard[[#This Row],[Msr GWP]],"")</f>
        <v/>
      </c>
      <c r="BU65" s="330" t="str">
        <f>IFERROR((DeemedDashboard[[#This Row],[Std refrigerant charge (lb) per NormUnit]]/pounds_per_metric_ton)*DeemedDashboard[[#This Row],[Std net EOL refrigerant leakage (%)]]*DeemedDashboard[[#This Row],[Std GWP]],"")</f>
        <v/>
      </c>
      <c r="BV65" s="330" t="str">
        <f>IFERROR((DeemedDashboard[[#This Row],[Pre/Ext refrigerant charge (lb) per NormUnit]]/pounds_per_metric_ton)*DeemedDashboard[[#This Row],[Pre net EOL refrigerant leakage (%)]]*DeemedDashboard[[#This Row],[Pre/Ext GWP]],"")</f>
        <v/>
      </c>
      <c r="BW65" s="330" t="str">
        <f>IFERROR((DeemedDashboard[[#This Row],[Pre/Ext refrigerant charge (lb) per NormUnit]]/pounds_per_metric_ton)*DeemedDashboard[[#This Row],[Ext net EOL refrigerant leakage (%)]]*DeemedDashboard[[#This Row],[Pre/Ext GWP]],"")</f>
        <v/>
      </c>
      <c r="BX65" s="299" t="str" cm="1">
        <f t="array" aca="1" ref="BX6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5" s="305" t="str" cm="1">
        <f t="array" aca="1" ref="BY6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5" s="299" t="str">
        <f>IFERROR(IF(OR(DeemedDashboard[[#This Row],[MeasAppType]]&lt;&gt;const_AR,ISBLANK(DeemedDashboard[[#This Row],[MeasAppType]])),NA(),0),"")</f>
        <v/>
      </c>
      <c r="CA65" s="305" t="str" cm="1">
        <f t="array" aca="1" ref="CA6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5" s="299" t="str">
        <f ca="1">IFERROR((DeemedDashboard[[#This Row],[Msr EOL leakage tons CO2e]]*OFFSET(GHG_Adder_dollar_per_tonne,0,(DeemedDashboard[[#This Row],[Msr Device Retire-ment Year]]-DY+1),1,1))/(1+WACC)^(DeemedDashboard[[#This Row],[Msr Device Retire-ment Year]]-DeemedDashboard[[#This Row],[Measure Start Year]]+0.5),"")</f>
        <v/>
      </c>
      <c r="CC65" s="299" t="str">
        <f ca="1">IFERROR((DeemedDashboard[[#This Row],[Std EOL leakage tons CO2e]]*OFFSET(GHG_Adder_dollar_per_tonne,0,(DeemedDashboard[[#This Row],[Std Device Retire-ment Year]]-DY+1),1,1))/(1+WACC)^(DeemedDashboard[[#This Row],[Std Device Retire-ment Year]]-DeemedDashboard[[#This Row],[Measure Start Year]]+0.5),"")</f>
        <v/>
      </c>
      <c r="CD65" s="299" t="str">
        <f ca="1">IFERROR((DeemedDashboard[[#This Row],[Pre EOL leakage tons CO2e]]*OFFSET(GHG_Adder_dollar_per_tonne,0,(DeemedDashboard[[#This Row],[Measure Start Year]]-DY),1,1))/(1+WACC)^(-0.5),"")</f>
        <v/>
      </c>
      <c r="CE6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5" s="296" t="str">
        <f ca="1">IFERROR(DeemedDashboard[[#This Row],[Msr NPV Cost of Annual Leakage]]/(1+ACC_Inflation_Rate)^(DeemedDashboard[[#This Row],[Measure Start Year]]-DY),"")</f>
        <v/>
      </c>
      <c r="CG65" s="296" t="str">
        <f ca="1">IFERROR(DeemedDashboard[[#This Row],[Std NPV Cost of Annual Leakage]]/(1+ACC_Inflation_Rate)^(DeemedDashboard[[#This Row],[Measure Start Year]]-DY),"")</f>
        <v/>
      </c>
      <c r="CH65" s="296" t="str">
        <f>IFERROR(IF(ISBLANK(DeemedDashboard[[#This Row],[MeasAppType]]),NA(),IF(DeemedDashboard[[#This Row],[MeasAppType]]=const_AR,DeemedDashboard[[#This Row],[Pre NPV Cost of Annual Leakage]]/(1+ACC_Inflation_Rate)^(DeemedDashboard[[#This Row],[Measure Start Year]]-DY),"")),"")</f>
        <v/>
      </c>
      <c r="CI65" s="296" t="str">
        <f>IFERROR(IF(ISBLANK(DeemedDashboard[[#This Row],[MeasAppType]]),NA(),IF(DeemedDashboard[[#This Row],[MeasAppType]]=const_AR,DeemedDashboard[[#This Row],[Ext NPV Cost of Annual Leakage]]/(1+ACC_Inflation_Rate)^(DeemedDashboard[[#This Row],[Measure Start Year]]-DY),"")),"")</f>
        <v/>
      </c>
      <c r="CJ65" s="296" t="str">
        <f ca="1">IFERROR((DeemedDashboard[[#This Row],[Msr % of device lifetime during measure years]]+DeemedDashboard[[#This Row],[Msr % of device lifetime retired early]])*DeemedDashboard[[#This Row],[Msr NPV Cost of EOL Leakage]]/(1+ACC_Inflation_Rate)^(DeemedDashboard[[#This Row],[Measure Start Year]]-DY),"")</f>
        <v/>
      </c>
      <c r="CK65" s="296" t="str">
        <f ca="1">IFERROR((DeemedDashboard[[#This Row],[Std % of device lifetime during measure years]]+DeemedDashboard[[#This Row],[Std % of device lifetime retired early]])*DeemedDashboard[[#This Row],[Std NPV Cost of EOL Leakage]]/(1+ACC_Inflation_Rate)^(DeemedDashboard[[#This Row],[Measure Start Year]]-DY),"")</f>
        <v/>
      </c>
      <c r="CL6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5" s="299" t="str">
        <f ca="1">IFERROR(DeemedDashboard[[#This Row],[Counter-factual total 
NPV cost]]-DeemedDashboard[[#This Row],[Measure total 
NPV cost]],"")</f>
        <v/>
      </c>
      <c r="CQ65" s="299" t="str">
        <f>IF(ISBLANK(DeemedDashboard[[#This Row],[MeasAppType]]),"",DeemedDashboard[[#This Row],[Refrigerant
NPV costs
avoided]]&gt;0)</f>
        <v/>
      </c>
      <c r="CR65" s="299" t="str">
        <f ca="1">IFERROR(DeemedDashboard[[#This Row],[Msr Adj NPV Cost of Annual Leakage]]+DeemedDashboard[[#This Row],[Msr Adj NPV Cost of EOL Leakage]],"")</f>
        <v/>
      </c>
      <c r="CS65" s="299" t="str">
        <f ca="1">IFERROR(DeemedDashboard[[#This Row],[Std Adj NPV Cost of Annual Leakage]]+DeemedDashboard[[#This Row],[Std Adj NPV Cost of EOL Leakage]],"")</f>
        <v/>
      </c>
      <c r="CT65" s="299" t="str">
        <f>IFERROR(IF((DeemedDashboard[[#This Row],[Pre Adj NPV Cost of Annual Leakage]]+DeemedDashboard[[#This Row],[Pre Adj NPV Cost of EOL Leakage]])=0,"",DeemedDashboard[[#This Row],[Pre Adj NPV Cost of Annual Leakage]]+DeemedDashboard[[#This Row],[Pre Adj NPV Cost of EOL Leakage]]),"")</f>
        <v/>
      </c>
      <c r="CU65" s="299" t="str">
        <f>IFERROR(IF((DeemedDashboard[[#This Row],[Ext Adj NPV Cost of Annual Leakage]]+DeemedDashboard[[#This Row],[Ext Adj NPV Cost of EOL Leakage]])=0,"",DeemedDashboard[[#This Row],[Ext Adj NPV Cost of Annual Leakage]]+DeemedDashboard[[#This Row],[Ext Adj NPV Cost of EOL Leakage]]),"")</f>
        <v/>
      </c>
      <c r="CV65" s="299" t="str">
        <f>IFERROR(IF(DeemedDashboard[[#This Row],[Is Avoided Net Cost &gt;0?]],"",-DeemedDashboard[[#This Row],[Refrigerant
NPV costs
avoided]]),"")</f>
        <v/>
      </c>
      <c r="CW65" s="299" t="str">
        <f>IFERROR(IF(DeemedDashboard[[#This Row],[Is Avoided Net Cost &gt;0?]],DeemedDashboard[[#This Row],[Refrigerant
NPV costs
avoided]],""),"")</f>
        <v/>
      </c>
      <c r="CX65" s="391">
        <f ca="1">IFERROR(MATCH(DeemedDashboard[[#This Row],[TechGroup and NormUnit]],TechGroup_and_NormUnit,0),1)</f>
        <v>1</v>
      </c>
      <c r="CY65" s="391" cm="1">
        <f t="array" aca="1" ref="CY65" ca="1">IFERROR(INDEX(TGRows,DeemedDashboard[[#This Row],[TGIndex]]),"")</f>
        <v>2</v>
      </c>
      <c r="CZ65" s="391">
        <f ca="1">IF(DeemedDashboard[[#This Row],[MeasAppType]]=const_AR,DeemedDashboard[[#This Row],[TGRows]],DeemedDashboard[[#This Row],[TGRows]]+1)</f>
        <v>3</v>
      </c>
      <c r="DA65" s="391" t="str">
        <f>IF(ISBLANK(DeemedDashboard[[#This Row],[MeasAppType]]),"",IF(DeemedDashboard[[#This Row],[Index]]=User_Specified_Refrigerant[[#This Row],[Index]],"OK","ERROR"))</f>
        <v/>
      </c>
    </row>
    <row r="66" spans="1:105" s="320" customFormat="1" x14ac:dyDescent="0.25">
      <c r="A66" s="297">
        <f>ROW(DeemedDashboard[[#This Row],[Index]])-ROW(DeemedDashboard[[#Headers],[Index]])</f>
        <v>57</v>
      </c>
      <c r="B66" s="298"/>
      <c r="C66" s="321"/>
      <c r="D66" s="403"/>
      <c r="E66" s="403"/>
      <c r="F66" s="403"/>
      <c r="G66" s="403"/>
      <c r="H66" s="366"/>
      <c r="I66" s="339"/>
      <c r="J66" s="339"/>
      <c r="K66" s="339"/>
      <c r="L66" s="322"/>
      <c r="M66" s="322"/>
      <c r="N66" s="322"/>
      <c r="O6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6" s="582" t="str" cm="1">
        <f t="array" ref="R66">IFERROR(IF(DeemedDashboard[[#This Row],[Msr device type]]=const_device_nonrefrig,0,INDEX(_xlfn.SWITCH($E$4,const_20_yr,GWP_Values_20_year_AR4,const_100_yr,GWP_Values_100_year_AR4),MATCH(DeemedDashboard[[#This Row],[Msr refrigerant Type]],RefrigDropdownList,0))),"")</f>
        <v/>
      </c>
      <c r="S66" s="582" t="str" cm="1">
        <f t="array" ref="S66">IFERROR(IF(DeemedDashboard[[#This Row],[Std device type]]=const_device_nonrefrig,0,INDEX(_xlfn.SWITCH($E$4,const_20_yr,GWP_Values_20_year_AR4,const_100_yr,GWP_Values_100_year_AR4),MATCH(DeemedDashboard[[#This Row],[Std refrigerant Type]],RefrigDropdownList,0))),"")</f>
        <v/>
      </c>
      <c r="T66" s="582" t="str" cm="1">
        <f t="array" ref="T66">IFERROR(IF(DeemedDashboard[[#This Row],[Pre/Ext device type]]=const_device_nonrefrig,0,INDEX(_xlfn.SWITCH($E$4,const_20_yr,GWP_Values_20_year_AR4,const_100_yr,GWP_Values_100_year_AR4),MATCH(DeemedDashboard[[#This Row],[Pre/Ext refrigerant Type]],RefrigDropdownList,0))),"")</f>
        <v/>
      </c>
      <c r="U6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6" s="326" t="str">
        <f>IFERROR(IF(DeemedDashboard[[#This Row],[Msr device type]]=const_userspec,IF(ISBLANK(User_Specified_Refrigerant[[#This Row],[Msr t_EOL]]),"",User_Specified_Refrigerant[[#This Row],[Msr t_EOL]]),INDEX(TechGroup_NormUnit_Table[t_EOL],MATCH(DeemedDashboard[[#This Row],[Msr device type]],DropdownRefrigTech,0))),"")</f>
        <v/>
      </c>
      <c r="AB66" s="326" t="str">
        <f>IFERROR(IF(DeemedDashboard[[#This Row],[Std device type]]=const_userspec,IF(ISBLANK(User_Specified_Refrigerant[[#This Row],[Std t_EOL]]),"",User_Specified_Refrigerant[[#This Row],[Std t_EOL]]),INDEX(TechGroup_NormUnit_Table[t_EOL],MATCH(DeemedDashboard[[#This Row],[Std device type]],DropdownRefrigTech,0))),"")</f>
        <v/>
      </c>
      <c r="AC6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6" s="395" t="str">
        <f>IF(ISBLANK(DeemedDashboard[[#This Row],[MeasAppType]]),"",$E$2)</f>
        <v/>
      </c>
      <c r="AE66" s="395" t="str">
        <f>IFERROR(IF(ISBLANK(DeemedDashboard[[#This Row],[MeasAppType]]),NA(),DeemedDashboard[[#This Row],[Measure Start Year]]+DeemedDashboard[[#This Row],[Msr EUL rounded]]-1),"")</f>
        <v/>
      </c>
      <c r="AF66" s="323" t="str">
        <f>IF(ISBLANK(DeemedDashboard[[#This Row],[Measure New Device EUL]]),"",ROUND(DeemedDashboard[[#This Row],[Measure New Device EUL]],0))</f>
        <v/>
      </c>
      <c r="AG66" s="323" t="str">
        <f>IF(ISBLANK(DeemedDashboard[[#This Row],[Counterfactual New Device EUL]]),"",ROUND(DeemedDashboard[[#This Row],[Counterfactual New Device EUL]],0))</f>
        <v/>
      </c>
      <c r="AH66" s="323" t="str">
        <f>IF(ISBLANK(DeemedDashboard[[#This Row],[Existing Device EUL]]),"",ROUND(DeemedDashboard[[#This Row],[Existing Device EUL]],0))</f>
        <v/>
      </c>
      <c r="AI66" s="323" t="str">
        <f>IF(ISBLANK(DeemedDashboard[[#This Row],[Existing Device RUL or AR First Baseline Life]]),"",ROUND(DeemedDashboard[[#This Row],[Existing Device RUL or AR First Baseline Life]],0))</f>
        <v/>
      </c>
      <c r="AJ66" s="327" t="str">
        <f>DeemedDashboard[[#This Row],[Measure Start Year]]</f>
        <v/>
      </c>
      <c r="AK66" s="327" t="str">
        <f>IF(DeemedDashboard[[#This Row],[MeasAppType]]&lt;&gt;const_AR,DeemedDashboard[[#This Row],[Measure Start Year]],DeemedDashboard[[#This Row],[Ext Device Retire-ment Year]]+1)</f>
        <v/>
      </c>
      <c r="AL66" s="327" t="str">
        <f>IFERROR(IF(DeemedDashboard[[#This Row],[MeasAppType]]=const_AR,DeemedDashboard[[#This Row],[Measure Start Year]]-(DeemedDashboard[[#This Row],[Existing Device EUL]]-DeemedDashboard[[#This Row],[Existing Device RUL or AR First Baseline Life]]),NA()),"")</f>
        <v/>
      </c>
      <c r="AM66" s="327" t="str">
        <f>DeemedDashboard[[#This Row],[Pre Device Install Year]]</f>
        <v/>
      </c>
      <c r="AN66" s="327" t="str">
        <f>IFERROR(IF(ISBLANK(DeemedDashboard[[#This Row],[MeasAppType]]),NA(),DeemedDashboard[[#This Row],[Measure Start Year]]+DeemedDashboard[[#This Row],[Msr EUL rounded]]-1),"")</f>
        <v/>
      </c>
      <c r="AO66" s="327" t="str">
        <f>IFERROR(DeemedDashboard[[#This Row],[Std Device Install Year]]+DeemedDashboard[[#This Row],[Counterfactual New Device EUL]]-1,"")</f>
        <v/>
      </c>
      <c r="AP66" s="327" t="str">
        <f>IFERROR(IF(AND(DeemedDashboard[[#This Row],[MeasAppType]]=const_AR,DeemedDashboard[[#This Row],[Measure Start Year]]&lt;(DeemedDashboard[[#This Row],[Pre Device Install Year]]+DeemedDashboard[[#This Row],[Existing Device EUL]]-1)),DeemedDashboard[[#This Row],[Measure Start Year]]-1,NA()),"")</f>
        <v/>
      </c>
      <c r="AQ66" s="327" t="str">
        <f>IFERROR(IF(DeemedDashboard[[#This Row],[MeasAppType]]=const_AR,DeemedDashboard[[#This Row],[Ext Device Install Year]]+DeemedDashboard[[#This Row],[Existing Device EUL]]-1,NA()),"")</f>
        <v/>
      </c>
      <c r="AR66" s="327" t="str">
        <f>IFERROR(IF(ISBLANK(DeemedDashboard[[#This Row],[MeasAppType]]),NA(),0),"")</f>
        <v/>
      </c>
      <c r="AS66" s="327" t="str">
        <f>IFERROR(IF(ISBLANK(DeemedDashboard[[#This Row],[MeasAppType]]),NA(),0),"")</f>
        <v/>
      </c>
      <c r="AT66" s="327" t="str">
        <f>IF(ISBLANK(DeemedDashboard[[#This Row],[MeasAppType]]),"",IF(DeemedDashboard[[#This Row],[MeasAppType]]&lt;&gt;const_AR,"",(DeemedDashboard[[#This Row],[Pre Device Install Year]]+DeemedDashboard[[#This Row],[Existing Device EUL]]-1)-DeemedDashboard[[#This Row],[Pre Device Retire-ment Year]]))</f>
        <v/>
      </c>
      <c r="AU66" s="327" t="str">
        <f>IF(ISBLANK(DeemedDashboard[[#This Row],[MeasAppType]]),"",IF(DeemedDashboard[[#This Row],[MeasAppType]]=const_AR,0,""))</f>
        <v/>
      </c>
      <c r="AV66" s="328" t="str">
        <f>IF(ISBLANK(DeemedDashboard[[#This Row],[MeasAppType]]),"",MAX((1+MIN(DeemedDashboard[[#This Row],[Msr Device Retire-ment Year]],DeemedDashboard[[#This Row],[Measure End 
Year]])-MAX(DeemedDashboard[[#This Row],[Msr Device Install Year]],DeemedDashboard[[#This Row],[Measure Start Year]])),0))</f>
        <v/>
      </c>
      <c r="AW66" s="328" t="str">
        <f>IF(ISBLANK(DeemedDashboard[[#This Row],[MeasAppType]]),"",MAX((1+MIN(DeemedDashboard[[#This Row],[Std Device Retire-ment Year]],DeemedDashboard[[#This Row],[Measure End 
Year]])-MAX(DeemedDashboard[[#This Row],[Std Device Install Year]],DeemedDashboard[[#This Row],[Measure Start Year]])),0))</f>
        <v/>
      </c>
      <c r="AX6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6" s="329" t="str">
        <f>IF(ISBLANK(DeemedDashboard[[#This Row],[MeasAppType]]),"",IF(DeemedDashboard[[#This Row],[Msr Device Years Over-lapping with Measure Years]]=0,0,DeemedDashboard[[#This Row],[Msr Device Years Over-lapping with Measure Years]]/DeemedDashboard[[#This Row],[Msr EUL rounded]]))</f>
        <v/>
      </c>
      <c r="BA66" s="329" t="str">
        <f>IF(ISBLANK(DeemedDashboard[[#This Row],[MeasAppType]]),"",IF(DeemedDashboard[[#This Row],[Std Device Years Over-lapping with Measure Years]]=0,0,DeemedDashboard[[#This Row],[Std Device Years Over-lapping with Measure Years]]/DeemedDashboard[[#This Row],[Counterfactual New Device EUL]]))</f>
        <v/>
      </c>
      <c r="BB66" s="329" t="str">
        <f>IF(ISBLANK(DeemedDashboard[[#This Row],[MeasAppType]]),"",IFERROR(IF(DeemedDashboard[[#This Row],[Pre Device Years Over-lapping with Measure Years]]=0,0,DeemedDashboard[[#This Row],[Pre Device Years Over-lapping with Measure Years]]/DeemedDashboard[[#This Row],[Existing Device EUL]]),""))</f>
        <v/>
      </c>
      <c r="BC66" s="329" t="str">
        <f>IFERROR(IF(DeemedDashboard[[#This Row],[Ext Device Years Over-lapping with Measure Years]]=0,0,DeemedDashboard[[#This Row],[Ext Device Years Over-lapping with Measure Years]]/DeemedDashboard[[#This Row],[Existing Device EUL]]),"")</f>
        <v/>
      </c>
      <c r="BD66" s="329" t="str">
        <f>IFERROR(IF(DeemedDashboard[[#This Row],[Msr Number of Years device retired early]]=0,0,DeemedDashboard[[#This Row],[Msr Number of Years device retired early]]/DeemedDashboard[[#This Row],[Msr EUL rounded]]),"")</f>
        <v/>
      </c>
      <c r="BE66" s="329" t="str">
        <f>IFERROR(IF(DeemedDashboard[[#This Row],[Std Number of Years device retired early]]=0,0,DeemedDashboard[[#This Row],[Std Number of Years device retired early]]/DeemedDashboard[[#This Row],[Msr EUL rounded]]),"")</f>
        <v/>
      </c>
      <c r="BF66" s="329" t="str">
        <f>IFERROR(IF(DeemedDashboard[[#This Row],[MeasAppType]]&lt;&gt;const_AR,"",IF(DeemedDashboard[[#This Row],[Pre Number of Years device retired early]]=0,0,DeemedDashboard[[#This Row],[Pre Number of Years device retired early]]/DeemedDashboard[[#This Row],[Existing Device EUL]])),"")</f>
        <v/>
      </c>
      <c r="BG66" s="329" t="str">
        <f>IFERROR(IF(DeemedDashboard[[#This Row],[Ext Number of Years device retired early]]=0,0,DeemedDashboard[[#This Row],[Ext Number of Years device retired early]]/DeemedDashboard[[#This Row],[Existing Device EUL]]),"")</f>
        <v/>
      </c>
      <c r="BH66" s="325" t="str">
        <f>IFERROR(1-DeemedDashboard[[#This Row],[Msr annual refrigerant leakage %]]*DeemedDashboard[[#This Row],[Msr t_EOL]],"")</f>
        <v/>
      </c>
      <c r="BI66" s="325" t="str">
        <f>IFERROR(1-DeemedDashboard[[#This Row],[Std annual refrigerant leakage %]]*DeemedDashboard[[#This Row],[Std t_EOL]],"")</f>
        <v/>
      </c>
      <c r="BJ66" s="325" t="str">
        <f>IFERROR(1-DeemedDashboard[[#This Row],[Pre/Ext annual refrigerant leakage %]]*DeemedDashboard[[#This Row],[Pre/Ext t_EOL]],"")</f>
        <v/>
      </c>
      <c r="BK66" s="325" t="str">
        <f>IFERROR(1-DeemedDashboard[[#This Row],[Pre/Ext annual refrigerant leakage %]]*DeemedDashboard[[#This Row],[Pre/Ext t_EOL]],"")</f>
        <v/>
      </c>
      <c r="BL66" s="325" t="str">
        <f>IFERROR(DeemedDashboard[[#This Row],[Msr charging remaining (%)]]*DeemedDashboard[[#This Row],[Msr gross EOL refrigerant leakage %]],"")</f>
        <v/>
      </c>
      <c r="BM66" s="325" t="str">
        <f>IFERROR(DeemedDashboard[[#This Row],[Std charging remaining (%)]]*DeemedDashboard[[#This Row],[Std gross EOL refrigerant leakage %]],"")</f>
        <v/>
      </c>
      <c r="BN66" s="325" t="str">
        <f>IFERROR(DeemedDashboard[[#This Row],[Pre charging remaining (%)]]*DeemedDashboard[[#This Row],[Pre/Ext gross EOL refrigerant leakage %]],"")</f>
        <v/>
      </c>
      <c r="BO66" s="325" t="str">
        <f>IFERROR(DeemedDashboard[[#This Row],[Ext charging remaining (%)]]*DeemedDashboard[[#This Row],[Pre/Ext gross EOL refrigerant leakage %]],"")</f>
        <v/>
      </c>
      <c r="BP66" s="330" t="str">
        <f>IFERROR((DeemedDashboard[[#This Row],[Msr refrigerant charge (lb) per NormUnit]]/pounds_per_metric_ton)*DeemedDashboard[[#This Row],[Msr annual refrigerant leakage %]]*DeemedDashboard[[#This Row],[Msr GWP]],"")</f>
        <v/>
      </c>
      <c r="BQ66" s="330" t="str">
        <f>IFERROR((DeemedDashboard[[#This Row],[Std refrigerant charge (lb) per NormUnit]]/pounds_per_metric_ton)*DeemedDashboard[[#This Row],[Std annual refrigerant leakage %]]*DeemedDashboard[[#This Row],[Std GWP]],"")</f>
        <v/>
      </c>
      <c r="BR66" s="330" t="str">
        <f>IF(DeemedDashboard[[#This Row],[MeasAppType]]=const_AR,(DeemedDashboard[[#This Row],[Pre/Ext refrigerant charge (lb) per NormUnit]]/pounds_per_metric_ton)*DeemedDashboard[[#This Row],[Pre/Ext annual refrigerant leakage %]]*DeemedDashboard[[#This Row],[Pre/Ext GWP]],"")</f>
        <v/>
      </c>
      <c r="BS66" s="330" t="str">
        <f>IF(DeemedDashboard[[#This Row],[MeasAppType]]=const_AR,(DeemedDashboard[[#This Row],[Pre/Ext refrigerant charge (lb) per NormUnit]]/pounds_per_metric_ton)*DeemedDashboard[[#This Row],[Pre/Ext annual refrigerant leakage %]]*DeemedDashboard[[#This Row],[Pre/Ext GWP]],"")</f>
        <v/>
      </c>
      <c r="BT66" s="330" t="str">
        <f>IFERROR((DeemedDashboard[[#This Row],[Msr refrigerant charge (lb) per NormUnit]]/pounds_per_metric_ton)*DeemedDashboard[[#This Row],[Msr net EOL refrigerant leakage (%)]]*DeemedDashboard[[#This Row],[Msr GWP]],"")</f>
        <v/>
      </c>
      <c r="BU66" s="330" t="str">
        <f>IFERROR((DeemedDashboard[[#This Row],[Std refrigerant charge (lb) per NormUnit]]/pounds_per_metric_ton)*DeemedDashboard[[#This Row],[Std net EOL refrigerant leakage (%)]]*DeemedDashboard[[#This Row],[Std GWP]],"")</f>
        <v/>
      </c>
      <c r="BV66" s="330" t="str">
        <f>IFERROR((DeemedDashboard[[#This Row],[Pre/Ext refrigerant charge (lb) per NormUnit]]/pounds_per_metric_ton)*DeemedDashboard[[#This Row],[Pre net EOL refrigerant leakage (%)]]*DeemedDashboard[[#This Row],[Pre/Ext GWP]],"")</f>
        <v/>
      </c>
      <c r="BW66" s="330" t="str">
        <f>IFERROR((DeemedDashboard[[#This Row],[Pre/Ext refrigerant charge (lb) per NormUnit]]/pounds_per_metric_ton)*DeemedDashboard[[#This Row],[Ext net EOL refrigerant leakage (%)]]*DeemedDashboard[[#This Row],[Pre/Ext GWP]],"")</f>
        <v/>
      </c>
      <c r="BX66" s="299" t="str" cm="1">
        <f t="array" aca="1" ref="BX6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6" s="305" t="str" cm="1">
        <f t="array" aca="1" ref="BY6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6" s="299" t="str">
        <f>IFERROR(IF(OR(DeemedDashboard[[#This Row],[MeasAppType]]&lt;&gt;const_AR,ISBLANK(DeemedDashboard[[#This Row],[MeasAppType]])),NA(),0),"")</f>
        <v/>
      </c>
      <c r="CA66" s="305" t="str" cm="1">
        <f t="array" aca="1" ref="CA6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6" s="299" t="str">
        <f ca="1">IFERROR((DeemedDashboard[[#This Row],[Msr EOL leakage tons CO2e]]*OFFSET(GHG_Adder_dollar_per_tonne,0,(DeemedDashboard[[#This Row],[Msr Device Retire-ment Year]]-DY+1),1,1))/(1+WACC)^(DeemedDashboard[[#This Row],[Msr Device Retire-ment Year]]-DeemedDashboard[[#This Row],[Measure Start Year]]+0.5),"")</f>
        <v/>
      </c>
      <c r="CC66" s="299" t="str">
        <f ca="1">IFERROR((DeemedDashboard[[#This Row],[Std EOL leakage tons CO2e]]*OFFSET(GHG_Adder_dollar_per_tonne,0,(DeemedDashboard[[#This Row],[Std Device Retire-ment Year]]-DY+1),1,1))/(1+WACC)^(DeemedDashboard[[#This Row],[Std Device Retire-ment Year]]-DeemedDashboard[[#This Row],[Measure Start Year]]+0.5),"")</f>
        <v/>
      </c>
      <c r="CD66" s="299" t="str">
        <f ca="1">IFERROR((DeemedDashboard[[#This Row],[Pre EOL leakage tons CO2e]]*OFFSET(GHG_Adder_dollar_per_tonne,0,(DeemedDashboard[[#This Row],[Measure Start Year]]-DY),1,1))/(1+WACC)^(-0.5),"")</f>
        <v/>
      </c>
      <c r="CE6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6" s="299" t="str">
        <f ca="1">IFERROR(DeemedDashboard[[#This Row],[Msr NPV Cost of Annual Leakage]]/(1+ACC_Inflation_Rate)^(DeemedDashboard[[#This Row],[Measure Start Year]]-DY),"")</f>
        <v/>
      </c>
      <c r="CG66" s="299" t="str">
        <f ca="1">IFERROR(DeemedDashboard[[#This Row],[Std NPV Cost of Annual Leakage]]/(1+ACC_Inflation_Rate)^(DeemedDashboard[[#This Row],[Measure Start Year]]-DY),"")</f>
        <v/>
      </c>
      <c r="CH66" s="299" t="str">
        <f>IFERROR(IF(ISBLANK(DeemedDashboard[[#This Row],[MeasAppType]]),NA(),IF(DeemedDashboard[[#This Row],[MeasAppType]]=const_AR,DeemedDashboard[[#This Row],[Pre NPV Cost of Annual Leakage]]/(1+ACC_Inflation_Rate)^(DeemedDashboard[[#This Row],[Measure Start Year]]-DY),"")),"")</f>
        <v/>
      </c>
      <c r="CI66" s="296" t="str">
        <f>IFERROR(IF(ISBLANK(DeemedDashboard[[#This Row],[MeasAppType]]),NA(),IF(DeemedDashboard[[#This Row],[MeasAppType]]=const_AR,DeemedDashboard[[#This Row],[Ext NPV Cost of Annual Leakage]]/(1+ACC_Inflation_Rate)^(DeemedDashboard[[#This Row],[Measure Start Year]]-DY),"")),"")</f>
        <v/>
      </c>
      <c r="CJ66" s="296" t="str">
        <f ca="1">IFERROR((DeemedDashboard[[#This Row],[Msr % of device lifetime during measure years]]+DeemedDashboard[[#This Row],[Msr % of device lifetime retired early]])*DeemedDashboard[[#This Row],[Msr NPV Cost of EOL Leakage]]/(1+ACC_Inflation_Rate)^(DeemedDashboard[[#This Row],[Measure Start Year]]-DY),"")</f>
        <v/>
      </c>
      <c r="CK66" s="296" t="str">
        <f ca="1">IFERROR((DeemedDashboard[[#This Row],[Std % of device lifetime during measure years]]+DeemedDashboard[[#This Row],[Std % of device lifetime retired early]])*DeemedDashboard[[#This Row],[Std NPV Cost of EOL Leakage]]/(1+ACC_Inflation_Rate)^(DeemedDashboard[[#This Row],[Measure Start Year]]-DY),"")</f>
        <v/>
      </c>
      <c r="CL6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6" s="299" t="str">
        <f ca="1">IFERROR(DeemedDashboard[[#This Row],[Counter-factual total 
NPV cost]]-DeemedDashboard[[#This Row],[Measure total 
NPV cost]],"")</f>
        <v/>
      </c>
      <c r="CQ66" s="299" t="str">
        <f>IF(ISBLANK(DeemedDashboard[[#This Row],[MeasAppType]]),"",DeemedDashboard[[#This Row],[Refrigerant
NPV costs
avoided]]&gt;0)</f>
        <v/>
      </c>
      <c r="CR66" s="299" t="str">
        <f ca="1">IFERROR(DeemedDashboard[[#This Row],[Msr Adj NPV Cost of Annual Leakage]]+DeemedDashboard[[#This Row],[Msr Adj NPV Cost of EOL Leakage]],"")</f>
        <v/>
      </c>
      <c r="CS66" s="299" t="str">
        <f ca="1">IFERROR(DeemedDashboard[[#This Row],[Std Adj NPV Cost of Annual Leakage]]+DeemedDashboard[[#This Row],[Std Adj NPV Cost of EOL Leakage]],"")</f>
        <v/>
      </c>
      <c r="CT66" s="299" t="str">
        <f>IFERROR(IF((DeemedDashboard[[#This Row],[Pre Adj NPV Cost of Annual Leakage]]+DeemedDashboard[[#This Row],[Pre Adj NPV Cost of EOL Leakage]])=0,"",DeemedDashboard[[#This Row],[Pre Adj NPV Cost of Annual Leakage]]+DeemedDashboard[[#This Row],[Pre Adj NPV Cost of EOL Leakage]]),"")</f>
        <v/>
      </c>
      <c r="CU66" s="299" t="str">
        <f>IFERROR(IF((DeemedDashboard[[#This Row],[Ext Adj NPV Cost of Annual Leakage]]+DeemedDashboard[[#This Row],[Ext Adj NPV Cost of EOL Leakage]])=0,"",DeemedDashboard[[#This Row],[Ext Adj NPV Cost of Annual Leakage]]+DeemedDashboard[[#This Row],[Ext Adj NPV Cost of EOL Leakage]]),"")</f>
        <v/>
      </c>
      <c r="CV66" s="299" t="str">
        <f>IFERROR(IF(DeemedDashboard[[#This Row],[Is Avoided Net Cost &gt;0?]],"",-DeemedDashboard[[#This Row],[Refrigerant
NPV costs
avoided]]),"")</f>
        <v/>
      </c>
      <c r="CW66" s="299" t="str">
        <f>IFERROR(IF(DeemedDashboard[[#This Row],[Is Avoided Net Cost &gt;0?]],DeemedDashboard[[#This Row],[Refrigerant
NPV costs
avoided]],""),"")</f>
        <v/>
      </c>
      <c r="CX66" s="391">
        <f ca="1">IFERROR(MATCH(DeemedDashboard[[#This Row],[TechGroup and NormUnit]],TechGroup_and_NormUnit,0),1)</f>
        <v>1</v>
      </c>
      <c r="CY66" s="391" cm="1">
        <f t="array" aca="1" ref="CY66" ca="1">IFERROR(INDEX(TGRows,DeemedDashboard[[#This Row],[TGIndex]]),"")</f>
        <v>2</v>
      </c>
      <c r="CZ66" s="391">
        <f ca="1">IF(DeemedDashboard[[#This Row],[MeasAppType]]=const_AR,DeemedDashboard[[#This Row],[TGRows]],DeemedDashboard[[#This Row],[TGRows]]+1)</f>
        <v>3</v>
      </c>
      <c r="DA66" s="391" t="str">
        <f>IF(ISBLANK(DeemedDashboard[[#This Row],[MeasAppType]]),"",IF(DeemedDashboard[[#This Row],[Index]]=User_Specified_Refrigerant[[#This Row],[Index]],"OK","ERROR"))</f>
        <v/>
      </c>
    </row>
    <row r="67" spans="1:105" s="320" customFormat="1" x14ac:dyDescent="0.25">
      <c r="A67" s="297">
        <f>ROW(DeemedDashboard[[#This Row],[Index]])-ROW(DeemedDashboard[[#Headers],[Index]])</f>
        <v>58</v>
      </c>
      <c r="B67" s="298"/>
      <c r="C67" s="321"/>
      <c r="D67" s="403"/>
      <c r="E67" s="403"/>
      <c r="F67" s="403"/>
      <c r="G67" s="403"/>
      <c r="H67" s="366"/>
      <c r="I67" s="339"/>
      <c r="J67" s="339"/>
      <c r="K67" s="339"/>
      <c r="L67" s="322"/>
      <c r="M67" s="322"/>
      <c r="N67" s="322"/>
      <c r="O6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7" s="582" t="str" cm="1">
        <f t="array" ref="R67">IFERROR(IF(DeemedDashboard[[#This Row],[Msr device type]]=const_device_nonrefrig,0,INDEX(_xlfn.SWITCH($E$4,const_20_yr,GWP_Values_20_year_AR4,const_100_yr,GWP_Values_100_year_AR4),MATCH(DeemedDashboard[[#This Row],[Msr refrigerant Type]],RefrigDropdownList,0))),"")</f>
        <v/>
      </c>
      <c r="S67" s="582" t="str" cm="1">
        <f t="array" ref="S67">IFERROR(IF(DeemedDashboard[[#This Row],[Std device type]]=const_device_nonrefrig,0,INDEX(_xlfn.SWITCH($E$4,const_20_yr,GWP_Values_20_year_AR4,const_100_yr,GWP_Values_100_year_AR4),MATCH(DeemedDashboard[[#This Row],[Std refrigerant Type]],RefrigDropdownList,0))),"")</f>
        <v/>
      </c>
      <c r="T67" s="582" t="str" cm="1">
        <f t="array" ref="T67">IFERROR(IF(DeemedDashboard[[#This Row],[Pre/Ext device type]]=const_device_nonrefrig,0,INDEX(_xlfn.SWITCH($E$4,const_20_yr,GWP_Values_20_year_AR4,const_100_yr,GWP_Values_100_year_AR4),MATCH(DeemedDashboard[[#This Row],[Pre/Ext refrigerant Type]],RefrigDropdownList,0))),"")</f>
        <v/>
      </c>
      <c r="U6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7" s="326" t="str">
        <f>IFERROR(IF(DeemedDashboard[[#This Row],[Msr device type]]=const_userspec,IF(ISBLANK(User_Specified_Refrigerant[[#This Row],[Msr t_EOL]]),"",User_Specified_Refrigerant[[#This Row],[Msr t_EOL]]),INDEX(TechGroup_NormUnit_Table[t_EOL],MATCH(DeemedDashboard[[#This Row],[Msr device type]],DropdownRefrigTech,0))),"")</f>
        <v/>
      </c>
      <c r="AB67" s="326" t="str">
        <f>IFERROR(IF(DeemedDashboard[[#This Row],[Std device type]]=const_userspec,IF(ISBLANK(User_Specified_Refrigerant[[#This Row],[Std t_EOL]]),"",User_Specified_Refrigerant[[#This Row],[Std t_EOL]]),INDEX(TechGroup_NormUnit_Table[t_EOL],MATCH(DeemedDashboard[[#This Row],[Std device type]],DropdownRefrigTech,0))),"")</f>
        <v/>
      </c>
      <c r="AC6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7" s="395" t="str">
        <f>IF(ISBLANK(DeemedDashboard[[#This Row],[MeasAppType]]),"",$E$2)</f>
        <v/>
      </c>
      <c r="AE67" s="395" t="str">
        <f>IFERROR(IF(ISBLANK(DeemedDashboard[[#This Row],[MeasAppType]]),NA(),DeemedDashboard[[#This Row],[Measure Start Year]]+DeemedDashboard[[#This Row],[Msr EUL rounded]]-1),"")</f>
        <v/>
      </c>
      <c r="AF67" s="323" t="str">
        <f>IF(ISBLANK(DeemedDashboard[[#This Row],[Measure New Device EUL]]),"",ROUND(DeemedDashboard[[#This Row],[Measure New Device EUL]],0))</f>
        <v/>
      </c>
      <c r="AG67" s="323" t="str">
        <f>IF(ISBLANK(DeemedDashboard[[#This Row],[Counterfactual New Device EUL]]),"",ROUND(DeemedDashboard[[#This Row],[Counterfactual New Device EUL]],0))</f>
        <v/>
      </c>
      <c r="AH67" s="323" t="str">
        <f>IF(ISBLANK(DeemedDashboard[[#This Row],[Existing Device EUL]]),"",ROUND(DeemedDashboard[[#This Row],[Existing Device EUL]],0))</f>
        <v/>
      </c>
      <c r="AI67" s="323" t="str">
        <f>IF(ISBLANK(DeemedDashboard[[#This Row],[Existing Device RUL or AR First Baseline Life]]),"",ROUND(DeemedDashboard[[#This Row],[Existing Device RUL or AR First Baseline Life]],0))</f>
        <v/>
      </c>
      <c r="AJ67" s="327" t="str">
        <f>DeemedDashboard[[#This Row],[Measure Start Year]]</f>
        <v/>
      </c>
      <c r="AK67" s="327" t="str">
        <f>IF(DeemedDashboard[[#This Row],[MeasAppType]]&lt;&gt;const_AR,DeemedDashboard[[#This Row],[Measure Start Year]],DeemedDashboard[[#This Row],[Ext Device Retire-ment Year]]+1)</f>
        <v/>
      </c>
      <c r="AL67" s="327" t="str">
        <f>IFERROR(IF(DeemedDashboard[[#This Row],[MeasAppType]]=const_AR,DeemedDashboard[[#This Row],[Measure Start Year]]-(DeemedDashboard[[#This Row],[Existing Device EUL]]-DeemedDashboard[[#This Row],[Existing Device RUL or AR First Baseline Life]]),NA()),"")</f>
        <v/>
      </c>
      <c r="AM67" s="327" t="str">
        <f>DeemedDashboard[[#This Row],[Pre Device Install Year]]</f>
        <v/>
      </c>
      <c r="AN67" s="327" t="str">
        <f>IFERROR(IF(ISBLANK(DeemedDashboard[[#This Row],[MeasAppType]]),NA(),DeemedDashboard[[#This Row],[Measure Start Year]]+DeemedDashboard[[#This Row],[Msr EUL rounded]]-1),"")</f>
        <v/>
      </c>
      <c r="AO67" s="327" t="str">
        <f>IFERROR(DeemedDashboard[[#This Row],[Std Device Install Year]]+DeemedDashboard[[#This Row],[Counterfactual New Device EUL]]-1,"")</f>
        <v/>
      </c>
      <c r="AP67" s="327" t="str">
        <f>IFERROR(IF(AND(DeemedDashboard[[#This Row],[MeasAppType]]=const_AR,DeemedDashboard[[#This Row],[Measure Start Year]]&lt;(DeemedDashboard[[#This Row],[Pre Device Install Year]]+DeemedDashboard[[#This Row],[Existing Device EUL]]-1)),DeemedDashboard[[#This Row],[Measure Start Year]]-1,NA()),"")</f>
        <v/>
      </c>
      <c r="AQ67" s="327" t="str">
        <f>IFERROR(IF(DeemedDashboard[[#This Row],[MeasAppType]]=const_AR,DeemedDashboard[[#This Row],[Ext Device Install Year]]+DeemedDashboard[[#This Row],[Existing Device EUL]]-1,NA()),"")</f>
        <v/>
      </c>
      <c r="AR67" s="327" t="str">
        <f>IFERROR(IF(ISBLANK(DeemedDashboard[[#This Row],[MeasAppType]]),NA(),0),"")</f>
        <v/>
      </c>
      <c r="AS67" s="327" t="str">
        <f>IFERROR(IF(ISBLANK(DeemedDashboard[[#This Row],[MeasAppType]]),NA(),0),"")</f>
        <v/>
      </c>
      <c r="AT67" s="327" t="str">
        <f>IF(ISBLANK(DeemedDashboard[[#This Row],[MeasAppType]]),"",IF(DeemedDashboard[[#This Row],[MeasAppType]]&lt;&gt;const_AR,"",(DeemedDashboard[[#This Row],[Pre Device Install Year]]+DeemedDashboard[[#This Row],[Existing Device EUL]]-1)-DeemedDashboard[[#This Row],[Pre Device Retire-ment Year]]))</f>
        <v/>
      </c>
      <c r="AU67" s="327" t="str">
        <f>IF(ISBLANK(DeemedDashboard[[#This Row],[MeasAppType]]),"",IF(DeemedDashboard[[#This Row],[MeasAppType]]=const_AR,0,""))</f>
        <v/>
      </c>
      <c r="AV67" s="328" t="str">
        <f>IF(ISBLANK(DeemedDashboard[[#This Row],[MeasAppType]]),"",MAX((1+MIN(DeemedDashboard[[#This Row],[Msr Device Retire-ment Year]],DeemedDashboard[[#This Row],[Measure End 
Year]])-MAX(DeemedDashboard[[#This Row],[Msr Device Install Year]],DeemedDashboard[[#This Row],[Measure Start Year]])),0))</f>
        <v/>
      </c>
      <c r="AW67" s="328" t="str">
        <f>IF(ISBLANK(DeemedDashboard[[#This Row],[MeasAppType]]),"",MAX((1+MIN(DeemedDashboard[[#This Row],[Std Device Retire-ment Year]],DeemedDashboard[[#This Row],[Measure End 
Year]])-MAX(DeemedDashboard[[#This Row],[Std Device Install Year]],DeemedDashboard[[#This Row],[Measure Start Year]])),0))</f>
        <v/>
      </c>
      <c r="AX6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7" s="329" t="str">
        <f>IF(ISBLANK(DeemedDashboard[[#This Row],[MeasAppType]]),"",IF(DeemedDashboard[[#This Row],[Msr Device Years Over-lapping with Measure Years]]=0,0,DeemedDashboard[[#This Row],[Msr Device Years Over-lapping with Measure Years]]/DeemedDashboard[[#This Row],[Msr EUL rounded]]))</f>
        <v/>
      </c>
      <c r="BA67" s="329" t="str">
        <f>IF(ISBLANK(DeemedDashboard[[#This Row],[MeasAppType]]),"",IF(DeemedDashboard[[#This Row],[Std Device Years Over-lapping with Measure Years]]=0,0,DeemedDashboard[[#This Row],[Std Device Years Over-lapping with Measure Years]]/DeemedDashboard[[#This Row],[Counterfactual New Device EUL]]))</f>
        <v/>
      </c>
      <c r="BB67" s="329" t="str">
        <f>IF(ISBLANK(DeemedDashboard[[#This Row],[MeasAppType]]),"",IFERROR(IF(DeemedDashboard[[#This Row],[Pre Device Years Over-lapping with Measure Years]]=0,0,DeemedDashboard[[#This Row],[Pre Device Years Over-lapping with Measure Years]]/DeemedDashboard[[#This Row],[Existing Device EUL]]),""))</f>
        <v/>
      </c>
      <c r="BC67" s="329" t="str">
        <f>IFERROR(IF(DeemedDashboard[[#This Row],[Ext Device Years Over-lapping with Measure Years]]=0,0,DeemedDashboard[[#This Row],[Ext Device Years Over-lapping with Measure Years]]/DeemedDashboard[[#This Row],[Existing Device EUL]]),"")</f>
        <v/>
      </c>
      <c r="BD67" s="329" t="str">
        <f>IFERROR(IF(DeemedDashboard[[#This Row],[Msr Number of Years device retired early]]=0,0,DeemedDashboard[[#This Row],[Msr Number of Years device retired early]]/DeemedDashboard[[#This Row],[Msr EUL rounded]]),"")</f>
        <v/>
      </c>
      <c r="BE67" s="329" t="str">
        <f>IFERROR(IF(DeemedDashboard[[#This Row],[Std Number of Years device retired early]]=0,0,DeemedDashboard[[#This Row],[Std Number of Years device retired early]]/DeemedDashboard[[#This Row],[Msr EUL rounded]]),"")</f>
        <v/>
      </c>
      <c r="BF67" s="329" t="str">
        <f>IFERROR(IF(DeemedDashboard[[#This Row],[MeasAppType]]&lt;&gt;const_AR,"",IF(DeemedDashboard[[#This Row],[Pre Number of Years device retired early]]=0,0,DeemedDashboard[[#This Row],[Pre Number of Years device retired early]]/DeemedDashboard[[#This Row],[Existing Device EUL]])),"")</f>
        <v/>
      </c>
      <c r="BG67" s="329" t="str">
        <f>IFERROR(IF(DeemedDashboard[[#This Row],[Ext Number of Years device retired early]]=0,0,DeemedDashboard[[#This Row],[Ext Number of Years device retired early]]/DeemedDashboard[[#This Row],[Existing Device EUL]]),"")</f>
        <v/>
      </c>
      <c r="BH67" s="325" t="str">
        <f>IFERROR(1-DeemedDashboard[[#This Row],[Msr annual refrigerant leakage %]]*DeemedDashboard[[#This Row],[Msr t_EOL]],"")</f>
        <v/>
      </c>
      <c r="BI67" s="325" t="str">
        <f>IFERROR(1-DeemedDashboard[[#This Row],[Std annual refrigerant leakage %]]*DeemedDashboard[[#This Row],[Std t_EOL]],"")</f>
        <v/>
      </c>
      <c r="BJ67" s="325" t="str">
        <f>IFERROR(1-DeemedDashboard[[#This Row],[Pre/Ext annual refrigerant leakage %]]*DeemedDashboard[[#This Row],[Pre/Ext t_EOL]],"")</f>
        <v/>
      </c>
      <c r="BK67" s="325" t="str">
        <f>IFERROR(1-DeemedDashboard[[#This Row],[Pre/Ext annual refrigerant leakage %]]*DeemedDashboard[[#This Row],[Pre/Ext t_EOL]],"")</f>
        <v/>
      </c>
      <c r="BL67" s="325" t="str">
        <f>IFERROR(DeemedDashboard[[#This Row],[Msr charging remaining (%)]]*DeemedDashboard[[#This Row],[Msr gross EOL refrigerant leakage %]],"")</f>
        <v/>
      </c>
      <c r="BM67" s="325" t="str">
        <f>IFERROR(DeemedDashboard[[#This Row],[Std charging remaining (%)]]*DeemedDashboard[[#This Row],[Std gross EOL refrigerant leakage %]],"")</f>
        <v/>
      </c>
      <c r="BN67" s="325" t="str">
        <f>IFERROR(DeemedDashboard[[#This Row],[Pre charging remaining (%)]]*DeemedDashboard[[#This Row],[Pre/Ext gross EOL refrigerant leakage %]],"")</f>
        <v/>
      </c>
      <c r="BO67" s="325" t="str">
        <f>IFERROR(DeemedDashboard[[#This Row],[Ext charging remaining (%)]]*DeemedDashboard[[#This Row],[Pre/Ext gross EOL refrigerant leakage %]],"")</f>
        <v/>
      </c>
      <c r="BP67" s="330" t="str">
        <f>IFERROR((DeemedDashboard[[#This Row],[Msr refrigerant charge (lb) per NormUnit]]/pounds_per_metric_ton)*DeemedDashboard[[#This Row],[Msr annual refrigerant leakage %]]*DeemedDashboard[[#This Row],[Msr GWP]],"")</f>
        <v/>
      </c>
      <c r="BQ67" s="330" t="str">
        <f>IFERROR((DeemedDashboard[[#This Row],[Std refrigerant charge (lb) per NormUnit]]/pounds_per_metric_ton)*DeemedDashboard[[#This Row],[Std annual refrigerant leakage %]]*DeemedDashboard[[#This Row],[Std GWP]],"")</f>
        <v/>
      </c>
      <c r="BR67" s="330" t="str">
        <f>IF(DeemedDashboard[[#This Row],[MeasAppType]]=const_AR,(DeemedDashboard[[#This Row],[Pre/Ext refrigerant charge (lb) per NormUnit]]/pounds_per_metric_ton)*DeemedDashboard[[#This Row],[Pre/Ext annual refrigerant leakage %]]*DeemedDashboard[[#This Row],[Pre/Ext GWP]],"")</f>
        <v/>
      </c>
      <c r="BS67" s="330" t="str">
        <f>IF(DeemedDashboard[[#This Row],[MeasAppType]]=const_AR,(DeemedDashboard[[#This Row],[Pre/Ext refrigerant charge (lb) per NormUnit]]/pounds_per_metric_ton)*DeemedDashboard[[#This Row],[Pre/Ext annual refrigerant leakage %]]*DeemedDashboard[[#This Row],[Pre/Ext GWP]],"")</f>
        <v/>
      </c>
      <c r="BT67" s="330" t="str">
        <f>IFERROR((DeemedDashboard[[#This Row],[Msr refrigerant charge (lb) per NormUnit]]/pounds_per_metric_ton)*DeemedDashboard[[#This Row],[Msr net EOL refrigerant leakage (%)]]*DeemedDashboard[[#This Row],[Msr GWP]],"")</f>
        <v/>
      </c>
      <c r="BU67" s="330" t="str">
        <f>IFERROR((DeemedDashboard[[#This Row],[Std refrigerant charge (lb) per NormUnit]]/pounds_per_metric_ton)*DeemedDashboard[[#This Row],[Std net EOL refrigerant leakage (%)]]*DeemedDashboard[[#This Row],[Std GWP]],"")</f>
        <v/>
      </c>
      <c r="BV67" s="330" t="str">
        <f>IFERROR((DeemedDashboard[[#This Row],[Pre/Ext refrigerant charge (lb) per NormUnit]]/pounds_per_metric_ton)*DeemedDashboard[[#This Row],[Pre net EOL refrigerant leakage (%)]]*DeemedDashboard[[#This Row],[Pre/Ext GWP]],"")</f>
        <v/>
      </c>
      <c r="BW67" s="330" t="str">
        <f>IFERROR((DeemedDashboard[[#This Row],[Pre/Ext refrigerant charge (lb) per NormUnit]]/pounds_per_metric_ton)*DeemedDashboard[[#This Row],[Ext net EOL refrigerant leakage (%)]]*DeemedDashboard[[#This Row],[Pre/Ext GWP]],"")</f>
        <v/>
      </c>
      <c r="BX67" s="299" t="str" cm="1">
        <f t="array" aca="1" ref="BX6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7" s="305" t="str" cm="1">
        <f t="array" aca="1" ref="BY6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7" s="299" t="str">
        <f>IFERROR(IF(OR(DeemedDashboard[[#This Row],[MeasAppType]]&lt;&gt;const_AR,ISBLANK(DeemedDashboard[[#This Row],[MeasAppType]])),NA(),0),"")</f>
        <v/>
      </c>
      <c r="CA67" s="305" t="str" cm="1">
        <f t="array" aca="1" ref="CA6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7" s="299" t="str">
        <f ca="1">IFERROR((DeemedDashboard[[#This Row],[Msr EOL leakage tons CO2e]]*OFFSET(GHG_Adder_dollar_per_tonne,0,(DeemedDashboard[[#This Row],[Msr Device Retire-ment Year]]-DY+1),1,1))/(1+WACC)^(DeemedDashboard[[#This Row],[Msr Device Retire-ment Year]]-DeemedDashboard[[#This Row],[Measure Start Year]]+0.5),"")</f>
        <v/>
      </c>
      <c r="CC67" s="299" t="str">
        <f ca="1">IFERROR((DeemedDashboard[[#This Row],[Std EOL leakage tons CO2e]]*OFFSET(GHG_Adder_dollar_per_tonne,0,(DeemedDashboard[[#This Row],[Std Device Retire-ment Year]]-DY+1),1,1))/(1+WACC)^(DeemedDashboard[[#This Row],[Std Device Retire-ment Year]]-DeemedDashboard[[#This Row],[Measure Start Year]]+0.5),"")</f>
        <v/>
      </c>
      <c r="CD67" s="299" t="str">
        <f ca="1">IFERROR((DeemedDashboard[[#This Row],[Pre EOL leakage tons CO2e]]*OFFSET(GHG_Adder_dollar_per_tonne,0,(DeemedDashboard[[#This Row],[Measure Start Year]]-DY),1,1))/(1+WACC)^(-0.5),"")</f>
        <v/>
      </c>
      <c r="CE6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7" s="299" t="str">
        <f ca="1">IFERROR(DeemedDashboard[[#This Row],[Msr NPV Cost of Annual Leakage]]/(1+ACC_Inflation_Rate)^(DeemedDashboard[[#This Row],[Measure Start Year]]-DY),"")</f>
        <v/>
      </c>
      <c r="CG67" s="299" t="str">
        <f ca="1">IFERROR(DeemedDashboard[[#This Row],[Std NPV Cost of Annual Leakage]]/(1+ACC_Inflation_Rate)^(DeemedDashboard[[#This Row],[Measure Start Year]]-DY),"")</f>
        <v/>
      </c>
      <c r="CH67" s="299" t="str">
        <f>IFERROR(IF(ISBLANK(DeemedDashboard[[#This Row],[MeasAppType]]),NA(),IF(DeemedDashboard[[#This Row],[MeasAppType]]=const_AR,DeemedDashboard[[#This Row],[Pre NPV Cost of Annual Leakage]]/(1+ACC_Inflation_Rate)^(DeemedDashboard[[#This Row],[Measure Start Year]]-DY),"")),"")</f>
        <v/>
      </c>
      <c r="CI67" s="296" t="str">
        <f>IFERROR(IF(ISBLANK(DeemedDashboard[[#This Row],[MeasAppType]]),NA(),IF(DeemedDashboard[[#This Row],[MeasAppType]]=const_AR,DeemedDashboard[[#This Row],[Ext NPV Cost of Annual Leakage]]/(1+ACC_Inflation_Rate)^(DeemedDashboard[[#This Row],[Measure Start Year]]-DY),"")),"")</f>
        <v/>
      </c>
      <c r="CJ67" s="296" t="str">
        <f ca="1">IFERROR((DeemedDashboard[[#This Row],[Msr % of device lifetime during measure years]]+DeemedDashboard[[#This Row],[Msr % of device lifetime retired early]])*DeemedDashboard[[#This Row],[Msr NPV Cost of EOL Leakage]]/(1+ACC_Inflation_Rate)^(DeemedDashboard[[#This Row],[Measure Start Year]]-DY),"")</f>
        <v/>
      </c>
      <c r="CK67" s="296" t="str">
        <f ca="1">IFERROR((DeemedDashboard[[#This Row],[Std % of device lifetime during measure years]]+DeemedDashboard[[#This Row],[Std % of device lifetime retired early]])*DeemedDashboard[[#This Row],[Std NPV Cost of EOL Leakage]]/(1+ACC_Inflation_Rate)^(DeemedDashboard[[#This Row],[Measure Start Year]]-DY),"")</f>
        <v/>
      </c>
      <c r="CL6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7" s="299" t="str">
        <f ca="1">IFERROR(DeemedDashboard[[#This Row],[Counter-factual total 
NPV cost]]-DeemedDashboard[[#This Row],[Measure total 
NPV cost]],"")</f>
        <v/>
      </c>
      <c r="CQ67" s="299" t="str">
        <f>IF(ISBLANK(DeemedDashboard[[#This Row],[MeasAppType]]),"",DeemedDashboard[[#This Row],[Refrigerant
NPV costs
avoided]]&gt;0)</f>
        <v/>
      </c>
      <c r="CR67" s="299" t="str">
        <f ca="1">IFERROR(DeemedDashboard[[#This Row],[Msr Adj NPV Cost of Annual Leakage]]+DeemedDashboard[[#This Row],[Msr Adj NPV Cost of EOL Leakage]],"")</f>
        <v/>
      </c>
      <c r="CS67" s="299" t="str">
        <f ca="1">IFERROR(DeemedDashboard[[#This Row],[Std Adj NPV Cost of Annual Leakage]]+DeemedDashboard[[#This Row],[Std Adj NPV Cost of EOL Leakage]],"")</f>
        <v/>
      </c>
      <c r="CT67" s="299" t="str">
        <f>IFERROR(IF((DeemedDashboard[[#This Row],[Pre Adj NPV Cost of Annual Leakage]]+DeemedDashboard[[#This Row],[Pre Adj NPV Cost of EOL Leakage]])=0,"",DeemedDashboard[[#This Row],[Pre Adj NPV Cost of Annual Leakage]]+DeemedDashboard[[#This Row],[Pre Adj NPV Cost of EOL Leakage]]),"")</f>
        <v/>
      </c>
      <c r="CU67" s="299" t="str">
        <f>IFERROR(IF((DeemedDashboard[[#This Row],[Ext Adj NPV Cost of Annual Leakage]]+DeemedDashboard[[#This Row],[Ext Adj NPV Cost of EOL Leakage]])=0,"",DeemedDashboard[[#This Row],[Ext Adj NPV Cost of Annual Leakage]]+DeemedDashboard[[#This Row],[Ext Adj NPV Cost of EOL Leakage]]),"")</f>
        <v/>
      </c>
      <c r="CV67" s="299" t="str">
        <f>IFERROR(IF(DeemedDashboard[[#This Row],[Is Avoided Net Cost &gt;0?]],"",-DeemedDashboard[[#This Row],[Refrigerant
NPV costs
avoided]]),"")</f>
        <v/>
      </c>
      <c r="CW67" s="299" t="str">
        <f>IFERROR(IF(DeemedDashboard[[#This Row],[Is Avoided Net Cost &gt;0?]],DeemedDashboard[[#This Row],[Refrigerant
NPV costs
avoided]],""),"")</f>
        <v/>
      </c>
      <c r="CX67" s="391">
        <f ca="1">IFERROR(MATCH(DeemedDashboard[[#This Row],[TechGroup and NormUnit]],TechGroup_and_NormUnit,0),1)</f>
        <v>1</v>
      </c>
      <c r="CY67" s="391" cm="1">
        <f t="array" aca="1" ref="CY67" ca="1">IFERROR(INDEX(TGRows,DeemedDashboard[[#This Row],[TGIndex]]),"")</f>
        <v>2</v>
      </c>
      <c r="CZ67" s="391">
        <f ca="1">IF(DeemedDashboard[[#This Row],[MeasAppType]]=const_AR,DeemedDashboard[[#This Row],[TGRows]],DeemedDashboard[[#This Row],[TGRows]]+1)</f>
        <v>3</v>
      </c>
      <c r="DA67" s="391" t="str">
        <f>IF(ISBLANK(DeemedDashboard[[#This Row],[MeasAppType]]),"",IF(DeemedDashboard[[#This Row],[Index]]=User_Specified_Refrigerant[[#This Row],[Index]],"OK","ERROR"))</f>
        <v/>
      </c>
    </row>
    <row r="68" spans="1:105" s="320" customFormat="1" x14ac:dyDescent="0.25">
      <c r="A68" s="297">
        <f>ROW(DeemedDashboard[[#This Row],[Index]])-ROW(DeemedDashboard[[#Headers],[Index]])</f>
        <v>59</v>
      </c>
      <c r="B68" s="298"/>
      <c r="C68" s="321"/>
      <c r="D68" s="403"/>
      <c r="E68" s="403"/>
      <c r="F68" s="403"/>
      <c r="G68" s="403"/>
      <c r="H68" s="366"/>
      <c r="I68" s="339"/>
      <c r="J68" s="339"/>
      <c r="K68" s="339"/>
      <c r="L68" s="322"/>
      <c r="M68" s="322"/>
      <c r="N68" s="322"/>
      <c r="O6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8" s="582" t="str" cm="1">
        <f t="array" ref="R68">IFERROR(IF(DeemedDashboard[[#This Row],[Msr device type]]=const_device_nonrefrig,0,INDEX(_xlfn.SWITCH($E$4,const_20_yr,GWP_Values_20_year_AR4,const_100_yr,GWP_Values_100_year_AR4),MATCH(DeemedDashboard[[#This Row],[Msr refrigerant Type]],RefrigDropdownList,0))),"")</f>
        <v/>
      </c>
      <c r="S68" s="582" t="str" cm="1">
        <f t="array" ref="S68">IFERROR(IF(DeemedDashboard[[#This Row],[Std device type]]=const_device_nonrefrig,0,INDEX(_xlfn.SWITCH($E$4,const_20_yr,GWP_Values_20_year_AR4,const_100_yr,GWP_Values_100_year_AR4),MATCH(DeemedDashboard[[#This Row],[Std refrigerant Type]],RefrigDropdownList,0))),"")</f>
        <v/>
      </c>
      <c r="T68" s="582" t="str" cm="1">
        <f t="array" ref="T68">IFERROR(IF(DeemedDashboard[[#This Row],[Pre/Ext device type]]=const_device_nonrefrig,0,INDEX(_xlfn.SWITCH($E$4,const_20_yr,GWP_Values_20_year_AR4,const_100_yr,GWP_Values_100_year_AR4),MATCH(DeemedDashboard[[#This Row],[Pre/Ext refrigerant Type]],RefrigDropdownList,0))),"")</f>
        <v/>
      </c>
      <c r="U6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8" s="326" t="str">
        <f>IFERROR(IF(DeemedDashboard[[#This Row],[Msr device type]]=const_userspec,IF(ISBLANK(User_Specified_Refrigerant[[#This Row],[Msr t_EOL]]),"",User_Specified_Refrigerant[[#This Row],[Msr t_EOL]]),INDEX(TechGroup_NormUnit_Table[t_EOL],MATCH(DeemedDashboard[[#This Row],[Msr device type]],DropdownRefrigTech,0))),"")</f>
        <v/>
      </c>
      <c r="AB68" s="326" t="str">
        <f>IFERROR(IF(DeemedDashboard[[#This Row],[Std device type]]=const_userspec,IF(ISBLANK(User_Specified_Refrigerant[[#This Row],[Std t_EOL]]),"",User_Specified_Refrigerant[[#This Row],[Std t_EOL]]),INDEX(TechGroup_NormUnit_Table[t_EOL],MATCH(DeemedDashboard[[#This Row],[Std device type]],DropdownRefrigTech,0))),"")</f>
        <v/>
      </c>
      <c r="AC6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8" s="395" t="str">
        <f>IF(ISBLANK(DeemedDashboard[[#This Row],[MeasAppType]]),"",$E$2)</f>
        <v/>
      </c>
      <c r="AE68" s="395" t="str">
        <f>IFERROR(IF(ISBLANK(DeemedDashboard[[#This Row],[MeasAppType]]),NA(),DeemedDashboard[[#This Row],[Measure Start Year]]+DeemedDashboard[[#This Row],[Msr EUL rounded]]-1),"")</f>
        <v/>
      </c>
      <c r="AF68" s="323" t="str">
        <f>IF(ISBLANK(DeemedDashboard[[#This Row],[Measure New Device EUL]]),"",ROUND(DeemedDashboard[[#This Row],[Measure New Device EUL]],0))</f>
        <v/>
      </c>
      <c r="AG68" s="323" t="str">
        <f>IF(ISBLANK(DeemedDashboard[[#This Row],[Counterfactual New Device EUL]]),"",ROUND(DeemedDashboard[[#This Row],[Counterfactual New Device EUL]],0))</f>
        <v/>
      </c>
      <c r="AH68" s="323" t="str">
        <f>IF(ISBLANK(DeemedDashboard[[#This Row],[Existing Device EUL]]),"",ROUND(DeemedDashboard[[#This Row],[Existing Device EUL]],0))</f>
        <v/>
      </c>
      <c r="AI68" s="323" t="str">
        <f>IF(ISBLANK(DeemedDashboard[[#This Row],[Existing Device RUL or AR First Baseline Life]]),"",ROUND(DeemedDashboard[[#This Row],[Existing Device RUL or AR First Baseline Life]],0))</f>
        <v/>
      </c>
      <c r="AJ68" s="327" t="str">
        <f>DeemedDashboard[[#This Row],[Measure Start Year]]</f>
        <v/>
      </c>
      <c r="AK68" s="327" t="str">
        <f>IF(DeemedDashboard[[#This Row],[MeasAppType]]&lt;&gt;const_AR,DeemedDashboard[[#This Row],[Measure Start Year]],DeemedDashboard[[#This Row],[Ext Device Retire-ment Year]]+1)</f>
        <v/>
      </c>
      <c r="AL68" s="327" t="str">
        <f>IFERROR(IF(DeemedDashboard[[#This Row],[MeasAppType]]=const_AR,DeemedDashboard[[#This Row],[Measure Start Year]]-(DeemedDashboard[[#This Row],[Existing Device EUL]]-DeemedDashboard[[#This Row],[Existing Device RUL or AR First Baseline Life]]),NA()),"")</f>
        <v/>
      </c>
      <c r="AM68" s="327" t="str">
        <f>DeemedDashboard[[#This Row],[Pre Device Install Year]]</f>
        <v/>
      </c>
      <c r="AN68" s="327" t="str">
        <f>IFERROR(IF(ISBLANK(DeemedDashboard[[#This Row],[MeasAppType]]),NA(),DeemedDashboard[[#This Row],[Measure Start Year]]+DeemedDashboard[[#This Row],[Msr EUL rounded]]-1),"")</f>
        <v/>
      </c>
      <c r="AO68" s="327" t="str">
        <f>IFERROR(DeemedDashboard[[#This Row],[Std Device Install Year]]+DeemedDashboard[[#This Row],[Counterfactual New Device EUL]]-1,"")</f>
        <v/>
      </c>
      <c r="AP68" s="327" t="str">
        <f>IFERROR(IF(AND(DeemedDashboard[[#This Row],[MeasAppType]]=const_AR,DeemedDashboard[[#This Row],[Measure Start Year]]&lt;(DeemedDashboard[[#This Row],[Pre Device Install Year]]+DeemedDashboard[[#This Row],[Existing Device EUL]]-1)),DeemedDashboard[[#This Row],[Measure Start Year]]-1,NA()),"")</f>
        <v/>
      </c>
      <c r="AQ68" s="327" t="str">
        <f>IFERROR(IF(DeemedDashboard[[#This Row],[MeasAppType]]=const_AR,DeemedDashboard[[#This Row],[Ext Device Install Year]]+DeemedDashboard[[#This Row],[Existing Device EUL]]-1,NA()),"")</f>
        <v/>
      </c>
      <c r="AR68" s="327" t="str">
        <f>IFERROR(IF(ISBLANK(DeemedDashboard[[#This Row],[MeasAppType]]),NA(),0),"")</f>
        <v/>
      </c>
      <c r="AS68" s="327" t="str">
        <f>IFERROR(IF(ISBLANK(DeemedDashboard[[#This Row],[MeasAppType]]),NA(),0),"")</f>
        <v/>
      </c>
      <c r="AT68" s="327" t="str">
        <f>IF(ISBLANK(DeemedDashboard[[#This Row],[MeasAppType]]),"",IF(DeemedDashboard[[#This Row],[MeasAppType]]&lt;&gt;const_AR,"",(DeemedDashboard[[#This Row],[Pre Device Install Year]]+DeemedDashboard[[#This Row],[Existing Device EUL]]-1)-DeemedDashboard[[#This Row],[Pre Device Retire-ment Year]]))</f>
        <v/>
      </c>
      <c r="AU68" s="327" t="str">
        <f>IF(ISBLANK(DeemedDashboard[[#This Row],[MeasAppType]]),"",IF(DeemedDashboard[[#This Row],[MeasAppType]]=const_AR,0,""))</f>
        <v/>
      </c>
      <c r="AV68" s="328" t="str">
        <f>IF(ISBLANK(DeemedDashboard[[#This Row],[MeasAppType]]),"",MAX((1+MIN(DeemedDashboard[[#This Row],[Msr Device Retire-ment Year]],DeemedDashboard[[#This Row],[Measure End 
Year]])-MAX(DeemedDashboard[[#This Row],[Msr Device Install Year]],DeemedDashboard[[#This Row],[Measure Start Year]])),0))</f>
        <v/>
      </c>
      <c r="AW68" s="328" t="str">
        <f>IF(ISBLANK(DeemedDashboard[[#This Row],[MeasAppType]]),"",MAX((1+MIN(DeemedDashboard[[#This Row],[Std Device Retire-ment Year]],DeemedDashboard[[#This Row],[Measure End 
Year]])-MAX(DeemedDashboard[[#This Row],[Std Device Install Year]],DeemedDashboard[[#This Row],[Measure Start Year]])),0))</f>
        <v/>
      </c>
      <c r="AX6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8" s="329" t="str">
        <f>IF(ISBLANK(DeemedDashboard[[#This Row],[MeasAppType]]),"",IF(DeemedDashboard[[#This Row],[Msr Device Years Over-lapping with Measure Years]]=0,0,DeemedDashboard[[#This Row],[Msr Device Years Over-lapping with Measure Years]]/DeemedDashboard[[#This Row],[Msr EUL rounded]]))</f>
        <v/>
      </c>
      <c r="BA68" s="329" t="str">
        <f>IF(ISBLANK(DeemedDashboard[[#This Row],[MeasAppType]]),"",IF(DeemedDashboard[[#This Row],[Std Device Years Over-lapping with Measure Years]]=0,0,DeemedDashboard[[#This Row],[Std Device Years Over-lapping with Measure Years]]/DeemedDashboard[[#This Row],[Counterfactual New Device EUL]]))</f>
        <v/>
      </c>
      <c r="BB68" s="329" t="str">
        <f>IF(ISBLANK(DeemedDashboard[[#This Row],[MeasAppType]]),"",IFERROR(IF(DeemedDashboard[[#This Row],[Pre Device Years Over-lapping with Measure Years]]=0,0,DeemedDashboard[[#This Row],[Pre Device Years Over-lapping with Measure Years]]/DeemedDashboard[[#This Row],[Existing Device EUL]]),""))</f>
        <v/>
      </c>
      <c r="BC68" s="329" t="str">
        <f>IFERROR(IF(DeemedDashboard[[#This Row],[Ext Device Years Over-lapping with Measure Years]]=0,0,DeemedDashboard[[#This Row],[Ext Device Years Over-lapping with Measure Years]]/DeemedDashboard[[#This Row],[Existing Device EUL]]),"")</f>
        <v/>
      </c>
      <c r="BD68" s="329" t="str">
        <f>IFERROR(IF(DeemedDashboard[[#This Row],[Msr Number of Years device retired early]]=0,0,DeemedDashboard[[#This Row],[Msr Number of Years device retired early]]/DeemedDashboard[[#This Row],[Msr EUL rounded]]),"")</f>
        <v/>
      </c>
      <c r="BE68" s="329" t="str">
        <f>IFERROR(IF(DeemedDashboard[[#This Row],[Std Number of Years device retired early]]=0,0,DeemedDashboard[[#This Row],[Std Number of Years device retired early]]/DeemedDashboard[[#This Row],[Msr EUL rounded]]),"")</f>
        <v/>
      </c>
      <c r="BF68" s="329" t="str">
        <f>IFERROR(IF(DeemedDashboard[[#This Row],[MeasAppType]]&lt;&gt;const_AR,"",IF(DeemedDashboard[[#This Row],[Pre Number of Years device retired early]]=0,0,DeemedDashboard[[#This Row],[Pre Number of Years device retired early]]/DeemedDashboard[[#This Row],[Existing Device EUL]])),"")</f>
        <v/>
      </c>
      <c r="BG68" s="329" t="str">
        <f>IFERROR(IF(DeemedDashboard[[#This Row],[Ext Number of Years device retired early]]=0,0,DeemedDashboard[[#This Row],[Ext Number of Years device retired early]]/DeemedDashboard[[#This Row],[Existing Device EUL]]),"")</f>
        <v/>
      </c>
      <c r="BH68" s="325" t="str">
        <f>IFERROR(1-DeemedDashboard[[#This Row],[Msr annual refrigerant leakage %]]*DeemedDashboard[[#This Row],[Msr t_EOL]],"")</f>
        <v/>
      </c>
      <c r="BI68" s="325" t="str">
        <f>IFERROR(1-DeemedDashboard[[#This Row],[Std annual refrigerant leakage %]]*DeemedDashboard[[#This Row],[Std t_EOL]],"")</f>
        <v/>
      </c>
      <c r="BJ68" s="325" t="str">
        <f>IFERROR(1-DeemedDashboard[[#This Row],[Pre/Ext annual refrigerant leakage %]]*DeemedDashboard[[#This Row],[Pre/Ext t_EOL]],"")</f>
        <v/>
      </c>
      <c r="BK68" s="325" t="str">
        <f>IFERROR(1-DeemedDashboard[[#This Row],[Pre/Ext annual refrigerant leakage %]]*DeemedDashboard[[#This Row],[Pre/Ext t_EOL]],"")</f>
        <v/>
      </c>
      <c r="BL68" s="325" t="str">
        <f>IFERROR(DeemedDashboard[[#This Row],[Msr charging remaining (%)]]*DeemedDashboard[[#This Row],[Msr gross EOL refrigerant leakage %]],"")</f>
        <v/>
      </c>
      <c r="BM68" s="325" t="str">
        <f>IFERROR(DeemedDashboard[[#This Row],[Std charging remaining (%)]]*DeemedDashboard[[#This Row],[Std gross EOL refrigerant leakage %]],"")</f>
        <v/>
      </c>
      <c r="BN68" s="325" t="str">
        <f>IFERROR(DeemedDashboard[[#This Row],[Pre charging remaining (%)]]*DeemedDashboard[[#This Row],[Pre/Ext gross EOL refrigerant leakage %]],"")</f>
        <v/>
      </c>
      <c r="BO68" s="325" t="str">
        <f>IFERROR(DeemedDashboard[[#This Row],[Ext charging remaining (%)]]*DeemedDashboard[[#This Row],[Pre/Ext gross EOL refrigerant leakage %]],"")</f>
        <v/>
      </c>
      <c r="BP68" s="330" t="str">
        <f>IFERROR((DeemedDashboard[[#This Row],[Msr refrigerant charge (lb) per NormUnit]]/pounds_per_metric_ton)*DeemedDashboard[[#This Row],[Msr annual refrigerant leakage %]]*DeemedDashboard[[#This Row],[Msr GWP]],"")</f>
        <v/>
      </c>
      <c r="BQ68" s="330" t="str">
        <f>IFERROR((DeemedDashboard[[#This Row],[Std refrigerant charge (lb) per NormUnit]]/pounds_per_metric_ton)*DeemedDashboard[[#This Row],[Std annual refrigerant leakage %]]*DeemedDashboard[[#This Row],[Std GWP]],"")</f>
        <v/>
      </c>
      <c r="BR68" s="330" t="str">
        <f>IF(DeemedDashboard[[#This Row],[MeasAppType]]=const_AR,(DeemedDashboard[[#This Row],[Pre/Ext refrigerant charge (lb) per NormUnit]]/pounds_per_metric_ton)*DeemedDashboard[[#This Row],[Pre/Ext annual refrigerant leakage %]]*DeemedDashboard[[#This Row],[Pre/Ext GWP]],"")</f>
        <v/>
      </c>
      <c r="BS68" s="330" t="str">
        <f>IF(DeemedDashboard[[#This Row],[MeasAppType]]=const_AR,(DeemedDashboard[[#This Row],[Pre/Ext refrigerant charge (lb) per NormUnit]]/pounds_per_metric_ton)*DeemedDashboard[[#This Row],[Pre/Ext annual refrigerant leakage %]]*DeemedDashboard[[#This Row],[Pre/Ext GWP]],"")</f>
        <v/>
      </c>
      <c r="BT68" s="330" t="str">
        <f>IFERROR((DeemedDashboard[[#This Row],[Msr refrigerant charge (lb) per NormUnit]]/pounds_per_metric_ton)*DeemedDashboard[[#This Row],[Msr net EOL refrigerant leakage (%)]]*DeemedDashboard[[#This Row],[Msr GWP]],"")</f>
        <v/>
      </c>
      <c r="BU68" s="330" t="str">
        <f>IFERROR((DeemedDashboard[[#This Row],[Std refrigerant charge (lb) per NormUnit]]/pounds_per_metric_ton)*DeemedDashboard[[#This Row],[Std net EOL refrigerant leakage (%)]]*DeemedDashboard[[#This Row],[Std GWP]],"")</f>
        <v/>
      </c>
      <c r="BV68" s="330" t="str">
        <f>IFERROR((DeemedDashboard[[#This Row],[Pre/Ext refrigerant charge (lb) per NormUnit]]/pounds_per_metric_ton)*DeemedDashboard[[#This Row],[Pre net EOL refrigerant leakage (%)]]*DeemedDashboard[[#This Row],[Pre/Ext GWP]],"")</f>
        <v/>
      </c>
      <c r="BW68" s="330" t="str">
        <f>IFERROR((DeemedDashboard[[#This Row],[Pre/Ext refrigerant charge (lb) per NormUnit]]/pounds_per_metric_ton)*DeemedDashboard[[#This Row],[Ext net EOL refrigerant leakage (%)]]*DeemedDashboard[[#This Row],[Pre/Ext GWP]],"")</f>
        <v/>
      </c>
      <c r="BX68" s="299" t="str" cm="1">
        <f t="array" aca="1" ref="BX6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8" s="305" t="str" cm="1">
        <f t="array" aca="1" ref="BY6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8" s="299" t="str">
        <f>IFERROR(IF(OR(DeemedDashboard[[#This Row],[MeasAppType]]&lt;&gt;const_AR,ISBLANK(DeemedDashboard[[#This Row],[MeasAppType]])),NA(),0),"")</f>
        <v/>
      </c>
      <c r="CA68" s="305" t="str" cm="1">
        <f t="array" aca="1" ref="CA6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8" s="299" t="str">
        <f ca="1">IFERROR((DeemedDashboard[[#This Row],[Msr EOL leakage tons CO2e]]*OFFSET(GHG_Adder_dollar_per_tonne,0,(DeemedDashboard[[#This Row],[Msr Device Retire-ment Year]]-DY+1),1,1))/(1+WACC)^(DeemedDashboard[[#This Row],[Msr Device Retire-ment Year]]-DeemedDashboard[[#This Row],[Measure Start Year]]+0.5),"")</f>
        <v/>
      </c>
      <c r="CC68" s="299" t="str">
        <f ca="1">IFERROR((DeemedDashboard[[#This Row],[Std EOL leakage tons CO2e]]*OFFSET(GHG_Adder_dollar_per_tonne,0,(DeemedDashboard[[#This Row],[Std Device Retire-ment Year]]-DY+1),1,1))/(1+WACC)^(DeemedDashboard[[#This Row],[Std Device Retire-ment Year]]-DeemedDashboard[[#This Row],[Measure Start Year]]+0.5),"")</f>
        <v/>
      </c>
      <c r="CD68" s="299" t="str">
        <f ca="1">IFERROR((DeemedDashboard[[#This Row],[Pre EOL leakage tons CO2e]]*OFFSET(GHG_Adder_dollar_per_tonne,0,(DeemedDashboard[[#This Row],[Measure Start Year]]-DY),1,1))/(1+WACC)^(-0.5),"")</f>
        <v/>
      </c>
      <c r="CE6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8" s="299" t="str">
        <f ca="1">IFERROR(DeemedDashboard[[#This Row],[Msr NPV Cost of Annual Leakage]]/(1+ACC_Inflation_Rate)^(DeemedDashboard[[#This Row],[Measure Start Year]]-DY),"")</f>
        <v/>
      </c>
      <c r="CG68" s="299" t="str">
        <f ca="1">IFERROR(DeemedDashboard[[#This Row],[Std NPV Cost of Annual Leakage]]/(1+ACC_Inflation_Rate)^(DeemedDashboard[[#This Row],[Measure Start Year]]-DY),"")</f>
        <v/>
      </c>
      <c r="CH68" s="299" t="str">
        <f>IFERROR(IF(ISBLANK(DeemedDashboard[[#This Row],[MeasAppType]]),NA(),IF(DeemedDashboard[[#This Row],[MeasAppType]]=const_AR,DeemedDashboard[[#This Row],[Pre NPV Cost of Annual Leakage]]/(1+ACC_Inflation_Rate)^(DeemedDashboard[[#This Row],[Measure Start Year]]-DY),"")),"")</f>
        <v/>
      </c>
      <c r="CI68" s="296" t="str">
        <f>IFERROR(IF(ISBLANK(DeemedDashboard[[#This Row],[MeasAppType]]),NA(),IF(DeemedDashboard[[#This Row],[MeasAppType]]=const_AR,DeemedDashboard[[#This Row],[Ext NPV Cost of Annual Leakage]]/(1+ACC_Inflation_Rate)^(DeemedDashboard[[#This Row],[Measure Start Year]]-DY),"")),"")</f>
        <v/>
      </c>
      <c r="CJ68" s="296" t="str">
        <f ca="1">IFERROR((DeemedDashboard[[#This Row],[Msr % of device lifetime during measure years]]+DeemedDashboard[[#This Row],[Msr % of device lifetime retired early]])*DeemedDashboard[[#This Row],[Msr NPV Cost of EOL Leakage]]/(1+ACC_Inflation_Rate)^(DeemedDashboard[[#This Row],[Measure Start Year]]-DY),"")</f>
        <v/>
      </c>
      <c r="CK68" s="296" t="str">
        <f ca="1">IFERROR((DeemedDashboard[[#This Row],[Std % of device lifetime during measure years]]+DeemedDashboard[[#This Row],[Std % of device lifetime retired early]])*DeemedDashboard[[#This Row],[Std NPV Cost of EOL Leakage]]/(1+ACC_Inflation_Rate)^(DeemedDashboard[[#This Row],[Measure Start Year]]-DY),"")</f>
        <v/>
      </c>
      <c r="CL6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8" s="299" t="str">
        <f ca="1">IFERROR(DeemedDashboard[[#This Row],[Counter-factual total 
NPV cost]]-DeemedDashboard[[#This Row],[Measure total 
NPV cost]],"")</f>
        <v/>
      </c>
      <c r="CQ68" s="299" t="str">
        <f>IF(ISBLANK(DeemedDashboard[[#This Row],[MeasAppType]]),"",DeemedDashboard[[#This Row],[Refrigerant
NPV costs
avoided]]&gt;0)</f>
        <v/>
      </c>
      <c r="CR68" s="299" t="str">
        <f ca="1">IFERROR(DeemedDashboard[[#This Row],[Msr Adj NPV Cost of Annual Leakage]]+DeemedDashboard[[#This Row],[Msr Adj NPV Cost of EOL Leakage]],"")</f>
        <v/>
      </c>
      <c r="CS68" s="299" t="str">
        <f ca="1">IFERROR(DeemedDashboard[[#This Row],[Std Adj NPV Cost of Annual Leakage]]+DeemedDashboard[[#This Row],[Std Adj NPV Cost of EOL Leakage]],"")</f>
        <v/>
      </c>
      <c r="CT68" s="299" t="str">
        <f>IFERROR(IF((DeemedDashboard[[#This Row],[Pre Adj NPV Cost of Annual Leakage]]+DeemedDashboard[[#This Row],[Pre Adj NPV Cost of EOL Leakage]])=0,"",DeemedDashboard[[#This Row],[Pre Adj NPV Cost of Annual Leakage]]+DeemedDashboard[[#This Row],[Pre Adj NPV Cost of EOL Leakage]]),"")</f>
        <v/>
      </c>
      <c r="CU68" s="299" t="str">
        <f>IFERROR(IF((DeemedDashboard[[#This Row],[Ext Adj NPV Cost of Annual Leakage]]+DeemedDashboard[[#This Row],[Ext Adj NPV Cost of EOL Leakage]])=0,"",DeemedDashboard[[#This Row],[Ext Adj NPV Cost of Annual Leakage]]+DeemedDashboard[[#This Row],[Ext Adj NPV Cost of EOL Leakage]]),"")</f>
        <v/>
      </c>
      <c r="CV68" s="299" t="str">
        <f>IFERROR(IF(DeemedDashboard[[#This Row],[Is Avoided Net Cost &gt;0?]],"",-DeemedDashboard[[#This Row],[Refrigerant
NPV costs
avoided]]),"")</f>
        <v/>
      </c>
      <c r="CW68" s="299" t="str">
        <f>IFERROR(IF(DeemedDashboard[[#This Row],[Is Avoided Net Cost &gt;0?]],DeemedDashboard[[#This Row],[Refrigerant
NPV costs
avoided]],""),"")</f>
        <v/>
      </c>
      <c r="CX68" s="391">
        <f ca="1">IFERROR(MATCH(DeemedDashboard[[#This Row],[TechGroup and NormUnit]],TechGroup_and_NormUnit,0),1)</f>
        <v>1</v>
      </c>
      <c r="CY68" s="391" cm="1">
        <f t="array" aca="1" ref="CY68" ca="1">IFERROR(INDEX(TGRows,DeemedDashboard[[#This Row],[TGIndex]]),"")</f>
        <v>2</v>
      </c>
      <c r="CZ68" s="391">
        <f ca="1">IF(DeemedDashboard[[#This Row],[MeasAppType]]=const_AR,DeemedDashboard[[#This Row],[TGRows]],DeemedDashboard[[#This Row],[TGRows]]+1)</f>
        <v>3</v>
      </c>
      <c r="DA68" s="391" t="str">
        <f>IF(ISBLANK(DeemedDashboard[[#This Row],[MeasAppType]]),"",IF(DeemedDashboard[[#This Row],[Index]]=User_Specified_Refrigerant[[#This Row],[Index]],"OK","ERROR"))</f>
        <v/>
      </c>
    </row>
    <row r="69" spans="1:105" s="320" customFormat="1" x14ac:dyDescent="0.25">
      <c r="A69" s="297">
        <f>ROW(DeemedDashboard[[#This Row],[Index]])-ROW(DeemedDashboard[[#Headers],[Index]])</f>
        <v>60</v>
      </c>
      <c r="B69" s="298"/>
      <c r="C69" s="321"/>
      <c r="D69" s="403"/>
      <c r="E69" s="403"/>
      <c r="F69" s="403"/>
      <c r="G69" s="403"/>
      <c r="H69" s="366"/>
      <c r="I69" s="339"/>
      <c r="J69" s="339"/>
      <c r="K69" s="339"/>
      <c r="L69" s="322"/>
      <c r="M69" s="322"/>
      <c r="N69" s="322"/>
      <c r="O6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6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6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69" s="582" t="str" cm="1">
        <f t="array" ref="R69">IFERROR(IF(DeemedDashboard[[#This Row],[Msr device type]]=const_device_nonrefrig,0,INDEX(_xlfn.SWITCH($E$4,const_20_yr,GWP_Values_20_year_AR4,const_100_yr,GWP_Values_100_year_AR4),MATCH(DeemedDashboard[[#This Row],[Msr refrigerant Type]],RefrigDropdownList,0))),"")</f>
        <v/>
      </c>
      <c r="S69" s="582" t="str" cm="1">
        <f t="array" ref="S69">IFERROR(IF(DeemedDashboard[[#This Row],[Std device type]]=const_device_nonrefrig,0,INDEX(_xlfn.SWITCH($E$4,const_20_yr,GWP_Values_20_year_AR4,const_100_yr,GWP_Values_100_year_AR4),MATCH(DeemedDashboard[[#This Row],[Std refrigerant Type]],RefrigDropdownList,0))),"")</f>
        <v/>
      </c>
      <c r="T69" s="582" t="str" cm="1">
        <f t="array" ref="T69">IFERROR(IF(DeemedDashboard[[#This Row],[Pre/Ext device type]]=const_device_nonrefrig,0,INDEX(_xlfn.SWITCH($E$4,const_20_yr,GWP_Values_20_year_AR4,const_100_yr,GWP_Values_100_year_AR4),MATCH(DeemedDashboard[[#This Row],[Pre/Ext refrigerant Type]],RefrigDropdownList,0))),"")</f>
        <v/>
      </c>
      <c r="U6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6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6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6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6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6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69" s="326" t="str">
        <f>IFERROR(IF(DeemedDashboard[[#This Row],[Msr device type]]=const_userspec,IF(ISBLANK(User_Specified_Refrigerant[[#This Row],[Msr t_EOL]]),"",User_Specified_Refrigerant[[#This Row],[Msr t_EOL]]),INDEX(TechGroup_NormUnit_Table[t_EOL],MATCH(DeemedDashboard[[#This Row],[Msr device type]],DropdownRefrigTech,0))),"")</f>
        <v/>
      </c>
      <c r="AB69" s="326" t="str">
        <f>IFERROR(IF(DeemedDashboard[[#This Row],[Std device type]]=const_userspec,IF(ISBLANK(User_Specified_Refrigerant[[#This Row],[Std t_EOL]]),"",User_Specified_Refrigerant[[#This Row],[Std t_EOL]]),INDEX(TechGroup_NormUnit_Table[t_EOL],MATCH(DeemedDashboard[[#This Row],[Std device type]],DropdownRefrigTech,0))),"")</f>
        <v/>
      </c>
      <c r="AC6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69" s="395" t="str">
        <f>IF(ISBLANK(DeemedDashboard[[#This Row],[MeasAppType]]),"",$E$2)</f>
        <v/>
      </c>
      <c r="AE69" s="395" t="str">
        <f>IFERROR(IF(ISBLANK(DeemedDashboard[[#This Row],[MeasAppType]]),NA(),DeemedDashboard[[#This Row],[Measure Start Year]]+DeemedDashboard[[#This Row],[Msr EUL rounded]]-1),"")</f>
        <v/>
      </c>
      <c r="AF69" s="323" t="str">
        <f>IF(ISBLANK(DeemedDashboard[[#This Row],[Measure New Device EUL]]),"",ROUND(DeemedDashboard[[#This Row],[Measure New Device EUL]],0))</f>
        <v/>
      </c>
      <c r="AG69" s="323" t="str">
        <f>IF(ISBLANK(DeemedDashboard[[#This Row],[Counterfactual New Device EUL]]),"",ROUND(DeemedDashboard[[#This Row],[Counterfactual New Device EUL]],0))</f>
        <v/>
      </c>
      <c r="AH69" s="323" t="str">
        <f>IF(ISBLANK(DeemedDashboard[[#This Row],[Existing Device EUL]]),"",ROUND(DeemedDashboard[[#This Row],[Existing Device EUL]],0))</f>
        <v/>
      </c>
      <c r="AI69" s="323" t="str">
        <f>IF(ISBLANK(DeemedDashboard[[#This Row],[Existing Device RUL or AR First Baseline Life]]),"",ROUND(DeemedDashboard[[#This Row],[Existing Device RUL or AR First Baseline Life]],0))</f>
        <v/>
      </c>
      <c r="AJ69" s="327" t="str">
        <f>DeemedDashboard[[#This Row],[Measure Start Year]]</f>
        <v/>
      </c>
      <c r="AK69" s="327" t="str">
        <f>IF(DeemedDashboard[[#This Row],[MeasAppType]]&lt;&gt;const_AR,DeemedDashboard[[#This Row],[Measure Start Year]],DeemedDashboard[[#This Row],[Ext Device Retire-ment Year]]+1)</f>
        <v/>
      </c>
      <c r="AL69" s="327" t="str">
        <f>IFERROR(IF(DeemedDashboard[[#This Row],[MeasAppType]]=const_AR,DeemedDashboard[[#This Row],[Measure Start Year]]-(DeemedDashboard[[#This Row],[Existing Device EUL]]-DeemedDashboard[[#This Row],[Existing Device RUL or AR First Baseline Life]]),NA()),"")</f>
        <v/>
      </c>
      <c r="AM69" s="327" t="str">
        <f>DeemedDashboard[[#This Row],[Pre Device Install Year]]</f>
        <v/>
      </c>
      <c r="AN69" s="327" t="str">
        <f>IFERROR(IF(ISBLANK(DeemedDashboard[[#This Row],[MeasAppType]]),NA(),DeemedDashboard[[#This Row],[Measure Start Year]]+DeemedDashboard[[#This Row],[Msr EUL rounded]]-1),"")</f>
        <v/>
      </c>
      <c r="AO69" s="327" t="str">
        <f>IFERROR(DeemedDashboard[[#This Row],[Std Device Install Year]]+DeemedDashboard[[#This Row],[Counterfactual New Device EUL]]-1,"")</f>
        <v/>
      </c>
      <c r="AP69" s="327" t="str">
        <f>IFERROR(IF(AND(DeemedDashboard[[#This Row],[MeasAppType]]=const_AR,DeemedDashboard[[#This Row],[Measure Start Year]]&lt;(DeemedDashboard[[#This Row],[Pre Device Install Year]]+DeemedDashboard[[#This Row],[Existing Device EUL]]-1)),DeemedDashboard[[#This Row],[Measure Start Year]]-1,NA()),"")</f>
        <v/>
      </c>
      <c r="AQ69" s="327" t="str">
        <f>IFERROR(IF(DeemedDashboard[[#This Row],[MeasAppType]]=const_AR,DeemedDashboard[[#This Row],[Ext Device Install Year]]+DeemedDashboard[[#This Row],[Existing Device EUL]]-1,NA()),"")</f>
        <v/>
      </c>
      <c r="AR69" s="327" t="str">
        <f>IFERROR(IF(ISBLANK(DeemedDashboard[[#This Row],[MeasAppType]]),NA(),0),"")</f>
        <v/>
      </c>
      <c r="AS69" s="327" t="str">
        <f>IFERROR(IF(ISBLANK(DeemedDashboard[[#This Row],[MeasAppType]]),NA(),0),"")</f>
        <v/>
      </c>
      <c r="AT69" s="327" t="str">
        <f>IF(ISBLANK(DeemedDashboard[[#This Row],[MeasAppType]]),"",IF(DeemedDashboard[[#This Row],[MeasAppType]]&lt;&gt;const_AR,"",(DeemedDashboard[[#This Row],[Pre Device Install Year]]+DeemedDashboard[[#This Row],[Existing Device EUL]]-1)-DeemedDashboard[[#This Row],[Pre Device Retire-ment Year]]))</f>
        <v/>
      </c>
      <c r="AU69" s="327" t="str">
        <f>IF(ISBLANK(DeemedDashboard[[#This Row],[MeasAppType]]),"",IF(DeemedDashboard[[#This Row],[MeasAppType]]=const_AR,0,""))</f>
        <v/>
      </c>
      <c r="AV69" s="328" t="str">
        <f>IF(ISBLANK(DeemedDashboard[[#This Row],[MeasAppType]]),"",MAX((1+MIN(DeemedDashboard[[#This Row],[Msr Device Retire-ment Year]],DeemedDashboard[[#This Row],[Measure End 
Year]])-MAX(DeemedDashboard[[#This Row],[Msr Device Install Year]],DeemedDashboard[[#This Row],[Measure Start Year]])),0))</f>
        <v/>
      </c>
      <c r="AW69" s="328" t="str">
        <f>IF(ISBLANK(DeemedDashboard[[#This Row],[MeasAppType]]),"",MAX((1+MIN(DeemedDashboard[[#This Row],[Std Device Retire-ment Year]],DeemedDashboard[[#This Row],[Measure End 
Year]])-MAX(DeemedDashboard[[#This Row],[Std Device Install Year]],DeemedDashboard[[#This Row],[Measure Start Year]])),0))</f>
        <v/>
      </c>
      <c r="AX6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6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69" s="329" t="str">
        <f>IF(ISBLANK(DeemedDashboard[[#This Row],[MeasAppType]]),"",IF(DeemedDashboard[[#This Row],[Msr Device Years Over-lapping with Measure Years]]=0,0,DeemedDashboard[[#This Row],[Msr Device Years Over-lapping with Measure Years]]/DeemedDashboard[[#This Row],[Msr EUL rounded]]))</f>
        <v/>
      </c>
      <c r="BA69" s="329" t="str">
        <f>IF(ISBLANK(DeemedDashboard[[#This Row],[MeasAppType]]),"",IF(DeemedDashboard[[#This Row],[Std Device Years Over-lapping with Measure Years]]=0,0,DeemedDashboard[[#This Row],[Std Device Years Over-lapping with Measure Years]]/DeemedDashboard[[#This Row],[Counterfactual New Device EUL]]))</f>
        <v/>
      </c>
      <c r="BB69" s="329" t="str">
        <f>IF(ISBLANK(DeemedDashboard[[#This Row],[MeasAppType]]),"",IFERROR(IF(DeemedDashboard[[#This Row],[Pre Device Years Over-lapping with Measure Years]]=0,0,DeemedDashboard[[#This Row],[Pre Device Years Over-lapping with Measure Years]]/DeemedDashboard[[#This Row],[Existing Device EUL]]),""))</f>
        <v/>
      </c>
      <c r="BC69" s="329" t="str">
        <f>IFERROR(IF(DeemedDashboard[[#This Row],[Ext Device Years Over-lapping with Measure Years]]=0,0,DeemedDashboard[[#This Row],[Ext Device Years Over-lapping with Measure Years]]/DeemedDashboard[[#This Row],[Existing Device EUL]]),"")</f>
        <v/>
      </c>
      <c r="BD69" s="329" t="str">
        <f>IFERROR(IF(DeemedDashboard[[#This Row],[Msr Number of Years device retired early]]=0,0,DeemedDashboard[[#This Row],[Msr Number of Years device retired early]]/DeemedDashboard[[#This Row],[Msr EUL rounded]]),"")</f>
        <v/>
      </c>
      <c r="BE69" s="329" t="str">
        <f>IFERROR(IF(DeemedDashboard[[#This Row],[Std Number of Years device retired early]]=0,0,DeemedDashboard[[#This Row],[Std Number of Years device retired early]]/DeemedDashboard[[#This Row],[Msr EUL rounded]]),"")</f>
        <v/>
      </c>
      <c r="BF69" s="329" t="str">
        <f>IFERROR(IF(DeemedDashboard[[#This Row],[MeasAppType]]&lt;&gt;const_AR,"",IF(DeemedDashboard[[#This Row],[Pre Number of Years device retired early]]=0,0,DeemedDashboard[[#This Row],[Pre Number of Years device retired early]]/DeemedDashboard[[#This Row],[Existing Device EUL]])),"")</f>
        <v/>
      </c>
      <c r="BG69" s="329" t="str">
        <f>IFERROR(IF(DeemedDashboard[[#This Row],[Ext Number of Years device retired early]]=0,0,DeemedDashboard[[#This Row],[Ext Number of Years device retired early]]/DeemedDashboard[[#This Row],[Existing Device EUL]]),"")</f>
        <v/>
      </c>
      <c r="BH69" s="325" t="str">
        <f>IFERROR(1-DeemedDashboard[[#This Row],[Msr annual refrigerant leakage %]]*DeemedDashboard[[#This Row],[Msr t_EOL]],"")</f>
        <v/>
      </c>
      <c r="BI69" s="325" t="str">
        <f>IFERROR(1-DeemedDashboard[[#This Row],[Std annual refrigerant leakage %]]*DeemedDashboard[[#This Row],[Std t_EOL]],"")</f>
        <v/>
      </c>
      <c r="BJ69" s="325" t="str">
        <f>IFERROR(1-DeemedDashboard[[#This Row],[Pre/Ext annual refrigerant leakage %]]*DeemedDashboard[[#This Row],[Pre/Ext t_EOL]],"")</f>
        <v/>
      </c>
      <c r="BK69" s="325" t="str">
        <f>IFERROR(1-DeemedDashboard[[#This Row],[Pre/Ext annual refrigerant leakage %]]*DeemedDashboard[[#This Row],[Pre/Ext t_EOL]],"")</f>
        <v/>
      </c>
      <c r="BL69" s="325" t="str">
        <f>IFERROR(DeemedDashboard[[#This Row],[Msr charging remaining (%)]]*DeemedDashboard[[#This Row],[Msr gross EOL refrigerant leakage %]],"")</f>
        <v/>
      </c>
      <c r="BM69" s="325" t="str">
        <f>IFERROR(DeemedDashboard[[#This Row],[Std charging remaining (%)]]*DeemedDashboard[[#This Row],[Std gross EOL refrigerant leakage %]],"")</f>
        <v/>
      </c>
      <c r="BN69" s="325" t="str">
        <f>IFERROR(DeemedDashboard[[#This Row],[Pre charging remaining (%)]]*DeemedDashboard[[#This Row],[Pre/Ext gross EOL refrigerant leakage %]],"")</f>
        <v/>
      </c>
      <c r="BO69" s="325" t="str">
        <f>IFERROR(DeemedDashboard[[#This Row],[Ext charging remaining (%)]]*DeemedDashboard[[#This Row],[Pre/Ext gross EOL refrigerant leakage %]],"")</f>
        <v/>
      </c>
      <c r="BP69" s="330" t="str">
        <f>IFERROR((DeemedDashboard[[#This Row],[Msr refrigerant charge (lb) per NormUnit]]/pounds_per_metric_ton)*DeemedDashboard[[#This Row],[Msr annual refrigerant leakage %]]*DeemedDashboard[[#This Row],[Msr GWP]],"")</f>
        <v/>
      </c>
      <c r="BQ69" s="330" t="str">
        <f>IFERROR((DeemedDashboard[[#This Row],[Std refrigerant charge (lb) per NormUnit]]/pounds_per_metric_ton)*DeemedDashboard[[#This Row],[Std annual refrigerant leakage %]]*DeemedDashboard[[#This Row],[Std GWP]],"")</f>
        <v/>
      </c>
      <c r="BR69" s="330" t="str">
        <f>IF(DeemedDashboard[[#This Row],[MeasAppType]]=const_AR,(DeemedDashboard[[#This Row],[Pre/Ext refrigerant charge (lb) per NormUnit]]/pounds_per_metric_ton)*DeemedDashboard[[#This Row],[Pre/Ext annual refrigerant leakage %]]*DeemedDashboard[[#This Row],[Pre/Ext GWP]],"")</f>
        <v/>
      </c>
      <c r="BS69" s="330" t="str">
        <f>IF(DeemedDashboard[[#This Row],[MeasAppType]]=const_AR,(DeemedDashboard[[#This Row],[Pre/Ext refrigerant charge (lb) per NormUnit]]/pounds_per_metric_ton)*DeemedDashboard[[#This Row],[Pre/Ext annual refrigerant leakage %]]*DeemedDashboard[[#This Row],[Pre/Ext GWP]],"")</f>
        <v/>
      </c>
      <c r="BT69" s="330" t="str">
        <f>IFERROR((DeemedDashboard[[#This Row],[Msr refrigerant charge (lb) per NormUnit]]/pounds_per_metric_ton)*DeemedDashboard[[#This Row],[Msr net EOL refrigerant leakage (%)]]*DeemedDashboard[[#This Row],[Msr GWP]],"")</f>
        <v/>
      </c>
      <c r="BU69" s="330" t="str">
        <f>IFERROR((DeemedDashboard[[#This Row],[Std refrigerant charge (lb) per NormUnit]]/pounds_per_metric_ton)*DeemedDashboard[[#This Row],[Std net EOL refrigerant leakage (%)]]*DeemedDashboard[[#This Row],[Std GWP]],"")</f>
        <v/>
      </c>
      <c r="BV69" s="330" t="str">
        <f>IFERROR((DeemedDashboard[[#This Row],[Pre/Ext refrigerant charge (lb) per NormUnit]]/pounds_per_metric_ton)*DeemedDashboard[[#This Row],[Pre net EOL refrigerant leakage (%)]]*DeemedDashboard[[#This Row],[Pre/Ext GWP]],"")</f>
        <v/>
      </c>
      <c r="BW69" s="330" t="str">
        <f>IFERROR((DeemedDashboard[[#This Row],[Pre/Ext refrigerant charge (lb) per NormUnit]]/pounds_per_metric_ton)*DeemedDashboard[[#This Row],[Ext net EOL refrigerant leakage (%)]]*DeemedDashboard[[#This Row],[Pre/Ext GWP]],"")</f>
        <v/>
      </c>
      <c r="BX69" s="299" t="str" cm="1">
        <f t="array" aca="1" ref="BX6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69" s="305" t="str" cm="1">
        <f t="array" aca="1" ref="BY6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69" s="299" t="str">
        <f>IFERROR(IF(OR(DeemedDashboard[[#This Row],[MeasAppType]]&lt;&gt;const_AR,ISBLANK(DeemedDashboard[[#This Row],[MeasAppType]])),NA(),0),"")</f>
        <v/>
      </c>
      <c r="CA69" s="305" t="str" cm="1">
        <f t="array" aca="1" ref="CA6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69" s="299" t="str">
        <f ca="1">IFERROR((DeemedDashboard[[#This Row],[Msr EOL leakage tons CO2e]]*OFFSET(GHG_Adder_dollar_per_tonne,0,(DeemedDashboard[[#This Row],[Msr Device Retire-ment Year]]-DY+1),1,1))/(1+WACC)^(DeemedDashboard[[#This Row],[Msr Device Retire-ment Year]]-DeemedDashboard[[#This Row],[Measure Start Year]]+0.5),"")</f>
        <v/>
      </c>
      <c r="CC69" s="299" t="str">
        <f ca="1">IFERROR((DeemedDashboard[[#This Row],[Std EOL leakage tons CO2e]]*OFFSET(GHG_Adder_dollar_per_tonne,0,(DeemedDashboard[[#This Row],[Std Device Retire-ment Year]]-DY+1),1,1))/(1+WACC)^(DeemedDashboard[[#This Row],[Std Device Retire-ment Year]]-DeemedDashboard[[#This Row],[Measure Start Year]]+0.5),"")</f>
        <v/>
      </c>
      <c r="CD69" s="299" t="str">
        <f ca="1">IFERROR((DeemedDashboard[[#This Row],[Pre EOL leakage tons CO2e]]*OFFSET(GHG_Adder_dollar_per_tonne,0,(DeemedDashboard[[#This Row],[Measure Start Year]]-DY),1,1))/(1+WACC)^(-0.5),"")</f>
        <v/>
      </c>
      <c r="CE6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69" s="299" t="str">
        <f ca="1">IFERROR(DeemedDashboard[[#This Row],[Msr NPV Cost of Annual Leakage]]/(1+ACC_Inflation_Rate)^(DeemedDashboard[[#This Row],[Measure Start Year]]-DY),"")</f>
        <v/>
      </c>
      <c r="CG69" s="299" t="str">
        <f ca="1">IFERROR(DeemedDashboard[[#This Row],[Std NPV Cost of Annual Leakage]]/(1+ACC_Inflation_Rate)^(DeemedDashboard[[#This Row],[Measure Start Year]]-DY),"")</f>
        <v/>
      </c>
      <c r="CH69" s="299" t="str">
        <f>IFERROR(IF(ISBLANK(DeemedDashboard[[#This Row],[MeasAppType]]),NA(),IF(DeemedDashboard[[#This Row],[MeasAppType]]=const_AR,DeemedDashboard[[#This Row],[Pre NPV Cost of Annual Leakage]]/(1+ACC_Inflation_Rate)^(DeemedDashboard[[#This Row],[Measure Start Year]]-DY),"")),"")</f>
        <v/>
      </c>
      <c r="CI69" s="296" t="str">
        <f>IFERROR(IF(ISBLANK(DeemedDashboard[[#This Row],[MeasAppType]]),NA(),IF(DeemedDashboard[[#This Row],[MeasAppType]]=const_AR,DeemedDashboard[[#This Row],[Ext NPV Cost of Annual Leakage]]/(1+ACC_Inflation_Rate)^(DeemedDashboard[[#This Row],[Measure Start Year]]-DY),"")),"")</f>
        <v/>
      </c>
      <c r="CJ69" s="296" t="str">
        <f ca="1">IFERROR((DeemedDashboard[[#This Row],[Msr % of device lifetime during measure years]]+DeemedDashboard[[#This Row],[Msr % of device lifetime retired early]])*DeemedDashboard[[#This Row],[Msr NPV Cost of EOL Leakage]]/(1+ACC_Inflation_Rate)^(DeemedDashboard[[#This Row],[Measure Start Year]]-DY),"")</f>
        <v/>
      </c>
      <c r="CK69" s="296" t="str">
        <f ca="1">IFERROR((DeemedDashboard[[#This Row],[Std % of device lifetime during measure years]]+DeemedDashboard[[#This Row],[Std % of device lifetime retired early]])*DeemedDashboard[[#This Row],[Std NPV Cost of EOL Leakage]]/(1+ACC_Inflation_Rate)^(DeemedDashboard[[#This Row],[Measure Start Year]]-DY),"")</f>
        <v/>
      </c>
      <c r="CL6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6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6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6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69" s="299" t="str">
        <f ca="1">IFERROR(DeemedDashboard[[#This Row],[Counter-factual total 
NPV cost]]-DeemedDashboard[[#This Row],[Measure total 
NPV cost]],"")</f>
        <v/>
      </c>
      <c r="CQ69" s="299" t="str">
        <f>IF(ISBLANK(DeemedDashboard[[#This Row],[MeasAppType]]),"",DeemedDashboard[[#This Row],[Refrigerant
NPV costs
avoided]]&gt;0)</f>
        <v/>
      </c>
      <c r="CR69" s="299" t="str">
        <f ca="1">IFERROR(DeemedDashboard[[#This Row],[Msr Adj NPV Cost of Annual Leakage]]+DeemedDashboard[[#This Row],[Msr Adj NPV Cost of EOL Leakage]],"")</f>
        <v/>
      </c>
      <c r="CS69" s="299" t="str">
        <f ca="1">IFERROR(DeemedDashboard[[#This Row],[Std Adj NPV Cost of Annual Leakage]]+DeemedDashboard[[#This Row],[Std Adj NPV Cost of EOL Leakage]],"")</f>
        <v/>
      </c>
      <c r="CT69" s="299" t="str">
        <f>IFERROR(IF((DeemedDashboard[[#This Row],[Pre Adj NPV Cost of Annual Leakage]]+DeemedDashboard[[#This Row],[Pre Adj NPV Cost of EOL Leakage]])=0,"",DeemedDashboard[[#This Row],[Pre Adj NPV Cost of Annual Leakage]]+DeemedDashboard[[#This Row],[Pre Adj NPV Cost of EOL Leakage]]),"")</f>
        <v/>
      </c>
      <c r="CU69" s="299" t="str">
        <f>IFERROR(IF((DeemedDashboard[[#This Row],[Ext Adj NPV Cost of Annual Leakage]]+DeemedDashboard[[#This Row],[Ext Adj NPV Cost of EOL Leakage]])=0,"",DeemedDashboard[[#This Row],[Ext Adj NPV Cost of Annual Leakage]]+DeemedDashboard[[#This Row],[Ext Adj NPV Cost of EOL Leakage]]),"")</f>
        <v/>
      </c>
      <c r="CV69" s="299" t="str">
        <f>IFERROR(IF(DeemedDashboard[[#This Row],[Is Avoided Net Cost &gt;0?]],"",-DeemedDashboard[[#This Row],[Refrigerant
NPV costs
avoided]]),"")</f>
        <v/>
      </c>
      <c r="CW69" s="299" t="str">
        <f>IFERROR(IF(DeemedDashboard[[#This Row],[Is Avoided Net Cost &gt;0?]],DeemedDashboard[[#This Row],[Refrigerant
NPV costs
avoided]],""),"")</f>
        <v/>
      </c>
      <c r="CX69" s="391">
        <f ca="1">IFERROR(MATCH(DeemedDashboard[[#This Row],[TechGroup and NormUnit]],TechGroup_and_NormUnit,0),1)</f>
        <v>1</v>
      </c>
      <c r="CY69" s="391" cm="1">
        <f t="array" aca="1" ref="CY69" ca="1">IFERROR(INDEX(TGRows,DeemedDashboard[[#This Row],[TGIndex]]),"")</f>
        <v>2</v>
      </c>
      <c r="CZ69" s="391">
        <f ca="1">IF(DeemedDashboard[[#This Row],[MeasAppType]]=const_AR,DeemedDashboard[[#This Row],[TGRows]],DeemedDashboard[[#This Row],[TGRows]]+1)</f>
        <v>3</v>
      </c>
      <c r="DA69" s="391" t="str">
        <f>IF(ISBLANK(DeemedDashboard[[#This Row],[MeasAppType]]),"",IF(DeemedDashboard[[#This Row],[Index]]=User_Specified_Refrigerant[[#This Row],[Index]],"OK","ERROR"))</f>
        <v/>
      </c>
    </row>
    <row r="70" spans="1:105" s="320" customFormat="1" x14ac:dyDescent="0.25">
      <c r="A70" s="297">
        <f>ROW(DeemedDashboard[[#This Row],[Index]])-ROW(DeemedDashboard[[#Headers],[Index]])</f>
        <v>61</v>
      </c>
      <c r="B70" s="298"/>
      <c r="C70" s="321"/>
      <c r="D70" s="403"/>
      <c r="E70" s="403"/>
      <c r="F70" s="403"/>
      <c r="G70" s="403"/>
      <c r="H70" s="366"/>
      <c r="I70" s="339"/>
      <c r="J70" s="339"/>
      <c r="K70" s="339"/>
      <c r="L70" s="322"/>
      <c r="M70" s="322"/>
      <c r="N70" s="322"/>
      <c r="O7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0" s="582" t="str" cm="1">
        <f t="array" ref="R70">IFERROR(IF(DeemedDashboard[[#This Row],[Msr device type]]=const_device_nonrefrig,0,INDEX(_xlfn.SWITCH($E$4,const_20_yr,GWP_Values_20_year_AR4,const_100_yr,GWP_Values_100_year_AR4),MATCH(DeemedDashboard[[#This Row],[Msr refrigerant Type]],RefrigDropdownList,0))),"")</f>
        <v/>
      </c>
      <c r="S70" s="582" t="str" cm="1">
        <f t="array" ref="S70">IFERROR(IF(DeemedDashboard[[#This Row],[Std device type]]=const_device_nonrefrig,0,INDEX(_xlfn.SWITCH($E$4,const_20_yr,GWP_Values_20_year_AR4,const_100_yr,GWP_Values_100_year_AR4),MATCH(DeemedDashboard[[#This Row],[Std refrigerant Type]],RefrigDropdownList,0))),"")</f>
        <v/>
      </c>
      <c r="T70" s="582" t="str" cm="1">
        <f t="array" ref="T70">IFERROR(IF(DeemedDashboard[[#This Row],[Pre/Ext device type]]=const_device_nonrefrig,0,INDEX(_xlfn.SWITCH($E$4,const_20_yr,GWP_Values_20_year_AR4,const_100_yr,GWP_Values_100_year_AR4),MATCH(DeemedDashboard[[#This Row],[Pre/Ext refrigerant Type]],RefrigDropdownList,0))),"")</f>
        <v/>
      </c>
      <c r="U7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0" s="326" t="str">
        <f>IFERROR(IF(DeemedDashboard[[#This Row],[Msr device type]]=const_userspec,IF(ISBLANK(User_Specified_Refrigerant[[#This Row],[Msr t_EOL]]),"",User_Specified_Refrigerant[[#This Row],[Msr t_EOL]]),INDEX(TechGroup_NormUnit_Table[t_EOL],MATCH(DeemedDashboard[[#This Row],[Msr device type]],DropdownRefrigTech,0))),"")</f>
        <v/>
      </c>
      <c r="AB70" s="326" t="str">
        <f>IFERROR(IF(DeemedDashboard[[#This Row],[Std device type]]=const_userspec,IF(ISBLANK(User_Specified_Refrigerant[[#This Row],[Std t_EOL]]),"",User_Specified_Refrigerant[[#This Row],[Std t_EOL]]),INDEX(TechGroup_NormUnit_Table[t_EOL],MATCH(DeemedDashboard[[#This Row],[Std device type]],DropdownRefrigTech,0))),"")</f>
        <v/>
      </c>
      <c r="AC7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0" s="395" t="str">
        <f>IF(ISBLANK(DeemedDashboard[[#This Row],[MeasAppType]]),"",$E$2)</f>
        <v/>
      </c>
      <c r="AE70" s="395" t="str">
        <f>IFERROR(IF(ISBLANK(DeemedDashboard[[#This Row],[MeasAppType]]),NA(),DeemedDashboard[[#This Row],[Measure Start Year]]+DeemedDashboard[[#This Row],[Msr EUL rounded]]-1),"")</f>
        <v/>
      </c>
      <c r="AF70" s="323" t="str">
        <f>IF(ISBLANK(DeemedDashboard[[#This Row],[Measure New Device EUL]]),"",ROUND(DeemedDashboard[[#This Row],[Measure New Device EUL]],0))</f>
        <v/>
      </c>
      <c r="AG70" s="323" t="str">
        <f>IF(ISBLANK(DeemedDashboard[[#This Row],[Counterfactual New Device EUL]]),"",ROUND(DeemedDashboard[[#This Row],[Counterfactual New Device EUL]],0))</f>
        <v/>
      </c>
      <c r="AH70" s="323" t="str">
        <f>IF(ISBLANK(DeemedDashboard[[#This Row],[Existing Device EUL]]),"",ROUND(DeemedDashboard[[#This Row],[Existing Device EUL]],0))</f>
        <v/>
      </c>
      <c r="AI70" s="323" t="str">
        <f>IF(ISBLANK(DeemedDashboard[[#This Row],[Existing Device RUL or AR First Baseline Life]]),"",ROUND(DeemedDashboard[[#This Row],[Existing Device RUL or AR First Baseline Life]],0))</f>
        <v/>
      </c>
      <c r="AJ70" s="327" t="str">
        <f>DeemedDashboard[[#This Row],[Measure Start Year]]</f>
        <v/>
      </c>
      <c r="AK70" s="327" t="str">
        <f>IF(DeemedDashboard[[#This Row],[MeasAppType]]&lt;&gt;const_AR,DeemedDashboard[[#This Row],[Measure Start Year]],DeemedDashboard[[#This Row],[Ext Device Retire-ment Year]]+1)</f>
        <v/>
      </c>
      <c r="AL70" s="327" t="str">
        <f>IFERROR(IF(DeemedDashboard[[#This Row],[MeasAppType]]=const_AR,DeemedDashboard[[#This Row],[Measure Start Year]]-(DeemedDashboard[[#This Row],[Existing Device EUL]]-DeemedDashboard[[#This Row],[Existing Device RUL or AR First Baseline Life]]),NA()),"")</f>
        <v/>
      </c>
      <c r="AM70" s="327" t="str">
        <f>DeemedDashboard[[#This Row],[Pre Device Install Year]]</f>
        <v/>
      </c>
      <c r="AN70" s="327" t="str">
        <f>IFERROR(IF(ISBLANK(DeemedDashboard[[#This Row],[MeasAppType]]),NA(),DeemedDashboard[[#This Row],[Measure Start Year]]+DeemedDashboard[[#This Row],[Msr EUL rounded]]-1),"")</f>
        <v/>
      </c>
      <c r="AO70" s="327" t="str">
        <f>IFERROR(DeemedDashboard[[#This Row],[Std Device Install Year]]+DeemedDashboard[[#This Row],[Counterfactual New Device EUL]]-1,"")</f>
        <v/>
      </c>
      <c r="AP70" s="327" t="str">
        <f>IFERROR(IF(AND(DeemedDashboard[[#This Row],[MeasAppType]]=const_AR,DeemedDashboard[[#This Row],[Measure Start Year]]&lt;(DeemedDashboard[[#This Row],[Pre Device Install Year]]+DeemedDashboard[[#This Row],[Existing Device EUL]]-1)),DeemedDashboard[[#This Row],[Measure Start Year]]-1,NA()),"")</f>
        <v/>
      </c>
      <c r="AQ70" s="327" t="str">
        <f>IFERROR(IF(DeemedDashboard[[#This Row],[MeasAppType]]=const_AR,DeemedDashboard[[#This Row],[Ext Device Install Year]]+DeemedDashboard[[#This Row],[Existing Device EUL]]-1,NA()),"")</f>
        <v/>
      </c>
      <c r="AR70" s="327" t="str">
        <f>IFERROR(IF(ISBLANK(DeemedDashboard[[#This Row],[MeasAppType]]),NA(),0),"")</f>
        <v/>
      </c>
      <c r="AS70" s="327" t="str">
        <f>IFERROR(IF(ISBLANK(DeemedDashboard[[#This Row],[MeasAppType]]),NA(),0),"")</f>
        <v/>
      </c>
      <c r="AT70" s="327" t="str">
        <f>IF(ISBLANK(DeemedDashboard[[#This Row],[MeasAppType]]),"",IF(DeemedDashboard[[#This Row],[MeasAppType]]&lt;&gt;const_AR,"",(DeemedDashboard[[#This Row],[Pre Device Install Year]]+DeemedDashboard[[#This Row],[Existing Device EUL]]-1)-DeemedDashboard[[#This Row],[Pre Device Retire-ment Year]]))</f>
        <v/>
      </c>
      <c r="AU70" s="327" t="str">
        <f>IF(ISBLANK(DeemedDashboard[[#This Row],[MeasAppType]]),"",IF(DeemedDashboard[[#This Row],[MeasAppType]]=const_AR,0,""))</f>
        <v/>
      </c>
      <c r="AV70" s="328" t="str">
        <f>IF(ISBLANK(DeemedDashboard[[#This Row],[MeasAppType]]),"",MAX((1+MIN(DeemedDashboard[[#This Row],[Msr Device Retire-ment Year]],DeemedDashboard[[#This Row],[Measure End 
Year]])-MAX(DeemedDashboard[[#This Row],[Msr Device Install Year]],DeemedDashboard[[#This Row],[Measure Start Year]])),0))</f>
        <v/>
      </c>
      <c r="AW70" s="328" t="str">
        <f>IF(ISBLANK(DeemedDashboard[[#This Row],[MeasAppType]]),"",MAX((1+MIN(DeemedDashboard[[#This Row],[Std Device Retire-ment Year]],DeemedDashboard[[#This Row],[Measure End 
Year]])-MAX(DeemedDashboard[[#This Row],[Std Device Install Year]],DeemedDashboard[[#This Row],[Measure Start Year]])),0))</f>
        <v/>
      </c>
      <c r="AX7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0" s="329" t="str">
        <f>IF(ISBLANK(DeemedDashboard[[#This Row],[MeasAppType]]),"",IF(DeemedDashboard[[#This Row],[Msr Device Years Over-lapping with Measure Years]]=0,0,DeemedDashboard[[#This Row],[Msr Device Years Over-lapping with Measure Years]]/DeemedDashboard[[#This Row],[Msr EUL rounded]]))</f>
        <v/>
      </c>
      <c r="BA70" s="329" t="str">
        <f>IF(ISBLANK(DeemedDashboard[[#This Row],[MeasAppType]]),"",IF(DeemedDashboard[[#This Row],[Std Device Years Over-lapping with Measure Years]]=0,0,DeemedDashboard[[#This Row],[Std Device Years Over-lapping with Measure Years]]/DeemedDashboard[[#This Row],[Counterfactual New Device EUL]]))</f>
        <v/>
      </c>
      <c r="BB70" s="329" t="str">
        <f>IF(ISBLANK(DeemedDashboard[[#This Row],[MeasAppType]]),"",IFERROR(IF(DeemedDashboard[[#This Row],[Pre Device Years Over-lapping with Measure Years]]=0,0,DeemedDashboard[[#This Row],[Pre Device Years Over-lapping with Measure Years]]/DeemedDashboard[[#This Row],[Existing Device EUL]]),""))</f>
        <v/>
      </c>
      <c r="BC70" s="329" t="str">
        <f>IFERROR(IF(DeemedDashboard[[#This Row],[Ext Device Years Over-lapping with Measure Years]]=0,0,DeemedDashboard[[#This Row],[Ext Device Years Over-lapping with Measure Years]]/DeemedDashboard[[#This Row],[Existing Device EUL]]),"")</f>
        <v/>
      </c>
      <c r="BD70" s="329" t="str">
        <f>IFERROR(IF(DeemedDashboard[[#This Row],[Msr Number of Years device retired early]]=0,0,DeemedDashboard[[#This Row],[Msr Number of Years device retired early]]/DeemedDashboard[[#This Row],[Msr EUL rounded]]),"")</f>
        <v/>
      </c>
      <c r="BE70" s="329" t="str">
        <f>IFERROR(IF(DeemedDashboard[[#This Row],[Std Number of Years device retired early]]=0,0,DeemedDashboard[[#This Row],[Std Number of Years device retired early]]/DeemedDashboard[[#This Row],[Msr EUL rounded]]),"")</f>
        <v/>
      </c>
      <c r="BF70" s="329" t="str">
        <f>IFERROR(IF(DeemedDashboard[[#This Row],[MeasAppType]]&lt;&gt;const_AR,"",IF(DeemedDashboard[[#This Row],[Pre Number of Years device retired early]]=0,0,DeemedDashboard[[#This Row],[Pre Number of Years device retired early]]/DeemedDashboard[[#This Row],[Existing Device EUL]])),"")</f>
        <v/>
      </c>
      <c r="BG70" s="329" t="str">
        <f>IFERROR(IF(DeemedDashboard[[#This Row],[Ext Number of Years device retired early]]=0,0,DeemedDashboard[[#This Row],[Ext Number of Years device retired early]]/DeemedDashboard[[#This Row],[Existing Device EUL]]),"")</f>
        <v/>
      </c>
      <c r="BH70" s="325" t="str">
        <f>IFERROR(1-DeemedDashboard[[#This Row],[Msr annual refrigerant leakage %]]*DeemedDashboard[[#This Row],[Msr t_EOL]],"")</f>
        <v/>
      </c>
      <c r="BI70" s="325" t="str">
        <f>IFERROR(1-DeemedDashboard[[#This Row],[Std annual refrigerant leakage %]]*DeemedDashboard[[#This Row],[Std t_EOL]],"")</f>
        <v/>
      </c>
      <c r="BJ70" s="325" t="str">
        <f>IFERROR(1-DeemedDashboard[[#This Row],[Pre/Ext annual refrigerant leakage %]]*DeemedDashboard[[#This Row],[Pre/Ext t_EOL]],"")</f>
        <v/>
      </c>
      <c r="BK70" s="325" t="str">
        <f>IFERROR(1-DeemedDashboard[[#This Row],[Pre/Ext annual refrigerant leakage %]]*DeemedDashboard[[#This Row],[Pre/Ext t_EOL]],"")</f>
        <v/>
      </c>
      <c r="BL70" s="325" t="str">
        <f>IFERROR(DeemedDashboard[[#This Row],[Msr charging remaining (%)]]*DeemedDashboard[[#This Row],[Msr gross EOL refrigerant leakage %]],"")</f>
        <v/>
      </c>
      <c r="BM70" s="325" t="str">
        <f>IFERROR(DeemedDashboard[[#This Row],[Std charging remaining (%)]]*DeemedDashboard[[#This Row],[Std gross EOL refrigerant leakage %]],"")</f>
        <v/>
      </c>
      <c r="BN70" s="325" t="str">
        <f>IFERROR(DeemedDashboard[[#This Row],[Pre charging remaining (%)]]*DeemedDashboard[[#This Row],[Pre/Ext gross EOL refrigerant leakage %]],"")</f>
        <v/>
      </c>
      <c r="BO70" s="325" t="str">
        <f>IFERROR(DeemedDashboard[[#This Row],[Ext charging remaining (%)]]*DeemedDashboard[[#This Row],[Pre/Ext gross EOL refrigerant leakage %]],"")</f>
        <v/>
      </c>
      <c r="BP70" s="330" t="str">
        <f>IFERROR((DeemedDashboard[[#This Row],[Msr refrigerant charge (lb) per NormUnit]]/pounds_per_metric_ton)*DeemedDashboard[[#This Row],[Msr annual refrigerant leakage %]]*DeemedDashboard[[#This Row],[Msr GWP]],"")</f>
        <v/>
      </c>
      <c r="BQ70" s="330" t="str">
        <f>IFERROR((DeemedDashboard[[#This Row],[Std refrigerant charge (lb) per NormUnit]]/pounds_per_metric_ton)*DeemedDashboard[[#This Row],[Std annual refrigerant leakage %]]*DeemedDashboard[[#This Row],[Std GWP]],"")</f>
        <v/>
      </c>
      <c r="BR70" s="330" t="str">
        <f>IF(DeemedDashboard[[#This Row],[MeasAppType]]=const_AR,(DeemedDashboard[[#This Row],[Pre/Ext refrigerant charge (lb) per NormUnit]]/pounds_per_metric_ton)*DeemedDashboard[[#This Row],[Pre/Ext annual refrigerant leakage %]]*DeemedDashboard[[#This Row],[Pre/Ext GWP]],"")</f>
        <v/>
      </c>
      <c r="BS70" s="330" t="str">
        <f>IF(DeemedDashboard[[#This Row],[MeasAppType]]=const_AR,(DeemedDashboard[[#This Row],[Pre/Ext refrigerant charge (lb) per NormUnit]]/pounds_per_metric_ton)*DeemedDashboard[[#This Row],[Pre/Ext annual refrigerant leakage %]]*DeemedDashboard[[#This Row],[Pre/Ext GWP]],"")</f>
        <v/>
      </c>
      <c r="BT70" s="330" t="str">
        <f>IFERROR((DeemedDashboard[[#This Row],[Msr refrigerant charge (lb) per NormUnit]]/pounds_per_metric_ton)*DeemedDashboard[[#This Row],[Msr net EOL refrigerant leakage (%)]]*DeemedDashboard[[#This Row],[Msr GWP]],"")</f>
        <v/>
      </c>
      <c r="BU70" s="330" t="str">
        <f>IFERROR((DeemedDashboard[[#This Row],[Std refrigerant charge (lb) per NormUnit]]/pounds_per_metric_ton)*DeemedDashboard[[#This Row],[Std net EOL refrigerant leakage (%)]]*DeemedDashboard[[#This Row],[Std GWP]],"")</f>
        <v/>
      </c>
      <c r="BV70" s="330" t="str">
        <f>IFERROR((DeemedDashboard[[#This Row],[Pre/Ext refrigerant charge (lb) per NormUnit]]/pounds_per_metric_ton)*DeemedDashboard[[#This Row],[Pre net EOL refrigerant leakage (%)]]*DeemedDashboard[[#This Row],[Pre/Ext GWP]],"")</f>
        <v/>
      </c>
      <c r="BW70" s="330" t="str">
        <f>IFERROR((DeemedDashboard[[#This Row],[Pre/Ext refrigerant charge (lb) per NormUnit]]/pounds_per_metric_ton)*DeemedDashboard[[#This Row],[Ext net EOL refrigerant leakage (%)]]*DeemedDashboard[[#This Row],[Pre/Ext GWP]],"")</f>
        <v/>
      </c>
      <c r="BX70" s="299" t="str" cm="1">
        <f t="array" aca="1" ref="BX7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0" s="305" t="str" cm="1">
        <f t="array" aca="1" ref="BY7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0" s="299" t="str">
        <f>IFERROR(IF(OR(DeemedDashboard[[#This Row],[MeasAppType]]&lt;&gt;const_AR,ISBLANK(DeemedDashboard[[#This Row],[MeasAppType]])),NA(),0),"")</f>
        <v/>
      </c>
      <c r="CA70" s="305" t="str" cm="1">
        <f t="array" aca="1" ref="CA7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0" s="299" t="str">
        <f ca="1">IFERROR((DeemedDashboard[[#This Row],[Msr EOL leakage tons CO2e]]*OFFSET(GHG_Adder_dollar_per_tonne,0,(DeemedDashboard[[#This Row],[Msr Device Retire-ment Year]]-DY+1),1,1))/(1+WACC)^(DeemedDashboard[[#This Row],[Msr Device Retire-ment Year]]-DeemedDashboard[[#This Row],[Measure Start Year]]+0.5),"")</f>
        <v/>
      </c>
      <c r="CC70" s="299" t="str">
        <f ca="1">IFERROR((DeemedDashboard[[#This Row],[Std EOL leakage tons CO2e]]*OFFSET(GHG_Adder_dollar_per_tonne,0,(DeemedDashboard[[#This Row],[Std Device Retire-ment Year]]-DY+1),1,1))/(1+WACC)^(DeemedDashboard[[#This Row],[Std Device Retire-ment Year]]-DeemedDashboard[[#This Row],[Measure Start Year]]+0.5),"")</f>
        <v/>
      </c>
      <c r="CD70" s="299" t="str">
        <f ca="1">IFERROR((DeemedDashboard[[#This Row],[Pre EOL leakage tons CO2e]]*OFFSET(GHG_Adder_dollar_per_tonne,0,(DeemedDashboard[[#This Row],[Measure Start Year]]-DY),1,1))/(1+WACC)^(-0.5),"")</f>
        <v/>
      </c>
      <c r="CE7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0" s="299" t="str">
        <f ca="1">IFERROR(DeemedDashboard[[#This Row],[Msr NPV Cost of Annual Leakage]]/(1+ACC_Inflation_Rate)^(DeemedDashboard[[#This Row],[Measure Start Year]]-DY),"")</f>
        <v/>
      </c>
      <c r="CG70" s="299" t="str">
        <f ca="1">IFERROR(DeemedDashboard[[#This Row],[Std NPV Cost of Annual Leakage]]/(1+ACC_Inflation_Rate)^(DeemedDashboard[[#This Row],[Measure Start Year]]-DY),"")</f>
        <v/>
      </c>
      <c r="CH70" s="299" t="str">
        <f>IFERROR(IF(ISBLANK(DeemedDashboard[[#This Row],[MeasAppType]]),NA(),IF(DeemedDashboard[[#This Row],[MeasAppType]]=const_AR,DeemedDashboard[[#This Row],[Pre NPV Cost of Annual Leakage]]/(1+ACC_Inflation_Rate)^(DeemedDashboard[[#This Row],[Measure Start Year]]-DY),"")),"")</f>
        <v/>
      </c>
      <c r="CI70" s="296" t="str">
        <f>IFERROR(IF(ISBLANK(DeemedDashboard[[#This Row],[MeasAppType]]),NA(),IF(DeemedDashboard[[#This Row],[MeasAppType]]=const_AR,DeemedDashboard[[#This Row],[Ext NPV Cost of Annual Leakage]]/(1+ACC_Inflation_Rate)^(DeemedDashboard[[#This Row],[Measure Start Year]]-DY),"")),"")</f>
        <v/>
      </c>
      <c r="CJ70" s="296" t="str">
        <f ca="1">IFERROR((DeemedDashboard[[#This Row],[Msr % of device lifetime during measure years]]+DeemedDashboard[[#This Row],[Msr % of device lifetime retired early]])*DeemedDashboard[[#This Row],[Msr NPV Cost of EOL Leakage]]/(1+ACC_Inflation_Rate)^(DeemedDashboard[[#This Row],[Measure Start Year]]-DY),"")</f>
        <v/>
      </c>
      <c r="CK70" s="296" t="str">
        <f ca="1">IFERROR((DeemedDashboard[[#This Row],[Std % of device lifetime during measure years]]+DeemedDashboard[[#This Row],[Std % of device lifetime retired early]])*DeemedDashboard[[#This Row],[Std NPV Cost of EOL Leakage]]/(1+ACC_Inflation_Rate)^(DeemedDashboard[[#This Row],[Measure Start Year]]-DY),"")</f>
        <v/>
      </c>
      <c r="CL7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0" s="299" t="str">
        <f ca="1">IFERROR(DeemedDashboard[[#This Row],[Counter-factual total 
NPV cost]]-DeemedDashboard[[#This Row],[Measure total 
NPV cost]],"")</f>
        <v/>
      </c>
      <c r="CQ70" s="299" t="str">
        <f>IF(ISBLANK(DeemedDashboard[[#This Row],[MeasAppType]]),"",DeemedDashboard[[#This Row],[Refrigerant
NPV costs
avoided]]&gt;0)</f>
        <v/>
      </c>
      <c r="CR70" s="299" t="str">
        <f ca="1">IFERROR(DeemedDashboard[[#This Row],[Msr Adj NPV Cost of Annual Leakage]]+DeemedDashboard[[#This Row],[Msr Adj NPV Cost of EOL Leakage]],"")</f>
        <v/>
      </c>
      <c r="CS70" s="299" t="str">
        <f ca="1">IFERROR(DeemedDashboard[[#This Row],[Std Adj NPV Cost of Annual Leakage]]+DeemedDashboard[[#This Row],[Std Adj NPV Cost of EOL Leakage]],"")</f>
        <v/>
      </c>
      <c r="CT70" s="299" t="str">
        <f>IFERROR(IF((DeemedDashboard[[#This Row],[Pre Adj NPV Cost of Annual Leakage]]+DeemedDashboard[[#This Row],[Pre Adj NPV Cost of EOL Leakage]])=0,"",DeemedDashboard[[#This Row],[Pre Adj NPV Cost of Annual Leakage]]+DeemedDashboard[[#This Row],[Pre Adj NPV Cost of EOL Leakage]]),"")</f>
        <v/>
      </c>
      <c r="CU70" s="299" t="str">
        <f>IFERROR(IF((DeemedDashboard[[#This Row],[Ext Adj NPV Cost of Annual Leakage]]+DeemedDashboard[[#This Row],[Ext Adj NPV Cost of EOL Leakage]])=0,"",DeemedDashboard[[#This Row],[Ext Adj NPV Cost of Annual Leakage]]+DeemedDashboard[[#This Row],[Ext Adj NPV Cost of EOL Leakage]]),"")</f>
        <v/>
      </c>
      <c r="CV70" s="299" t="str">
        <f>IFERROR(IF(DeemedDashboard[[#This Row],[Is Avoided Net Cost &gt;0?]],"",-DeemedDashboard[[#This Row],[Refrigerant
NPV costs
avoided]]),"")</f>
        <v/>
      </c>
      <c r="CW70" s="299" t="str">
        <f>IFERROR(IF(DeemedDashboard[[#This Row],[Is Avoided Net Cost &gt;0?]],DeemedDashboard[[#This Row],[Refrigerant
NPV costs
avoided]],""),"")</f>
        <v/>
      </c>
      <c r="CX70" s="391">
        <f ca="1">IFERROR(MATCH(DeemedDashboard[[#This Row],[TechGroup and NormUnit]],TechGroup_and_NormUnit,0),1)</f>
        <v>1</v>
      </c>
      <c r="CY70" s="391" cm="1">
        <f t="array" aca="1" ref="CY70" ca="1">IFERROR(INDEX(TGRows,DeemedDashboard[[#This Row],[TGIndex]]),"")</f>
        <v>2</v>
      </c>
      <c r="CZ70" s="391">
        <f ca="1">IF(DeemedDashboard[[#This Row],[MeasAppType]]=const_AR,DeemedDashboard[[#This Row],[TGRows]],DeemedDashboard[[#This Row],[TGRows]]+1)</f>
        <v>3</v>
      </c>
      <c r="DA70" s="391" t="str">
        <f>IF(ISBLANK(DeemedDashboard[[#This Row],[MeasAppType]]),"",IF(DeemedDashboard[[#This Row],[Index]]=User_Specified_Refrigerant[[#This Row],[Index]],"OK","ERROR"))</f>
        <v/>
      </c>
    </row>
    <row r="71" spans="1:105" s="320" customFormat="1" x14ac:dyDescent="0.25">
      <c r="A71" s="297">
        <f>ROW(DeemedDashboard[[#This Row],[Index]])-ROW(DeemedDashboard[[#Headers],[Index]])</f>
        <v>62</v>
      </c>
      <c r="B71" s="298"/>
      <c r="C71" s="321"/>
      <c r="D71" s="403"/>
      <c r="E71" s="403"/>
      <c r="F71" s="403"/>
      <c r="G71" s="403"/>
      <c r="H71" s="366"/>
      <c r="I71" s="339"/>
      <c r="J71" s="339"/>
      <c r="K71" s="339"/>
      <c r="L71" s="322"/>
      <c r="M71" s="322"/>
      <c r="N71" s="322"/>
      <c r="O7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1" s="582" t="str" cm="1">
        <f t="array" ref="R71">IFERROR(IF(DeemedDashboard[[#This Row],[Msr device type]]=const_device_nonrefrig,0,INDEX(_xlfn.SWITCH($E$4,const_20_yr,GWP_Values_20_year_AR4,const_100_yr,GWP_Values_100_year_AR4),MATCH(DeemedDashboard[[#This Row],[Msr refrigerant Type]],RefrigDropdownList,0))),"")</f>
        <v/>
      </c>
      <c r="S71" s="582" t="str" cm="1">
        <f t="array" ref="S71">IFERROR(IF(DeemedDashboard[[#This Row],[Std device type]]=const_device_nonrefrig,0,INDEX(_xlfn.SWITCH($E$4,const_20_yr,GWP_Values_20_year_AR4,const_100_yr,GWP_Values_100_year_AR4),MATCH(DeemedDashboard[[#This Row],[Std refrigerant Type]],RefrigDropdownList,0))),"")</f>
        <v/>
      </c>
      <c r="T71" s="582" t="str" cm="1">
        <f t="array" ref="T71">IFERROR(IF(DeemedDashboard[[#This Row],[Pre/Ext device type]]=const_device_nonrefrig,0,INDEX(_xlfn.SWITCH($E$4,const_20_yr,GWP_Values_20_year_AR4,const_100_yr,GWP_Values_100_year_AR4),MATCH(DeemedDashboard[[#This Row],[Pre/Ext refrigerant Type]],RefrigDropdownList,0))),"")</f>
        <v/>
      </c>
      <c r="U7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1" s="326" t="str">
        <f>IFERROR(IF(DeemedDashboard[[#This Row],[Msr device type]]=const_userspec,IF(ISBLANK(User_Specified_Refrigerant[[#This Row],[Msr t_EOL]]),"",User_Specified_Refrigerant[[#This Row],[Msr t_EOL]]),INDEX(TechGroup_NormUnit_Table[t_EOL],MATCH(DeemedDashboard[[#This Row],[Msr device type]],DropdownRefrigTech,0))),"")</f>
        <v/>
      </c>
      <c r="AB71" s="326" t="str">
        <f>IFERROR(IF(DeemedDashboard[[#This Row],[Std device type]]=const_userspec,IF(ISBLANK(User_Specified_Refrigerant[[#This Row],[Std t_EOL]]),"",User_Specified_Refrigerant[[#This Row],[Std t_EOL]]),INDEX(TechGroup_NormUnit_Table[t_EOL],MATCH(DeemedDashboard[[#This Row],[Std device type]],DropdownRefrigTech,0))),"")</f>
        <v/>
      </c>
      <c r="AC7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1" s="395" t="str">
        <f>IF(ISBLANK(DeemedDashboard[[#This Row],[MeasAppType]]),"",$E$2)</f>
        <v/>
      </c>
      <c r="AE71" s="395" t="str">
        <f>IFERROR(IF(ISBLANK(DeemedDashboard[[#This Row],[MeasAppType]]),NA(),DeemedDashboard[[#This Row],[Measure Start Year]]+DeemedDashboard[[#This Row],[Msr EUL rounded]]-1),"")</f>
        <v/>
      </c>
      <c r="AF71" s="323" t="str">
        <f>IF(ISBLANK(DeemedDashboard[[#This Row],[Measure New Device EUL]]),"",ROUND(DeemedDashboard[[#This Row],[Measure New Device EUL]],0))</f>
        <v/>
      </c>
      <c r="AG71" s="323" t="str">
        <f>IF(ISBLANK(DeemedDashboard[[#This Row],[Counterfactual New Device EUL]]),"",ROUND(DeemedDashboard[[#This Row],[Counterfactual New Device EUL]],0))</f>
        <v/>
      </c>
      <c r="AH71" s="323" t="str">
        <f>IF(ISBLANK(DeemedDashboard[[#This Row],[Existing Device EUL]]),"",ROUND(DeemedDashboard[[#This Row],[Existing Device EUL]],0))</f>
        <v/>
      </c>
      <c r="AI71" s="323" t="str">
        <f>IF(ISBLANK(DeemedDashboard[[#This Row],[Existing Device RUL or AR First Baseline Life]]),"",ROUND(DeemedDashboard[[#This Row],[Existing Device RUL or AR First Baseline Life]],0))</f>
        <v/>
      </c>
      <c r="AJ71" s="327" t="str">
        <f>DeemedDashboard[[#This Row],[Measure Start Year]]</f>
        <v/>
      </c>
      <c r="AK71" s="327" t="str">
        <f>IF(DeemedDashboard[[#This Row],[MeasAppType]]&lt;&gt;const_AR,DeemedDashboard[[#This Row],[Measure Start Year]],DeemedDashboard[[#This Row],[Ext Device Retire-ment Year]]+1)</f>
        <v/>
      </c>
      <c r="AL71" s="327" t="str">
        <f>IFERROR(IF(DeemedDashboard[[#This Row],[MeasAppType]]=const_AR,DeemedDashboard[[#This Row],[Measure Start Year]]-(DeemedDashboard[[#This Row],[Existing Device EUL]]-DeemedDashboard[[#This Row],[Existing Device RUL or AR First Baseline Life]]),NA()),"")</f>
        <v/>
      </c>
      <c r="AM71" s="327" t="str">
        <f>DeemedDashboard[[#This Row],[Pre Device Install Year]]</f>
        <v/>
      </c>
      <c r="AN71" s="327" t="str">
        <f>IFERROR(IF(ISBLANK(DeemedDashboard[[#This Row],[MeasAppType]]),NA(),DeemedDashboard[[#This Row],[Measure Start Year]]+DeemedDashboard[[#This Row],[Msr EUL rounded]]-1),"")</f>
        <v/>
      </c>
      <c r="AO71" s="327" t="str">
        <f>IFERROR(DeemedDashboard[[#This Row],[Std Device Install Year]]+DeemedDashboard[[#This Row],[Counterfactual New Device EUL]]-1,"")</f>
        <v/>
      </c>
      <c r="AP71" s="327" t="str">
        <f>IFERROR(IF(AND(DeemedDashboard[[#This Row],[MeasAppType]]=const_AR,DeemedDashboard[[#This Row],[Measure Start Year]]&lt;(DeemedDashboard[[#This Row],[Pre Device Install Year]]+DeemedDashboard[[#This Row],[Existing Device EUL]]-1)),DeemedDashboard[[#This Row],[Measure Start Year]]-1,NA()),"")</f>
        <v/>
      </c>
      <c r="AQ71" s="327" t="str">
        <f>IFERROR(IF(DeemedDashboard[[#This Row],[MeasAppType]]=const_AR,DeemedDashboard[[#This Row],[Ext Device Install Year]]+DeemedDashboard[[#This Row],[Existing Device EUL]]-1,NA()),"")</f>
        <v/>
      </c>
      <c r="AR71" s="327" t="str">
        <f>IFERROR(IF(ISBLANK(DeemedDashboard[[#This Row],[MeasAppType]]),NA(),0),"")</f>
        <v/>
      </c>
      <c r="AS71" s="327" t="str">
        <f>IFERROR(IF(ISBLANK(DeemedDashboard[[#This Row],[MeasAppType]]),NA(),0),"")</f>
        <v/>
      </c>
      <c r="AT71" s="327" t="str">
        <f>IF(ISBLANK(DeemedDashboard[[#This Row],[MeasAppType]]),"",IF(DeemedDashboard[[#This Row],[MeasAppType]]&lt;&gt;const_AR,"",(DeemedDashboard[[#This Row],[Pre Device Install Year]]+DeemedDashboard[[#This Row],[Existing Device EUL]]-1)-DeemedDashboard[[#This Row],[Pre Device Retire-ment Year]]))</f>
        <v/>
      </c>
      <c r="AU71" s="327" t="str">
        <f>IF(ISBLANK(DeemedDashboard[[#This Row],[MeasAppType]]),"",IF(DeemedDashboard[[#This Row],[MeasAppType]]=const_AR,0,""))</f>
        <v/>
      </c>
      <c r="AV71" s="328" t="str">
        <f>IF(ISBLANK(DeemedDashboard[[#This Row],[MeasAppType]]),"",MAX((1+MIN(DeemedDashboard[[#This Row],[Msr Device Retire-ment Year]],DeemedDashboard[[#This Row],[Measure End 
Year]])-MAX(DeemedDashboard[[#This Row],[Msr Device Install Year]],DeemedDashboard[[#This Row],[Measure Start Year]])),0))</f>
        <v/>
      </c>
      <c r="AW71" s="328" t="str">
        <f>IF(ISBLANK(DeemedDashboard[[#This Row],[MeasAppType]]),"",MAX((1+MIN(DeemedDashboard[[#This Row],[Std Device Retire-ment Year]],DeemedDashboard[[#This Row],[Measure End 
Year]])-MAX(DeemedDashboard[[#This Row],[Std Device Install Year]],DeemedDashboard[[#This Row],[Measure Start Year]])),0))</f>
        <v/>
      </c>
      <c r="AX7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1" s="329" t="str">
        <f>IF(ISBLANK(DeemedDashboard[[#This Row],[MeasAppType]]),"",IF(DeemedDashboard[[#This Row],[Msr Device Years Over-lapping with Measure Years]]=0,0,DeemedDashboard[[#This Row],[Msr Device Years Over-lapping with Measure Years]]/DeemedDashboard[[#This Row],[Msr EUL rounded]]))</f>
        <v/>
      </c>
      <c r="BA71" s="329" t="str">
        <f>IF(ISBLANK(DeemedDashboard[[#This Row],[MeasAppType]]),"",IF(DeemedDashboard[[#This Row],[Std Device Years Over-lapping with Measure Years]]=0,0,DeemedDashboard[[#This Row],[Std Device Years Over-lapping with Measure Years]]/DeemedDashboard[[#This Row],[Counterfactual New Device EUL]]))</f>
        <v/>
      </c>
      <c r="BB71" s="329" t="str">
        <f>IF(ISBLANK(DeemedDashboard[[#This Row],[MeasAppType]]),"",IFERROR(IF(DeemedDashboard[[#This Row],[Pre Device Years Over-lapping with Measure Years]]=0,0,DeemedDashboard[[#This Row],[Pre Device Years Over-lapping with Measure Years]]/DeemedDashboard[[#This Row],[Existing Device EUL]]),""))</f>
        <v/>
      </c>
      <c r="BC71" s="329" t="str">
        <f>IFERROR(IF(DeemedDashboard[[#This Row],[Ext Device Years Over-lapping with Measure Years]]=0,0,DeemedDashboard[[#This Row],[Ext Device Years Over-lapping with Measure Years]]/DeemedDashboard[[#This Row],[Existing Device EUL]]),"")</f>
        <v/>
      </c>
      <c r="BD71" s="329" t="str">
        <f>IFERROR(IF(DeemedDashboard[[#This Row],[Msr Number of Years device retired early]]=0,0,DeemedDashboard[[#This Row],[Msr Number of Years device retired early]]/DeemedDashboard[[#This Row],[Msr EUL rounded]]),"")</f>
        <v/>
      </c>
      <c r="BE71" s="329" t="str">
        <f>IFERROR(IF(DeemedDashboard[[#This Row],[Std Number of Years device retired early]]=0,0,DeemedDashboard[[#This Row],[Std Number of Years device retired early]]/DeemedDashboard[[#This Row],[Msr EUL rounded]]),"")</f>
        <v/>
      </c>
      <c r="BF71" s="329" t="str">
        <f>IFERROR(IF(DeemedDashboard[[#This Row],[MeasAppType]]&lt;&gt;const_AR,"",IF(DeemedDashboard[[#This Row],[Pre Number of Years device retired early]]=0,0,DeemedDashboard[[#This Row],[Pre Number of Years device retired early]]/DeemedDashboard[[#This Row],[Existing Device EUL]])),"")</f>
        <v/>
      </c>
      <c r="BG71" s="329" t="str">
        <f>IFERROR(IF(DeemedDashboard[[#This Row],[Ext Number of Years device retired early]]=0,0,DeemedDashboard[[#This Row],[Ext Number of Years device retired early]]/DeemedDashboard[[#This Row],[Existing Device EUL]]),"")</f>
        <v/>
      </c>
      <c r="BH71" s="325" t="str">
        <f>IFERROR(1-DeemedDashboard[[#This Row],[Msr annual refrigerant leakage %]]*DeemedDashboard[[#This Row],[Msr t_EOL]],"")</f>
        <v/>
      </c>
      <c r="BI71" s="325" t="str">
        <f>IFERROR(1-DeemedDashboard[[#This Row],[Std annual refrigerant leakage %]]*DeemedDashboard[[#This Row],[Std t_EOL]],"")</f>
        <v/>
      </c>
      <c r="BJ71" s="325" t="str">
        <f>IFERROR(1-DeemedDashboard[[#This Row],[Pre/Ext annual refrigerant leakage %]]*DeemedDashboard[[#This Row],[Pre/Ext t_EOL]],"")</f>
        <v/>
      </c>
      <c r="BK71" s="325" t="str">
        <f>IFERROR(1-DeemedDashboard[[#This Row],[Pre/Ext annual refrigerant leakage %]]*DeemedDashboard[[#This Row],[Pre/Ext t_EOL]],"")</f>
        <v/>
      </c>
      <c r="BL71" s="325" t="str">
        <f>IFERROR(DeemedDashboard[[#This Row],[Msr charging remaining (%)]]*DeemedDashboard[[#This Row],[Msr gross EOL refrigerant leakage %]],"")</f>
        <v/>
      </c>
      <c r="BM71" s="325" t="str">
        <f>IFERROR(DeemedDashboard[[#This Row],[Std charging remaining (%)]]*DeemedDashboard[[#This Row],[Std gross EOL refrigerant leakage %]],"")</f>
        <v/>
      </c>
      <c r="BN71" s="325" t="str">
        <f>IFERROR(DeemedDashboard[[#This Row],[Pre charging remaining (%)]]*DeemedDashboard[[#This Row],[Pre/Ext gross EOL refrigerant leakage %]],"")</f>
        <v/>
      </c>
      <c r="BO71" s="325" t="str">
        <f>IFERROR(DeemedDashboard[[#This Row],[Ext charging remaining (%)]]*DeemedDashboard[[#This Row],[Pre/Ext gross EOL refrigerant leakage %]],"")</f>
        <v/>
      </c>
      <c r="BP71" s="330" t="str">
        <f>IFERROR((DeemedDashboard[[#This Row],[Msr refrigerant charge (lb) per NormUnit]]/pounds_per_metric_ton)*DeemedDashboard[[#This Row],[Msr annual refrigerant leakage %]]*DeemedDashboard[[#This Row],[Msr GWP]],"")</f>
        <v/>
      </c>
      <c r="BQ71" s="330" t="str">
        <f>IFERROR((DeemedDashboard[[#This Row],[Std refrigerant charge (lb) per NormUnit]]/pounds_per_metric_ton)*DeemedDashboard[[#This Row],[Std annual refrigerant leakage %]]*DeemedDashboard[[#This Row],[Std GWP]],"")</f>
        <v/>
      </c>
      <c r="BR71" s="330" t="str">
        <f>IF(DeemedDashboard[[#This Row],[MeasAppType]]=const_AR,(DeemedDashboard[[#This Row],[Pre/Ext refrigerant charge (lb) per NormUnit]]/pounds_per_metric_ton)*DeemedDashboard[[#This Row],[Pre/Ext annual refrigerant leakage %]]*DeemedDashboard[[#This Row],[Pre/Ext GWP]],"")</f>
        <v/>
      </c>
      <c r="BS71" s="330" t="str">
        <f>IF(DeemedDashboard[[#This Row],[MeasAppType]]=const_AR,(DeemedDashboard[[#This Row],[Pre/Ext refrigerant charge (lb) per NormUnit]]/pounds_per_metric_ton)*DeemedDashboard[[#This Row],[Pre/Ext annual refrigerant leakage %]]*DeemedDashboard[[#This Row],[Pre/Ext GWP]],"")</f>
        <v/>
      </c>
      <c r="BT71" s="330" t="str">
        <f>IFERROR((DeemedDashboard[[#This Row],[Msr refrigerant charge (lb) per NormUnit]]/pounds_per_metric_ton)*DeemedDashboard[[#This Row],[Msr net EOL refrigerant leakage (%)]]*DeemedDashboard[[#This Row],[Msr GWP]],"")</f>
        <v/>
      </c>
      <c r="BU71" s="330" t="str">
        <f>IFERROR((DeemedDashboard[[#This Row],[Std refrigerant charge (lb) per NormUnit]]/pounds_per_metric_ton)*DeemedDashboard[[#This Row],[Std net EOL refrigerant leakage (%)]]*DeemedDashboard[[#This Row],[Std GWP]],"")</f>
        <v/>
      </c>
      <c r="BV71" s="330" t="str">
        <f>IFERROR((DeemedDashboard[[#This Row],[Pre/Ext refrigerant charge (lb) per NormUnit]]/pounds_per_metric_ton)*DeemedDashboard[[#This Row],[Pre net EOL refrigerant leakage (%)]]*DeemedDashboard[[#This Row],[Pre/Ext GWP]],"")</f>
        <v/>
      </c>
      <c r="BW71" s="330" t="str">
        <f>IFERROR((DeemedDashboard[[#This Row],[Pre/Ext refrigerant charge (lb) per NormUnit]]/pounds_per_metric_ton)*DeemedDashboard[[#This Row],[Ext net EOL refrigerant leakage (%)]]*DeemedDashboard[[#This Row],[Pre/Ext GWP]],"")</f>
        <v/>
      </c>
      <c r="BX71" s="299" t="str" cm="1">
        <f t="array" aca="1" ref="BX7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1" s="305" t="str" cm="1">
        <f t="array" aca="1" ref="BY7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1" s="299" t="str">
        <f>IFERROR(IF(OR(DeemedDashboard[[#This Row],[MeasAppType]]&lt;&gt;const_AR,ISBLANK(DeemedDashboard[[#This Row],[MeasAppType]])),NA(),0),"")</f>
        <v/>
      </c>
      <c r="CA71" s="305" t="str" cm="1">
        <f t="array" aca="1" ref="CA7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1" s="299" t="str">
        <f ca="1">IFERROR((DeemedDashboard[[#This Row],[Msr EOL leakage tons CO2e]]*OFFSET(GHG_Adder_dollar_per_tonne,0,(DeemedDashboard[[#This Row],[Msr Device Retire-ment Year]]-DY+1),1,1))/(1+WACC)^(DeemedDashboard[[#This Row],[Msr Device Retire-ment Year]]-DeemedDashboard[[#This Row],[Measure Start Year]]+0.5),"")</f>
        <v/>
      </c>
      <c r="CC71" s="299" t="str">
        <f ca="1">IFERROR((DeemedDashboard[[#This Row],[Std EOL leakage tons CO2e]]*OFFSET(GHG_Adder_dollar_per_tonne,0,(DeemedDashboard[[#This Row],[Std Device Retire-ment Year]]-DY+1),1,1))/(1+WACC)^(DeemedDashboard[[#This Row],[Std Device Retire-ment Year]]-DeemedDashboard[[#This Row],[Measure Start Year]]+0.5),"")</f>
        <v/>
      </c>
      <c r="CD71" s="299" t="str">
        <f ca="1">IFERROR((DeemedDashboard[[#This Row],[Pre EOL leakage tons CO2e]]*OFFSET(GHG_Adder_dollar_per_tonne,0,(DeemedDashboard[[#This Row],[Measure Start Year]]-DY),1,1))/(1+WACC)^(-0.5),"")</f>
        <v/>
      </c>
      <c r="CE7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1" s="299" t="str">
        <f ca="1">IFERROR(DeemedDashboard[[#This Row],[Msr NPV Cost of Annual Leakage]]/(1+ACC_Inflation_Rate)^(DeemedDashboard[[#This Row],[Measure Start Year]]-DY),"")</f>
        <v/>
      </c>
      <c r="CG71" s="299" t="str">
        <f ca="1">IFERROR(DeemedDashboard[[#This Row],[Std NPV Cost of Annual Leakage]]/(1+ACC_Inflation_Rate)^(DeemedDashboard[[#This Row],[Measure Start Year]]-DY),"")</f>
        <v/>
      </c>
      <c r="CH71" s="299" t="str">
        <f>IFERROR(IF(ISBLANK(DeemedDashboard[[#This Row],[MeasAppType]]),NA(),IF(DeemedDashboard[[#This Row],[MeasAppType]]=const_AR,DeemedDashboard[[#This Row],[Pre NPV Cost of Annual Leakage]]/(1+ACC_Inflation_Rate)^(DeemedDashboard[[#This Row],[Measure Start Year]]-DY),"")),"")</f>
        <v/>
      </c>
      <c r="CI71" s="296" t="str">
        <f>IFERROR(IF(ISBLANK(DeemedDashboard[[#This Row],[MeasAppType]]),NA(),IF(DeemedDashboard[[#This Row],[MeasAppType]]=const_AR,DeemedDashboard[[#This Row],[Ext NPV Cost of Annual Leakage]]/(1+ACC_Inflation_Rate)^(DeemedDashboard[[#This Row],[Measure Start Year]]-DY),"")),"")</f>
        <v/>
      </c>
      <c r="CJ71" s="296" t="str">
        <f ca="1">IFERROR((DeemedDashboard[[#This Row],[Msr % of device lifetime during measure years]]+DeemedDashboard[[#This Row],[Msr % of device lifetime retired early]])*DeemedDashboard[[#This Row],[Msr NPV Cost of EOL Leakage]]/(1+ACC_Inflation_Rate)^(DeemedDashboard[[#This Row],[Measure Start Year]]-DY),"")</f>
        <v/>
      </c>
      <c r="CK71" s="296" t="str">
        <f ca="1">IFERROR((DeemedDashboard[[#This Row],[Std % of device lifetime during measure years]]+DeemedDashboard[[#This Row],[Std % of device lifetime retired early]])*DeemedDashboard[[#This Row],[Std NPV Cost of EOL Leakage]]/(1+ACC_Inflation_Rate)^(DeemedDashboard[[#This Row],[Measure Start Year]]-DY),"")</f>
        <v/>
      </c>
      <c r="CL7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1" s="299" t="str">
        <f ca="1">IFERROR(DeemedDashboard[[#This Row],[Counter-factual total 
NPV cost]]-DeemedDashboard[[#This Row],[Measure total 
NPV cost]],"")</f>
        <v/>
      </c>
      <c r="CQ71" s="299" t="str">
        <f>IF(ISBLANK(DeemedDashboard[[#This Row],[MeasAppType]]),"",DeemedDashboard[[#This Row],[Refrigerant
NPV costs
avoided]]&gt;0)</f>
        <v/>
      </c>
      <c r="CR71" s="299" t="str">
        <f ca="1">IFERROR(DeemedDashboard[[#This Row],[Msr Adj NPV Cost of Annual Leakage]]+DeemedDashboard[[#This Row],[Msr Adj NPV Cost of EOL Leakage]],"")</f>
        <v/>
      </c>
      <c r="CS71" s="299" t="str">
        <f ca="1">IFERROR(DeemedDashboard[[#This Row],[Std Adj NPV Cost of Annual Leakage]]+DeemedDashboard[[#This Row],[Std Adj NPV Cost of EOL Leakage]],"")</f>
        <v/>
      </c>
      <c r="CT71" s="299" t="str">
        <f>IFERROR(IF((DeemedDashboard[[#This Row],[Pre Adj NPV Cost of Annual Leakage]]+DeemedDashboard[[#This Row],[Pre Adj NPV Cost of EOL Leakage]])=0,"",DeemedDashboard[[#This Row],[Pre Adj NPV Cost of Annual Leakage]]+DeemedDashboard[[#This Row],[Pre Adj NPV Cost of EOL Leakage]]),"")</f>
        <v/>
      </c>
      <c r="CU71" s="299" t="str">
        <f>IFERROR(IF((DeemedDashboard[[#This Row],[Ext Adj NPV Cost of Annual Leakage]]+DeemedDashboard[[#This Row],[Ext Adj NPV Cost of EOL Leakage]])=0,"",DeemedDashboard[[#This Row],[Ext Adj NPV Cost of Annual Leakage]]+DeemedDashboard[[#This Row],[Ext Adj NPV Cost of EOL Leakage]]),"")</f>
        <v/>
      </c>
      <c r="CV71" s="299" t="str">
        <f>IFERROR(IF(DeemedDashboard[[#This Row],[Is Avoided Net Cost &gt;0?]],"",-DeemedDashboard[[#This Row],[Refrigerant
NPV costs
avoided]]),"")</f>
        <v/>
      </c>
      <c r="CW71" s="299" t="str">
        <f>IFERROR(IF(DeemedDashboard[[#This Row],[Is Avoided Net Cost &gt;0?]],DeemedDashboard[[#This Row],[Refrigerant
NPV costs
avoided]],""),"")</f>
        <v/>
      </c>
      <c r="CX71" s="391">
        <f ca="1">IFERROR(MATCH(DeemedDashboard[[#This Row],[TechGroup and NormUnit]],TechGroup_and_NormUnit,0),1)</f>
        <v>1</v>
      </c>
      <c r="CY71" s="391" cm="1">
        <f t="array" aca="1" ref="CY71" ca="1">IFERROR(INDEX(TGRows,DeemedDashboard[[#This Row],[TGIndex]]),"")</f>
        <v>2</v>
      </c>
      <c r="CZ71" s="391">
        <f ca="1">IF(DeemedDashboard[[#This Row],[MeasAppType]]=const_AR,DeemedDashboard[[#This Row],[TGRows]],DeemedDashboard[[#This Row],[TGRows]]+1)</f>
        <v>3</v>
      </c>
      <c r="DA71" s="391" t="str">
        <f>IF(ISBLANK(DeemedDashboard[[#This Row],[MeasAppType]]),"",IF(DeemedDashboard[[#This Row],[Index]]=User_Specified_Refrigerant[[#This Row],[Index]],"OK","ERROR"))</f>
        <v/>
      </c>
    </row>
    <row r="72" spans="1:105" s="320" customFormat="1" x14ac:dyDescent="0.25">
      <c r="A72" s="297">
        <f>ROW(DeemedDashboard[[#This Row],[Index]])-ROW(DeemedDashboard[[#Headers],[Index]])</f>
        <v>63</v>
      </c>
      <c r="B72" s="298"/>
      <c r="C72" s="321"/>
      <c r="D72" s="403"/>
      <c r="E72" s="403"/>
      <c r="F72" s="403"/>
      <c r="G72" s="403"/>
      <c r="H72" s="366"/>
      <c r="I72" s="339"/>
      <c r="J72" s="339"/>
      <c r="K72" s="339"/>
      <c r="L72" s="322"/>
      <c r="M72" s="322"/>
      <c r="N72" s="322"/>
      <c r="O7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2" s="582" t="str" cm="1">
        <f t="array" ref="R72">IFERROR(IF(DeemedDashboard[[#This Row],[Msr device type]]=const_device_nonrefrig,0,INDEX(_xlfn.SWITCH($E$4,const_20_yr,GWP_Values_20_year_AR4,const_100_yr,GWP_Values_100_year_AR4),MATCH(DeemedDashboard[[#This Row],[Msr refrigerant Type]],RefrigDropdownList,0))),"")</f>
        <v/>
      </c>
      <c r="S72" s="582" t="str" cm="1">
        <f t="array" ref="S72">IFERROR(IF(DeemedDashboard[[#This Row],[Std device type]]=const_device_nonrefrig,0,INDEX(_xlfn.SWITCH($E$4,const_20_yr,GWP_Values_20_year_AR4,const_100_yr,GWP_Values_100_year_AR4),MATCH(DeemedDashboard[[#This Row],[Std refrigerant Type]],RefrigDropdownList,0))),"")</f>
        <v/>
      </c>
      <c r="T72" s="582" t="str" cm="1">
        <f t="array" ref="T72">IFERROR(IF(DeemedDashboard[[#This Row],[Pre/Ext device type]]=const_device_nonrefrig,0,INDEX(_xlfn.SWITCH($E$4,const_20_yr,GWP_Values_20_year_AR4,const_100_yr,GWP_Values_100_year_AR4),MATCH(DeemedDashboard[[#This Row],[Pre/Ext refrigerant Type]],RefrigDropdownList,0))),"")</f>
        <v/>
      </c>
      <c r="U7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2" s="326" t="str">
        <f>IFERROR(IF(DeemedDashboard[[#This Row],[Msr device type]]=const_userspec,IF(ISBLANK(User_Specified_Refrigerant[[#This Row],[Msr t_EOL]]),"",User_Specified_Refrigerant[[#This Row],[Msr t_EOL]]),INDEX(TechGroup_NormUnit_Table[t_EOL],MATCH(DeemedDashboard[[#This Row],[Msr device type]],DropdownRefrigTech,0))),"")</f>
        <v/>
      </c>
      <c r="AB72" s="326" t="str">
        <f>IFERROR(IF(DeemedDashboard[[#This Row],[Std device type]]=const_userspec,IF(ISBLANK(User_Specified_Refrigerant[[#This Row],[Std t_EOL]]),"",User_Specified_Refrigerant[[#This Row],[Std t_EOL]]),INDEX(TechGroup_NormUnit_Table[t_EOL],MATCH(DeemedDashboard[[#This Row],[Std device type]],DropdownRefrigTech,0))),"")</f>
        <v/>
      </c>
      <c r="AC7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2" s="395" t="str">
        <f>IF(ISBLANK(DeemedDashboard[[#This Row],[MeasAppType]]),"",$E$2)</f>
        <v/>
      </c>
      <c r="AE72" s="395" t="str">
        <f>IFERROR(IF(ISBLANK(DeemedDashboard[[#This Row],[MeasAppType]]),NA(),DeemedDashboard[[#This Row],[Measure Start Year]]+DeemedDashboard[[#This Row],[Msr EUL rounded]]-1),"")</f>
        <v/>
      </c>
      <c r="AF72" s="323" t="str">
        <f>IF(ISBLANK(DeemedDashboard[[#This Row],[Measure New Device EUL]]),"",ROUND(DeemedDashboard[[#This Row],[Measure New Device EUL]],0))</f>
        <v/>
      </c>
      <c r="AG72" s="323" t="str">
        <f>IF(ISBLANK(DeemedDashboard[[#This Row],[Counterfactual New Device EUL]]),"",ROUND(DeemedDashboard[[#This Row],[Counterfactual New Device EUL]],0))</f>
        <v/>
      </c>
      <c r="AH72" s="323" t="str">
        <f>IF(ISBLANK(DeemedDashboard[[#This Row],[Existing Device EUL]]),"",ROUND(DeemedDashboard[[#This Row],[Existing Device EUL]],0))</f>
        <v/>
      </c>
      <c r="AI72" s="323" t="str">
        <f>IF(ISBLANK(DeemedDashboard[[#This Row],[Existing Device RUL or AR First Baseline Life]]),"",ROUND(DeemedDashboard[[#This Row],[Existing Device RUL or AR First Baseline Life]],0))</f>
        <v/>
      </c>
      <c r="AJ72" s="327" t="str">
        <f>DeemedDashboard[[#This Row],[Measure Start Year]]</f>
        <v/>
      </c>
      <c r="AK72" s="327" t="str">
        <f>IF(DeemedDashboard[[#This Row],[MeasAppType]]&lt;&gt;const_AR,DeemedDashboard[[#This Row],[Measure Start Year]],DeemedDashboard[[#This Row],[Ext Device Retire-ment Year]]+1)</f>
        <v/>
      </c>
      <c r="AL72" s="327" t="str">
        <f>IFERROR(IF(DeemedDashboard[[#This Row],[MeasAppType]]=const_AR,DeemedDashboard[[#This Row],[Measure Start Year]]-(DeemedDashboard[[#This Row],[Existing Device EUL]]-DeemedDashboard[[#This Row],[Existing Device RUL or AR First Baseline Life]]),NA()),"")</f>
        <v/>
      </c>
      <c r="AM72" s="327" t="str">
        <f>DeemedDashboard[[#This Row],[Pre Device Install Year]]</f>
        <v/>
      </c>
      <c r="AN72" s="327" t="str">
        <f>IFERROR(IF(ISBLANK(DeemedDashboard[[#This Row],[MeasAppType]]),NA(),DeemedDashboard[[#This Row],[Measure Start Year]]+DeemedDashboard[[#This Row],[Msr EUL rounded]]-1),"")</f>
        <v/>
      </c>
      <c r="AO72" s="327" t="str">
        <f>IFERROR(DeemedDashboard[[#This Row],[Std Device Install Year]]+DeemedDashboard[[#This Row],[Counterfactual New Device EUL]]-1,"")</f>
        <v/>
      </c>
      <c r="AP72" s="327" t="str">
        <f>IFERROR(IF(AND(DeemedDashboard[[#This Row],[MeasAppType]]=const_AR,DeemedDashboard[[#This Row],[Measure Start Year]]&lt;(DeemedDashboard[[#This Row],[Pre Device Install Year]]+DeemedDashboard[[#This Row],[Existing Device EUL]]-1)),DeemedDashboard[[#This Row],[Measure Start Year]]-1,NA()),"")</f>
        <v/>
      </c>
      <c r="AQ72" s="327" t="str">
        <f>IFERROR(IF(DeemedDashboard[[#This Row],[MeasAppType]]=const_AR,DeemedDashboard[[#This Row],[Ext Device Install Year]]+DeemedDashboard[[#This Row],[Existing Device EUL]]-1,NA()),"")</f>
        <v/>
      </c>
      <c r="AR72" s="327" t="str">
        <f>IFERROR(IF(ISBLANK(DeemedDashboard[[#This Row],[MeasAppType]]),NA(),0),"")</f>
        <v/>
      </c>
      <c r="AS72" s="327" t="str">
        <f>IFERROR(IF(ISBLANK(DeemedDashboard[[#This Row],[MeasAppType]]),NA(),0),"")</f>
        <v/>
      </c>
      <c r="AT72" s="327" t="str">
        <f>IF(ISBLANK(DeemedDashboard[[#This Row],[MeasAppType]]),"",IF(DeemedDashboard[[#This Row],[MeasAppType]]&lt;&gt;const_AR,"",(DeemedDashboard[[#This Row],[Pre Device Install Year]]+DeemedDashboard[[#This Row],[Existing Device EUL]]-1)-DeemedDashboard[[#This Row],[Pre Device Retire-ment Year]]))</f>
        <v/>
      </c>
      <c r="AU72" s="327" t="str">
        <f>IF(ISBLANK(DeemedDashboard[[#This Row],[MeasAppType]]),"",IF(DeemedDashboard[[#This Row],[MeasAppType]]=const_AR,0,""))</f>
        <v/>
      </c>
      <c r="AV72" s="328" t="str">
        <f>IF(ISBLANK(DeemedDashboard[[#This Row],[MeasAppType]]),"",MAX((1+MIN(DeemedDashboard[[#This Row],[Msr Device Retire-ment Year]],DeemedDashboard[[#This Row],[Measure End 
Year]])-MAX(DeemedDashboard[[#This Row],[Msr Device Install Year]],DeemedDashboard[[#This Row],[Measure Start Year]])),0))</f>
        <v/>
      </c>
      <c r="AW72" s="328" t="str">
        <f>IF(ISBLANK(DeemedDashboard[[#This Row],[MeasAppType]]),"",MAX((1+MIN(DeemedDashboard[[#This Row],[Std Device Retire-ment Year]],DeemedDashboard[[#This Row],[Measure End 
Year]])-MAX(DeemedDashboard[[#This Row],[Std Device Install Year]],DeemedDashboard[[#This Row],[Measure Start Year]])),0))</f>
        <v/>
      </c>
      <c r="AX7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2" s="329" t="str">
        <f>IF(ISBLANK(DeemedDashboard[[#This Row],[MeasAppType]]),"",IF(DeemedDashboard[[#This Row],[Msr Device Years Over-lapping with Measure Years]]=0,0,DeemedDashboard[[#This Row],[Msr Device Years Over-lapping with Measure Years]]/DeemedDashboard[[#This Row],[Msr EUL rounded]]))</f>
        <v/>
      </c>
      <c r="BA72" s="329" t="str">
        <f>IF(ISBLANK(DeemedDashboard[[#This Row],[MeasAppType]]),"",IF(DeemedDashboard[[#This Row],[Std Device Years Over-lapping with Measure Years]]=0,0,DeemedDashboard[[#This Row],[Std Device Years Over-lapping with Measure Years]]/DeemedDashboard[[#This Row],[Counterfactual New Device EUL]]))</f>
        <v/>
      </c>
      <c r="BB72" s="329" t="str">
        <f>IF(ISBLANK(DeemedDashboard[[#This Row],[MeasAppType]]),"",IFERROR(IF(DeemedDashboard[[#This Row],[Pre Device Years Over-lapping with Measure Years]]=0,0,DeemedDashboard[[#This Row],[Pre Device Years Over-lapping with Measure Years]]/DeemedDashboard[[#This Row],[Existing Device EUL]]),""))</f>
        <v/>
      </c>
      <c r="BC72" s="329" t="str">
        <f>IFERROR(IF(DeemedDashboard[[#This Row],[Ext Device Years Over-lapping with Measure Years]]=0,0,DeemedDashboard[[#This Row],[Ext Device Years Over-lapping with Measure Years]]/DeemedDashboard[[#This Row],[Existing Device EUL]]),"")</f>
        <v/>
      </c>
      <c r="BD72" s="329" t="str">
        <f>IFERROR(IF(DeemedDashboard[[#This Row],[Msr Number of Years device retired early]]=0,0,DeemedDashboard[[#This Row],[Msr Number of Years device retired early]]/DeemedDashboard[[#This Row],[Msr EUL rounded]]),"")</f>
        <v/>
      </c>
      <c r="BE72" s="329" t="str">
        <f>IFERROR(IF(DeemedDashboard[[#This Row],[Std Number of Years device retired early]]=0,0,DeemedDashboard[[#This Row],[Std Number of Years device retired early]]/DeemedDashboard[[#This Row],[Msr EUL rounded]]),"")</f>
        <v/>
      </c>
      <c r="BF72" s="329" t="str">
        <f>IFERROR(IF(DeemedDashboard[[#This Row],[MeasAppType]]&lt;&gt;const_AR,"",IF(DeemedDashboard[[#This Row],[Pre Number of Years device retired early]]=0,0,DeemedDashboard[[#This Row],[Pre Number of Years device retired early]]/DeemedDashboard[[#This Row],[Existing Device EUL]])),"")</f>
        <v/>
      </c>
      <c r="BG72" s="329" t="str">
        <f>IFERROR(IF(DeemedDashboard[[#This Row],[Ext Number of Years device retired early]]=0,0,DeemedDashboard[[#This Row],[Ext Number of Years device retired early]]/DeemedDashboard[[#This Row],[Existing Device EUL]]),"")</f>
        <v/>
      </c>
      <c r="BH72" s="325" t="str">
        <f>IFERROR(1-DeemedDashboard[[#This Row],[Msr annual refrigerant leakage %]]*DeemedDashboard[[#This Row],[Msr t_EOL]],"")</f>
        <v/>
      </c>
      <c r="BI72" s="325" t="str">
        <f>IFERROR(1-DeemedDashboard[[#This Row],[Std annual refrigerant leakage %]]*DeemedDashboard[[#This Row],[Std t_EOL]],"")</f>
        <v/>
      </c>
      <c r="BJ72" s="325" t="str">
        <f>IFERROR(1-DeemedDashboard[[#This Row],[Pre/Ext annual refrigerant leakage %]]*DeemedDashboard[[#This Row],[Pre/Ext t_EOL]],"")</f>
        <v/>
      </c>
      <c r="BK72" s="325" t="str">
        <f>IFERROR(1-DeemedDashboard[[#This Row],[Pre/Ext annual refrigerant leakage %]]*DeemedDashboard[[#This Row],[Pre/Ext t_EOL]],"")</f>
        <v/>
      </c>
      <c r="BL72" s="325" t="str">
        <f>IFERROR(DeemedDashboard[[#This Row],[Msr charging remaining (%)]]*DeemedDashboard[[#This Row],[Msr gross EOL refrigerant leakage %]],"")</f>
        <v/>
      </c>
      <c r="BM72" s="325" t="str">
        <f>IFERROR(DeemedDashboard[[#This Row],[Std charging remaining (%)]]*DeemedDashboard[[#This Row],[Std gross EOL refrigerant leakage %]],"")</f>
        <v/>
      </c>
      <c r="BN72" s="325" t="str">
        <f>IFERROR(DeemedDashboard[[#This Row],[Pre charging remaining (%)]]*DeemedDashboard[[#This Row],[Pre/Ext gross EOL refrigerant leakage %]],"")</f>
        <v/>
      </c>
      <c r="BO72" s="325" t="str">
        <f>IFERROR(DeemedDashboard[[#This Row],[Ext charging remaining (%)]]*DeemedDashboard[[#This Row],[Pre/Ext gross EOL refrigerant leakage %]],"")</f>
        <v/>
      </c>
      <c r="BP72" s="330" t="str">
        <f>IFERROR((DeemedDashboard[[#This Row],[Msr refrigerant charge (lb) per NormUnit]]/pounds_per_metric_ton)*DeemedDashboard[[#This Row],[Msr annual refrigerant leakage %]]*DeemedDashboard[[#This Row],[Msr GWP]],"")</f>
        <v/>
      </c>
      <c r="BQ72" s="330" t="str">
        <f>IFERROR((DeemedDashboard[[#This Row],[Std refrigerant charge (lb) per NormUnit]]/pounds_per_metric_ton)*DeemedDashboard[[#This Row],[Std annual refrigerant leakage %]]*DeemedDashboard[[#This Row],[Std GWP]],"")</f>
        <v/>
      </c>
      <c r="BR72" s="330" t="str">
        <f>IF(DeemedDashboard[[#This Row],[MeasAppType]]=const_AR,(DeemedDashboard[[#This Row],[Pre/Ext refrigerant charge (lb) per NormUnit]]/pounds_per_metric_ton)*DeemedDashboard[[#This Row],[Pre/Ext annual refrigerant leakage %]]*DeemedDashboard[[#This Row],[Pre/Ext GWP]],"")</f>
        <v/>
      </c>
      <c r="BS72" s="330" t="str">
        <f>IF(DeemedDashboard[[#This Row],[MeasAppType]]=const_AR,(DeemedDashboard[[#This Row],[Pre/Ext refrigerant charge (lb) per NormUnit]]/pounds_per_metric_ton)*DeemedDashboard[[#This Row],[Pre/Ext annual refrigerant leakage %]]*DeemedDashboard[[#This Row],[Pre/Ext GWP]],"")</f>
        <v/>
      </c>
      <c r="BT72" s="330" t="str">
        <f>IFERROR((DeemedDashboard[[#This Row],[Msr refrigerant charge (lb) per NormUnit]]/pounds_per_metric_ton)*DeemedDashboard[[#This Row],[Msr net EOL refrigerant leakage (%)]]*DeemedDashboard[[#This Row],[Msr GWP]],"")</f>
        <v/>
      </c>
      <c r="BU72" s="330" t="str">
        <f>IFERROR((DeemedDashboard[[#This Row],[Std refrigerant charge (lb) per NormUnit]]/pounds_per_metric_ton)*DeemedDashboard[[#This Row],[Std net EOL refrigerant leakage (%)]]*DeemedDashboard[[#This Row],[Std GWP]],"")</f>
        <v/>
      </c>
      <c r="BV72" s="330" t="str">
        <f>IFERROR((DeemedDashboard[[#This Row],[Pre/Ext refrigerant charge (lb) per NormUnit]]/pounds_per_metric_ton)*DeemedDashboard[[#This Row],[Pre net EOL refrigerant leakage (%)]]*DeemedDashboard[[#This Row],[Pre/Ext GWP]],"")</f>
        <v/>
      </c>
      <c r="BW72" s="330" t="str">
        <f>IFERROR((DeemedDashboard[[#This Row],[Pre/Ext refrigerant charge (lb) per NormUnit]]/pounds_per_metric_ton)*DeemedDashboard[[#This Row],[Ext net EOL refrigerant leakage (%)]]*DeemedDashboard[[#This Row],[Pre/Ext GWP]],"")</f>
        <v/>
      </c>
      <c r="BX72" s="299" t="str" cm="1">
        <f t="array" aca="1" ref="BX7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2" s="305" t="str" cm="1">
        <f t="array" aca="1" ref="BY7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2" s="299" t="str">
        <f>IFERROR(IF(OR(DeemedDashboard[[#This Row],[MeasAppType]]&lt;&gt;const_AR,ISBLANK(DeemedDashboard[[#This Row],[MeasAppType]])),NA(),0),"")</f>
        <v/>
      </c>
      <c r="CA72" s="305" t="str" cm="1">
        <f t="array" aca="1" ref="CA7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2" s="299" t="str">
        <f ca="1">IFERROR((DeemedDashboard[[#This Row],[Msr EOL leakage tons CO2e]]*OFFSET(GHG_Adder_dollar_per_tonne,0,(DeemedDashboard[[#This Row],[Msr Device Retire-ment Year]]-DY+1),1,1))/(1+WACC)^(DeemedDashboard[[#This Row],[Msr Device Retire-ment Year]]-DeemedDashboard[[#This Row],[Measure Start Year]]+0.5),"")</f>
        <v/>
      </c>
      <c r="CC72" s="299" t="str">
        <f ca="1">IFERROR((DeemedDashboard[[#This Row],[Std EOL leakage tons CO2e]]*OFFSET(GHG_Adder_dollar_per_tonne,0,(DeemedDashboard[[#This Row],[Std Device Retire-ment Year]]-DY+1),1,1))/(1+WACC)^(DeemedDashboard[[#This Row],[Std Device Retire-ment Year]]-DeemedDashboard[[#This Row],[Measure Start Year]]+0.5),"")</f>
        <v/>
      </c>
      <c r="CD72" s="299" t="str">
        <f ca="1">IFERROR((DeemedDashboard[[#This Row],[Pre EOL leakage tons CO2e]]*OFFSET(GHG_Adder_dollar_per_tonne,0,(DeemedDashboard[[#This Row],[Measure Start Year]]-DY),1,1))/(1+WACC)^(-0.5),"")</f>
        <v/>
      </c>
      <c r="CE7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2" s="299" t="str">
        <f ca="1">IFERROR(DeemedDashboard[[#This Row],[Msr NPV Cost of Annual Leakage]]/(1+ACC_Inflation_Rate)^(DeemedDashboard[[#This Row],[Measure Start Year]]-DY),"")</f>
        <v/>
      </c>
      <c r="CG72" s="299" t="str">
        <f ca="1">IFERROR(DeemedDashboard[[#This Row],[Std NPV Cost of Annual Leakage]]/(1+ACC_Inflation_Rate)^(DeemedDashboard[[#This Row],[Measure Start Year]]-DY),"")</f>
        <v/>
      </c>
      <c r="CH72" s="299" t="str">
        <f>IFERROR(IF(ISBLANK(DeemedDashboard[[#This Row],[MeasAppType]]),NA(),IF(DeemedDashboard[[#This Row],[MeasAppType]]=const_AR,DeemedDashboard[[#This Row],[Pre NPV Cost of Annual Leakage]]/(1+ACC_Inflation_Rate)^(DeemedDashboard[[#This Row],[Measure Start Year]]-DY),"")),"")</f>
        <v/>
      </c>
      <c r="CI72" s="296" t="str">
        <f>IFERROR(IF(ISBLANK(DeemedDashboard[[#This Row],[MeasAppType]]),NA(),IF(DeemedDashboard[[#This Row],[MeasAppType]]=const_AR,DeemedDashboard[[#This Row],[Ext NPV Cost of Annual Leakage]]/(1+ACC_Inflation_Rate)^(DeemedDashboard[[#This Row],[Measure Start Year]]-DY),"")),"")</f>
        <v/>
      </c>
      <c r="CJ72" s="296" t="str">
        <f ca="1">IFERROR((DeemedDashboard[[#This Row],[Msr % of device lifetime during measure years]]+DeemedDashboard[[#This Row],[Msr % of device lifetime retired early]])*DeemedDashboard[[#This Row],[Msr NPV Cost of EOL Leakage]]/(1+ACC_Inflation_Rate)^(DeemedDashboard[[#This Row],[Measure Start Year]]-DY),"")</f>
        <v/>
      </c>
      <c r="CK72" s="296" t="str">
        <f ca="1">IFERROR((DeemedDashboard[[#This Row],[Std % of device lifetime during measure years]]+DeemedDashboard[[#This Row],[Std % of device lifetime retired early]])*DeemedDashboard[[#This Row],[Std NPV Cost of EOL Leakage]]/(1+ACC_Inflation_Rate)^(DeemedDashboard[[#This Row],[Measure Start Year]]-DY),"")</f>
        <v/>
      </c>
      <c r="CL7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2" s="299" t="str">
        <f ca="1">IFERROR(DeemedDashboard[[#This Row],[Counter-factual total 
NPV cost]]-DeemedDashboard[[#This Row],[Measure total 
NPV cost]],"")</f>
        <v/>
      </c>
      <c r="CQ72" s="299" t="str">
        <f>IF(ISBLANK(DeemedDashboard[[#This Row],[MeasAppType]]),"",DeemedDashboard[[#This Row],[Refrigerant
NPV costs
avoided]]&gt;0)</f>
        <v/>
      </c>
      <c r="CR72" s="299" t="str">
        <f ca="1">IFERROR(DeemedDashboard[[#This Row],[Msr Adj NPV Cost of Annual Leakage]]+DeemedDashboard[[#This Row],[Msr Adj NPV Cost of EOL Leakage]],"")</f>
        <v/>
      </c>
      <c r="CS72" s="299" t="str">
        <f ca="1">IFERROR(DeemedDashboard[[#This Row],[Std Adj NPV Cost of Annual Leakage]]+DeemedDashboard[[#This Row],[Std Adj NPV Cost of EOL Leakage]],"")</f>
        <v/>
      </c>
      <c r="CT72" s="299" t="str">
        <f>IFERROR(IF((DeemedDashboard[[#This Row],[Pre Adj NPV Cost of Annual Leakage]]+DeemedDashboard[[#This Row],[Pre Adj NPV Cost of EOL Leakage]])=0,"",DeemedDashboard[[#This Row],[Pre Adj NPV Cost of Annual Leakage]]+DeemedDashboard[[#This Row],[Pre Adj NPV Cost of EOL Leakage]]),"")</f>
        <v/>
      </c>
      <c r="CU72" s="299" t="str">
        <f>IFERROR(IF((DeemedDashboard[[#This Row],[Ext Adj NPV Cost of Annual Leakage]]+DeemedDashboard[[#This Row],[Ext Adj NPV Cost of EOL Leakage]])=0,"",DeemedDashboard[[#This Row],[Ext Adj NPV Cost of Annual Leakage]]+DeemedDashboard[[#This Row],[Ext Adj NPV Cost of EOL Leakage]]),"")</f>
        <v/>
      </c>
      <c r="CV72" s="299" t="str">
        <f>IFERROR(IF(DeemedDashboard[[#This Row],[Is Avoided Net Cost &gt;0?]],"",-DeemedDashboard[[#This Row],[Refrigerant
NPV costs
avoided]]),"")</f>
        <v/>
      </c>
      <c r="CW72" s="299" t="str">
        <f>IFERROR(IF(DeemedDashboard[[#This Row],[Is Avoided Net Cost &gt;0?]],DeemedDashboard[[#This Row],[Refrigerant
NPV costs
avoided]],""),"")</f>
        <v/>
      </c>
      <c r="CX72" s="391">
        <f ca="1">IFERROR(MATCH(DeemedDashboard[[#This Row],[TechGroup and NormUnit]],TechGroup_and_NormUnit,0),1)</f>
        <v>1</v>
      </c>
      <c r="CY72" s="391" cm="1">
        <f t="array" aca="1" ref="CY72" ca="1">IFERROR(INDEX(TGRows,DeemedDashboard[[#This Row],[TGIndex]]),"")</f>
        <v>2</v>
      </c>
      <c r="CZ72" s="391">
        <f ca="1">IF(DeemedDashboard[[#This Row],[MeasAppType]]=const_AR,DeemedDashboard[[#This Row],[TGRows]],DeemedDashboard[[#This Row],[TGRows]]+1)</f>
        <v>3</v>
      </c>
      <c r="DA72" s="391" t="str">
        <f>IF(ISBLANK(DeemedDashboard[[#This Row],[MeasAppType]]),"",IF(DeemedDashboard[[#This Row],[Index]]=User_Specified_Refrigerant[[#This Row],[Index]],"OK","ERROR"))</f>
        <v/>
      </c>
    </row>
    <row r="73" spans="1:105" s="320" customFormat="1" x14ac:dyDescent="0.25">
      <c r="A73" s="297">
        <f>ROW(DeemedDashboard[[#This Row],[Index]])-ROW(DeemedDashboard[[#Headers],[Index]])</f>
        <v>64</v>
      </c>
      <c r="B73" s="298"/>
      <c r="C73" s="321"/>
      <c r="D73" s="403"/>
      <c r="E73" s="403"/>
      <c r="F73" s="403"/>
      <c r="G73" s="403"/>
      <c r="H73" s="366"/>
      <c r="I73" s="339"/>
      <c r="J73" s="339"/>
      <c r="K73" s="339"/>
      <c r="L73" s="322"/>
      <c r="M73" s="322"/>
      <c r="N73" s="322"/>
      <c r="O7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3" s="582" t="str" cm="1">
        <f t="array" ref="R73">IFERROR(IF(DeemedDashboard[[#This Row],[Msr device type]]=const_device_nonrefrig,0,INDEX(_xlfn.SWITCH($E$4,const_20_yr,GWP_Values_20_year_AR4,const_100_yr,GWP_Values_100_year_AR4),MATCH(DeemedDashboard[[#This Row],[Msr refrigerant Type]],RefrigDropdownList,0))),"")</f>
        <v/>
      </c>
      <c r="S73" s="582" t="str" cm="1">
        <f t="array" ref="S73">IFERROR(IF(DeemedDashboard[[#This Row],[Std device type]]=const_device_nonrefrig,0,INDEX(_xlfn.SWITCH($E$4,const_20_yr,GWP_Values_20_year_AR4,const_100_yr,GWP_Values_100_year_AR4),MATCH(DeemedDashboard[[#This Row],[Std refrigerant Type]],RefrigDropdownList,0))),"")</f>
        <v/>
      </c>
      <c r="T73" s="582" t="str" cm="1">
        <f t="array" ref="T73">IFERROR(IF(DeemedDashboard[[#This Row],[Pre/Ext device type]]=const_device_nonrefrig,0,INDEX(_xlfn.SWITCH($E$4,const_20_yr,GWP_Values_20_year_AR4,const_100_yr,GWP_Values_100_year_AR4),MATCH(DeemedDashboard[[#This Row],[Pre/Ext refrigerant Type]],RefrigDropdownList,0))),"")</f>
        <v/>
      </c>
      <c r="U7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3" s="326" t="str">
        <f>IFERROR(IF(DeemedDashboard[[#This Row],[Msr device type]]=const_userspec,IF(ISBLANK(User_Specified_Refrigerant[[#This Row],[Msr t_EOL]]),"",User_Specified_Refrigerant[[#This Row],[Msr t_EOL]]),INDEX(TechGroup_NormUnit_Table[t_EOL],MATCH(DeemedDashboard[[#This Row],[Msr device type]],DropdownRefrigTech,0))),"")</f>
        <v/>
      </c>
      <c r="AB73" s="326" t="str">
        <f>IFERROR(IF(DeemedDashboard[[#This Row],[Std device type]]=const_userspec,IF(ISBLANK(User_Specified_Refrigerant[[#This Row],[Std t_EOL]]),"",User_Specified_Refrigerant[[#This Row],[Std t_EOL]]),INDEX(TechGroup_NormUnit_Table[t_EOL],MATCH(DeemedDashboard[[#This Row],[Std device type]],DropdownRefrigTech,0))),"")</f>
        <v/>
      </c>
      <c r="AC7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3" s="395" t="str">
        <f>IF(ISBLANK(DeemedDashboard[[#This Row],[MeasAppType]]),"",$E$2)</f>
        <v/>
      </c>
      <c r="AE73" s="395" t="str">
        <f>IFERROR(IF(ISBLANK(DeemedDashboard[[#This Row],[MeasAppType]]),NA(),DeemedDashboard[[#This Row],[Measure Start Year]]+DeemedDashboard[[#This Row],[Msr EUL rounded]]-1),"")</f>
        <v/>
      </c>
      <c r="AF73" s="323" t="str">
        <f>IF(ISBLANK(DeemedDashboard[[#This Row],[Measure New Device EUL]]),"",ROUND(DeemedDashboard[[#This Row],[Measure New Device EUL]],0))</f>
        <v/>
      </c>
      <c r="AG73" s="323" t="str">
        <f>IF(ISBLANK(DeemedDashboard[[#This Row],[Counterfactual New Device EUL]]),"",ROUND(DeemedDashboard[[#This Row],[Counterfactual New Device EUL]],0))</f>
        <v/>
      </c>
      <c r="AH73" s="323" t="str">
        <f>IF(ISBLANK(DeemedDashboard[[#This Row],[Existing Device EUL]]),"",ROUND(DeemedDashboard[[#This Row],[Existing Device EUL]],0))</f>
        <v/>
      </c>
      <c r="AI73" s="323" t="str">
        <f>IF(ISBLANK(DeemedDashboard[[#This Row],[Existing Device RUL or AR First Baseline Life]]),"",ROUND(DeemedDashboard[[#This Row],[Existing Device RUL or AR First Baseline Life]],0))</f>
        <v/>
      </c>
      <c r="AJ73" s="327" t="str">
        <f>DeemedDashboard[[#This Row],[Measure Start Year]]</f>
        <v/>
      </c>
      <c r="AK73" s="327" t="str">
        <f>IF(DeemedDashboard[[#This Row],[MeasAppType]]&lt;&gt;const_AR,DeemedDashboard[[#This Row],[Measure Start Year]],DeemedDashboard[[#This Row],[Ext Device Retire-ment Year]]+1)</f>
        <v/>
      </c>
      <c r="AL73" s="327" t="str">
        <f>IFERROR(IF(DeemedDashboard[[#This Row],[MeasAppType]]=const_AR,DeemedDashboard[[#This Row],[Measure Start Year]]-(DeemedDashboard[[#This Row],[Existing Device EUL]]-DeemedDashboard[[#This Row],[Existing Device RUL or AR First Baseline Life]]),NA()),"")</f>
        <v/>
      </c>
      <c r="AM73" s="327" t="str">
        <f>DeemedDashboard[[#This Row],[Pre Device Install Year]]</f>
        <v/>
      </c>
      <c r="AN73" s="327" t="str">
        <f>IFERROR(IF(ISBLANK(DeemedDashboard[[#This Row],[MeasAppType]]),NA(),DeemedDashboard[[#This Row],[Measure Start Year]]+DeemedDashboard[[#This Row],[Msr EUL rounded]]-1),"")</f>
        <v/>
      </c>
      <c r="AO73" s="327" t="str">
        <f>IFERROR(DeemedDashboard[[#This Row],[Std Device Install Year]]+DeemedDashboard[[#This Row],[Counterfactual New Device EUL]]-1,"")</f>
        <v/>
      </c>
      <c r="AP73" s="327" t="str">
        <f>IFERROR(IF(AND(DeemedDashboard[[#This Row],[MeasAppType]]=const_AR,DeemedDashboard[[#This Row],[Measure Start Year]]&lt;(DeemedDashboard[[#This Row],[Pre Device Install Year]]+DeemedDashboard[[#This Row],[Existing Device EUL]]-1)),DeemedDashboard[[#This Row],[Measure Start Year]]-1,NA()),"")</f>
        <v/>
      </c>
      <c r="AQ73" s="327" t="str">
        <f>IFERROR(IF(DeemedDashboard[[#This Row],[MeasAppType]]=const_AR,DeemedDashboard[[#This Row],[Ext Device Install Year]]+DeemedDashboard[[#This Row],[Existing Device EUL]]-1,NA()),"")</f>
        <v/>
      </c>
      <c r="AR73" s="327" t="str">
        <f>IFERROR(IF(ISBLANK(DeemedDashboard[[#This Row],[MeasAppType]]),NA(),0),"")</f>
        <v/>
      </c>
      <c r="AS73" s="327" t="str">
        <f>IFERROR(IF(ISBLANK(DeemedDashboard[[#This Row],[MeasAppType]]),NA(),0),"")</f>
        <v/>
      </c>
      <c r="AT73" s="327" t="str">
        <f>IF(ISBLANK(DeemedDashboard[[#This Row],[MeasAppType]]),"",IF(DeemedDashboard[[#This Row],[MeasAppType]]&lt;&gt;const_AR,"",(DeemedDashboard[[#This Row],[Pre Device Install Year]]+DeemedDashboard[[#This Row],[Existing Device EUL]]-1)-DeemedDashboard[[#This Row],[Pre Device Retire-ment Year]]))</f>
        <v/>
      </c>
      <c r="AU73" s="327" t="str">
        <f>IF(ISBLANK(DeemedDashboard[[#This Row],[MeasAppType]]),"",IF(DeemedDashboard[[#This Row],[MeasAppType]]=const_AR,0,""))</f>
        <v/>
      </c>
      <c r="AV73" s="328" t="str">
        <f>IF(ISBLANK(DeemedDashboard[[#This Row],[MeasAppType]]),"",MAX((1+MIN(DeemedDashboard[[#This Row],[Msr Device Retire-ment Year]],DeemedDashboard[[#This Row],[Measure End 
Year]])-MAX(DeemedDashboard[[#This Row],[Msr Device Install Year]],DeemedDashboard[[#This Row],[Measure Start Year]])),0))</f>
        <v/>
      </c>
      <c r="AW73" s="328" t="str">
        <f>IF(ISBLANK(DeemedDashboard[[#This Row],[MeasAppType]]),"",MAX((1+MIN(DeemedDashboard[[#This Row],[Std Device Retire-ment Year]],DeemedDashboard[[#This Row],[Measure End 
Year]])-MAX(DeemedDashboard[[#This Row],[Std Device Install Year]],DeemedDashboard[[#This Row],[Measure Start Year]])),0))</f>
        <v/>
      </c>
      <c r="AX7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3" s="329" t="str">
        <f>IF(ISBLANK(DeemedDashboard[[#This Row],[MeasAppType]]),"",IF(DeemedDashboard[[#This Row],[Msr Device Years Over-lapping with Measure Years]]=0,0,DeemedDashboard[[#This Row],[Msr Device Years Over-lapping with Measure Years]]/DeemedDashboard[[#This Row],[Msr EUL rounded]]))</f>
        <v/>
      </c>
      <c r="BA73" s="329" t="str">
        <f>IF(ISBLANK(DeemedDashboard[[#This Row],[MeasAppType]]),"",IF(DeemedDashboard[[#This Row],[Std Device Years Over-lapping with Measure Years]]=0,0,DeemedDashboard[[#This Row],[Std Device Years Over-lapping with Measure Years]]/DeemedDashboard[[#This Row],[Counterfactual New Device EUL]]))</f>
        <v/>
      </c>
      <c r="BB73" s="329" t="str">
        <f>IF(ISBLANK(DeemedDashboard[[#This Row],[MeasAppType]]),"",IFERROR(IF(DeemedDashboard[[#This Row],[Pre Device Years Over-lapping with Measure Years]]=0,0,DeemedDashboard[[#This Row],[Pre Device Years Over-lapping with Measure Years]]/DeemedDashboard[[#This Row],[Existing Device EUL]]),""))</f>
        <v/>
      </c>
      <c r="BC73" s="329" t="str">
        <f>IFERROR(IF(DeemedDashboard[[#This Row],[Ext Device Years Over-lapping with Measure Years]]=0,0,DeemedDashboard[[#This Row],[Ext Device Years Over-lapping with Measure Years]]/DeemedDashboard[[#This Row],[Existing Device EUL]]),"")</f>
        <v/>
      </c>
      <c r="BD73" s="329" t="str">
        <f>IFERROR(IF(DeemedDashboard[[#This Row],[Msr Number of Years device retired early]]=0,0,DeemedDashboard[[#This Row],[Msr Number of Years device retired early]]/DeemedDashboard[[#This Row],[Msr EUL rounded]]),"")</f>
        <v/>
      </c>
      <c r="BE73" s="329" t="str">
        <f>IFERROR(IF(DeemedDashboard[[#This Row],[Std Number of Years device retired early]]=0,0,DeemedDashboard[[#This Row],[Std Number of Years device retired early]]/DeemedDashboard[[#This Row],[Msr EUL rounded]]),"")</f>
        <v/>
      </c>
      <c r="BF73" s="329" t="str">
        <f>IFERROR(IF(DeemedDashboard[[#This Row],[MeasAppType]]&lt;&gt;const_AR,"",IF(DeemedDashboard[[#This Row],[Pre Number of Years device retired early]]=0,0,DeemedDashboard[[#This Row],[Pre Number of Years device retired early]]/DeemedDashboard[[#This Row],[Existing Device EUL]])),"")</f>
        <v/>
      </c>
      <c r="BG73" s="329" t="str">
        <f>IFERROR(IF(DeemedDashboard[[#This Row],[Ext Number of Years device retired early]]=0,0,DeemedDashboard[[#This Row],[Ext Number of Years device retired early]]/DeemedDashboard[[#This Row],[Existing Device EUL]]),"")</f>
        <v/>
      </c>
      <c r="BH73" s="325" t="str">
        <f>IFERROR(1-DeemedDashboard[[#This Row],[Msr annual refrigerant leakage %]]*DeemedDashboard[[#This Row],[Msr t_EOL]],"")</f>
        <v/>
      </c>
      <c r="BI73" s="325" t="str">
        <f>IFERROR(1-DeemedDashboard[[#This Row],[Std annual refrigerant leakage %]]*DeemedDashboard[[#This Row],[Std t_EOL]],"")</f>
        <v/>
      </c>
      <c r="BJ73" s="325" t="str">
        <f>IFERROR(1-DeemedDashboard[[#This Row],[Pre/Ext annual refrigerant leakage %]]*DeemedDashboard[[#This Row],[Pre/Ext t_EOL]],"")</f>
        <v/>
      </c>
      <c r="BK73" s="325" t="str">
        <f>IFERROR(1-DeemedDashboard[[#This Row],[Pre/Ext annual refrigerant leakage %]]*DeemedDashboard[[#This Row],[Pre/Ext t_EOL]],"")</f>
        <v/>
      </c>
      <c r="BL73" s="325" t="str">
        <f>IFERROR(DeemedDashboard[[#This Row],[Msr charging remaining (%)]]*DeemedDashboard[[#This Row],[Msr gross EOL refrigerant leakage %]],"")</f>
        <v/>
      </c>
      <c r="BM73" s="325" t="str">
        <f>IFERROR(DeemedDashboard[[#This Row],[Std charging remaining (%)]]*DeemedDashboard[[#This Row],[Std gross EOL refrigerant leakage %]],"")</f>
        <v/>
      </c>
      <c r="BN73" s="325" t="str">
        <f>IFERROR(DeemedDashboard[[#This Row],[Pre charging remaining (%)]]*DeemedDashboard[[#This Row],[Pre/Ext gross EOL refrigerant leakage %]],"")</f>
        <v/>
      </c>
      <c r="BO73" s="325" t="str">
        <f>IFERROR(DeemedDashboard[[#This Row],[Ext charging remaining (%)]]*DeemedDashboard[[#This Row],[Pre/Ext gross EOL refrigerant leakage %]],"")</f>
        <v/>
      </c>
      <c r="BP73" s="330" t="str">
        <f>IFERROR((DeemedDashboard[[#This Row],[Msr refrigerant charge (lb) per NormUnit]]/pounds_per_metric_ton)*DeemedDashboard[[#This Row],[Msr annual refrigerant leakage %]]*DeemedDashboard[[#This Row],[Msr GWP]],"")</f>
        <v/>
      </c>
      <c r="BQ73" s="330" t="str">
        <f>IFERROR((DeemedDashboard[[#This Row],[Std refrigerant charge (lb) per NormUnit]]/pounds_per_metric_ton)*DeemedDashboard[[#This Row],[Std annual refrigerant leakage %]]*DeemedDashboard[[#This Row],[Std GWP]],"")</f>
        <v/>
      </c>
      <c r="BR73" s="330" t="str">
        <f>IF(DeemedDashboard[[#This Row],[MeasAppType]]=const_AR,(DeemedDashboard[[#This Row],[Pre/Ext refrigerant charge (lb) per NormUnit]]/pounds_per_metric_ton)*DeemedDashboard[[#This Row],[Pre/Ext annual refrigerant leakage %]]*DeemedDashboard[[#This Row],[Pre/Ext GWP]],"")</f>
        <v/>
      </c>
      <c r="BS73" s="330" t="str">
        <f>IF(DeemedDashboard[[#This Row],[MeasAppType]]=const_AR,(DeemedDashboard[[#This Row],[Pre/Ext refrigerant charge (lb) per NormUnit]]/pounds_per_metric_ton)*DeemedDashboard[[#This Row],[Pre/Ext annual refrigerant leakage %]]*DeemedDashboard[[#This Row],[Pre/Ext GWP]],"")</f>
        <v/>
      </c>
      <c r="BT73" s="330" t="str">
        <f>IFERROR((DeemedDashboard[[#This Row],[Msr refrigerant charge (lb) per NormUnit]]/pounds_per_metric_ton)*DeemedDashboard[[#This Row],[Msr net EOL refrigerant leakage (%)]]*DeemedDashboard[[#This Row],[Msr GWP]],"")</f>
        <v/>
      </c>
      <c r="BU73" s="330" t="str">
        <f>IFERROR((DeemedDashboard[[#This Row],[Std refrigerant charge (lb) per NormUnit]]/pounds_per_metric_ton)*DeemedDashboard[[#This Row],[Std net EOL refrigerant leakage (%)]]*DeemedDashboard[[#This Row],[Std GWP]],"")</f>
        <v/>
      </c>
      <c r="BV73" s="330" t="str">
        <f>IFERROR((DeemedDashboard[[#This Row],[Pre/Ext refrigerant charge (lb) per NormUnit]]/pounds_per_metric_ton)*DeemedDashboard[[#This Row],[Pre net EOL refrigerant leakage (%)]]*DeemedDashboard[[#This Row],[Pre/Ext GWP]],"")</f>
        <v/>
      </c>
      <c r="BW73" s="330" t="str">
        <f>IFERROR((DeemedDashboard[[#This Row],[Pre/Ext refrigerant charge (lb) per NormUnit]]/pounds_per_metric_ton)*DeemedDashboard[[#This Row],[Ext net EOL refrigerant leakage (%)]]*DeemedDashboard[[#This Row],[Pre/Ext GWP]],"")</f>
        <v/>
      </c>
      <c r="BX73" s="299" t="str" cm="1">
        <f t="array" aca="1" ref="BX7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3" s="305" t="str" cm="1">
        <f t="array" aca="1" ref="BY7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3" s="299" t="str">
        <f>IFERROR(IF(OR(DeemedDashboard[[#This Row],[MeasAppType]]&lt;&gt;const_AR,ISBLANK(DeemedDashboard[[#This Row],[MeasAppType]])),NA(),0),"")</f>
        <v/>
      </c>
      <c r="CA73" s="305" t="str" cm="1">
        <f t="array" aca="1" ref="CA7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3" s="299" t="str">
        <f ca="1">IFERROR((DeemedDashboard[[#This Row],[Msr EOL leakage tons CO2e]]*OFFSET(GHG_Adder_dollar_per_tonne,0,(DeemedDashboard[[#This Row],[Msr Device Retire-ment Year]]-DY+1),1,1))/(1+WACC)^(DeemedDashboard[[#This Row],[Msr Device Retire-ment Year]]-DeemedDashboard[[#This Row],[Measure Start Year]]+0.5),"")</f>
        <v/>
      </c>
      <c r="CC73" s="299" t="str">
        <f ca="1">IFERROR((DeemedDashboard[[#This Row],[Std EOL leakage tons CO2e]]*OFFSET(GHG_Adder_dollar_per_tonne,0,(DeemedDashboard[[#This Row],[Std Device Retire-ment Year]]-DY+1),1,1))/(1+WACC)^(DeemedDashboard[[#This Row],[Std Device Retire-ment Year]]-DeemedDashboard[[#This Row],[Measure Start Year]]+0.5),"")</f>
        <v/>
      </c>
      <c r="CD73" s="299" t="str">
        <f ca="1">IFERROR((DeemedDashboard[[#This Row],[Pre EOL leakage tons CO2e]]*OFFSET(GHG_Adder_dollar_per_tonne,0,(DeemedDashboard[[#This Row],[Measure Start Year]]-DY),1,1))/(1+WACC)^(-0.5),"")</f>
        <v/>
      </c>
      <c r="CE7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3" s="296" t="str">
        <f ca="1">IFERROR(DeemedDashboard[[#This Row],[Msr NPV Cost of Annual Leakage]]/(1+ACC_Inflation_Rate)^(DeemedDashboard[[#This Row],[Measure Start Year]]-DY),"")</f>
        <v/>
      </c>
      <c r="CG73" s="296" t="str">
        <f ca="1">IFERROR(DeemedDashboard[[#This Row],[Std NPV Cost of Annual Leakage]]/(1+ACC_Inflation_Rate)^(DeemedDashboard[[#This Row],[Measure Start Year]]-DY),"")</f>
        <v/>
      </c>
      <c r="CH73" s="296" t="str">
        <f>IFERROR(IF(ISBLANK(DeemedDashboard[[#This Row],[MeasAppType]]),NA(),IF(DeemedDashboard[[#This Row],[MeasAppType]]=const_AR,DeemedDashboard[[#This Row],[Pre NPV Cost of Annual Leakage]]/(1+ACC_Inflation_Rate)^(DeemedDashboard[[#This Row],[Measure Start Year]]-DY),"")),"")</f>
        <v/>
      </c>
      <c r="CI73" s="296" t="str">
        <f>IFERROR(IF(ISBLANK(DeemedDashboard[[#This Row],[MeasAppType]]),NA(),IF(DeemedDashboard[[#This Row],[MeasAppType]]=const_AR,DeemedDashboard[[#This Row],[Ext NPV Cost of Annual Leakage]]/(1+ACC_Inflation_Rate)^(DeemedDashboard[[#This Row],[Measure Start Year]]-DY),"")),"")</f>
        <v/>
      </c>
      <c r="CJ73" s="296" t="str">
        <f ca="1">IFERROR((DeemedDashboard[[#This Row],[Msr % of device lifetime during measure years]]+DeemedDashboard[[#This Row],[Msr % of device lifetime retired early]])*DeemedDashboard[[#This Row],[Msr NPV Cost of EOL Leakage]]/(1+ACC_Inflation_Rate)^(DeemedDashboard[[#This Row],[Measure Start Year]]-DY),"")</f>
        <v/>
      </c>
      <c r="CK73" s="296" t="str">
        <f ca="1">IFERROR((DeemedDashboard[[#This Row],[Std % of device lifetime during measure years]]+DeemedDashboard[[#This Row],[Std % of device lifetime retired early]])*DeemedDashboard[[#This Row],[Std NPV Cost of EOL Leakage]]/(1+ACC_Inflation_Rate)^(DeemedDashboard[[#This Row],[Measure Start Year]]-DY),"")</f>
        <v/>
      </c>
      <c r="CL7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3" s="299" t="str">
        <f ca="1">IFERROR(DeemedDashboard[[#This Row],[Counter-factual total 
NPV cost]]-DeemedDashboard[[#This Row],[Measure total 
NPV cost]],"")</f>
        <v/>
      </c>
      <c r="CQ73" s="299" t="str">
        <f>IF(ISBLANK(DeemedDashboard[[#This Row],[MeasAppType]]),"",DeemedDashboard[[#This Row],[Refrigerant
NPV costs
avoided]]&gt;0)</f>
        <v/>
      </c>
      <c r="CR73" s="299" t="str">
        <f ca="1">IFERROR(DeemedDashboard[[#This Row],[Msr Adj NPV Cost of Annual Leakage]]+DeemedDashboard[[#This Row],[Msr Adj NPV Cost of EOL Leakage]],"")</f>
        <v/>
      </c>
      <c r="CS73" s="299" t="str">
        <f ca="1">IFERROR(DeemedDashboard[[#This Row],[Std Adj NPV Cost of Annual Leakage]]+DeemedDashboard[[#This Row],[Std Adj NPV Cost of EOL Leakage]],"")</f>
        <v/>
      </c>
      <c r="CT73" s="299" t="str">
        <f>IFERROR(IF((DeemedDashboard[[#This Row],[Pre Adj NPV Cost of Annual Leakage]]+DeemedDashboard[[#This Row],[Pre Adj NPV Cost of EOL Leakage]])=0,"",DeemedDashboard[[#This Row],[Pre Adj NPV Cost of Annual Leakage]]+DeemedDashboard[[#This Row],[Pre Adj NPV Cost of EOL Leakage]]),"")</f>
        <v/>
      </c>
      <c r="CU73" s="299" t="str">
        <f>IFERROR(IF((DeemedDashboard[[#This Row],[Ext Adj NPV Cost of Annual Leakage]]+DeemedDashboard[[#This Row],[Ext Adj NPV Cost of EOL Leakage]])=0,"",DeemedDashboard[[#This Row],[Ext Adj NPV Cost of Annual Leakage]]+DeemedDashboard[[#This Row],[Ext Adj NPV Cost of EOL Leakage]]),"")</f>
        <v/>
      </c>
      <c r="CV73" s="299" t="str">
        <f>IFERROR(IF(DeemedDashboard[[#This Row],[Is Avoided Net Cost &gt;0?]],"",-DeemedDashboard[[#This Row],[Refrigerant
NPV costs
avoided]]),"")</f>
        <v/>
      </c>
      <c r="CW73" s="299" t="str">
        <f>IFERROR(IF(DeemedDashboard[[#This Row],[Is Avoided Net Cost &gt;0?]],DeemedDashboard[[#This Row],[Refrigerant
NPV costs
avoided]],""),"")</f>
        <v/>
      </c>
      <c r="CX73" s="391">
        <f ca="1">IFERROR(MATCH(DeemedDashboard[[#This Row],[TechGroup and NormUnit]],TechGroup_and_NormUnit,0),1)</f>
        <v>1</v>
      </c>
      <c r="CY73" s="391" cm="1">
        <f t="array" aca="1" ref="CY73" ca="1">IFERROR(INDEX(TGRows,DeemedDashboard[[#This Row],[TGIndex]]),"")</f>
        <v>2</v>
      </c>
      <c r="CZ73" s="391">
        <f ca="1">IF(DeemedDashboard[[#This Row],[MeasAppType]]=const_AR,DeemedDashboard[[#This Row],[TGRows]],DeemedDashboard[[#This Row],[TGRows]]+1)</f>
        <v>3</v>
      </c>
      <c r="DA73" s="391" t="str">
        <f>IF(ISBLANK(DeemedDashboard[[#This Row],[MeasAppType]]),"",IF(DeemedDashboard[[#This Row],[Index]]=User_Specified_Refrigerant[[#This Row],[Index]],"OK","ERROR"))</f>
        <v/>
      </c>
    </row>
    <row r="74" spans="1:105" s="320" customFormat="1" x14ac:dyDescent="0.25">
      <c r="A74" s="297">
        <f>ROW(DeemedDashboard[[#This Row],[Index]])-ROW(DeemedDashboard[[#Headers],[Index]])</f>
        <v>65</v>
      </c>
      <c r="B74" s="298"/>
      <c r="C74" s="321"/>
      <c r="D74" s="403"/>
      <c r="E74" s="403"/>
      <c r="F74" s="403"/>
      <c r="G74" s="403"/>
      <c r="H74" s="366"/>
      <c r="I74" s="339"/>
      <c r="J74" s="339"/>
      <c r="K74" s="339"/>
      <c r="L74" s="322"/>
      <c r="M74" s="322"/>
      <c r="N74" s="322"/>
      <c r="O7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4" s="582" t="str" cm="1">
        <f t="array" ref="R74">IFERROR(IF(DeemedDashboard[[#This Row],[Msr device type]]=const_device_nonrefrig,0,INDEX(_xlfn.SWITCH($E$4,const_20_yr,GWP_Values_20_year_AR4,const_100_yr,GWP_Values_100_year_AR4),MATCH(DeemedDashboard[[#This Row],[Msr refrigerant Type]],RefrigDropdownList,0))),"")</f>
        <v/>
      </c>
      <c r="S74" s="582" t="str" cm="1">
        <f t="array" ref="S74">IFERROR(IF(DeemedDashboard[[#This Row],[Std device type]]=const_device_nonrefrig,0,INDEX(_xlfn.SWITCH($E$4,const_20_yr,GWP_Values_20_year_AR4,const_100_yr,GWP_Values_100_year_AR4),MATCH(DeemedDashboard[[#This Row],[Std refrigerant Type]],RefrigDropdownList,0))),"")</f>
        <v/>
      </c>
      <c r="T74" s="582" t="str" cm="1">
        <f t="array" ref="T74">IFERROR(IF(DeemedDashboard[[#This Row],[Pre/Ext device type]]=const_device_nonrefrig,0,INDEX(_xlfn.SWITCH($E$4,const_20_yr,GWP_Values_20_year_AR4,const_100_yr,GWP_Values_100_year_AR4),MATCH(DeemedDashboard[[#This Row],[Pre/Ext refrigerant Type]],RefrigDropdownList,0))),"")</f>
        <v/>
      </c>
      <c r="U7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4" s="326" t="str">
        <f>IFERROR(IF(DeemedDashboard[[#This Row],[Msr device type]]=const_userspec,IF(ISBLANK(User_Specified_Refrigerant[[#This Row],[Msr t_EOL]]),"",User_Specified_Refrigerant[[#This Row],[Msr t_EOL]]),INDEX(TechGroup_NormUnit_Table[t_EOL],MATCH(DeemedDashboard[[#This Row],[Msr device type]],DropdownRefrigTech,0))),"")</f>
        <v/>
      </c>
      <c r="AB74" s="326" t="str">
        <f>IFERROR(IF(DeemedDashboard[[#This Row],[Std device type]]=const_userspec,IF(ISBLANK(User_Specified_Refrigerant[[#This Row],[Std t_EOL]]),"",User_Specified_Refrigerant[[#This Row],[Std t_EOL]]),INDEX(TechGroup_NormUnit_Table[t_EOL],MATCH(DeemedDashboard[[#This Row],[Std device type]],DropdownRefrigTech,0))),"")</f>
        <v/>
      </c>
      <c r="AC7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4" s="395" t="str">
        <f>IF(ISBLANK(DeemedDashboard[[#This Row],[MeasAppType]]),"",$E$2)</f>
        <v/>
      </c>
      <c r="AE74" s="395" t="str">
        <f>IFERROR(IF(ISBLANK(DeemedDashboard[[#This Row],[MeasAppType]]),NA(),DeemedDashboard[[#This Row],[Measure Start Year]]+DeemedDashboard[[#This Row],[Msr EUL rounded]]-1),"")</f>
        <v/>
      </c>
      <c r="AF74" s="323" t="str">
        <f>IF(ISBLANK(DeemedDashboard[[#This Row],[Measure New Device EUL]]),"",ROUND(DeemedDashboard[[#This Row],[Measure New Device EUL]],0))</f>
        <v/>
      </c>
      <c r="AG74" s="323" t="str">
        <f>IF(ISBLANK(DeemedDashboard[[#This Row],[Counterfactual New Device EUL]]),"",ROUND(DeemedDashboard[[#This Row],[Counterfactual New Device EUL]],0))</f>
        <v/>
      </c>
      <c r="AH74" s="323" t="str">
        <f>IF(ISBLANK(DeemedDashboard[[#This Row],[Existing Device EUL]]),"",ROUND(DeemedDashboard[[#This Row],[Existing Device EUL]],0))</f>
        <v/>
      </c>
      <c r="AI74" s="323" t="str">
        <f>IF(ISBLANK(DeemedDashboard[[#This Row],[Existing Device RUL or AR First Baseline Life]]),"",ROUND(DeemedDashboard[[#This Row],[Existing Device RUL or AR First Baseline Life]],0))</f>
        <v/>
      </c>
      <c r="AJ74" s="327" t="str">
        <f>DeemedDashboard[[#This Row],[Measure Start Year]]</f>
        <v/>
      </c>
      <c r="AK74" s="327" t="str">
        <f>IF(DeemedDashboard[[#This Row],[MeasAppType]]&lt;&gt;const_AR,DeemedDashboard[[#This Row],[Measure Start Year]],DeemedDashboard[[#This Row],[Ext Device Retire-ment Year]]+1)</f>
        <v/>
      </c>
      <c r="AL74" s="327" t="str">
        <f>IFERROR(IF(DeemedDashboard[[#This Row],[MeasAppType]]=const_AR,DeemedDashboard[[#This Row],[Measure Start Year]]-(DeemedDashboard[[#This Row],[Existing Device EUL]]-DeemedDashboard[[#This Row],[Existing Device RUL or AR First Baseline Life]]),NA()),"")</f>
        <v/>
      </c>
      <c r="AM74" s="327" t="str">
        <f>DeemedDashboard[[#This Row],[Pre Device Install Year]]</f>
        <v/>
      </c>
      <c r="AN74" s="327" t="str">
        <f>IFERROR(IF(ISBLANK(DeemedDashboard[[#This Row],[MeasAppType]]),NA(),DeemedDashboard[[#This Row],[Measure Start Year]]+DeemedDashboard[[#This Row],[Msr EUL rounded]]-1),"")</f>
        <v/>
      </c>
      <c r="AO74" s="327" t="str">
        <f>IFERROR(DeemedDashboard[[#This Row],[Std Device Install Year]]+DeemedDashboard[[#This Row],[Counterfactual New Device EUL]]-1,"")</f>
        <v/>
      </c>
      <c r="AP74" s="327" t="str">
        <f>IFERROR(IF(AND(DeemedDashboard[[#This Row],[MeasAppType]]=const_AR,DeemedDashboard[[#This Row],[Measure Start Year]]&lt;(DeemedDashboard[[#This Row],[Pre Device Install Year]]+DeemedDashboard[[#This Row],[Existing Device EUL]]-1)),DeemedDashboard[[#This Row],[Measure Start Year]]-1,NA()),"")</f>
        <v/>
      </c>
      <c r="AQ74" s="327" t="str">
        <f>IFERROR(IF(DeemedDashboard[[#This Row],[MeasAppType]]=const_AR,DeemedDashboard[[#This Row],[Ext Device Install Year]]+DeemedDashboard[[#This Row],[Existing Device EUL]]-1,NA()),"")</f>
        <v/>
      </c>
      <c r="AR74" s="327" t="str">
        <f>IFERROR(IF(ISBLANK(DeemedDashboard[[#This Row],[MeasAppType]]),NA(),0),"")</f>
        <v/>
      </c>
      <c r="AS74" s="327" t="str">
        <f>IFERROR(IF(ISBLANK(DeemedDashboard[[#This Row],[MeasAppType]]),NA(),0),"")</f>
        <v/>
      </c>
      <c r="AT74" s="327" t="str">
        <f>IF(ISBLANK(DeemedDashboard[[#This Row],[MeasAppType]]),"",IF(DeemedDashboard[[#This Row],[MeasAppType]]&lt;&gt;const_AR,"",(DeemedDashboard[[#This Row],[Pre Device Install Year]]+DeemedDashboard[[#This Row],[Existing Device EUL]]-1)-DeemedDashboard[[#This Row],[Pre Device Retire-ment Year]]))</f>
        <v/>
      </c>
      <c r="AU74" s="327" t="str">
        <f>IF(ISBLANK(DeemedDashboard[[#This Row],[MeasAppType]]),"",IF(DeemedDashboard[[#This Row],[MeasAppType]]=const_AR,0,""))</f>
        <v/>
      </c>
      <c r="AV74" s="328" t="str">
        <f>IF(ISBLANK(DeemedDashboard[[#This Row],[MeasAppType]]),"",MAX((1+MIN(DeemedDashboard[[#This Row],[Msr Device Retire-ment Year]],DeemedDashboard[[#This Row],[Measure End 
Year]])-MAX(DeemedDashboard[[#This Row],[Msr Device Install Year]],DeemedDashboard[[#This Row],[Measure Start Year]])),0))</f>
        <v/>
      </c>
      <c r="AW74" s="328" t="str">
        <f>IF(ISBLANK(DeemedDashboard[[#This Row],[MeasAppType]]),"",MAX((1+MIN(DeemedDashboard[[#This Row],[Std Device Retire-ment Year]],DeemedDashboard[[#This Row],[Measure End 
Year]])-MAX(DeemedDashboard[[#This Row],[Std Device Install Year]],DeemedDashboard[[#This Row],[Measure Start Year]])),0))</f>
        <v/>
      </c>
      <c r="AX7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4" s="329" t="str">
        <f>IF(ISBLANK(DeemedDashboard[[#This Row],[MeasAppType]]),"",IF(DeemedDashboard[[#This Row],[Msr Device Years Over-lapping with Measure Years]]=0,0,DeemedDashboard[[#This Row],[Msr Device Years Over-lapping with Measure Years]]/DeemedDashboard[[#This Row],[Msr EUL rounded]]))</f>
        <v/>
      </c>
      <c r="BA74" s="329" t="str">
        <f>IF(ISBLANK(DeemedDashboard[[#This Row],[MeasAppType]]),"",IF(DeemedDashboard[[#This Row],[Std Device Years Over-lapping with Measure Years]]=0,0,DeemedDashboard[[#This Row],[Std Device Years Over-lapping with Measure Years]]/DeemedDashboard[[#This Row],[Counterfactual New Device EUL]]))</f>
        <v/>
      </c>
      <c r="BB74" s="329" t="str">
        <f>IF(ISBLANK(DeemedDashboard[[#This Row],[MeasAppType]]),"",IFERROR(IF(DeemedDashboard[[#This Row],[Pre Device Years Over-lapping with Measure Years]]=0,0,DeemedDashboard[[#This Row],[Pre Device Years Over-lapping with Measure Years]]/DeemedDashboard[[#This Row],[Existing Device EUL]]),""))</f>
        <v/>
      </c>
      <c r="BC74" s="329" t="str">
        <f>IFERROR(IF(DeemedDashboard[[#This Row],[Ext Device Years Over-lapping with Measure Years]]=0,0,DeemedDashboard[[#This Row],[Ext Device Years Over-lapping with Measure Years]]/DeemedDashboard[[#This Row],[Existing Device EUL]]),"")</f>
        <v/>
      </c>
      <c r="BD74" s="329" t="str">
        <f>IFERROR(IF(DeemedDashboard[[#This Row],[Msr Number of Years device retired early]]=0,0,DeemedDashboard[[#This Row],[Msr Number of Years device retired early]]/DeemedDashboard[[#This Row],[Msr EUL rounded]]),"")</f>
        <v/>
      </c>
      <c r="BE74" s="329" t="str">
        <f>IFERROR(IF(DeemedDashboard[[#This Row],[Std Number of Years device retired early]]=0,0,DeemedDashboard[[#This Row],[Std Number of Years device retired early]]/DeemedDashboard[[#This Row],[Msr EUL rounded]]),"")</f>
        <v/>
      </c>
      <c r="BF74" s="329" t="str">
        <f>IFERROR(IF(DeemedDashboard[[#This Row],[MeasAppType]]&lt;&gt;const_AR,"",IF(DeemedDashboard[[#This Row],[Pre Number of Years device retired early]]=0,0,DeemedDashboard[[#This Row],[Pre Number of Years device retired early]]/DeemedDashboard[[#This Row],[Existing Device EUL]])),"")</f>
        <v/>
      </c>
      <c r="BG74" s="329" t="str">
        <f>IFERROR(IF(DeemedDashboard[[#This Row],[Ext Number of Years device retired early]]=0,0,DeemedDashboard[[#This Row],[Ext Number of Years device retired early]]/DeemedDashboard[[#This Row],[Existing Device EUL]]),"")</f>
        <v/>
      </c>
      <c r="BH74" s="325" t="str">
        <f>IFERROR(1-DeemedDashboard[[#This Row],[Msr annual refrigerant leakage %]]*DeemedDashboard[[#This Row],[Msr t_EOL]],"")</f>
        <v/>
      </c>
      <c r="BI74" s="325" t="str">
        <f>IFERROR(1-DeemedDashboard[[#This Row],[Std annual refrigerant leakage %]]*DeemedDashboard[[#This Row],[Std t_EOL]],"")</f>
        <v/>
      </c>
      <c r="BJ74" s="325" t="str">
        <f>IFERROR(1-DeemedDashboard[[#This Row],[Pre/Ext annual refrigerant leakage %]]*DeemedDashboard[[#This Row],[Pre/Ext t_EOL]],"")</f>
        <v/>
      </c>
      <c r="BK74" s="325" t="str">
        <f>IFERROR(1-DeemedDashboard[[#This Row],[Pre/Ext annual refrigerant leakage %]]*DeemedDashboard[[#This Row],[Pre/Ext t_EOL]],"")</f>
        <v/>
      </c>
      <c r="BL74" s="325" t="str">
        <f>IFERROR(DeemedDashboard[[#This Row],[Msr charging remaining (%)]]*DeemedDashboard[[#This Row],[Msr gross EOL refrigerant leakage %]],"")</f>
        <v/>
      </c>
      <c r="BM74" s="325" t="str">
        <f>IFERROR(DeemedDashboard[[#This Row],[Std charging remaining (%)]]*DeemedDashboard[[#This Row],[Std gross EOL refrigerant leakage %]],"")</f>
        <v/>
      </c>
      <c r="BN74" s="325" t="str">
        <f>IFERROR(DeemedDashboard[[#This Row],[Pre charging remaining (%)]]*DeemedDashboard[[#This Row],[Pre/Ext gross EOL refrigerant leakage %]],"")</f>
        <v/>
      </c>
      <c r="BO74" s="325" t="str">
        <f>IFERROR(DeemedDashboard[[#This Row],[Ext charging remaining (%)]]*DeemedDashboard[[#This Row],[Pre/Ext gross EOL refrigerant leakage %]],"")</f>
        <v/>
      </c>
      <c r="BP74" s="330" t="str">
        <f>IFERROR((DeemedDashboard[[#This Row],[Msr refrigerant charge (lb) per NormUnit]]/pounds_per_metric_ton)*DeemedDashboard[[#This Row],[Msr annual refrigerant leakage %]]*DeemedDashboard[[#This Row],[Msr GWP]],"")</f>
        <v/>
      </c>
      <c r="BQ74" s="330" t="str">
        <f>IFERROR((DeemedDashboard[[#This Row],[Std refrigerant charge (lb) per NormUnit]]/pounds_per_metric_ton)*DeemedDashboard[[#This Row],[Std annual refrigerant leakage %]]*DeemedDashboard[[#This Row],[Std GWP]],"")</f>
        <v/>
      </c>
      <c r="BR74" s="330" t="str">
        <f>IF(DeemedDashboard[[#This Row],[MeasAppType]]=const_AR,(DeemedDashboard[[#This Row],[Pre/Ext refrigerant charge (lb) per NormUnit]]/pounds_per_metric_ton)*DeemedDashboard[[#This Row],[Pre/Ext annual refrigerant leakage %]]*DeemedDashboard[[#This Row],[Pre/Ext GWP]],"")</f>
        <v/>
      </c>
      <c r="BS74" s="330" t="str">
        <f>IF(DeemedDashboard[[#This Row],[MeasAppType]]=const_AR,(DeemedDashboard[[#This Row],[Pre/Ext refrigerant charge (lb) per NormUnit]]/pounds_per_metric_ton)*DeemedDashboard[[#This Row],[Pre/Ext annual refrigerant leakage %]]*DeemedDashboard[[#This Row],[Pre/Ext GWP]],"")</f>
        <v/>
      </c>
      <c r="BT74" s="330" t="str">
        <f>IFERROR((DeemedDashboard[[#This Row],[Msr refrigerant charge (lb) per NormUnit]]/pounds_per_metric_ton)*DeemedDashboard[[#This Row],[Msr net EOL refrigerant leakage (%)]]*DeemedDashboard[[#This Row],[Msr GWP]],"")</f>
        <v/>
      </c>
      <c r="BU74" s="330" t="str">
        <f>IFERROR((DeemedDashboard[[#This Row],[Std refrigerant charge (lb) per NormUnit]]/pounds_per_metric_ton)*DeemedDashboard[[#This Row],[Std net EOL refrigerant leakage (%)]]*DeemedDashboard[[#This Row],[Std GWP]],"")</f>
        <v/>
      </c>
      <c r="BV74" s="330" t="str">
        <f>IFERROR((DeemedDashboard[[#This Row],[Pre/Ext refrigerant charge (lb) per NormUnit]]/pounds_per_metric_ton)*DeemedDashboard[[#This Row],[Pre net EOL refrigerant leakage (%)]]*DeemedDashboard[[#This Row],[Pre/Ext GWP]],"")</f>
        <v/>
      </c>
      <c r="BW74" s="330" t="str">
        <f>IFERROR((DeemedDashboard[[#This Row],[Pre/Ext refrigerant charge (lb) per NormUnit]]/pounds_per_metric_ton)*DeemedDashboard[[#This Row],[Ext net EOL refrigerant leakage (%)]]*DeemedDashboard[[#This Row],[Pre/Ext GWP]],"")</f>
        <v/>
      </c>
      <c r="BX74" s="299" t="str" cm="1">
        <f t="array" aca="1" ref="BX7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4" s="305" t="str" cm="1">
        <f t="array" aca="1" ref="BY7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4" s="299" t="str">
        <f>IFERROR(IF(OR(DeemedDashboard[[#This Row],[MeasAppType]]&lt;&gt;const_AR,ISBLANK(DeemedDashboard[[#This Row],[MeasAppType]])),NA(),0),"")</f>
        <v/>
      </c>
      <c r="CA74" s="305" t="str" cm="1">
        <f t="array" aca="1" ref="CA7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4" s="299" t="str">
        <f ca="1">IFERROR((DeemedDashboard[[#This Row],[Msr EOL leakage tons CO2e]]*OFFSET(GHG_Adder_dollar_per_tonne,0,(DeemedDashboard[[#This Row],[Msr Device Retire-ment Year]]-DY+1),1,1))/(1+WACC)^(DeemedDashboard[[#This Row],[Msr Device Retire-ment Year]]-DeemedDashboard[[#This Row],[Measure Start Year]]+0.5),"")</f>
        <v/>
      </c>
      <c r="CC74" s="299" t="str">
        <f ca="1">IFERROR((DeemedDashboard[[#This Row],[Std EOL leakage tons CO2e]]*OFFSET(GHG_Adder_dollar_per_tonne,0,(DeemedDashboard[[#This Row],[Std Device Retire-ment Year]]-DY+1),1,1))/(1+WACC)^(DeemedDashboard[[#This Row],[Std Device Retire-ment Year]]-DeemedDashboard[[#This Row],[Measure Start Year]]+0.5),"")</f>
        <v/>
      </c>
      <c r="CD74" s="299" t="str">
        <f ca="1">IFERROR((DeemedDashboard[[#This Row],[Pre EOL leakage tons CO2e]]*OFFSET(GHG_Adder_dollar_per_tonne,0,(DeemedDashboard[[#This Row],[Measure Start Year]]-DY),1,1))/(1+WACC)^(-0.5),"")</f>
        <v/>
      </c>
      <c r="CE7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4" s="299" t="str">
        <f ca="1">IFERROR(DeemedDashboard[[#This Row],[Msr NPV Cost of Annual Leakage]]/(1+ACC_Inflation_Rate)^(DeemedDashboard[[#This Row],[Measure Start Year]]-DY),"")</f>
        <v/>
      </c>
      <c r="CG74" s="299" t="str">
        <f ca="1">IFERROR(DeemedDashboard[[#This Row],[Std NPV Cost of Annual Leakage]]/(1+ACC_Inflation_Rate)^(DeemedDashboard[[#This Row],[Measure Start Year]]-DY),"")</f>
        <v/>
      </c>
      <c r="CH74" s="299" t="str">
        <f>IFERROR(IF(ISBLANK(DeemedDashboard[[#This Row],[MeasAppType]]),NA(),IF(DeemedDashboard[[#This Row],[MeasAppType]]=const_AR,DeemedDashboard[[#This Row],[Pre NPV Cost of Annual Leakage]]/(1+ACC_Inflation_Rate)^(DeemedDashboard[[#This Row],[Measure Start Year]]-DY),"")),"")</f>
        <v/>
      </c>
      <c r="CI74" s="296" t="str">
        <f>IFERROR(IF(ISBLANK(DeemedDashboard[[#This Row],[MeasAppType]]),NA(),IF(DeemedDashboard[[#This Row],[MeasAppType]]=const_AR,DeemedDashboard[[#This Row],[Ext NPV Cost of Annual Leakage]]/(1+ACC_Inflation_Rate)^(DeemedDashboard[[#This Row],[Measure Start Year]]-DY),"")),"")</f>
        <v/>
      </c>
      <c r="CJ74" s="296" t="str">
        <f ca="1">IFERROR((DeemedDashboard[[#This Row],[Msr % of device lifetime during measure years]]+DeemedDashboard[[#This Row],[Msr % of device lifetime retired early]])*DeemedDashboard[[#This Row],[Msr NPV Cost of EOL Leakage]]/(1+ACC_Inflation_Rate)^(DeemedDashboard[[#This Row],[Measure Start Year]]-DY),"")</f>
        <v/>
      </c>
      <c r="CK74" s="296" t="str">
        <f ca="1">IFERROR((DeemedDashboard[[#This Row],[Std % of device lifetime during measure years]]+DeemedDashboard[[#This Row],[Std % of device lifetime retired early]])*DeemedDashboard[[#This Row],[Std NPV Cost of EOL Leakage]]/(1+ACC_Inflation_Rate)^(DeemedDashboard[[#This Row],[Measure Start Year]]-DY),"")</f>
        <v/>
      </c>
      <c r="CL7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4" s="299" t="str">
        <f ca="1">IFERROR(DeemedDashboard[[#This Row],[Counter-factual total 
NPV cost]]-DeemedDashboard[[#This Row],[Measure total 
NPV cost]],"")</f>
        <v/>
      </c>
      <c r="CQ74" s="299" t="str">
        <f>IF(ISBLANK(DeemedDashboard[[#This Row],[MeasAppType]]),"",DeemedDashboard[[#This Row],[Refrigerant
NPV costs
avoided]]&gt;0)</f>
        <v/>
      </c>
      <c r="CR74" s="299" t="str">
        <f ca="1">IFERROR(DeemedDashboard[[#This Row],[Msr Adj NPV Cost of Annual Leakage]]+DeemedDashboard[[#This Row],[Msr Adj NPV Cost of EOL Leakage]],"")</f>
        <v/>
      </c>
      <c r="CS74" s="299" t="str">
        <f ca="1">IFERROR(DeemedDashboard[[#This Row],[Std Adj NPV Cost of Annual Leakage]]+DeemedDashboard[[#This Row],[Std Adj NPV Cost of EOL Leakage]],"")</f>
        <v/>
      </c>
      <c r="CT74" s="299" t="str">
        <f>IFERROR(IF((DeemedDashboard[[#This Row],[Pre Adj NPV Cost of Annual Leakage]]+DeemedDashboard[[#This Row],[Pre Adj NPV Cost of EOL Leakage]])=0,"",DeemedDashboard[[#This Row],[Pre Adj NPV Cost of Annual Leakage]]+DeemedDashboard[[#This Row],[Pre Adj NPV Cost of EOL Leakage]]),"")</f>
        <v/>
      </c>
      <c r="CU74" s="299" t="str">
        <f>IFERROR(IF((DeemedDashboard[[#This Row],[Ext Adj NPV Cost of Annual Leakage]]+DeemedDashboard[[#This Row],[Ext Adj NPV Cost of EOL Leakage]])=0,"",DeemedDashboard[[#This Row],[Ext Adj NPV Cost of Annual Leakage]]+DeemedDashboard[[#This Row],[Ext Adj NPV Cost of EOL Leakage]]),"")</f>
        <v/>
      </c>
      <c r="CV74" s="299" t="str">
        <f>IFERROR(IF(DeemedDashboard[[#This Row],[Is Avoided Net Cost &gt;0?]],"",-DeemedDashboard[[#This Row],[Refrigerant
NPV costs
avoided]]),"")</f>
        <v/>
      </c>
      <c r="CW74" s="299" t="str">
        <f>IFERROR(IF(DeemedDashboard[[#This Row],[Is Avoided Net Cost &gt;0?]],DeemedDashboard[[#This Row],[Refrigerant
NPV costs
avoided]],""),"")</f>
        <v/>
      </c>
      <c r="CX74" s="391">
        <f ca="1">IFERROR(MATCH(DeemedDashboard[[#This Row],[TechGroup and NormUnit]],TechGroup_and_NormUnit,0),1)</f>
        <v>1</v>
      </c>
      <c r="CY74" s="391" cm="1">
        <f t="array" aca="1" ref="CY74" ca="1">IFERROR(INDEX(TGRows,DeemedDashboard[[#This Row],[TGIndex]]),"")</f>
        <v>2</v>
      </c>
      <c r="CZ74" s="391">
        <f ca="1">IF(DeemedDashboard[[#This Row],[MeasAppType]]=const_AR,DeemedDashboard[[#This Row],[TGRows]],DeemedDashboard[[#This Row],[TGRows]]+1)</f>
        <v>3</v>
      </c>
      <c r="DA74" s="391" t="str">
        <f>IF(ISBLANK(DeemedDashboard[[#This Row],[MeasAppType]]),"",IF(DeemedDashboard[[#This Row],[Index]]=User_Specified_Refrigerant[[#This Row],[Index]],"OK","ERROR"))</f>
        <v/>
      </c>
    </row>
    <row r="75" spans="1:105" s="320" customFormat="1" x14ac:dyDescent="0.25">
      <c r="A75" s="297">
        <f>ROW(DeemedDashboard[[#This Row],[Index]])-ROW(DeemedDashboard[[#Headers],[Index]])</f>
        <v>66</v>
      </c>
      <c r="B75" s="298"/>
      <c r="C75" s="321"/>
      <c r="D75" s="403"/>
      <c r="E75" s="403"/>
      <c r="F75" s="403"/>
      <c r="G75" s="403"/>
      <c r="H75" s="366"/>
      <c r="I75" s="339"/>
      <c r="J75" s="339"/>
      <c r="K75" s="339"/>
      <c r="L75" s="322"/>
      <c r="M75" s="322"/>
      <c r="N75" s="322"/>
      <c r="O7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5" s="582" t="str" cm="1">
        <f t="array" ref="R75">IFERROR(IF(DeemedDashboard[[#This Row],[Msr device type]]=const_device_nonrefrig,0,INDEX(_xlfn.SWITCH($E$4,const_20_yr,GWP_Values_20_year_AR4,const_100_yr,GWP_Values_100_year_AR4),MATCH(DeemedDashboard[[#This Row],[Msr refrigerant Type]],RefrigDropdownList,0))),"")</f>
        <v/>
      </c>
      <c r="S75" s="582" t="str" cm="1">
        <f t="array" ref="S75">IFERROR(IF(DeemedDashboard[[#This Row],[Std device type]]=const_device_nonrefrig,0,INDEX(_xlfn.SWITCH($E$4,const_20_yr,GWP_Values_20_year_AR4,const_100_yr,GWP_Values_100_year_AR4),MATCH(DeemedDashboard[[#This Row],[Std refrigerant Type]],RefrigDropdownList,0))),"")</f>
        <v/>
      </c>
      <c r="T75" s="582" t="str" cm="1">
        <f t="array" ref="T75">IFERROR(IF(DeemedDashboard[[#This Row],[Pre/Ext device type]]=const_device_nonrefrig,0,INDEX(_xlfn.SWITCH($E$4,const_20_yr,GWP_Values_20_year_AR4,const_100_yr,GWP_Values_100_year_AR4),MATCH(DeemedDashboard[[#This Row],[Pre/Ext refrigerant Type]],RefrigDropdownList,0))),"")</f>
        <v/>
      </c>
      <c r="U7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5" s="326" t="str">
        <f>IFERROR(IF(DeemedDashboard[[#This Row],[Msr device type]]=const_userspec,IF(ISBLANK(User_Specified_Refrigerant[[#This Row],[Msr t_EOL]]),"",User_Specified_Refrigerant[[#This Row],[Msr t_EOL]]),INDEX(TechGroup_NormUnit_Table[t_EOL],MATCH(DeemedDashboard[[#This Row],[Msr device type]],DropdownRefrigTech,0))),"")</f>
        <v/>
      </c>
      <c r="AB75" s="326" t="str">
        <f>IFERROR(IF(DeemedDashboard[[#This Row],[Std device type]]=const_userspec,IF(ISBLANK(User_Specified_Refrigerant[[#This Row],[Std t_EOL]]),"",User_Specified_Refrigerant[[#This Row],[Std t_EOL]]),INDEX(TechGroup_NormUnit_Table[t_EOL],MATCH(DeemedDashboard[[#This Row],[Std device type]],DropdownRefrigTech,0))),"")</f>
        <v/>
      </c>
      <c r="AC7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5" s="395" t="str">
        <f>IF(ISBLANK(DeemedDashboard[[#This Row],[MeasAppType]]),"",$E$2)</f>
        <v/>
      </c>
      <c r="AE75" s="395" t="str">
        <f>IFERROR(IF(ISBLANK(DeemedDashboard[[#This Row],[MeasAppType]]),NA(),DeemedDashboard[[#This Row],[Measure Start Year]]+DeemedDashboard[[#This Row],[Msr EUL rounded]]-1),"")</f>
        <v/>
      </c>
      <c r="AF75" s="323" t="str">
        <f>IF(ISBLANK(DeemedDashboard[[#This Row],[Measure New Device EUL]]),"",ROUND(DeemedDashboard[[#This Row],[Measure New Device EUL]],0))</f>
        <v/>
      </c>
      <c r="AG75" s="323" t="str">
        <f>IF(ISBLANK(DeemedDashboard[[#This Row],[Counterfactual New Device EUL]]),"",ROUND(DeemedDashboard[[#This Row],[Counterfactual New Device EUL]],0))</f>
        <v/>
      </c>
      <c r="AH75" s="323" t="str">
        <f>IF(ISBLANK(DeemedDashboard[[#This Row],[Existing Device EUL]]),"",ROUND(DeemedDashboard[[#This Row],[Existing Device EUL]],0))</f>
        <v/>
      </c>
      <c r="AI75" s="323" t="str">
        <f>IF(ISBLANK(DeemedDashboard[[#This Row],[Existing Device RUL or AR First Baseline Life]]),"",ROUND(DeemedDashboard[[#This Row],[Existing Device RUL or AR First Baseline Life]],0))</f>
        <v/>
      </c>
      <c r="AJ75" s="327" t="str">
        <f>DeemedDashboard[[#This Row],[Measure Start Year]]</f>
        <v/>
      </c>
      <c r="AK75" s="327" t="str">
        <f>IF(DeemedDashboard[[#This Row],[MeasAppType]]&lt;&gt;const_AR,DeemedDashboard[[#This Row],[Measure Start Year]],DeemedDashboard[[#This Row],[Ext Device Retire-ment Year]]+1)</f>
        <v/>
      </c>
      <c r="AL75" s="327" t="str">
        <f>IFERROR(IF(DeemedDashboard[[#This Row],[MeasAppType]]=const_AR,DeemedDashboard[[#This Row],[Measure Start Year]]-(DeemedDashboard[[#This Row],[Existing Device EUL]]-DeemedDashboard[[#This Row],[Existing Device RUL or AR First Baseline Life]]),NA()),"")</f>
        <v/>
      </c>
      <c r="AM75" s="327" t="str">
        <f>DeemedDashboard[[#This Row],[Pre Device Install Year]]</f>
        <v/>
      </c>
      <c r="AN75" s="327" t="str">
        <f>IFERROR(IF(ISBLANK(DeemedDashboard[[#This Row],[MeasAppType]]),NA(),DeemedDashboard[[#This Row],[Measure Start Year]]+DeemedDashboard[[#This Row],[Msr EUL rounded]]-1),"")</f>
        <v/>
      </c>
      <c r="AO75" s="327" t="str">
        <f>IFERROR(DeemedDashboard[[#This Row],[Std Device Install Year]]+DeemedDashboard[[#This Row],[Counterfactual New Device EUL]]-1,"")</f>
        <v/>
      </c>
      <c r="AP75" s="327" t="str">
        <f>IFERROR(IF(AND(DeemedDashboard[[#This Row],[MeasAppType]]=const_AR,DeemedDashboard[[#This Row],[Measure Start Year]]&lt;(DeemedDashboard[[#This Row],[Pre Device Install Year]]+DeemedDashboard[[#This Row],[Existing Device EUL]]-1)),DeemedDashboard[[#This Row],[Measure Start Year]]-1,NA()),"")</f>
        <v/>
      </c>
      <c r="AQ75" s="327" t="str">
        <f>IFERROR(IF(DeemedDashboard[[#This Row],[MeasAppType]]=const_AR,DeemedDashboard[[#This Row],[Ext Device Install Year]]+DeemedDashboard[[#This Row],[Existing Device EUL]]-1,NA()),"")</f>
        <v/>
      </c>
      <c r="AR75" s="327" t="str">
        <f>IFERROR(IF(ISBLANK(DeemedDashboard[[#This Row],[MeasAppType]]),NA(),0),"")</f>
        <v/>
      </c>
      <c r="AS75" s="327" t="str">
        <f>IFERROR(IF(ISBLANK(DeemedDashboard[[#This Row],[MeasAppType]]),NA(),0),"")</f>
        <v/>
      </c>
      <c r="AT75" s="327" t="str">
        <f>IF(ISBLANK(DeemedDashboard[[#This Row],[MeasAppType]]),"",IF(DeemedDashboard[[#This Row],[MeasAppType]]&lt;&gt;const_AR,"",(DeemedDashboard[[#This Row],[Pre Device Install Year]]+DeemedDashboard[[#This Row],[Existing Device EUL]]-1)-DeemedDashboard[[#This Row],[Pre Device Retire-ment Year]]))</f>
        <v/>
      </c>
      <c r="AU75" s="327" t="str">
        <f>IF(ISBLANK(DeemedDashboard[[#This Row],[MeasAppType]]),"",IF(DeemedDashboard[[#This Row],[MeasAppType]]=const_AR,0,""))</f>
        <v/>
      </c>
      <c r="AV75" s="328" t="str">
        <f>IF(ISBLANK(DeemedDashboard[[#This Row],[MeasAppType]]),"",MAX((1+MIN(DeemedDashboard[[#This Row],[Msr Device Retire-ment Year]],DeemedDashboard[[#This Row],[Measure End 
Year]])-MAX(DeemedDashboard[[#This Row],[Msr Device Install Year]],DeemedDashboard[[#This Row],[Measure Start Year]])),0))</f>
        <v/>
      </c>
      <c r="AW75" s="328" t="str">
        <f>IF(ISBLANK(DeemedDashboard[[#This Row],[MeasAppType]]),"",MAX((1+MIN(DeemedDashboard[[#This Row],[Std Device Retire-ment Year]],DeemedDashboard[[#This Row],[Measure End 
Year]])-MAX(DeemedDashboard[[#This Row],[Std Device Install Year]],DeemedDashboard[[#This Row],[Measure Start Year]])),0))</f>
        <v/>
      </c>
      <c r="AX7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5" s="329" t="str">
        <f>IF(ISBLANK(DeemedDashboard[[#This Row],[MeasAppType]]),"",IF(DeemedDashboard[[#This Row],[Msr Device Years Over-lapping with Measure Years]]=0,0,DeemedDashboard[[#This Row],[Msr Device Years Over-lapping with Measure Years]]/DeemedDashboard[[#This Row],[Msr EUL rounded]]))</f>
        <v/>
      </c>
      <c r="BA75" s="329" t="str">
        <f>IF(ISBLANK(DeemedDashboard[[#This Row],[MeasAppType]]),"",IF(DeemedDashboard[[#This Row],[Std Device Years Over-lapping with Measure Years]]=0,0,DeemedDashboard[[#This Row],[Std Device Years Over-lapping with Measure Years]]/DeemedDashboard[[#This Row],[Counterfactual New Device EUL]]))</f>
        <v/>
      </c>
      <c r="BB75" s="329" t="str">
        <f>IF(ISBLANK(DeemedDashboard[[#This Row],[MeasAppType]]),"",IFERROR(IF(DeemedDashboard[[#This Row],[Pre Device Years Over-lapping with Measure Years]]=0,0,DeemedDashboard[[#This Row],[Pre Device Years Over-lapping with Measure Years]]/DeemedDashboard[[#This Row],[Existing Device EUL]]),""))</f>
        <v/>
      </c>
      <c r="BC75" s="329" t="str">
        <f>IFERROR(IF(DeemedDashboard[[#This Row],[Ext Device Years Over-lapping with Measure Years]]=0,0,DeemedDashboard[[#This Row],[Ext Device Years Over-lapping with Measure Years]]/DeemedDashboard[[#This Row],[Existing Device EUL]]),"")</f>
        <v/>
      </c>
      <c r="BD75" s="329" t="str">
        <f>IFERROR(IF(DeemedDashboard[[#This Row],[Msr Number of Years device retired early]]=0,0,DeemedDashboard[[#This Row],[Msr Number of Years device retired early]]/DeemedDashboard[[#This Row],[Msr EUL rounded]]),"")</f>
        <v/>
      </c>
      <c r="BE75" s="329" t="str">
        <f>IFERROR(IF(DeemedDashboard[[#This Row],[Std Number of Years device retired early]]=0,0,DeemedDashboard[[#This Row],[Std Number of Years device retired early]]/DeemedDashboard[[#This Row],[Msr EUL rounded]]),"")</f>
        <v/>
      </c>
      <c r="BF75" s="329" t="str">
        <f>IFERROR(IF(DeemedDashboard[[#This Row],[MeasAppType]]&lt;&gt;const_AR,"",IF(DeemedDashboard[[#This Row],[Pre Number of Years device retired early]]=0,0,DeemedDashboard[[#This Row],[Pre Number of Years device retired early]]/DeemedDashboard[[#This Row],[Existing Device EUL]])),"")</f>
        <v/>
      </c>
      <c r="BG75" s="329" t="str">
        <f>IFERROR(IF(DeemedDashboard[[#This Row],[Ext Number of Years device retired early]]=0,0,DeemedDashboard[[#This Row],[Ext Number of Years device retired early]]/DeemedDashboard[[#This Row],[Existing Device EUL]]),"")</f>
        <v/>
      </c>
      <c r="BH75" s="325" t="str">
        <f>IFERROR(1-DeemedDashboard[[#This Row],[Msr annual refrigerant leakage %]]*DeemedDashboard[[#This Row],[Msr t_EOL]],"")</f>
        <v/>
      </c>
      <c r="BI75" s="325" t="str">
        <f>IFERROR(1-DeemedDashboard[[#This Row],[Std annual refrigerant leakage %]]*DeemedDashboard[[#This Row],[Std t_EOL]],"")</f>
        <v/>
      </c>
      <c r="BJ75" s="325" t="str">
        <f>IFERROR(1-DeemedDashboard[[#This Row],[Pre/Ext annual refrigerant leakage %]]*DeemedDashboard[[#This Row],[Pre/Ext t_EOL]],"")</f>
        <v/>
      </c>
      <c r="BK75" s="325" t="str">
        <f>IFERROR(1-DeemedDashboard[[#This Row],[Pre/Ext annual refrigerant leakage %]]*DeemedDashboard[[#This Row],[Pre/Ext t_EOL]],"")</f>
        <v/>
      </c>
      <c r="BL75" s="325" t="str">
        <f>IFERROR(DeemedDashboard[[#This Row],[Msr charging remaining (%)]]*DeemedDashboard[[#This Row],[Msr gross EOL refrigerant leakage %]],"")</f>
        <v/>
      </c>
      <c r="BM75" s="325" t="str">
        <f>IFERROR(DeemedDashboard[[#This Row],[Std charging remaining (%)]]*DeemedDashboard[[#This Row],[Std gross EOL refrigerant leakage %]],"")</f>
        <v/>
      </c>
      <c r="BN75" s="325" t="str">
        <f>IFERROR(DeemedDashboard[[#This Row],[Pre charging remaining (%)]]*DeemedDashboard[[#This Row],[Pre/Ext gross EOL refrigerant leakage %]],"")</f>
        <v/>
      </c>
      <c r="BO75" s="325" t="str">
        <f>IFERROR(DeemedDashboard[[#This Row],[Ext charging remaining (%)]]*DeemedDashboard[[#This Row],[Pre/Ext gross EOL refrigerant leakage %]],"")</f>
        <v/>
      </c>
      <c r="BP75" s="330" t="str">
        <f>IFERROR((DeemedDashboard[[#This Row],[Msr refrigerant charge (lb) per NormUnit]]/pounds_per_metric_ton)*DeemedDashboard[[#This Row],[Msr annual refrigerant leakage %]]*DeemedDashboard[[#This Row],[Msr GWP]],"")</f>
        <v/>
      </c>
      <c r="BQ75" s="330" t="str">
        <f>IFERROR((DeemedDashboard[[#This Row],[Std refrigerant charge (lb) per NormUnit]]/pounds_per_metric_ton)*DeemedDashboard[[#This Row],[Std annual refrigerant leakage %]]*DeemedDashboard[[#This Row],[Std GWP]],"")</f>
        <v/>
      </c>
      <c r="BR75" s="330" t="str">
        <f>IF(DeemedDashboard[[#This Row],[MeasAppType]]=const_AR,(DeemedDashboard[[#This Row],[Pre/Ext refrigerant charge (lb) per NormUnit]]/pounds_per_metric_ton)*DeemedDashboard[[#This Row],[Pre/Ext annual refrigerant leakage %]]*DeemedDashboard[[#This Row],[Pre/Ext GWP]],"")</f>
        <v/>
      </c>
      <c r="BS75" s="330" t="str">
        <f>IF(DeemedDashboard[[#This Row],[MeasAppType]]=const_AR,(DeemedDashboard[[#This Row],[Pre/Ext refrigerant charge (lb) per NormUnit]]/pounds_per_metric_ton)*DeemedDashboard[[#This Row],[Pre/Ext annual refrigerant leakage %]]*DeemedDashboard[[#This Row],[Pre/Ext GWP]],"")</f>
        <v/>
      </c>
      <c r="BT75" s="330" t="str">
        <f>IFERROR((DeemedDashboard[[#This Row],[Msr refrigerant charge (lb) per NormUnit]]/pounds_per_metric_ton)*DeemedDashboard[[#This Row],[Msr net EOL refrigerant leakage (%)]]*DeemedDashboard[[#This Row],[Msr GWP]],"")</f>
        <v/>
      </c>
      <c r="BU75" s="330" t="str">
        <f>IFERROR((DeemedDashboard[[#This Row],[Std refrigerant charge (lb) per NormUnit]]/pounds_per_metric_ton)*DeemedDashboard[[#This Row],[Std net EOL refrigerant leakage (%)]]*DeemedDashboard[[#This Row],[Std GWP]],"")</f>
        <v/>
      </c>
      <c r="BV75" s="330" t="str">
        <f>IFERROR((DeemedDashboard[[#This Row],[Pre/Ext refrigerant charge (lb) per NormUnit]]/pounds_per_metric_ton)*DeemedDashboard[[#This Row],[Pre net EOL refrigerant leakage (%)]]*DeemedDashboard[[#This Row],[Pre/Ext GWP]],"")</f>
        <v/>
      </c>
      <c r="BW75" s="330" t="str">
        <f>IFERROR((DeemedDashboard[[#This Row],[Pre/Ext refrigerant charge (lb) per NormUnit]]/pounds_per_metric_ton)*DeemedDashboard[[#This Row],[Ext net EOL refrigerant leakage (%)]]*DeemedDashboard[[#This Row],[Pre/Ext GWP]],"")</f>
        <v/>
      </c>
      <c r="BX75" s="299" t="str" cm="1">
        <f t="array" aca="1" ref="BX7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5" s="305" t="str" cm="1">
        <f t="array" aca="1" ref="BY7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5" s="299" t="str">
        <f>IFERROR(IF(OR(DeemedDashboard[[#This Row],[MeasAppType]]&lt;&gt;const_AR,ISBLANK(DeemedDashboard[[#This Row],[MeasAppType]])),NA(),0),"")</f>
        <v/>
      </c>
      <c r="CA75" s="305" t="str" cm="1">
        <f t="array" aca="1" ref="CA7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5" s="299" t="str">
        <f ca="1">IFERROR((DeemedDashboard[[#This Row],[Msr EOL leakage tons CO2e]]*OFFSET(GHG_Adder_dollar_per_tonne,0,(DeemedDashboard[[#This Row],[Msr Device Retire-ment Year]]-DY+1),1,1))/(1+WACC)^(DeemedDashboard[[#This Row],[Msr Device Retire-ment Year]]-DeemedDashboard[[#This Row],[Measure Start Year]]+0.5),"")</f>
        <v/>
      </c>
      <c r="CC75" s="299" t="str">
        <f ca="1">IFERROR((DeemedDashboard[[#This Row],[Std EOL leakage tons CO2e]]*OFFSET(GHG_Adder_dollar_per_tonne,0,(DeemedDashboard[[#This Row],[Std Device Retire-ment Year]]-DY+1),1,1))/(1+WACC)^(DeemedDashboard[[#This Row],[Std Device Retire-ment Year]]-DeemedDashboard[[#This Row],[Measure Start Year]]+0.5),"")</f>
        <v/>
      </c>
      <c r="CD75" s="299" t="str">
        <f ca="1">IFERROR((DeemedDashboard[[#This Row],[Pre EOL leakage tons CO2e]]*OFFSET(GHG_Adder_dollar_per_tonne,0,(DeemedDashboard[[#This Row],[Measure Start Year]]-DY),1,1))/(1+WACC)^(-0.5),"")</f>
        <v/>
      </c>
      <c r="CE7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5" s="299" t="str">
        <f ca="1">IFERROR(DeemedDashboard[[#This Row],[Msr NPV Cost of Annual Leakage]]/(1+ACC_Inflation_Rate)^(DeemedDashboard[[#This Row],[Measure Start Year]]-DY),"")</f>
        <v/>
      </c>
      <c r="CG75" s="299" t="str">
        <f ca="1">IFERROR(DeemedDashboard[[#This Row],[Std NPV Cost of Annual Leakage]]/(1+ACC_Inflation_Rate)^(DeemedDashboard[[#This Row],[Measure Start Year]]-DY),"")</f>
        <v/>
      </c>
      <c r="CH75" s="299" t="str">
        <f>IFERROR(IF(ISBLANK(DeemedDashboard[[#This Row],[MeasAppType]]),NA(),IF(DeemedDashboard[[#This Row],[MeasAppType]]=const_AR,DeemedDashboard[[#This Row],[Pre NPV Cost of Annual Leakage]]/(1+ACC_Inflation_Rate)^(DeemedDashboard[[#This Row],[Measure Start Year]]-DY),"")),"")</f>
        <v/>
      </c>
      <c r="CI75" s="296" t="str">
        <f>IFERROR(IF(ISBLANK(DeemedDashboard[[#This Row],[MeasAppType]]),NA(),IF(DeemedDashboard[[#This Row],[MeasAppType]]=const_AR,DeemedDashboard[[#This Row],[Ext NPV Cost of Annual Leakage]]/(1+ACC_Inflation_Rate)^(DeemedDashboard[[#This Row],[Measure Start Year]]-DY),"")),"")</f>
        <v/>
      </c>
      <c r="CJ75" s="296" t="str">
        <f ca="1">IFERROR((DeemedDashboard[[#This Row],[Msr % of device lifetime during measure years]]+DeemedDashboard[[#This Row],[Msr % of device lifetime retired early]])*DeemedDashboard[[#This Row],[Msr NPV Cost of EOL Leakage]]/(1+ACC_Inflation_Rate)^(DeemedDashboard[[#This Row],[Measure Start Year]]-DY),"")</f>
        <v/>
      </c>
      <c r="CK75" s="296" t="str">
        <f ca="1">IFERROR((DeemedDashboard[[#This Row],[Std % of device lifetime during measure years]]+DeemedDashboard[[#This Row],[Std % of device lifetime retired early]])*DeemedDashboard[[#This Row],[Std NPV Cost of EOL Leakage]]/(1+ACC_Inflation_Rate)^(DeemedDashboard[[#This Row],[Measure Start Year]]-DY),"")</f>
        <v/>
      </c>
      <c r="CL7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5" s="299" t="str">
        <f ca="1">IFERROR(DeemedDashboard[[#This Row],[Counter-factual total 
NPV cost]]-DeemedDashboard[[#This Row],[Measure total 
NPV cost]],"")</f>
        <v/>
      </c>
      <c r="CQ75" s="299" t="str">
        <f>IF(ISBLANK(DeemedDashboard[[#This Row],[MeasAppType]]),"",DeemedDashboard[[#This Row],[Refrigerant
NPV costs
avoided]]&gt;0)</f>
        <v/>
      </c>
      <c r="CR75" s="299" t="str">
        <f ca="1">IFERROR(DeemedDashboard[[#This Row],[Msr Adj NPV Cost of Annual Leakage]]+DeemedDashboard[[#This Row],[Msr Adj NPV Cost of EOL Leakage]],"")</f>
        <v/>
      </c>
      <c r="CS75" s="299" t="str">
        <f ca="1">IFERROR(DeemedDashboard[[#This Row],[Std Adj NPV Cost of Annual Leakage]]+DeemedDashboard[[#This Row],[Std Adj NPV Cost of EOL Leakage]],"")</f>
        <v/>
      </c>
      <c r="CT75" s="299" t="str">
        <f>IFERROR(IF((DeemedDashboard[[#This Row],[Pre Adj NPV Cost of Annual Leakage]]+DeemedDashboard[[#This Row],[Pre Adj NPV Cost of EOL Leakage]])=0,"",DeemedDashboard[[#This Row],[Pre Adj NPV Cost of Annual Leakage]]+DeemedDashboard[[#This Row],[Pre Adj NPV Cost of EOL Leakage]]),"")</f>
        <v/>
      </c>
      <c r="CU75" s="299" t="str">
        <f>IFERROR(IF((DeemedDashboard[[#This Row],[Ext Adj NPV Cost of Annual Leakage]]+DeemedDashboard[[#This Row],[Ext Adj NPV Cost of EOL Leakage]])=0,"",DeemedDashboard[[#This Row],[Ext Adj NPV Cost of Annual Leakage]]+DeemedDashboard[[#This Row],[Ext Adj NPV Cost of EOL Leakage]]),"")</f>
        <v/>
      </c>
      <c r="CV75" s="299" t="str">
        <f>IFERROR(IF(DeemedDashboard[[#This Row],[Is Avoided Net Cost &gt;0?]],"",-DeemedDashboard[[#This Row],[Refrigerant
NPV costs
avoided]]),"")</f>
        <v/>
      </c>
      <c r="CW75" s="299" t="str">
        <f>IFERROR(IF(DeemedDashboard[[#This Row],[Is Avoided Net Cost &gt;0?]],DeemedDashboard[[#This Row],[Refrigerant
NPV costs
avoided]],""),"")</f>
        <v/>
      </c>
      <c r="CX75" s="391">
        <f ca="1">IFERROR(MATCH(DeemedDashboard[[#This Row],[TechGroup and NormUnit]],TechGroup_and_NormUnit,0),1)</f>
        <v>1</v>
      </c>
      <c r="CY75" s="391" cm="1">
        <f t="array" aca="1" ref="CY75" ca="1">IFERROR(INDEX(TGRows,DeemedDashboard[[#This Row],[TGIndex]]),"")</f>
        <v>2</v>
      </c>
      <c r="CZ75" s="391">
        <f ca="1">IF(DeemedDashboard[[#This Row],[MeasAppType]]=const_AR,DeemedDashboard[[#This Row],[TGRows]],DeemedDashboard[[#This Row],[TGRows]]+1)</f>
        <v>3</v>
      </c>
      <c r="DA75" s="391" t="str">
        <f>IF(ISBLANK(DeemedDashboard[[#This Row],[MeasAppType]]),"",IF(DeemedDashboard[[#This Row],[Index]]=User_Specified_Refrigerant[[#This Row],[Index]],"OK","ERROR"))</f>
        <v/>
      </c>
    </row>
    <row r="76" spans="1:105" s="320" customFormat="1" x14ac:dyDescent="0.25">
      <c r="A76" s="297">
        <f>ROW(DeemedDashboard[[#This Row],[Index]])-ROW(DeemedDashboard[[#Headers],[Index]])</f>
        <v>67</v>
      </c>
      <c r="B76" s="298"/>
      <c r="C76" s="321"/>
      <c r="D76" s="403"/>
      <c r="E76" s="403"/>
      <c r="F76" s="403"/>
      <c r="G76" s="403"/>
      <c r="H76" s="366"/>
      <c r="I76" s="339"/>
      <c r="J76" s="339"/>
      <c r="K76" s="339"/>
      <c r="L76" s="322"/>
      <c r="M76" s="322"/>
      <c r="N76" s="322"/>
      <c r="O7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6" s="582" t="str" cm="1">
        <f t="array" ref="R76">IFERROR(IF(DeemedDashboard[[#This Row],[Msr device type]]=const_device_nonrefrig,0,INDEX(_xlfn.SWITCH($E$4,const_20_yr,GWP_Values_20_year_AR4,const_100_yr,GWP_Values_100_year_AR4),MATCH(DeemedDashboard[[#This Row],[Msr refrigerant Type]],RefrigDropdownList,0))),"")</f>
        <v/>
      </c>
      <c r="S76" s="582" t="str" cm="1">
        <f t="array" ref="S76">IFERROR(IF(DeemedDashboard[[#This Row],[Std device type]]=const_device_nonrefrig,0,INDEX(_xlfn.SWITCH($E$4,const_20_yr,GWP_Values_20_year_AR4,const_100_yr,GWP_Values_100_year_AR4),MATCH(DeemedDashboard[[#This Row],[Std refrigerant Type]],RefrigDropdownList,0))),"")</f>
        <v/>
      </c>
      <c r="T76" s="582" t="str" cm="1">
        <f t="array" ref="T76">IFERROR(IF(DeemedDashboard[[#This Row],[Pre/Ext device type]]=const_device_nonrefrig,0,INDEX(_xlfn.SWITCH($E$4,const_20_yr,GWP_Values_20_year_AR4,const_100_yr,GWP_Values_100_year_AR4),MATCH(DeemedDashboard[[#This Row],[Pre/Ext refrigerant Type]],RefrigDropdownList,0))),"")</f>
        <v/>
      </c>
      <c r="U7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6" s="326" t="str">
        <f>IFERROR(IF(DeemedDashboard[[#This Row],[Msr device type]]=const_userspec,IF(ISBLANK(User_Specified_Refrigerant[[#This Row],[Msr t_EOL]]),"",User_Specified_Refrigerant[[#This Row],[Msr t_EOL]]),INDEX(TechGroup_NormUnit_Table[t_EOL],MATCH(DeemedDashboard[[#This Row],[Msr device type]],DropdownRefrigTech,0))),"")</f>
        <v/>
      </c>
      <c r="AB76" s="326" t="str">
        <f>IFERROR(IF(DeemedDashboard[[#This Row],[Std device type]]=const_userspec,IF(ISBLANK(User_Specified_Refrigerant[[#This Row],[Std t_EOL]]),"",User_Specified_Refrigerant[[#This Row],[Std t_EOL]]),INDEX(TechGroup_NormUnit_Table[t_EOL],MATCH(DeemedDashboard[[#This Row],[Std device type]],DropdownRefrigTech,0))),"")</f>
        <v/>
      </c>
      <c r="AC7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6" s="395" t="str">
        <f>IF(ISBLANK(DeemedDashboard[[#This Row],[MeasAppType]]),"",$E$2)</f>
        <v/>
      </c>
      <c r="AE76" s="395" t="str">
        <f>IFERROR(IF(ISBLANK(DeemedDashboard[[#This Row],[MeasAppType]]),NA(),DeemedDashboard[[#This Row],[Measure Start Year]]+DeemedDashboard[[#This Row],[Msr EUL rounded]]-1),"")</f>
        <v/>
      </c>
      <c r="AF76" s="323" t="str">
        <f>IF(ISBLANK(DeemedDashboard[[#This Row],[Measure New Device EUL]]),"",ROUND(DeemedDashboard[[#This Row],[Measure New Device EUL]],0))</f>
        <v/>
      </c>
      <c r="AG76" s="323" t="str">
        <f>IF(ISBLANK(DeemedDashboard[[#This Row],[Counterfactual New Device EUL]]),"",ROUND(DeemedDashboard[[#This Row],[Counterfactual New Device EUL]],0))</f>
        <v/>
      </c>
      <c r="AH76" s="323" t="str">
        <f>IF(ISBLANK(DeemedDashboard[[#This Row],[Existing Device EUL]]),"",ROUND(DeemedDashboard[[#This Row],[Existing Device EUL]],0))</f>
        <v/>
      </c>
      <c r="AI76" s="323" t="str">
        <f>IF(ISBLANK(DeemedDashboard[[#This Row],[Existing Device RUL or AR First Baseline Life]]),"",ROUND(DeemedDashboard[[#This Row],[Existing Device RUL or AR First Baseline Life]],0))</f>
        <v/>
      </c>
      <c r="AJ76" s="327" t="str">
        <f>DeemedDashboard[[#This Row],[Measure Start Year]]</f>
        <v/>
      </c>
      <c r="AK76" s="327" t="str">
        <f>IF(DeemedDashboard[[#This Row],[MeasAppType]]&lt;&gt;const_AR,DeemedDashboard[[#This Row],[Measure Start Year]],DeemedDashboard[[#This Row],[Ext Device Retire-ment Year]]+1)</f>
        <v/>
      </c>
      <c r="AL76" s="327" t="str">
        <f>IFERROR(IF(DeemedDashboard[[#This Row],[MeasAppType]]=const_AR,DeemedDashboard[[#This Row],[Measure Start Year]]-(DeemedDashboard[[#This Row],[Existing Device EUL]]-DeemedDashboard[[#This Row],[Existing Device RUL or AR First Baseline Life]]),NA()),"")</f>
        <v/>
      </c>
      <c r="AM76" s="327" t="str">
        <f>DeemedDashboard[[#This Row],[Pre Device Install Year]]</f>
        <v/>
      </c>
      <c r="AN76" s="327" t="str">
        <f>IFERROR(IF(ISBLANK(DeemedDashboard[[#This Row],[MeasAppType]]),NA(),DeemedDashboard[[#This Row],[Measure Start Year]]+DeemedDashboard[[#This Row],[Msr EUL rounded]]-1),"")</f>
        <v/>
      </c>
      <c r="AO76" s="327" t="str">
        <f>IFERROR(DeemedDashboard[[#This Row],[Std Device Install Year]]+DeemedDashboard[[#This Row],[Counterfactual New Device EUL]]-1,"")</f>
        <v/>
      </c>
      <c r="AP76" s="327" t="str">
        <f>IFERROR(IF(AND(DeemedDashboard[[#This Row],[MeasAppType]]=const_AR,DeemedDashboard[[#This Row],[Measure Start Year]]&lt;(DeemedDashboard[[#This Row],[Pre Device Install Year]]+DeemedDashboard[[#This Row],[Existing Device EUL]]-1)),DeemedDashboard[[#This Row],[Measure Start Year]]-1,NA()),"")</f>
        <v/>
      </c>
      <c r="AQ76" s="327" t="str">
        <f>IFERROR(IF(DeemedDashboard[[#This Row],[MeasAppType]]=const_AR,DeemedDashboard[[#This Row],[Ext Device Install Year]]+DeemedDashboard[[#This Row],[Existing Device EUL]]-1,NA()),"")</f>
        <v/>
      </c>
      <c r="AR76" s="327" t="str">
        <f>IFERROR(IF(ISBLANK(DeemedDashboard[[#This Row],[MeasAppType]]),NA(),0),"")</f>
        <v/>
      </c>
      <c r="AS76" s="327" t="str">
        <f>IFERROR(IF(ISBLANK(DeemedDashboard[[#This Row],[MeasAppType]]),NA(),0),"")</f>
        <v/>
      </c>
      <c r="AT76" s="327" t="str">
        <f>IF(ISBLANK(DeemedDashboard[[#This Row],[MeasAppType]]),"",IF(DeemedDashboard[[#This Row],[MeasAppType]]&lt;&gt;const_AR,"",(DeemedDashboard[[#This Row],[Pre Device Install Year]]+DeemedDashboard[[#This Row],[Existing Device EUL]]-1)-DeemedDashboard[[#This Row],[Pre Device Retire-ment Year]]))</f>
        <v/>
      </c>
      <c r="AU76" s="327" t="str">
        <f>IF(ISBLANK(DeemedDashboard[[#This Row],[MeasAppType]]),"",IF(DeemedDashboard[[#This Row],[MeasAppType]]=const_AR,0,""))</f>
        <v/>
      </c>
      <c r="AV76" s="328" t="str">
        <f>IF(ISBLANK(DeemedDashboard[[#This Row],[MeasAppType]]),"",MAX((1+MIN(DeemedDashboard[[#This Row],[Msr Device Retire-ment Year]],DeemedDashboard[[#This Row],[Measure End 
Year]])-MAX(DeemedDashboard[[#This Row],[Msr Device Install Year]],DeemedDashboard[[#This Row],[Measure Start Year]])),0))</f>
        <v/>
      </c>
      <c r="AW76" s="328" t="str">
        <f>IF(ISBLANK(DeemedDashboard[[#This Row],[MeasAppType]]),"",MAX((1+MIN(DeemedDashboard[[#This Row],[Std Device Retire-ment Year]],DeemedDashboard[[#This Row],[Measure End 
Year]])-MAX(DeemedDashboard[[#This Row],[Std Device Install Year]],DeemedDashboard[[#This Row],[Measure Start Year]])),0))</f>
        <v/>
      </c>
      <c r="AX7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6" s="329" t="str">
        <f>IF(ISBLANK(DeemedDashboard[[#This Row],[MeasAppType]]),"",IF(DeemedDashboard[[#This Row],[Msr Device Years Over-lapping with Measure Years]]=0,0,DeemedDashboard[[#This Row],[Msr Device Years Over-lapping with Measure Years]]/DeemedDashboard[[#This Row],[Msr EUL rounded]]))</f>
        <v/>
      </c>
      <c r="BA76" s="329" t="str">
        <f>IF(ISBLANK(DeemedDashboard[[#This Row],[MeasAppType]]),"",IF(DeemedDashboard[[#This Row],[Std Device Years Over-lapping with Measure Years]]=0,0,DeemedDashboard[[#This Row],[Std Device Years Over-lapping with Measure Years]]/DeemedDashboard[[#This Row],[Counterfactual New Device EUL]]))</f>
        <v/>
      </c>
      <c r="BB76" s="329" t="str">
        <f>IF(ISBLANK(DeemedDashboard[[#This Row],[MeasAppType]]),"",IFERROR(IF(DeemedDashboard[[#This Row],[Pre Device Years Over-lapping with Measure Years]]=0,0,DeemedDashboard[[#This Row],[Pre Device Years Over-lapping with Measure Years]]/DeemedDashboard[[#This Row],[Existing Device EUL]]),""))</f>
        <v/>
      </c>
      <c r="BC76" s="329" t="str">
        <f>IFERROR(IF(DeemedDashboard[[#This Row],[Ext Device Years Over-lapping with Measure Years]]=0,0,DeemedDashboard[[#This Row],[Ext Device Years Over-lapping with Measure Years]]/DeemedDashboard[[#This Row],[Existing Device EUL]]),"")</f>
        <v/>
      </c>
      <c r="BD76" s="329" t="str">
        <f>IFERROR(IF(DeemedDashboard[[#This Row],[Msr Number of Years device retired early]]=0,0,DeemedDashboard[[#This Row],[Msr Number of Years device retired early]]/DeemedDashboard[[#This Row],[Msr EUL rounded]]),"")</f>
        <v/>
      </c>
      <c r="BE76" s="329" t="str">
        <f>IFERROR(IF(DeemedDashboard[[#This Row],[Std Number of Years device retired early]]=0,0,DeemedDashboard[[#This Row],[Std Number of Years device retired early]]/DeemedDashboard[[#This Row],[Msr EUL rounded]]),"")</f>
        <v/>
      </c>
      <c r="BF76" s="329" t="str">
        <f>IFERROR(IF(DeemedDashboard[[#This Row],[MeasAppType]]&lt;&gt;const_AR,"",IF(DeemedDashboard[[#This Row],[Pre Number of Years device retired early]]=0,0,DeemedDashboard[[#This Row],[Pre Number of Years device retired early]]/DeemedDashboard[[#This Row],[Existing Device EUL]])),"")</f>
        <v/>
      </c>
      <c r="BG76" s="329" t="str">
        <f>IFERROR(IF(DeemedDashboard[[#This Row],[Ext Number of Years device retired early]]=0,0,DeemedDashboard[[#This Row],[Ext Number of Years device retired early]]/DeemedDashboard[[#This Row],[Existing Device EUL]]),"")</f>
        <v/>
      </c>
      <c r="BH76" s="325" t="str">
        <f>IFERROR(1-DeemedDashboard[[#This Row],[Msr annual refrigerant leakage %]]*DeemedDashboard[[#This Row],[Msr t_EOL]],"")</f>
        <v/>
      </c>
      <c r="BI76" s="325" t="str">
        <f>IFERROR(1-DeemedDashboard[[#This Row],[Std annual refrigerant leakage %]]*DeemedDashboard[[#This Row],[Std t_EOL]],"")</f>
        <v/>
      </c>
      <c r="BJ76" s="325" t="str">
        <f>IFERROR(1-DeemedDashboard[[#This Row],[Pre/Ext annual refrigerant leakage %]]*DeemedDashboard[[#This Row],[Pre/Ext t_EOL]],"")</f>
        <v/>
      </c>
      <c r="BK76" s="325" t="str">
        <f>IFERROR(1-DeemedDashboard[[#This Row],[Pre/Ext annual refrigerant leakage %]]*DeemedDashboard[[#This Row],[Pre/Ext t_EOL]],"")</f>
        <v/>
      </c>
      <c r="BL76" s="325" t="str">
        <f>IFERROR(DeemedDashboard[[#This Row],[Msr charging remaining (%)]]*DeemedDashboard[[#This Row],[Msr gross EOL refrigerant leakage %]],"")</f>
        <v/>
      </c>
      <c r="BM76" s="325" t="str">
        <f>IFERROR(DeemedDashboard[[#This Row],[Std charging remaining (%)]]*DeemedDashboard[[#This Row],[Std gross EOL refrigerant leakage %]],"")</f>
        <v/>
      </c>
      <c r="BN76" s="325" t="str">
        <f>IFERROR(DeemedDashboard[[#This Row],[Pre charging remaining (%)]]*DeemedDashboard[[#This Row],[Pre/Ext gross EOL refrigerant leakage %]],"")</f>
        <v/>
      </c>
      <c r="BO76" s="325" t="str">
        <f>IFERROR(DeemedDashboard[[#This Row],[Ext charging remaining (%)]]*DeemedDashboard[[#This Row],[Pre/Ext gross EOL refrigerant leakage %]],"")</f>
        <v/>
      </c>
      <c r="BP76" s="330" t="str">
        <f>IFERROR((DeemedDashboard[[#This Row],[Msr refrigerant charge (lb) per NormUnit]]/pounds_per_metric_ton)*DeemedDashboard[[#This Row],[Msr annual refrigerant leakage %]]*DeemedDashboard[[#This Row],[Msr GWP]],"")</f>
        <v/>
      </c>
      <c r="BQ76" s="330" t="str">
        <f>IFERROR((DeemedDashboard[[#This Row],[Std refrigerant charge (lb) per NormUnit]]/pounds_per_metric_ton)*DeemedDashboard[[#This Row],[Std annual refrigerant leakage %]]*DeemedDashboard[[#This Row],[Std GWP]],"")</f>
        <v/>
      </c>
      <c r="BR76" s="330" t="str">
        <f>IF(DeemedDashboard[[#This Row],[MeasAppType]]=const_AR,(DeemedDashboard[[#This Row],[Pre/Ext refrigerant charge (lb) per NormUnit]]/pounds_per_metric_ton)*DeemedDashboard[[#This Row],[Pre/Ext annual refrigerant leakage %]]*DeemedDashboard[[#This Row],[Pre/Ext GWP]],"")</f>
        <v/>
      </c>
      <c r="BS76" s="330" t="str">
        <f>IF(DeemedDashboard[[#This Row],[MeasAppType]]=const_AR,(DeemedDashboard[[#This Row],[Pre/Ext refrigerant charge (lb) per NormUnit]]/pounds_per_metric_ton)*DeemedDashboard[[#This Row],[Pre/Ext annual refrigerant leakage %]]*DeemedDashboard[[#This Row],[Pre/Ext GWP]],"")</f>
        <v/>
      </c>
      <c r="BT76" s="330" t="str">
        <f>IFERROR((DeemedDashboard[[#This Row],[Msr refrigerant charge (lb) per NormUnit]]/pounds_per_metric_ton)*DeemedDashboard[[#This Row],[Msr net EOL refrigerant leakage (%)]]*DeemedDashboard[[#This Row],[Msr GWP]],"")</f>
        <v/>
      </c>
      <c r="BU76" s="330" t="str">
        <f>IFERROR((DeemedDashboard[[#This Row],[Std refrigerant charge (lb) per NormUnit]]/pounds_per_metric_ton)*DeemedDashboard[[#This Row],[Std net EOL refrigerant leakage (%)]]*DeemedDashboard[[#This Row],[Std GWP]],"")</f>
        <v/>
      </c>
      <c r="BV76" s="330" t="str">
        <f>IFERROR((DeemedDashboard[[#This Row],[Pre/Ext refrigerant charge (lb) per NormUnit]]/pounds_per_metric_ton)*DeemedDashboard[[#This Row],[Pre net EOL refrigerant leakage (%)]]*DeemedDashboard[[#This Row],[Pre/Ext GWP]],"")</f>
        <v/>
      </c>
      <c r="BW76" s="330" t="str">
        <f>IFERROR((DeemedDashboard[[#This Row],[Pre/Ext refrigerant charge (lb) per NormUnit]]/pounds_per_metric_ton)*DeemedDashboard[[#This Row],[Ext net EOL refrigerant leakage (%)]]*DeemedDashboard[[#This Row],[Pre/Ext GWP]],"")</f>
        <v/>
      </c>
      <c r="BX76" s="299" t="str" cm="1">
        <f t="array" aca="1" ref="BX7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6" s="305" t="str" cm="1">
        <f t="array" aca="1" ref="BY7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6" s="299" t="str">
        <f>IFERROR(IF(OR(DeemedDashboard[[#This Row],[MeasAppType]]&lt;&gt;const_AR,ISBLANK(DeemedDashboard[[#This Row],[MeasAppType]])),NA(),0),"")</f>
        <v/>
      </c>
      <c r="CA76" s="305" t="str" cm="1">
        <f t="array" aca="1" ref="CA7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6" s="299" t="str">
        <f ca="1">IFERROR((DeemedDashboard[[#This Row],[Msr EOL leakage tons CO2e]]*OFFSET(GHG_Adder_dollar_per_tonne,0,(DeemedDashboard[[#This Row],[Msr Device Retire-ment Year]]-DY+1),1,1))/(1+WACC)^(DeemedDashboard[[#This Row],[Msr Device Retire-ment Year]]-DeemedDashboard[[#This Row],[Measure Start Year]]+0.5),"")</f>
        <v/>
      </c>
      <c r="CC76" s="299" t="str">
        <f ca="1">IFERROR((DeemedDashboard[[#This Row],[Std EOL leakage tons CO2e]]*OFFSET(GHG_Adder_dollar_per_tonne,0,(DeemedDashboard[[#This Row],[Std Device Retire-ment Year]]-DY+1),1,1))/(1+WACC)^(DeemedDashboard[[#This Row],[Std Device Retire-ment Year]]-DeemedDashboard[[#This Row],[Measure Start Year]]+0.5),"")</f>
        <v/>
      </c>
      <c r="CD76" s="299" t="str">
        <f ca="1">IFERROR((DeemedDashboard[[#This Row],[Pre EOL leakage tons CO2e]]*OFFSET(GHG_Adder_dollar_per_tonne,0,(DeemedDashboard[[#This Row],[Measure Start Year]]-DY),1,1))/(1+WACC)^(-0.5),"")</f>
        <v/>
      </c>
      <c r="CE7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6" s="299" t="str">
        <f ca="1">IFERROR(DeemedDashboard[[#This Row],[Msr NPV Cost of Annual Leakage]]/(1+ACC_Inflation_Rate)^(DeemedDashboard[[#This Row],[Measure Start Year]]-DY),"")</f>
        <v/>
      </c>
      <c r="CG76" s="299" t="str">
        <f ca="1">IFERROR(DeemedDashboard[[#This Row],[Std NPV Cost of Annual Leakage]]/(1+ACC_Inflation_Rate)^(DeemedDashboard[[#This Row],[Measure Start Year]]-DY),"")</f>
        <v/>
      </c>
      <c r="CH76" s="299" t="str">
        <f>IFERROR(IF(ISBLANK(DeemedDashboard[[#This Row],[MeasAppType]]),NA(),IF(DeemedDashboard[[#This Row],[MeasAppType]]=const_AR,DeemedDashboard[[#This Row],[Pre NPV Cost of Annual Leakage]]/(1+ACC_Inflation_Rate)^(DeemedDashboard[[#This Row],[Measure Start Year]]-DY),"")),"")</f>
        <v/>
      </c>
      <c r="CI76" s="296" t="str">
        <f>IFERROR(IF(ISBLANK(DeemedDashboard[[#This Row],[MeasAppType]]),NA(),IF(DeemedDashboard[[#This Row],[MeasAppType]]=const_AR,DeemedDashboard[[#This Row],[Ext NPV Cost of Annual Leakage]]/(1+ACC_Inflation_Rate)^(DeemedDashboard[[#This Row],[Measure Start Year]]-DY),"")),"")</f>
        <v/>
      </c>
      <c r="CJ76" s="296" t="str">
        <f ca="1">IFERROR((DeemedDashboard[[#This Row],[Msr % of device lifetime during measure years]]+DeemedDashboard[[#This Row],[Msr % of device lifetime retired early]])*DeemedDashboard[[#This Row],[Msr NPV Cost of EOL Leakage]]/(1+ACC_Inflation_Rate)^(DeemedDashboard[[#This Row],[Measure Start Year]]-DY),"")</f>
        <v/>
      </c>
      <c r="CK76" s="296" t="str">
        <f ca="1">IFERROR((DeemedDashboard[[#This Row],[Std % of device lifetime during measure years]]+DeemedDashboard[[#This Row],[Std % of device lifetime retired early]])*DeemedDashboard[[#This Row],[Std NPV Cost of EOL Leakage]]/(1+ACC_Inflation_Rate)^(DeemedDashboard[[#This Row],[Measure Start Year]]-DY),"")</f>
        <v/>
      </c>
      <c r="CL7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6" s="299" t="str">
        <f ca="1">IFERROR(DeemedDashboard[[#This Row],[Counter-factual total 
NPV cost]]-DeemedDashboard[[#This Row],[Measure total 
NPV cost]],"")</f>
        <v/>
      </c>
      <c r="CQ76" s="299" t="str">
        <f>IF(ISBLANK(DeemedDashboard[[#This Row],[MeasAppType]]),"",DeemedDashboard[[#This Row],[Refrigerant
NPV costs
avoided]]&gt;0)</f>
        <v/>
      </c>
      <c r="CR76" s="299" t="str">
        <f ca="1">IFERROR(DeemedDashboard[[#This Row],[Msr Adj NPV Cost of Annual Leakage]]+DeemedDashboard[[#This Row],[Msr Adj NPV Cost of EOL Leakage]],"")</f>
        <v/>
      </c>
      <c r="CS76" s="299" t="str">
        <f ca="1">IFERROR(DeemedDashboard[[#This Row],[Std Adj NPV Cost of Annual Leakage]]+DeemedDashboard[[#This Row],[Std Adj NPV Cost of EOL Leakage]],"")</f>
        <v/>
      </c>
      <c r="CT76" s="299" t="str">
        <f>IFERROR(IF((DeemedDashboard[[#This Row],[Pre Adj NPV Cost of Annual Leakage]]+DeemedDashboard[[#This Row],[Pre Adj NPV Cost of EOL Leakage]])=0,"",DeemedDashboard[[#This Row],[Pre Adj NPV Cost of Annual Leakage]]+DeemedDashboard[[#This Row],[Pre Adj NPV Cost of EOL Leakage]]),"")</f>
        <v/>
      </c>
      <c r="CU76" s="299" t="str">
        <f>IFERROR(IF((DeemedDashboard[[#This Row],[Ext Adj NPV Cost of Annual Leakage]]+DeemedDashboard[[#This Row],[Ext Adj NPV Cost of EOL Leakage]])=0,"",DeemedDashboard[[#This Row],[Ext Adj NPV Cost of Annual Leakage]]+DeemedDashboard[[#This Row],[Ext Adj NPV Cost of EOL Leakage]]),"")</f>
        <v/>
      </c>
      <c r="CV76" s="299" t="str">
        <f>IFERROR(IF(DeemedDashboard[[#This Row],[Is Avoided Net Cost &gt;0?]],"",-DeemedDashboard[[#This Row],[Refrigerant
NPV costs
avoided]]),"")</f>
        <v/>
      </c>
      <c r="CW76" s="299" t="str">
        <f>IFERROR(IF(DeemedDashboard[[#This Row],[Is Avoided Net Cost &gt;0?]],DeemedDashboard[[#This Row],[Refrigerant
NPV costs
avoided]],""),"")</f>
        <v/>
      </c>
      <c r="CX76" s="391">
        <f ca="1">IFERROR(MATCH(DeemedDashboard[[#This Row],[TechGroup and NormUnit]],TechGroup_and_NormUnit,0),1)</f>
        <v>1</v>
      </c>
      <c r="CY76" s="391" cm="1">
        <f t="array" aca="1" ref="CY76" ca="1">IFERROR(INDEX(TGRows,DeemedDashboard[[#This Row],[TGIndex]]),"")</f>
        <v>2</v>
      </c>
      <c r="CZ76" s="391">
        <f ca="1">IF(DeemedDashboard[[#This Row],[MeasAppType]]=const_AR,DeemedDashboard[[#This Row],[TGRows]],DeemedDashboard[[#This Row],[TGRows]]+1)</f>
        <v>3</v>
      </c>
      <c r="DA76" s="391" t="str">
        <f>IF(ISBLANK(DeemedDashboard[[#This Row],[MeasAppType]]),"",IF(DeemedDashboard[[#This Row],[Index]]=User_Specified_Refrigerant[[#This Row],[Index]],"OK","ERROR"))</f>
        <v/>
      </c>
    </row>
    <row r="77" spans="1:105" s="320" customFormat="1" x14ac:dyDescent="0.25">
      <c r="A77" s="297">
        <f>ROW(DeemedDashboard[[#This Row],[Index]])-ROW(DeemedDashboard[[#Headers],[Index]])</f>
        <v>68</v>
      </c>
      <c r="B77" s="298"/>
      <c r="C77" s="321"/>
      <c r="D77" s="403"/>
      <c r="E77" s="403"/>
      <c r="F77" s="403"/>
      <c r="G77" s="403"/>
      <c r="H77" s="366"/>
      <c r="I77" s="339"/>
      <c r="J77" s="339"/>
      <c r="K77" s="339"/>
      <c r="L77" s="322"/>
      <c r="M77" s="322"/>
      <c r="N77" s="322"/>
      <c r="O7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7" s="582" t="str" cm="1">
        <f t="array" ref="R77">IFERROR(IF(DeemedDashboard[[#This Row],[Msr device type]]=const_device_nonrefrig,0,INDEX(_xlfn.SWITCH($E$4,const_20_yr,GWP_Values_20_year_AR4,const_100_yr,GWP_Values_100_year_AR4),MATCH(DeemedDashboard[[#This Row],[Msr refrigerant Type]],RefrigDropdownList,0))),"")</f>
        <v/>
      </c>
      <c r="S77" s="582" t="str" cm="1">
        <f t="array" ref="S77">IFERROR(IF(DeemedDashboard[[#This Row],[Std device type]]=const_device_nonrefrig,0,INDEX(_xlfn.SWITCH($E$4,const_20_yr,GWP_Values_20_year_AR4,const_100_yr,GWP_Values_100_year_AR4),MATCH(DeemedDashboard[[#This Row],[Std refrigerant Type]],RefrigDropdownList,0))),"")</f>
        <v/>
      </c>
      <c r="T77" s="582" t="str" cm="1">
        <f t="array" ref="T77">IFERROR(IF(DeemedDashboard[[#This Row],[Pre/Ext device type]]=const_device_nonrefrig,0,INDEX(_xlfn.SWITCH($E$4,const_20_yr,GWP_Values_20_year_AR4,const_100_yr,GWP_Values_100_year_AR4),MATCH(DeemedDashboard[[#This Row],[Pre/Ext refrigerant Type]],RefrigDropdownList,0))),"")</f>
        <v/>
      </c>
      <c r="U7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7" s="326" t="str">
        <f>IFERROR(IF(DeemedDashboard[[#This Row],[Msr device type]]=const_userspec,IF(ISBLANK(User_Specified_Refrigerant[[#This Row],[Msr t_EOL]]),"",User_Specified_Refrigerant[[#This Row],[Msr t_EOL]]),INDEX(TechGroup_NormUnit_Table[t_EOL],MATCH(DeemedDashboard[[#This Row],[Msr device type]],DropdownRefrigTech,0))),"")</f>
        <v/>
      </c>
      <c r="AB77" s="326" t="str">
        <f>IFERROR(IF(DeemedDashboard[[#This Row],[Std device type]]=const_userspec,IF(ISBLANK(User_Specified_Refrigerant[[#This Row],[Std t_EOL]]),"",User_Specified_Refrigerant[[#This Row],[Std t_EOL]]),INDEX(TechGroup_NormUnit_Table[t_EOL],MATCH(DeemedDashboard[[#This Row],[Std device type]],DropdownRefrigTech,0))),"")</f>
        <v/>
      </c>
      <c r="AC7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7" s="395" t="str">
        <f>IF(ISBLANK(DeemedDashboard[[#This Row],[MeasAppType]]),"",$E$2)</f>
        <v/>
      </c>
      <c r="AE77" s="395" t="str">
        <f>IFERROR(IF(ISBLANK(DeemedDashboard[[#This Row],[MeasAppType]]),NA(),DeemedDashboard[[#This Row],[Measure Start Year]]+DeemedDashboard[[#This Row],[Msr EUL rounded]]-1),"")</f>
        <v/>
      </c>
      <c r="AF77" s="323" t="str">
        <f>IF(ISBLANK(DeemedDashboard[[#This Row],[Measure New Device EUL]]),"",ROUND(DeemedDashboard[[#This Row],[Measure New Device EUL]],0))</f>
        <v/>
      </c>
      <c r="AG77" s="323" t="str">
        <f>IF(ISBLANK(DeemedDashboard[[#This Row],[Counterfactual New Device EUL]]),"",ROUND(DeemedDashboard[[#This Row],[Counterfactual New Device EUL]],0))</f>
        <v/>
      </c>
      <c r="AH77" s="323" t="str">
        <f>IF(ISBLANK(DeemedDashboard[[#This Row],[Existing Device EUL]]),"",ROUND(DeemedDashboard[[#This Row],[Existing Device EUL]],0))</f>
        <v/>
      </c>
      <c r="AI77" s="323" t="str">
        <f>IF(ISBLANK(DeemedDashboard[[#This Row],[Existing Device RUL or AR First Baseline Life]]),"",ROUND(DeemedDashboard[[#This Row],[Existing Device RUL or AR First Baseline Life]],0))</f>
        <v/>
      </c>
      <c r="AJ77" s="327" t="str">
        <f>DeemedDashboard[[#This Row],[Measure Start Year]]</f>
        <v/>
      </c>
      <c r="AK77" s="327" t="str">
        <f>IF(DeemedDashboard[[#This Row],[MeasAppType]]&lt;&gt;const_AR,DeemedDashboard[[#This Row],[Measure Start Year]],DeemedDashboard[[#This Row],[Ext Device Retire-ment Year]]+1)</f>
        <v/>
      </c>
      <c r="AL77" s="327" t="str">
        <f>IFERROR(IF(DeemedDashboard[[#This Row],[MeasAppType]]=const_AR,DeemedDashboard[[#This Row],[Measure Start Year]]-(DeemedDashboard[[#This Row],[Existing Device EUL]]-DeemedDashboard[[#This Row],[Existing Device RUL or AR First Baseline Life]]),NA()),"")</f>
        <v/>
      </c>
      <c r="AM77" s="327" t="str">
        <f>DeemedDashboard[[#This Row],[Pre Device Install Year]]</f>
        <v/>
      </c>
      <c r="AN77" s="327" t="str">
        <f>IFERROR(IF(ISBLANK(DeemedDashboard[[#This Row],[MeasAppType]]),NA(),DeemedDashboard[[#This Row],[Measure Start Year]]+DeemedDashboard[[#This Row],[Msr EUL rounded]]-1),"")</f>
        <v/>
      </c>
      <c r="AO77" s="327" t="str">
        <f>IFERROR(DeemedDashboard[[#This Row],[Std Device Install Year]]+DeemedDashboard[[#This Row],[Counterfactual New Device EUL]]-1,"")</f>
        <v/>
      </c>
      <c r="AP77" s="327" t="str">
        <f>IFERROR(IF(AND(DeemedDashboard[[#This Row],[MeasAppType]]=const_AR,DeemedDashboard[[#This Row],[Measure Start Year]]&lt;(DeemedDashboard[[#This Row],[Pre Device Install Year]]+DeemedDashboard[[#This Row],[Existing Device EUL]]-1)),DeemedDashboard[[#This Row],[Measure Start Year]]-1,NA()),"")</f>
        <v/>
      </c>
      <c r="AQ77" s="327" t="str">
        <f>IFERROR(IF(DeemedDashboard[[#This Row],[MeasAppType]]=const_AR,DeemedDashboard[[#This Row],[Ext Device Install Year]]+DeemedDashboard[[#This Row],[Existing Device EUL]]-1,NA()),"")</f>
        <v/>
      </c>
      <c r="AR77" s="327" t="str">
        <f>IFERROR(IF(ISBLANK(DeemedDashboard[[#This Row],[MeasAppType]]),NA(),0),"")</f>
        <v/>
      </c>
      <c r="AS77" s="327" t="str">
        <f>IFERROR(IF(ISBLANK(DeemedDashboard[[#This Row],[MeasAppType]]),NA(),0),"")</f>
        <v/>
      </c>
      <c r="AT77" s="327" t="str">
        <f>IF(ISBLANK(DeemedDashboard[[#This Row],[MeasAppType]]),"",IF(DeemedDashboard[[#This Row],[MeasAppType]]&lt;&gt;const_AR,"",(DeemedDashboard[[#This Row],[Pre Device Install Year]]+DeemedDashboard[[#This Row],[Existing Device EUL]]-1)-DeemedDashboard[[#This Row],[Pre Device Retire-ment Year]]))</f>
        <v/>
      </c>
      <c r="AU77" s="327" t="str">
        <f>IF(ISBLANK(DeemedDashboard[[#This Row],[MeasAppType]]),"",IF(DeemedDashboard[[#This Row],[MeasAppType]]=const_AR,0,""))</f>
        <v/>
      </c>
      <c r="AV77" s="328" t="str">
        <f>IF(ISBLANK(DeemedDashboard[[#This Row],[MeasAppType]]),"",MAX((1+MIN(DeemedDashboard[[#This Row],[Msr Device Retire-ment Year]],DeemedDashboard[[#This Row],[Measure End 
Year]])-MAX(DeemedDashboard[[#This Row],[Msr Device Install Year]],DeemedDashboard[[#This Row],[Measure Start Year]])),0))</f>
        <v/>
      </c>
      <c r="AW77" s="328" t="str">
        <f>IF(ISBLANK(DeemedDashboard[[#This Row],[MeasAppType]]),"",MAX((1+MIN(DeemedDashboard[[#This Row],[Std Device Retire-ment Year]],DeemedDashboard[[#This Row],[Measure End 
Year]])-MAX(DeemedDashboard[[#This Row],[Std Device Install Year]],DeemedDashboard[[#This Row],[Measure Start Year]])),0))</f>
        <v/>
      </c>
      <c r="AX7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7" s="329" t="str">
        <f>IF(ISBLANK(DeemedDashboard[[#This Row],[MeasAppType]]),"",IF(DeemedDashboard[[#This Row],[Msr Device Years Over-lapping with Measure Years]]=0,0,DeemedDashboard[[#This Row],[Msr Device Years Over-lapping with Measure Years]]/DeemedDashboard[[#This Row],[Msr EUL rounded]]))</f>
        <v/>
      </c>
      <c r="BA77" s="329" t="str">
        <f>IF(ISBLANK(DeemedDashboard[[#This Row],[MeasAppType]]),"",IF(DeemedDashboard[[#This Row],[Std Device Years Over-lapping with Measure Years]]=0,0,DeemedDashboard[[#This Row],[Std Device Years Over-lapping with Measure Years]]/DeemedDashboard[[#This Row],[Counterfactual New Device EUL]]))</f>
        <v/>
      </c>
      <c r="BB77" s="329" t="str">
        <f>IF(ISBLANK(DeemedDashboard[[#This Row],[MeasAppType]]),"",IFERROR(IF(DeemedDashboard[[#This Row],[Pre Device Years Over-lapping with Measure Years]]=0,0,DeemedDashboard[[#This Row],[Pre Device Years Over-lapping with Measure Years]]/DeemedDashboard[[#This Row],[Existing Device EUL]]),""))</f>
        <v/>
      </c>
      <c r="BC77" s="329" t="str">
        <f>IFERROR(IF(DeemedDashboard[[#This Row],[Ext Device Years Over-lapping with Measure Years]]=0,0,DeemedDashboard[[#This Row],[Ext Device Years Over-lapping with Measure Years]]/DeemedDashboard[[#This Row],[Existing Device EUL]]),"")</f>
        <v/>
      </c>
      <c r="BD77" s="329" t="str">
        <f>IFERROR(IF(DeemedDashboard[[#This Row],[Msr Number of Years device retired early]]=0,0,DeemedDashboard[[#This Row],[Msr Number of Years device retired early]]/DeemedDashboard[[#This Row],[Msr EUL rounded]]),"")</f>
        <v/>
      </c>
      <c r="BE77" s="329" t="str">
        <f>IFERROR(IF(DeemedDashboard[[#This Row],[Std Number of Years device retired early]]=0,0,DeemedDashboard[[#This Row],[Std Number of Years device retired early]]/DeemedDashboard[[#This Row],[Msr EUL rounded]]),"")</f>
        <v/>
      </c>
      <c r="BF77" s="329" t="str">
        <f>IFERROR(IF(DeemedDashboard[[#This Row],[MeasAppType]]&lt;&gt;const_AR,"",IF(DeemedDashboard[[#This Row],[Pre Number of Years device retired early]]=0,0,DeemedDashboard[[#This Row],[Pre Number of Years device retired early]]/DeemedDashboard[[#This Row],[Existing Device EUL]])),"")</f>
        <v/>
      </c>
      <c r="BG77" s="329" t="str">
        <f>IFERROR(IF(DeemedDashboard[[#This Row],[Ext Number of Years device retired early]]=0,0,DeemedDashboard[[#This Row],[Ext Number of Years device retired early]]/DeemedDashboard[[#This Row],[Existing Device EUL]]),"")</f>
        <v/>
      </c>
      <c r="BH77" s="325" t="str">
        <f>IFERROR(1-DeemedDashboard[[#This Row],[Msr annual refrigerant leakage %]]*DeemedDashboard[[#This Row],[Msr t_EOL]],"")</f>
        <v/>
      </c>
      <c r="BI77" s="325" t="str">
        <f>IFERROR(1-DeemedDashboard[[#This Row],[Std annual refrigerant leakage %]]*DeemedDashboard[[#This Row],[Std t_EOL]],"")</f>
        <v/>
      </c>
      <c r="BJ77" s="325" t="str">
        <f>IFERROR(1-DeemedDashboard[[#This Row],[Pre/Ext annual refrigerant leakage %]]*DeemedDashboard[[#This Row],[Pre/Ext t_EOL]],"")</f>
        <v/>
      </c>
      <c r="BK77" s="325" t="str">
        <f>IFERROR(1-DeemedDashboard[[#This Row],[Pre/Ext annual refrigerant leakage %]]*DeemedDashboard[[#This Row],[Pre/Ext t_EOL]],"")</f>
        <v/>
      </c>
      <c r="BL77" s="325" t="str">
        <f>IFERROR(DeemedDashboard[[#This Row],[Msr charging remaining (%)]]*DeemedDashboard[[#This Row],[Msr gross EOL refrigerant leakage %]],"")</f>
        <v/>
      </c>
      <c r="BM77" s="325" t="str">
        <f>IFERROR(DeemedDashboard[[#This Row],[Std charging remaining (%)]]*DeemedDashboard[[#This Row],[Std gross EOL refrigerant leakage %]],"")</f>
        <v/>
      </c>
      <c r="BN77" s="325" t="str">
        <f>IFERROR(DeemedDashboard[[#This Row],[Pre charging remaining (%)]]*DeemedDashboard[[#This Row],[Pre/Ext gross EOL refrigerant leakage %]],"")</f>
        <v/>
      </c>
      <c r="BO77" s="325" t="str">
        <f>IFERROR(DeemedDashboard[[#This Row],[Ext charging remaining (%)]]*DeemedDashboard[[#This Row],[Pre/Ext gross EOL refrigerant leakage %]],"")</f>
        <v/>
      </c>
      <c r="BP77" s="330" t="str">
        <f>IFERROR((DeemedDashboard[[#This Row],[Msr refrigerant charge (lb) per NormUnit]]/pounds_per_metric_ton)*DeemedDashboard[[#This Row],[Msr annual refrigerant leakage %]]*DeemedDashboard[[#This Row],[Msr GWP]],"")</f>
        <v/>
      </c>
      <c r="BQ77" s="330" t="str">
        <f>IFERROR((DeemedDashboard[[#This Row],[Std refrigerant charge (lb) per NormUnit]]/pounds_per_metric_ton)*DeemedDashboard[[#This Row],[Std annual refrigerant leakage %]]*DeemedDashboard[[#This Row],[Std GWP]],"")</f>
        <v/>
      </c>
      <c r="BR77" s="330" t="str">
        <f>IF(DeemedDashboard[[#This Row],[MeasAppType]]=const_AR,(DeemedDashboard[[#This Row],[Pre/Ext refrigerant charge (lb) per NormUnit]]/pounds_per_metric_ton)*DeemedDashboard[[#This Row],[Pre/Ext annual refrigerant leakage %]]*DeemedDashboard[[#This Row],[Pre/Ext GWP]],"")</f>
        <v/>
      </c>
      <c r="BS77" s="330" t="str">
        <f>IF(DeemedDashboard[[#This Row],[MeasAppType]]=const_AR,(DeemedDashboard[[#This Row],[Pre/Ext refrigerant charge (lb) per NormUnit]]/pounds_per_metric_ton)*DeemedDashboard[[#This Row],[Pre/Ext annual refrigerant leakage %]]*DeemedDashboard[[#This Row],[Pre/Ext GWP]],"")</f>
        <v/>
      </c>
      <c r="BT77" s="330" t="str">
        <f>IFERROR((DeemedDashboard[[#This Row],[Msr refrigerant charge (lb) per NormUnit]]/pounds_per_metric_ton)*DeemedDashboard[[#This Row],[Msr net EOL refrigerant leakage (%)]]*DeemedDashboard[[#This Row],[Msr GWP]],"")</f>
        <v/>
      </c>
      <c r="BU77" s="330" t="str">
        <f>IFERROR((DeemedDashboard[[#This Row],[Std refrigerant charge (lb) per NormUnit]]/pounds_per_metric_ton)*DeemedDashboard[[#This Row],[Std net EOL refrigerant leakage (%)]]*DeemedDashboard[[#This Row],[Std GWP]],"")</f>
        <v/>
      </c>
      <c r="BV77" s="330" t="str">
        <f>IFERROR((DeemedDashboard[[#This Row],[Pre/Ext refrigerant charge (lb) per NormUnit]]/pounds_per_metric_ton)*DeemedDashboard[[#This Row],[Pre net EOL refrigerant leakage (%)]]*DeemedDashboard[[#This Row],[Pre/Ext GWP]],"")</f>
        <v/>
      </c>
      <c r="BW77" s="330" t="str">
        <f>IFERROR((DeemedDashboard[[#This Row],[Pre/Ext refrigerant charge (lb) per NormUnit]]/pounds_per_metric_ton)*DeemedDashboard[[#This Row],[Ext net EOL refrigerant leakage (%)]]*DeemedDashboard[[#This Row],[Pre/Ext GWP]],"")</f>
        <v/>
      </c>
      <c r="BX77" s="299" t="str" cm="1">
        <f t="array" aca="1" ref="BX7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7" s="305" t="str" cm="1">
        <f t="array" aca="1" ref="BY7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7" s="299" t="str">
        <f>IFERROR(IF(OR(DeemedDashboard[[#This Row],[MeasAppType]]&lt;&gt;const_AR,ISBLANK(DeemedDashboard[[#This Row],[MeasAppType]])),NA(),0),"")</f>
        <v/>
      </c>
      <c r="CA77" s="305" t="str" cm="1">
        <f t="array" aca="1" ref="CA7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7" s="299" t="str">
        <f ca="1">IFERROR((DeemedDashboard[[#This Row],[Msr EOL leakage tons CO2e]]*OFFSET(GHG_Adder_dollar_per_tonne,0,(DeemedDashboard[[#This Row],[Msr Device Retire-ment Year]]-DY+1),1,1))/(1+WACC)^(DeemedDashboard[[#This Row],[Msr Device Retire-ment Year]]-DeemedDashboard[[#This Row],[Measure Start Year]]+0.5),"")</f>
        <v/>
      </c>
      <c r="CC77" s="299" t="str">
        <f ca="1">IFERROR((DeemedDashboard[[#This Row],[Std EOL leakage tons CO2e]]*OFFSET(GHG_Adder_dollar_per_tonne,0,(DeemedDashboard[[#This Row],[Std Device Retire-ment Year]]-DY+1),1,1))/(1+WACC)^(DeemedDashboard[[#This Row],[Std Device Retire-ment Year]]-DeemedDashboard[[#This Row],[Measure Start Year]]+0.5),"")</f>
        <v/>
      </c>
      <c r="CD77" s="299" t="str">
        <f ca="1">IFERROR((DeemedDashboard[[#This Row],[Pre EOL leakage tons CO2e]]*OFFSET(GHG_Adder_dollar_per_tonne,0,(DeemedDashboard[[#This Row],[Measure Start Year]]-DY),1,1))/(1+WACC)^(-0.5),"")</f>
        <v/>
      </c>
      <c r="CE7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7" s="299" t="str">
        <f ca="1">IFERROR(DeemedDashboard[[#This Row],[Msr NPV Cost of Annual Leakage]]/(1+ACC_Inflation_Rate)^(DeemedDashboard[[#This Row],[Measure Start Year]]-DY),"")</f>
        <v/>
      </c>
      <c r="CG77" s="299" t="str">
        <f ca="1">IFERROR(DeemedDashboard[[#This Row],[Std NPV Cost of Annual Leakage]]/(1+ACC_Inflation_Rate)^(DeemedDashboard[[#This Row],[Measure Start Year]]-DY),"")</f>
        <v/>
      </c>
      <c r="CH77" s="299" t="str">
        <f>IFERROR(IF(ISBLANK(DeemedDashboard[[#This Row],[MeasAppType]]),NA(),IF(DeemedDashboard[[#This Row],[MeasAppType]]=const_AR,DeemedDashboard[[#This Row],[Pre NPV Cost of Annual Leakage]]/(1+ACC_Inflation_Rate)^(DeemedDashboard[[#This Row],[Measure Start Year]]-DY),"")),"")</f>
        <v/>
      </c>
      <c r="CI77" s="296" t="str">
        <f>IFERROR(IF(ISBLANK(DeemedDashboard[[#This Row],[MeasAppType]]),NA(),IF(DeemedDashboard[[#This Row],[MeasAppType]]=const_AR,DeemedDashboard[[#This Row],[Ext NPV Cost of Annual Leakage]]/(1+ACC_Inflation_Rate)^(DeemedDashboard[[#This Row],[Measure Start Year]]-DY),"")),"")</f>
        <v/>
      </c>
      <c r="CJ77" s="296" t="str">
        <f ca="1">IFERROR((DeemedDashboard[[#This Row],[Msr % of device lifetime during measure years]]+DeemedDashboard[[#This Row],[Msr % of device lifetime retired early]])*DeemedDashboard[[#This Row],[Msr NPV Cost of EOL Leakage]]/(1+ACC_Inflation_Rate)^(DeemedDashboard[[#This Row],[Measure Start Year]]-DY),"")</f>
        <v/>
      </c>
      <c r="CK77" s="296" t="str">
        <f ca="1">IFERROR((DeemedDashboard[[#This Row],[Std % of device lifetime during measure years]]+DeemedDashboard[[#This Row],[Std % of device lifetime retired early]])*DeemedDashboard[[#This Row],[Std NPV Cost of EOL Leakage]]/(1+ACC_Inflation_Rate)^(DeemedDashboard[[#This Row],[Measure Start Year]]-DY),"")</f>
        <v/>
      </c>
      <c r="CL7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7" s="299" t="str">
        <f ca="1">IFERROR(DeemedDashboard[[#This Row],[Counter-factual total 
NPV cost]]-DeemedDashboard[[#This Row],[Measure total 
NPV cost]],"")</f>
        <v/>
      </c>
      <c r="CQ77" s="299" t="str">
        <f>IF(ISBLANK(DeemedDashboard[[#This Row],[MeasAppType]]),"",DeemedDashboard[[#This Row],[Refrigerant
NPV costs
avoided]]&gt;0)</f>
        <v/>
      </c>
      <c r="CR77" s="299" t="str">
        <f ca="1">IFERROR(DeemedDashboard[[#This Row],[Msr Adj NPV Cost of Annual Leakage]]+DeemedDashboard[[#This Row],[Msr Adj NPV Cost of EOL Leakage]],"")</f>
        <v/>
      </c>
      <c r="CS77" s="299" t="str">
        <f ca="1">IFERROR(DeemedDashboard[[#This Row],[Std Adj NPV Cost of Annual Leakage]]+DeemedDashboard[[#This Row],[Std Adj NPV Cost of EOL Leakage]],"")</f>
        <v/>
      </c>
      <c r="CT77" s="299" t="str">
        <f>IFERROR(IF((DeemedDashboard[[#This Row],[Pre Adj NPV Cost of Annual Leakage]]+DeemedDashboard[[#This Row],[Pre Adj NPV Cost of EOL Leakage]])=0,"",DeemedDashboard[[#This Row],[Pre Adj NPV Cost of Annual Leakage]]+DeemedDashboard[[#This Row],[Pre Adj NPV Cost of EOL Leakage]]),"")</f>
        <v/>
      </c>
      <c r="CU77" s="299" t="str">
        <f>IFERROR(IF((DeemedDashboard[[#This Row],[Ext Adj NPV Cost of Annual Leakage]]+DeemedDashboard[[#This Row],[Ext Adj NPV Cost of EOL Leakage]])=0,"",DeemedDashboard[[#This Row],[Ext Adj NPV Cost of Annual Leakage]]+DeemedDashboard[[#This Row],[Ext Adj NPV Cost of EOL Leakage]]),"")</f>
        <v/>
      </c>
      <c r="CV77" s="299" t="str">
        <f>IFERROR(IF(DeemedDashboard[[#This Row],[Is Avoided Net Cost &gt;0?]],"",-DeemedDashboard[[#This Row],[Refrigerant
NPV costs
avoided]]),"")</f>
        <v/>
      </c>
      <c r="CW77" s="299" t="str">
        <f>IFERROR(IF(DeemedDashboard[[#This Row],[Is Avoided Net Cost &gt;0?]],DeemedDashboard[[#This Row],[Refrigerant
NPV costs
avoided]],""),"")</f>
        <v/>
      </c>
      <c r="CX77" s="391">
        <f ca="1">IFERROR(MATCH(DeemedDashboard[[#This Row],[TechGroup and NormUnit]],TechGroup_and_NormUnit,0),1)</f>
        <v>1</v>
      </c>
      <c r="CY77" s="391" cm="1">
        <f t="array" aca="1" ref="CY77" ca="1">IFERROR(INDEX(TGRows,DeemedDashboard[[#This Row],[TGIndex]]),"")</f>
        <v>2</v>
      </c>
      <c r="CZ77" s="391">
        <f ca="1">IF(DeemedDashboard[[#This Row],[MeasAppType]]=const_AR,DeemedDashboard[[#This Row],[TGRows]],DeemedDashboard[[#This Row],[TGRows]]+1)</f>
        <v>3</v>
      </c>
      <c r="DA77" s="391" t="str">
        <f>IF(ISBLANK(DeemedDashboard[[#This Row],[MeasAppType]]),"",IF(DeemedDashboard[[#This Row],[Index]]=User_Specified_Refrigerant[[#This Row],[Index]],"OK","ERROR"))</f>
        <v/>
      </c>
    </row>
    <row r="78" spans="1:105" s="320" customFormat="1" x14ac:dyDescent="0.25">
      <c r="A78" s="297">
        <f>ROW(DeemedDashboard[[#This Row],[Index]])-ROW(DeemedDashboard[[#Headers],[Index]])</f>
        <v>69</v>
      </c>
      <c r="B78" s="298"/>
      <c r="C78" s="321"/>
      <c r="D78" s="403"/>
      <c r="E78" s="403"/>
      <c r="F78" s="403"/>
      <c r="G78" s="403"/>
      <c r="H78" s="366"/>
      <c r="I78" s="339"/>
      <c r="J78" s="339"/>
      <c r="K78" s="339"/>
      <c r="L78" s="322"/>
      <c r="M78" s="322"/>
      <c r="N78" s="322"/>
      <c r="O7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8" s="582" t="str" cm="1">
        <f t="array" ref="R78">IFERROR(IF(DeemedDashboard[[#This Row],[Msr device type]]=const_device_nonrefrig,0,INDEX(_xlfn.SWITCH($E$4,const_20_yr,GWP_Values_20_year_AR4,const_100_yr,GWP_Values_100_year_AR4),MATCH(DeemedDashboard[[#This Row],[Msr refrigerant Type]],RefrigDropdownList,0))),"")</f>
        <v/>
      </c>
      <c r="S78" s="582" t="str" cm="1">
        <f t="array" ref="S78">IFERROR(IF(DeemedDashboard[[#This Row],[Std device type]]=const_device_nonrefrig,0,INDEX(_xlfn.SWITCH($E$4,const_20_yr,GWP_Values_20_year_AR4,const_100_yr,GWP_Values_100_year_AR4),MATCH(DeemedDashboard[[#This Row],[Std refrigerant Type]],RefrigDropdownList,0))),"")</f>
        <v/>
      </c>
      <c r="T78" s="582" t="str" cm="1">
        <f t="array" ref="T78">IFERROR(IF(DeemedDashboard[[#This Row],[Pre/Ext device type]]=const_device_nonrefrig,0,INDEX(_xlfn.SWITCH($E$4,const_20_yr,GWP_Values_20_year_AR4,const_100_yr,GWP_Values_100_year_AR4),MATCH(DeemedDashboard[[#This Row],[Pre/Ext refrigerant Type]],RefrigDropdownList,0))),"")</f>
        <v/>
      </c>
      <c r="U7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8" s="326" t="str">
        <f>IFERROR(IF(DeemedDashboard[[#This Row],[Msr device type]]=const_userspec,IF(ISBLANK(User_Specified_Refrigerant[[#This Row],[Msr t_EOL]]),"",User_Specified_Refrigerant[[#This Row],[Msr t_EOL]]),INDEX(TechGroup_NormUnit_Table[t_EOL],MATCH(DeemedDashboard[[#This Row],[Msr device type]],DropdownRefrigTech,0))),"")</f>
        <v/>
      </c>
      <c r="AB78" s="326" t="str">
        <f>IFERROR(IF(DeemedDashboard[[#This Row],[Std device type]]=const_userspec,IF(ISBLANK(User_Specified_Refrigerant[[#This Row],[Std t_EOL]]),"",User_Specified_Refrigerant[[#This Row],[Std t_EOL]]),INDEX(TechGroup_NormUnit_Table[t_EOL],MATCH(DeemedDashboard[[#This Row],[Std device type]],DropdownRefrigTech,0))),"")</f>
        <v/>
      </c>
      <c r="AC7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8" s="395" t="str">
        <f>IF(ISBLANK(DeemedDashboard[[#This Row],[MeasAppType]]),"",$E$2)</f>
        <v/>
      </c>
      <c r="AE78" s="395" t="str">
        <f>IFERROR(IF(ISBLANK(DeemedDashboard[[#This Row],[MeasAppType]]),NA(),DeemedDashboard[[#This Row],[Measure Start Year]]+DeemedDashboard[[#This Row],[Msr EUL rounded]]-1),"")</f>
        <v/>
      </c>
      <c r="AF78" s="323" t="str">
        <f>IF(ISBLANK(DeemedDashboard[[#This Row],[Measure New Device EUL]]),"",ROUND(DeemedDashboard[[#This Row],[Measure New Device EUL]],0))</f>
        <v/>
      </c>
      <c r="AG78" s="323" t="str">
        <f>IF(ISBLANK(DeemedDashboard[[#This Row],[Counterfactual New Device EUL]]),"",ROUND(DeemedDashboard[[#This Row],[Counterfactual New Device EUL]],0))</f>
        <v/>
      </c>
      <c r="AH78" s="323" t="str">
        <f>IF(ISBLANK(DeemedDashboard[[#This Row],[Existing Device EUL]]),"",ROUND(DeemedDashboard[[#This Row],[Existing Device EUL]],0))</f>
        <v/>
      </c>
      <c r="AI78" s="323" t="str">
        <f>IF(ISBLANK(DeemedDashboard[[#This Row],[Existing Device RUL or AR First Baseline Life]]),"",ROUND(DeemedDashboard[[#This Row],[Existing Device RUL or AR First Baseline Life]],0))</f>
        <v/>
      </c>
      <c r="AJ78" s="327" t="str">
        <f>DeemedDashboard[[#This Row],[Measure Start Year]]</f>
        <v/>
      </c>
      <c r="AK78" s="327" t="str">
        <f>IF(DeemedDashboard[[#This Row],[MeasAppType]]&lt;&gt;const_AR,DeemedDashboard[[#This Row],[Measure Start Year]],DeemedDashboard[[#This Row],[Ext Device Retire-ment Year]]+1)</f>
        <v/>
      </c>
      <c r="AL78" s="327" t="str">
        <f>IFERROR(IF(DeemedDashboard[[#This Row],[MeasAppType]]=const_AR,DeemedDashboard[[#This Row],[Measure Start Year]]-(DeemedDashboard[[#This Row],[Existing Device EUL]]-DeemedDashboard[[#This Row],[Existing Device RUL or AR First Baseline Life]]),NA()),"")</f>
        <v/>
      </c>
      <c r="AM78" s="327" t="str">
        <f>DeemedDashboard[[#This Row],[Pre Device Install Year]]</f>
        <v/>
      </c>
      <c r="AN78" s="327" t="str">
        <f>IFERROR(IF(ISBLANK(DeemedDashboard[[#This Row],[MeasAppType]]),NA(),DeemedDashboard[[#This Row],[Measure Start Year]]+DeemedDashboard[[#This Row],[Msr EUL rounded]]-1),"")</f>
        <v/>
      </c>
      <c r="AO78" s="327" t="str">
        <f>IFERROR(DeemedDashboard[[#This Row],[Std Device Install Year]]+DeemedDashboard[[#This Row],[Counterfactual New Device EUL]]-1,"")</f>
        <v/>
      </c>
      <c r="AP78" s="327" t="str">
        <f>IFERROR(IF(AND(DeemedDashboard[[#This Row],[MeasAppType]]=const_AR,DeemedDashboard[[#This Row],[Measure Start Year]]&lt;(DeemedDashboard[[#This Row],[Pre Device Install Year]]+DeemedDashboard[[#This Row],[Existing Device EUL]]-1)),DeemedDashboard[[#This Row],[Measure Start Year]]-1,NA()),"")</f>
        <v/>
      </c>
      <c r="AQ78" s="327" t="str">
        <f>IFERROR(IF(DeemedDashboard[[#This Row],[MeasAppType]]=const_AR,DeemedDashboard[[#This Row],[Ext Device Install Year]]+DeemedDashboard[[#This Row],[Existing Device EUL]]-1,NA()),"")</f>
        <v/>
      </c>
      <c r="AR78" s="327" t="str">
        <f>IFERROR(IF(ISBLANK(DeemedDashboard[[#This Row],[MeasAppType]]),NA(),0),"")</f>
        <v/>
      </c>
      <c r="AS78" s="327" t="str">
        <f>IFERROR(IF(ISBLANK(DeemedDashboard[[#This Row],[MeasAppType]]),NA(),0),"")</f>
        <v/>
      </c>
      <c r="AT78" s="327" t="str">
        <f>IF(ISBLANK(DeemedDashboard[[#This Row],[MeasAppType]]),"",IF(DeemedDashboard[[#This Row],[MeasAppType]]&lt;&gt;const_AR,"",(DeemedDashboard[[#This Row],[Pre Device Install Year]]+DeemedDashboard[[#This Row],[Existing Device EUL]]-1)-DeemedDashboard[[#This Row],[Pre Device Retire-ment Year]]))</f>
        <v/>
      </c>
      <c r="AU78" s="327" t="str">
        <f>IF(ISBLANK(DeemedDashboard[[#This Row],[MeasAppType]]),"",IF(DeemedDashboard[[#This Row],[MeasAppType]]=const_AR,0,""))</f>
        <v/>
      </c>
      <c r="AV78" s="328" t="str">
        <f>IF(ISBLANK(DeemedDashboard[[#This Row],[MeasAppType]]),"",MAX((1+MIN(DeemedDashboard[[#This Row],[Msr Device Retire-ment Year]],DeemedDashboard[[#This Row],[Measure End 
Year]])-MAX(DeemedDashboard[[#This Row],[Msr Device Install Year]],DeemedDashboard[[#This Row],[Measure Start Year]])),0))</f>
        <v/>
      </c>
      <c r="AW78" s="328" t="str">
        <f>IF(ISBLANK(DeemedDashboard[[#This Row],[MeasAppType]]),"",MAX((1+MIN(DeemedDashboard[[#This Row],[Std Device Retire-ment Year]],DeemedDashboard[[#This Row],[Measure End 
Year]])-MAX(DeemedDashboard[[#This Row],[Std Device Install Year]],DeemedDashboard[[#This Row],[Measure Start Year]])),0))</f>
        <v/>
      </c>
      <c r="AX7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8" s="329" t="str">
        <f>IF(ISBLANK(DeemedDashboard[[#This Row],[MeasAppType]]),"",IF(DeemedDashboard[[#This Row],[Msr Device Years Over-lapping with Measure Years]]=0,0,DeemedDashboard[[#This Row],[Msr Device Years Over-lapping with Measure Years]]/DeemedDashboard[[#This Row],[Msr EUL rounded]]))</f>
        <v/>
      </c>
      <c r="BA78" s="329" t="str">
        <f>IF(ISBLANK(DeemedDashboard[[#This Row],[MeasAppType]]),"",IF(DeemedDashboard[[#This Row],[Std Device Years Over-lapping with Measure Years]]=0,0,DeemedDashboard[[#This Row],[Std Device Years Over-lapping with Measure Years]]/DeemedDashboard[[#This Row],[Counterfactual New Device EUL]]))</f>
        <v/>
      </c>
      <c r="BB78" s="329" t="str">
        <f>IF(ISBLANK(DeemedDashboard[[#This Row],[MeasAppType]]),"",IFERROR(IF(DeemedDashboard[[#This Row],[Pre Device Years Over-lapping with Measure Years]]=0,0,DeemedDashboard[[#This Row],[Pre Device Years Over-lapping with Measure Years]]/DeemedDashboard[[#This Row],[Existing Device EUL]]),""))</f>
        <v/>
      </c>
      <c r="BC78" s="329" t="str">
        <f>IFERROR(IF(DeemedDashboard[[#This Row],[Ext Device Years Over-lapping with Measure Years]]=0,0,DeemedDashboard[[#This Row],[Ext Device Years Over-lapping with Measure Years]]/DeemedDashboard[[#This Row],[Existing Device EUL]]),"")</f>
        <v/>
      </c>
      <c r="BD78" s="329" t="str">
        <f>IFERROR(IF(DeemedDashboard[[#This Row],[Msr Number of Years device retired early]]=0,0,DeemedDashboard[[#This Row],[Msr Number of Years device retired early]]/DeemedDashboard[[#This Row],[Msr EUL rounded]]),"")</f>
        <v/>
      </c>
      <c r="BE78" s="329" t="str">
        <f>IFERROR(IF(DeemedDashboard[[#This Row],[Std Number of Years device retired early]]=0,0,DeemedDashboard[[#This Row],[Std Number of Years device retired early]]/DeemedDashboard[[#This Row],[Msr EUL rounded]]),"")</f>
        <v/>
      </c>
      <c r="BF78" s="329" t="str">
        <f>IFERROR(IF(DeemedDashboard[[#This Row],[MeasAppType]]&lt;&gt;const_AR,"",IF(DeemedDashboard[[#This Row],[Pre Number of Years device retired early]]=0,0,DeemedDashboard[[#This Row],[Pre Number of Years device retired early]]/DeemedDashboard[[#This Row],[Existing Device EUL]])),"")</f>
        <v/>
      </c>
      <c r="BG78" s="329" t="str">
        <f>IFERROR(IF(DeemedDashboard[[#This Row],[Ext Number of Years device retired early]]=0,0,DeemedDashboard[[#This Row],[Ext Number of Years device retired early]]/DeemedDashboard[[#This Row],[Existing Device EUL]]),"")</f>
        <v/>
      </c>
      <c r="BH78" s="325" t="str">
        <f>IFERROR(1-DeemedDashboard[[#This Row],[Msr annual refrigerant leakage %]]*DeemedDashboard[[#This Row],[Msr t_EOL]],"")</f>
        <v/>
      </c>
      <c r="BI78" s="325" t="str">
        <f>IFERROR(1-DeemedDashboard[[#This Row],[Std annual refrigerant leakage %]]*DeemedDashboard[[#This Row],[Std t_EOL]],"")</f>
        <v/>
      </c>
      <c r="BJ78" s="325" t="str">
        <f>IFERROR(1-DeemedDashboard[[#This Row],[Pre/Ext annual refrigerant leakage %]]*DeemedDashboard[[#This Row],[Pre/Ext t_EOL]],"")</f>
        <v/>
      </c>
      <c r="BK78" s="325" t="str">
        <f>IFERROR(1-DeemedDashboard[[#This Row],[Pre/Ext annual refrigerant leakage %]]*DeemedDashboard[[#This Row],[Pre/Ext t_EOL]],"")</f>
        <v/>
      </c>
      <c r="BL78" s="325" t="str">
        <f>IFERROR(DeemedDashboard[[#This Row],[Msr charging remaining (%)]]*DeemedDashboard[[#This Row],[Msr gross EOL refrigerant leakage %]],"")</f>
        <v/>
      </c>
      <c r="BM78" s="325" t="str">
        <f>IFERROR(DeemedDashboard[[#This Row],[Std charging remaining (%)]]*DeemedDashboard[[#This Row],[Std gross EOL refrigerant leakage %]],"")</f>
        <v/>
      </c>
      <c r="BN78" s="325" t="str">
        <f>IFERROR(DeemedDashboard[[#This Row],[Pre charging remaining (%)]]*DeemedDashboard[[#This Row],[Pre/Ext gross EOL refrigerant leakage %]],"")</f>
        <v/>
      </c>
      <c r="BO78" s="325" t="str">
        <f>IFERROR(DeemedDashboard[[#This Row],[Ext charging remaining (%)]]*DeemedDashboard[[#This Row],[Pre/Ext gross EOL refrigerant leakage %]],"")</f>
        <v/>
      </c>
      <c r="BP78" s="330" t="str">
        <f>IFERROR((DeemedDashboard[[#This Row],[Msr refrigerant charge (lb) per NormUnit]]/pounds_per_metric_ton)*DeemedDashboard[[#This Row],[Msr annual refrigerant leakage %]]*DeemedDashboard[[#This Row],[Msr GWP]],"")</f>
        <v/>
      </c>
      <c r="BQ78" s="330" t="str">
        <f>IFERROR((DeemedDashboard[[#This Row],[Std refrigerant charge (lb) per NormUnit]]/pounds_per_metric_ton)*DeemedDashboard[[#This Row],[Std annual refrigerant leakage %]]*DeemedDashboard[[#This Row],[Std GWP]],"")</f>
        <v/>
      </c>
      <c r="BR78" s="330" t="str">
        <f>IF(DeemedDashboard[[#This Row],[MeasAppType]]=const_AR,(DeemedDashboard[[#This Row],[Pre/Ext refrigerant charge (lb) per NormUnit]]/pounds_per_metric_ton)*DeemedDashboard[[#This Row],[Pre/Ext annual refrigerant leakage %]]*DeemedDashboard[[#This Row],[Pre/Ext GWP]],"")</f>
        <v/>
      </c>
      <c r="BS78" s="330" t="str">
        <f>IF(DeemedDashboard[[#This Row],[MeasAppType]]=const_AR,(DeemedDashboard[[#This Row],[Pre/Ext refrigerant charge (lb) per NormUnit]]/pounds_per_metric_ton)*DeemedDashboard[[#This Row],[Pre/Ext annual refrigerant leakage %]]*DeemedDashboard[[#This Row],[Pre/Ext GWP]],"")</f>
        <v/>
      </c>
      <c r="BT78" s="330" t="str">
        <f>IFERROR((DeemedDashboard[[#This Row],[Msr refrigerant charge (lb) per NormUnit]]/pounds_per_metric_ton)*DeemedDashboard[[#This Row],[Msr net EOL refrigerant leakage (%)]]*DeemedDashboard[[#This Row],[Msr GWP]],"")</f>
        <v/>
      </c>
      <c r="BU78" s="330" t="str">
        <f>IFERROR((DeemedDashboard[[#This Row],[Std refrigerant charge (lb) per NormUnit]]/pounds_per_metric_ton)*DeemedDashboard[[#This Row],[Std net EOL refrigerant leakage (%)]]*DeemedDashboard[[#This Row],[Std GWP]],"")</f>
        <v/>
      </c>
      <c r="BV78" s="330" t="str">
        <f>IFERROR((DeemedDashboard[[#This Row],[Pre/Ext refrigerant charge (lb) per NormUnit]]/pounds_per_metric_ton)*DeemedDashboard[[#This Row],[Pre net EOL refrigerant leakage (%)]]*DeemedDashboard[[#This Row],[Pre/Ext GWP]],"")</f>
        <v/>
      </c>
      <c r="BW78" s="330" t="str">
        <f>IFERROR((DeemedDashboard[[#This Row],[Pre/Ext refrigerant charge (lb) per NormUnit]]/pounds_per_metric_ton)*DeemedDashboard[[#This Row],[Ext net EOL refrigerant leakage (%)]]*DeemedDashboard[[#This Row],[Pre/Ext GWP]],"")</f>
        <v/>
      </c>
      <c r="BX78" s="299" t="str" cm="1">
        <f t="array" aca="1" ref="BX7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8" s="305" t="str" cm="1">
        <f t="array" aca="1" ref="BY7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8" s="299" t="str">
        <f>IFERROR(IF(OR(DeemedDashboard[[#This Row],[MeasAppType]]&lt;&gt;const_AR,ISBLANK(DeemedDashboard[[#This Row],[MeasAppType]])),NA(),0),"")</f>
        <v/>
      </c>
      <c r="CA78" s="305" t="str" cm="1">
        <f t="array" aca="1" ref="CA7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8" s="299" t="str">
        <f ca="1">IFERROR((DeemedDashboard[[#This Row],[Msr EOL leakage tons CO2e]]*OFFSET(GHG_Adder_dollar_per_tonne,0,(DeemedDashboard[[#This Row],[Msr Device Retire-ment Year]]-DY+1),1,1))/(1+WACC)^(DeemedDashboard[[#This Row],[Msr Device Retire-ment Year]]-DeemedDashboard[[#This Row],[Measure Start Year]]+0.5),"")</f>
        <v/>
      </c>
      <c r="CC78" s="299" t="str">
        <f ca="1">IFERROR((DeemedDashboard[[#This Row],[Std EOL leakage tons CO2e]]*OFFSET(GHG_Adder_dollar_per_tonne,0,(DeemedDashboard[[#This Row],[Std Device Retire-ment Year]]-DY+1),1,1))/(1+WACC)^(DeemedDashboard[[#This Row],[Std Device Retire-ment Year]]-DeemedDashboard[[#This Row],[Measure Start Year]]+0.5),"")</f>
        <v/>
      </c>
      <c r="CD78" s="299" t="str">
        <f ca="1">IFERROR((DeemedDashboard[[#This Row],[Pre EOL leakage tons CO2e]]*OFFSET(GHG_Adder_dollar_per_tonne,0,(DeemedDashboard[[#This Row],[Measure Start Year]]-DY),1,1))/(1+WACC)^(-0.5),"")</f>
        <v/>
      </c>
      <c r="CE7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8" s="299" t="str">
        <f ca="1">IFERROR(DeemedDashboard[[#This Row],[Msr NPV Cost of Annual Leakage]]/(1+ACC_Inflation_Rate)^(DeemedDashboard[[#This Row],[Measure Start Year]]-DY),"")</f>
        <v/>
      </c>
      <c r="CG78" s="299" t="str">
        <f ca="1">IFERROR(DeemedDashboard[[#This Row],[Std NPV Cost of Annual Leakage]]/(1+ACC_Inflation_Rate)^(DeemedDashboard[[#This Row],[Measure Start Year]]-DY),"")</f>
        <v/>
      </c>
      <c r="CH78" s="299" t="str">
        <f>IFERROR(IF(ISBLANK(DeemedDashboard[[#This Row],[MeasAppType]]),NA(),IF(DeemedDashboard[[#This Row],[MeasAppType]]=const_AR,DeemedDashboard[[#This Row],[Pre NPV Cost of Annual Leakage]]/(1+ACC_Inflation_Rate)^(DeemedDashboard[[#This Row],[Measure Start Year]]-DY),"")),"")</f>
        <v/>
      </c>
      <c r="CI78" s="296" t="str">
        <f>IFERROR(IF(ISBLANK(DeemedDashboard[[#This Row],[MeasAppType]]),NA(),IF(DeemedDashboard[[#This Row],[MeasAppType]]=const_AR,DeemedDashboard[[#This Row],[Ext NPV Cost of Annual Leakage]]/(1+ACC_Inflation_Rate)^(DeemedDashboard[[#This Row],[Measure Start Year]]-DY),"")),"")</f>
        <v/>
      </c>
      <c r="CJ78" s="296" t="str">
        <f ca="1">IFERROR((DeemedDashboard[[#This Row],[Msr % of device lifetime during measure years]]+DeemedDashboard[[#This Row],[Msr % of device lifetime retired early]])*DeemedDashboard[[#This Row],[Msr NPV Cost of EOL Leakage]]/(1+ACC_Inflation_Rate)^(DeemedDashboard[[#This Row],[Measure Start Year]]-DY),"")</f>
        <v/>
      </c>
      <c r="CK78" s="296" t="str">
        <f ca="1">IFERROR((DeemedDashboard[[#This Row],[Std % of device lifetime during measure years]]+DeemedDashboard[[#This Row],[Std % of device lifetime retired early]])*DeemedDashboard[[#This Row],[Std NPV Cost of EOL Leakage]]/(1+ACC_Inflation_Rate)^(DeemedDashboard[[#This Row],[Measure Start Year]]-DY),"")</f>
        <v/>
      </c>
      <c r="CL7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8" s="299" t="str">
        <f ca="1">IFERROR(DeemedDashboard[[#This Row],[Counter-factual total 
NPV cost]]-DeemedDashboard[[#This Row],[Measure total 
NPV cost]],"")</f>
        <v/>
      </c>
      <c r="CQ78" s="299" t="str">
        <f>IF(ISBLANK(DeemedDashboard[[#This Row],[MeasAppType]]),"",DeemedDashboard[[#This Row],[Refrigerant
NPV costs
avoided]]&gt;0)</f>
        <v/>
      </c>
      <c r="CR78" s="299" t="str">
        <f ca="1">IFERROR(DeemedDashboard[[#This Row],[Msr Adj NPV Cost of Annual Leakage]]+DeemedDashboard[[#This Row],[Msr Adj NPV Cost of EOL Leakage]],"")</f>
        <v/>
      </c>
      <c r="CS78" s="299" t="str">
        <f ca="1">IFERROR(DeemedDashboard[[#This Row],[Std Adj NPV Cost of Annual Leakage]]+DeemedDashboard[[#This Row],[Std Adj NPV Cost of EOL Leakage]],"")</f>
        <v/>
      </c>
      <c r="CT78" s="299" t="str">
        <f>IFERROR(IF((DeemedDashboard[[#This Row],[Pre Adj NPV Cost of Annual Leakage]]+DeemedDashboard[[#This Row],[Pre Adj NPV Cost of EOL Leakage]])=0,"",DeemedDashboard[[#This Row],[Pre Adj NPV Cost of Annual Leakage]]+DeemedDashboard[[#This Row],[Pre Adj NPV Cost of EOL Leakage]]),"")</f>
        <v/>
      </c>
      <c r="CU78" s="299" t="str">
        <f>IFERROR(IF((DeemedDashboard[[#This Row],[Ext Adj NPV Cost of Annual Leakage]]+DeemedDashboard[[#This Row],[Ext Adj NPV Cost of EOL Leakage]])=0,"",DeemedDashboard[[#This Row],[Ext Adj NPV Cost of Annual Leakage]]+DeemedDashboard[[#This Row],[Ext Adj NPV Cost of EOL Leakage]]),"")</f>
        <v/>
      </c>
      <c r="CV78" s="299" t="str">
        <f>IFERROR(IF(DeemedDashboard[[#This Row],[Is Avoided Net Cost &gt;0?]],"",-DeemedDashboard[[#This Row],[Refrigerant
NPV costs
avoided]]),"")</f>
        <v/>
      </c>
      <c r="CW78" s="299" t="str">
        <f>IFERROR(IF(DeemedDashboard[[#This Row],[Is Avoided Net Cost &gt;0?]],DeemedDashboard[[#This Row],[Refrigerant
NPV costs
avoided]],""),"")</f>
        <v/>
      </c>
      <c r="CX78" s="391">
        <f ca="1">IFERROR(MATCH(DeemedDashboard[[#This Row],[TechGroup and NormUnit]],TechGroup_and_NormUnit,0),1)</f>
        <v>1</v>
      </c>
      <c r="CY78" s="391" cm="1">
        <f t="array" aca="1" ref="CY78" ca="1">IFERROR(INDEX(TGRows,DeemedDashboard[[#This Row],[TGIndex]]),"")</f>
        <v>2</v>
      </c>
      <c r="CZ78" s="391">
        <f ca="1">IF(DeemedDashboard[[#This Row],[MeasAppType]]=const_AR,DeemedDashboard[[#This Row],[TGRows]],DeemedDashboard[[#This Row],[TGRows]]+1)</f>
        <v>3</v>
      </c>
      <c r="DA78" s="391" t="str">
        <f>IF(ISBLANK(DeemedDashboard[[#This Row],[MeasAppType]]),"",IF(DeemedDashboard[[#This Row],[Index]]=User_Specified_Refrigerant[[#This Row],[Index]],"OK","ERROR"))</f>
        <v/>
      </c>
    </row>
    <row r="79" spans="1:105" s="320" customFormat="1" x14ac:dyDescent="0.25">
      <c r="A79" s="297">
        <f>ROW(DeemedDashboard[[#This Row],[Index]])-ROW(DeemedDashboard[[#Headers],[Index]])</f>
        <v>70</v>
      </c>
      <c r="B79" s="298"/>
      <c r="C79" s="321"/>
      <c r="D79" s="403"/>
      <c r="E79" s="403"/>
      <c r="F79" s="403"/>
      <c r="G79" s="403"/>
      <c r="H79" s="366"/>
      <c r="I79" s="339"/>
      <c r="J79" s="339"/>
      <c r="K79" s="339"/>
      <c r="L79" s="322"/>
      <c r="M79" s="322"/>
      <c r="N79" s="322"/>
      <c r="O7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7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7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79" s="582" t="str" cm="1">
        <f t="array" ref="R79">IFERROR(IF(DeemedDashboard[[#This Row],[Msr device type]]=const_device_nonrefrig,0,INDEX(_xlfn.SWITCH($E$4,const_20_yr,GWP_Values_20_year_AR4,const_100_yr,GWP_Values_100_year_AR4),MATCH(DeemedDashboard[[#This Row],[Msr refrigerant Type]],RefrigDropdownList,0))),"")</f>
        <v/>
      </c>
      <c r="S79" s="582" t="str" cm="1">
        <f t="array" ref="S79">IFERROR(IF(DeemedDashboard[[#This Row],[Std device type]]=const_device_nonrefrig,0,INDEX(_xlfn.SWITCH($E$4,const_20_yr,GWP_Values_20_year_AR4,const_100_yr,GWP_Values_100_year_AR4),MATCH(DeemedDashboard[[#This Row],[Std refrigerant Type]],RefrigDropdownList,0))),"")</f>
        <v/>
      </c>
      <c r="T79" s="582" t="str" cm="1">
        <f t="array" ref="T79">IFERROR(IF(DeemedDashboard[[#This Row],[Pre/Ext device type]]=const_device_nonrefrig,0,INDEX(_xlfn.SWITCH($E$4,const_20_yr,GWP_Values_20_year_AR4,const_100_yr,GWP_Values_100_year_AR4),MATCH(DeemedDashboard[[#This Row],[Pre/Ext refrigerant Type]],RefrigDropdownList,0))),"")</f>
        <v/>
      </c>
      <c r="U7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7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7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7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7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7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79" s="326" t="str">
        <f>IFERROR(IF(DeemedDashboard[[#This Row],[Msr device type]]=const_userspec,IF(ISBLANK(User_Specified_Refrigerant[[#This Row],[Msr t_EOL]]),"",User_Specified_Refrigerant[[#This Row],[Msr t_EOL]]),INDEX(TechGroup_NormUnit_Table[t_EOL],MATCH(DeemedDashboard[[#This Row],[Msr device type]],DropdownRefrigTech,0))),"")</f>
        <v/>
      </c>
      <c r="AB79" s="326" t="str">
        <f>IFERROR(IF(DeemedDashboard[[#This Row],[Std device type]]=const_userspec,IF(ISBLANK(User_Specified_Refrigerant[[#This Row],[Std t_EOL]]),"",User_Specified_Refrigerant[[#This Row],[Std t_EOL]]),INDEX(TechGroup_NormUnit_Table[t_EOL],MATCH(DeemedDashboard[[#This Row],[Std device type]],DropdownRefrigTech,0))),"")</f>
        <v/>
      </c>
      <c r="AC7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79" s="395" t="str">
        <f>IF(ISBLANK(DeemedDashboard[[#This Row],[MeasAppType]]),"",$E$2)</f>
        <v/>
      </c>
      <c r="AE79" s="395" t="str">
        <f>IFERROR(IF(ISBLANK(DeemedDashboard[[#This Row],[MeasAppType]]),NA(),DeemedDashboard[[#This Row],[Measure Start Year]]+DeemedDashboard[[#This Row],[Msr EUL rounded]]-1),"")</f>
        <v/>
      </c>
      <c r="AF79" s="323" t="str">
        <f>IF(ISBLANK(DeemedDashboard[[#This Row],[Measure New Device EUL]]),"",ROUND(DeemedDashboard[[#This Row],[Measure New Device EUL]],0))</f>
        <v/>
      </c>
      <c r="AG79" s="323" t="str">
        <f>IF(ISBLANK(DeemedDashboard[[#This Row],[Counterfactual New Device EUL]]),"",ROUND(DeemedDashboard[[#This Row],[Counterfactual New Device EUL]],0))</f>
        <v/>
      </c>
      <c r="AH79" s="323" t="str">
        <f>IF(ISBLANK(DeemedDashboard[[#This Row],[Existing Device EUL]]),"",ROUND(DeemedDashboard[[#This Row],[Existing Device EUL]],0))</f>
        <v/>
      </c>
      <c r="AI79" s="323" t="str">
        <f>IF(ISBLANK(DeemedDashboard[[#This Row],[Existing Device RUL or AR First Baseline Life]]),"",ROUND(DeemedDashboard[[#This Row],[Existing Device RUL or AR First Baseline Life]],0))</f>
        <v/>
      </c>
      <c r="AJ79" s="327" t="str">
        <f>DeemedDashboard[[#This Row],[Measure Start Year]]</f>
        <v/>
      </c>
      <c r="AK79" s="327" t="str">
        <f>IF(DeemedDashboard[[#This Row],[MeasAppType]]&lt;&gt;const_AR,DeemedDashboard[[#This Row],[Measure Start Year]],DeemedDashboard[[#This Row],[Ext Device Retire-ment Year]]+1)</f>
        <v/>
      </c>
      <c r="AL79" s="327" t="str">
        <f>IFERROR(IF(DeemedDashboard[[#This Row],[MeasAppType]]=const_AR,DeemedDashboard[[#This Row],[Measure Start Year]]-(DeemedDashboard[[#This Row],[Existing Device EUL]]-DeemedDashboard[[#This Row],[Existing Device RUL or AR First Baseline Life]]),NA()),"")</f>
        <v/>
      </c>
      <c r="AM79" s="327" t="str">
        <f>DeemedDashboard[[#This Row],[Pre Device Install Year]]</f>
        <v/>
      </c>
      <c r="AN79" s="327" t="str">
        <f>IFERROR(IF(ISBLANK(DeemedDashboard[[#This Row],[MeasAppType]]),NA(),DeemedDashboard[[#This Row],[Measure Start Year]]+DeemedDashboard[[#This Row],[Msr EUL rounded]]-1),"")</f>
        <v/>
      </c>
      <c r="AO79" s="327" t="str">
        <f>IFERROR(DeemedDashboard[[#This Row],[Std Device Install Year]]+DeemedDashboard[[#This Row],[Counterfactual New Device EUL]]-1,"")</f>
        <v/>
      </c>
      <c r="AP79" s="327" t="str">
        <f>IFERROR(IF(AND(DeemedDashboard[[#This Row],[MeasAppType]]=const_AR,DeemedDashboard[[#This Row],[Measure Start Year]]&lt;(DeemedDashboard[[#This Row],[Pre Device Install Year]]+DeemedDashboard[[#This Row],[Existing Device EUL]]-1)),DeemedDashboard[[#This Row],[Measure Start Year]]-1,NA()),"")</f>
        <v/>
      </c>
      <c r="AQ79" s="327" t="str">
        <f>IFERROR(IF(DeemedDashboard[[#This Row],[MeasAppType]]=const_AR,DeemedDashboard[[#This Row],[Ext Device Install Year]]+DeemedDashboard[[#This Row],[Existing Device EUL]]-1,NA()),"")</f>
        <v/>
      </c>
      <c r="AR79" s="327" t="str">
        <f>IFERROR(IF(ISBLANK(DeemedDashboard[[#This Row],[MeasAppType]]),NA(),0),"")</f>
        <v/>
      </c>
      <c r="AS79" s="327" t="str">
        <f>IFERROR(IF(ISBLANK(DeemedDashboard[[#This Row],[MeasAppType]]),NA(),0),"")</f>
        <v/>
      </c>
      <c r="AT79" s="327" t="str">
        <f>IF(ISBLANK(DeemedDashboard[[#This Row],[MeasAppType]]),"",IF(DeemedDashboard[[#This Row],[MeasAppType]]&lt;&gt;const_AR,"",(DeemedDashboard[[#This Row],[Pre Device Install Year]]+DeemedDashboard[[#This Row],[Existing Device EUL]]-1)-DeemedDashboard[[#This Row],[Pre Device Retire-ment Year]]))</f>
        <v/>
      </c>
      <c r="AU79" s="327" t="str">
        <f>IF(ISBLANK(DeemedDashboard[[#This Row],[MeasAppType]]),"",IF(DeemedDashboard[[#This Row],[MeasAppType]]=const_AR,0,""))</f>
        <v/>
      </c>
      <c r="AV79" s="328" t="str">
        <f>IF(ISBLANK(DeemedDashboard[[#This Row],[MeasAppType]]),"",MAX((1+MIN(DeemedDashboard[[#This Row],[Msr Device Retire-ment Year]],DeemedDashboard[[#This Row],[Measure End 
Year]])-MAX(DeemedDashboard[[#This Row],[Msr Device Install Year]],DeemedDashboard[[#This Row],[Measure Start Year]])),0))</f>
        <v/>
      </c>
      <c r="AW79" s="328" t="str">
        <f>IF(ISBLANK(DeemedDashboard[[#This Row],[MeasAppType]]),"",MAX((1+MIN(DeemedDashboard[[#This Row],[Std Device Retire-ment Year]],DeemedDashboard[[#This Row],[Measure End 
Year]])-MAX(DeemedDashboard[[#This Row],[Std Device Install Year]],DeemedDashboard[[#This Row],[Measure Start Year]])),0))</f>
        <v/>
      </c>
      <c r="AX7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7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79" s="329" t="str">
        <f>IF(ISBLANK(DeemedDashboard[[#This Row],[MeasAppType]]),"",IF(DeemedDashboard[[#This Row],[Msr Device Years Over-lapping with Measure Years]]=0,0,DeemedDashboard[[#This Row],[Msr Device Years Over-lapping with Measure Years]]/DeemedDashboard[[#This Row],[Msr EUL rounded]]))</f>
        <v/>
      </c>
      <c r="BA79" s="329" t="str">
        <f>IF(ISBLANK(DeemedDashboard[[#This Row],[MeasAppType]]),"",IF(DeemedDashboard[[#This Row],[Std Device Years Over-lapping with Measure Years]]=0,0,DeemedDashboard[[#This Row],[Std Device Years Over-lapping with Measure Years]]/DeemedDashboard[[#This Row],[Counterfactual New Device EUL]]))</f>
        <v/>
      </c>
      <c r="BB79" s="329" t="str">
        <f>IF(ISBLANK(DeemedDashboard[[#This Row],[MeasAppType]]),"",IFERROR(IF(DeemedDashboard[[#This Row],[Pre Device Years Over-lapping with Measure Years]]=0,0,DeemedDashboard[[#This Row],[Pre Device Years Over-lapping with Measure Years]]/DeemedDashboard[[#This Row],[Existing Device EUL]]),""))</f>
        <v/>
      </c>
      <c r="BC79" s="329" t="str">
        <f>IFERROR(IF(DeemedDashboard[[#This Row],[Ext Device Years Over-lapping with Measure Years]]=0,0,DeemedDashboard[[#This Row],[Ext Device Years Over-lapping with Measure Years]]/DeemedDashboard[[#This Row],[Existing Device EUL]]),"")</f>
        <v/>
      </c>
      <c r="BD79" s="329" t="str">
        <f>IFERROR(IF(DeemedDashboard[[#This Row],[Msr Number of Years device retired early]]=0,0,DeemedDashboard[[#This Row],[Msr Number of Years device retired early]]/DeemedDashboard[[#This Row],[Msr EUL rounded]]),"")</f>
        <v/>
      </c>
      <c r="BE79" s="329" t="str">
        <f>IFERROR(IF(DeemedDashboard[[#This Row],[Std Number of Years device retired early]]=0,0,DeemedDashboard[[#This Row],[Std Number of Years device retired early]]/DeemedDashboard[[#This Row],[Msr EUL rounded]]),"")</f>
        <v/>
      </c>
      <c r="BF79" s="329" t="str">
        <f>IFERROR(IF(DeemedDashboard[[#This Row],[MeasAppType]]&lt;&gt;const_AR,"",IF(DeemedDashboard[[#This Row],[Pre Number of Years device retired early]]=0,0,DeemedDashboard[[#This Row],[Pre Number of Years device retired early]]/DeemedDashboard[[#This Row],[Existing Device EUL]])),"")</f>
        <v/>
      </c>
      <c r="BG79" s="329" t="str">
        <f>IFERROR(IF(DeemedDashboard[[#This Row],[Ext Number of Years device retired early]]=0,0,DeemedDashboard[[#This Row],[Ext Number of Years device retired early]]/DeemedDashboard[[#This Row],[Existing Device EUL]]),"")</f>
        <v/>
      </c>
      <c r="BH79" s="325" t="str">
        <f>IFERROR(1-DeemedDashboard[[#This Row],[Msr annual refrigerant leakage %]]*DeemedDashboard[[#This Row],[Msr t_EOL]],"")</f>
        <v/>
      </c>
      <c r="BI79" s="325" t="str">
        <f>IFERROR(1-DeemedDashboard[[#This Row],[Std annual refrigerant leakage %]]*DeemedDashboard[[#This Row],[Std t_EOL]],"")</f>
        <v/>
      </c>
      <c r="BJ79" s="325" t="str">
        <f>IFERROR(1-DeemedDashboard[[#This Row],[Pre/Ext annual refrigerant leakage %]]*DeemedDashboard[[#This Row],[Pre/Ext t_EOL]],"")</f>
        <v/>
      </c>
      <c r="BK79" s="325" t="str">
        <f>IFERROR(1-DeemedDashboard[[#This Row],[Pre/Ext annual refrigerant leakage %]]*DeemedDashboard[[#This Row],[Pre/Ext t_EOL]],"")</f>
        <v/>
      </c>
      <c r="BL79" s="325" t="str">
        <f>IFERROR(DeemedDashboard[[#This Row],[Msr charging remaining (%)]]*DeemedDashboard[[#This Row],[Msr gross EOL refrigerant leakage %]],"")</f>
        <v/>
      </c>
      <c r="BM79" s="325" t="str">
        <f>IFERROR(DeemedDashboard[[#This Row],[Std charging remaining (%)]]*DeemedDashboard[[#This Row],[Std gross EOL refrigerant leakage %]],"")</f>
        <v/>
      </c>
      <c r="BN79" s="325" t="str">
        <f>IFERROR(DeemedDashboard[[#This Row],[Pre charging remaining (%)]]*DeemedDashboard[[#This Row],[Pre/Ext gross EOL refrigerant leakage %]],"")</f>
        <v/>
      </c>
      <c r="BO79" s="325" t="str">
        <f>IFERROR(DeemedDashboard[[#This Row],[Ext charging remaining (%)]]*DeemedDashboard[[#This Row],[Pre/Ext gross EOL refrigerant leakage %]],"")</f>
        <v/>
      </c>
      <c r="BP79" s="330" t="str">
        <f>IFERROR((DeemedDashboard[[#This Row],[Msr refrigerant charge (lb) per NormUnit]]/pounds_per_metric_ton)*DeemedDashboard[[#This Row],[Msr annual refrigerant leakage %]]*DeemedDashboard[[#This Row],[Msr GWP]],"")</f>
        <v/>
      </c>
      <c r="BQ79" s="330" t="str">
        <f>IFERROR((DeemedDashboard[[#This Row],[Std refrigerant charge (lb) per NormUnit]]/pounds_per_metric_ton)*DeemedDashboard[[#This Row],[Std annual refrigerant leakage %]]*DeemedDashboard[[#This Row],[Std GWP]],"")</f>
        <v/>
      </c>
      <c r="BR79" s="330" t="str">
        <f>IF(DeemedDashboard[[#This Row],[MeasAppType]]=const_AR,(DeemedDashboard[[#This Row],[Pre/Ext refrigerant charge (lb) per NormUnit]]/pounds_per_metric_ton)*DeemedDashboard[[#This Row],[Pre/Ext annual refrigerant leakage %]]*DeemedDashboard[[#This Row],[Pre/Ext GWP]],"")</f>
        <v/>
      </c>
      <c r="BS79" s="330" t="str">
        <f>IF(DeemedDashboard[[#This Row],[MeasAppType]]=const_AR,(DeemedDashboard[[#This Row],[Pre/Ext refrigerant charge (lb) per NormUnit]]/pounds_per_metric_ton)*DeemedDashboard[[#This Row],[Pre/Ext annual refrigerant leakage %]]*DeemedDashboard[[#This Row],[Pre/Ext GWP]],"")</f>
        <v/>
      </c>
      <c r="BT79" s="330" t="str">
        <f>IFERROR((DeemedDashboard[[#This Row],[Msr refrigerant charge (lb) per NormUnit]]/pounds_per_metric_ton)*DeemedDashboard[[#This Row],[Msr net EOL refrigerant leakage (%)]]*DeemedDashboard[[#This Row],[Msr GWP]],"")</f>
        <v/>
      </c>
      <c r="BU79" s="330" t="str">
        <f>IFERROR((DeemedDashboard[[#This Row],[Std refrigerant charge (lb) per NormUnit]]/pounds_per_metric_ton)*DeemedDashboard[[#This Row],[Std net EOL refrigerant leakage (%)]]*DeemedDashboard[[#This Row],[Std GWP]],"")</f>
        <v/>
      </c>
      <c r="BV79" s="330" t="str">
        <f>IFERROR((DeemedDashboard[[#This Row],[Pre/Ext refrigerant charge (lb) per NormUnit]]/pounds_per_metric_ton)*DeemedDashboard[[#This Row],[Pre net EOL refrigerant leakage (%)]]*DeemedDashboard[[#This Row],[Pre/Ext GWP]],"")</f>
        <v/>
      </c>
      <c r="BW79" s="330" t="str">
        <f>IFERROR((DeemedDashboard[[#This Row],[Pre/Ext refrigerant charge (lb) per NormUnit]]/pounds_per_metric_ton)*DeemedDashboard[[#This Row],[Ext net EOL refrigerant leakage (%)]]*DeemedDashboard[[#This Row],[Pre/Ext GWP]],"")</f>
        <v/>
      </c>
      <c r="BX79" s="299" t="str" cm="1">
        <f t="array" aca="1" ref="BX7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79" s="305" t="str" cm="1">
        <f t="array" aca="1" ref="BY7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79" s="299" t="str">
        <f>IFERROR(IF(OR(DeemedDashboard[[#This Row],[MeasAppType]]&lt;&gt;const_AR,ISBLANK(DeemedDashboard[[#This Row],[MeasAppType]])),NA(),0),"")</f>
        <v/>
      </c>
      <c r="CA79" s="305" t="str" cm="1">
        <f t="array" aca="1" ref="CA7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79" s="299" t="str">
        <f ca="1">IFERROR((DeemedDashboard[[#This Row],[Msr EOL leakage tons CO2e]]*OFFSET(GHG_Adder_dollar_per_tonne,0,(DeemedDashboard[[#This Row],[Msr Device Retire-ment Year]]-DY+1),1,1))/(1+WACC)^(DeemedDashboard[[#This Row],[Msr Device Retire-ment Year]]-DeemedDashboard[[#This Row],[Measure Start Year]]+0.5),"")</f>
        <v/>
      </c>
      <c r="CC79" s="299" t="str">
        <f ca="1">IFERROR((DeemedDashboard[[#This Row],[Std EOL leakage tons CO2e]]*OFFSET(GHG_Adder_dollar_per_tonne,0,(DeemedDashboard[[#This Row],[Std Device Retire-ment Year]]-DY+1),1,1))/(1+WACC)^(DeemedDashboard[[#This Row],[Std Device Retire-ment Year]]-DeemedDashboard[[#This Row],[Measure Start Year]]+0.5),"")</f>
        <v/>
      </c>
      <c r="CD79" s="299" t="str">
        <f ca="1">IFERROR((DeemedDashboard[[#This Row],[Pre EOL leakage tons CO2e]]*OFFSET(GHG_Adder_dollar_per_tonne,0,(DeemedDashboard[[#This Row],[Measure Start Year]]-DY),1,1))/(1+WACC)^(-0.5),"")</f>
        <v/>
      </c>
      <c r="CE7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79" s="299" t="str">
        <f ca="1">IFERROR(DeemedDashboard[[#This Row],[Msr NPV Cost of Annual Leakage]]/(1+ACC_Inflation_Rate)^(DeemedDashboard[[#This Row],[Measure Start Year]]-DY),"")</f>
        <v/>
      </c>
      <c r="CG79" s="299" t="str">
        <f ca="1">IFERROR(DeemedDashboard[[#This Row],[Std NPV Cost of Annual Leakage]]/(1+ACC_Inflation_Rate)^(DeemedDashboard[[#This Row],[Measure Start Year]]-DY),"")</f>
        <v/>
      </c>
      <c r="CH79" s="299" t="str">
        <f>IFERROR(IF(ISBLANK(DeemedDashboard[[#This Row],[MeasAppType]]),NA(),IF(DeemedDashboard[[#This Row],[MeasAppType]]=const_AR,DeemedDashboard[[#This Row],[Pre NPV Cost of Annual Leakage]]/(1+ACC_Inflation_Rate)^(DeemedDashboard[[#This Row],[Measure Start Year]]-DY),"")),"")</f>
        <v/>
      </c>
      <c r="CI79" s="296" t="str">
        <f>IFERROR(IF(ISBLANK(DeemedDashboard[[#This Row],[MeasAppType]]),NA(),IF(DeemedDashboard[[#This Row],[MeasAppType]]=const_AR,DeemedDashboard[[#This Row],[Ext NPV Cost of Annual Leakage]]/(1+ACC_Inflation_Rate)^(DeemedDashboard[[#This Row],[Measure Start Year]]-DY),"")),"")</f>
        <v/>
      </c>
      <c r="CJ79" s="296" t="str">
        <f ca="1">IFERROR((DeemedDashboard[[#This Row],[Msr % of device lifetime during measure years]]+DeemedDashboard[[#This Row],[Msr % of device lifetime retired early]])*DeemedDashboard[[#This Row],[Msr NPV Cost of EOL Leakage]]/(1+ACC_Inflation_Rate)^(DeemedDashboard[[#This Row],[Measure Start Year]]-DY),"")</f>
        <v/>
      </c>
      <c r="CK79" s="296" t="str">
        <f ca="1">IFERROR((DeemedDashboard[[#This Row],[Std % of device lifetime during measure years]]+DeemedDashboard[[#This Row],[Std % of device lifetime retired early]])*DeemedDashboard[[#This Row],[Std NPV Cost of EOL Leakage]]/(1+ACC_Inflation_Rate)^(DeemedDashboard[[#This Row],[Measure Start Year]]-DY),"")</f>
        <v/>
      </c>
      <c r="CL7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7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7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7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79" s="299" t="str">
        <f ca="1">IFERROR(DeemedDashboard[[#This Row],[Counter-factual total 
NPV cost]]-DeemedDashboard[[#This Row],[Measure total 
NPV cost]],"")</f>
        <v/>
      </c>
      <c r="CQ79" s="299" t="str">
        <f>IF(ISBLANK(DeemedDashboard[[#This Row],[MeasAppType]]),"",DeemedDashboard[[#This Row],[Refrigerant
NPV costs
avoided]]&gt;0)</f>
        <v/>
      </c>
      <c r="CR79" s="299" t="str">
        <f ca="1">IFERROR(DeemedDashboard[[#This Row],[Msr Adj NPV Cost of Annual Leakage]]+DeemedDashboard[[#This Row],[Msr Adj NPV Cost of EOL Leakage]],"")</f>
        <v/>
      </c>
      <c r="CS79" s="299" t="str">
        <f ca="1">IFERROR(DeemedDashboard[[#This Row],[Std Adj NPV Cost of Annual Leakage]]+DeemedDashboard[[#This Row],[Std Adj NPV Cost of EOL Leakage]],"")</f>
        <v/>
      </c>
      <c r="CT79" s="299" t="str">
        <f>IFERROR(IF((DeemedDashboard[[#This Row],[Pre Adj NPV Cost of Annual Leakage]]+DeemedDashboard[[#This Row],[Pre Adj NPV Cost of EOL Leakage]])=0,"",DeemedDashboard[[#This Row],[Pre Adj NPV Cost of Annual Leakage]]+DeemedDashboard[[#This Row],[Pre Adj NPV Cost of EOL Leakage]]),"")</f>
        <v/>
      </c>
      <c r="CU79" s="299" t="str">
        <f>IFERROR(IF((DeemedDashboard[[#This Row],[Ext Adj NPV Cost of Annual Leakage]]+DeemedDashboard[[#This Row],[Ext Adj NPV Cost of EOL Leakage]])=0,"",DeemedDashboard[[#This Row],[Ext Adj NPV Cost of Annual Leakage]]+DeemedDashboard[[#This Row],[Ext Adj NPV Cost of EOL Leakage]]),"")</f>
        <v/>
      </c>
      <c r="CV79" s="299" t="str">
        <f>IFERROR(IF(DeemedDashboard[[#This Row],[Is Avoided Net Cost &gt;0?]],"",-DeemedDashboard[[#This Row],[Refrigerant
NPV costs
avoided]]),"")</f>
        <v/>
      </c>
      <c r="CW79" s="299" t="str">
        <f>IFERROR(IF(DeemedDashboard[[#This Row],[Is Avoided Net Cost &gt;0?]],DeemedDashboard[[#This Row],[Refrigerant
NPV costs
avoided]],""),"")</f>
        <v/>
      </c>
      <c r="CX79" s="391">
        <f ca="1">IFERROR(MATCH(DeemedDashboard[[#This Row],[TechGroup and NormUnit]],TechGroup_and_NormUnit,0),1)</f>
        <v>1</v>
      </c>
      <c r="CY79" s="391" cm="1">
        <f t="array" aca="1" ref="CY79" ca="1">IFERROR(INDEX(TGRows,DeemedDashboard[[#This Row],[TGIndex]]),"")</f>
        <v>2</v>
      </c>
      <c r="CZ79" s="391">
        <f ca="1">IF(DeemedDashboard[[#This Row],[MeasAppType]]=const_AR,DeemedDashboard[[#This Row],[TGRows]],DeemedDashboard[[#This Row],[TGRows]]+1)</f>
        <v>3</v>
      </c>
      <c r="DA79" s="391" t="str">
        <f>IF(ISBLANK(DeemedDashboard[[#This Row],[MeasAppType]]),"",IF(DeemedDashboard[[#This Row],[Index]]=User_Specified_Refrigerant[[#This Row],[Index]],"OK","ERROR"))</f>
        <v/>
      </c>
    </row>
    <row r="80" spans="1:105" s="320" customFormat="1" x14ac:dyDescent="0.25">
      <c r="A80" s="297">
        <f>ROW(DeemedDashboard[[#This Row],[Index]])-ROW(DeemedDashboard[[#Headers],[Index]])</f>
        <v>71</v>
      </c>
      <c r="B80" s="298"/>
      <c r="C80" s="321"/>
      <c r="D80" s="403"/>
      <c r="E80" s="403"/>
      <c r="F80" s="403"/>
      <c r="G80" s="403"/>
      <c r="H80" s="366"/>
      <c r="I80" s="339"/>
      <c r="J80" s="339"/>
      <c r="K80" s="339"/>
      <c r="L80" s="322"/>
      <c r="M80" s="322"/>
      <c r="N80" s="322"/>
      <c r="O8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0" s="582" t="str" cm="1">
        <f t="array" ref="R80">IFERROR(IF(DeemedDashboard[[#This Row],[Msr device type]]=const_device_nonrefrig,0,INDEX(_xlfn.SWITCH($E$4,const_20_yr,GWP_Values_20_year_AR4,const_100_yr,GWP_Values_100_year_AR4),MATCH(DeemedDashboard[[#This Row],[Msr refrigerant Type]],RefrigDropdownList,0))),"")</f>
        <v/>
      </c>
      <c r="S80" s="582" t="str" cm="1">
        <f t="array" ref="S80">IFERROR(IF(DeemedDashboard[[#This Row],[Std device type]]=const_device_nonrefrig,0,INDEX(_xlfn.SWITCH($E$4,const_20_yr,GWP_Values_20_year_AR4,const_100_yr,GWP_Values_100_year_AR4),MATCH(DeemedDashboard[[#This Row],[Std refrigerant Type]],RefrigDropdownList,0))),"")</f>
        <v/>
      </c>
      <c r="T80" s="582" t="str" cm="1">
        <f t="array" ref="T80">IFERROR(IF(DeemedDashboard[[#This Row],[Pre/Ext device type]]=const_device_nonrefrig,0,INDEX(_xlfn.SWITCH($E$4,const_20_yr,GWP_Values_20_year_AR4,const_100_yr,GWP_Values_100_year_AR4),MATCH(DeemedDashboard[[#This Row],[Pre/Ext refrigerant Type]],RefrigDropdownList,0))),"")</f>
        <v/>
      </c>
      <c r="U8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0" s="326" t="str">
        <f>IFERROR(IF(DeemedDashboard[[#This Row],[Msr device type]]=const_userspec,IF(ISBLANK(User_Specified_Refrigerant[[#This Row],[Msr t_EOL]]),"",User_Specified_Refrigerant[[#This Row],[Msr t_EOL]]),INDEX(TechGroup_NormUnit_Table[t_EOL],MATCH(DeemedDashboard[[#This Row],[Msr device type]],DropdownRefrigTech,0))),"")</f>
        <v/>
      </c>
      <c r="AB80" s="326" t="str">
        <f>IFERROR(IF(DeemedDashboard[[#This Row],[Std device type]]=const_userspec,IF(ISBLANK(User_Specified_Refrigerant[[#This Row],[Std t_EOL]]),"",User_Specified_Refrigerant[[#This Row],[Std t_EOL]]),INDEX(TechGroup_NormUnit_Table[t_EOL],MATCH(DeemedDashboard[[#This Row],[Std device type]],DropdownRefrigTech,0))),"")</f>
        <v/>
      </c>
      <c r="AC8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0" s="395" t="str">
        <f>IF(ISBLANK(DeemedDashboard[[#This Row],[MeasAppType]]),"",$E$2)</f>
        <v/>
      </c>
      <c r="AE80" s="395" t="str">
        <f>IFERROR(IF(ISBLANK(DeemedDashboard[[#This Row],[MeasAppType]]),NA(),DeemedDashboard[[#This Row],[Measure Start Year]]+DeemedDashboard[[#This Row],[Msr EUL rounded]]-1),"")</f>
        <v/>
      </c>
      <c r="AF80" s="323" t="str">
        <f>IF(ISBLANK(DeemedDashboard[[#This Row],[Measure New Device EUL]]),"",ROUND(DeemedDashboard[[#This Row],[Measure New Device EUL]],0))</f>
        <v/>
      </c>
      <c r="AG80" s="323" t="str">
        <f>IF(ISBLANK(DeemedDashboard[[#This Row],[Counterfactual New Device EUL]]),"",ROUND(DeemedDashboard[[#This Row],[Counterfactual New Device EUL]],0))</f>
        <v/>
      </c>
      <c r="AH80" s="323" t="str">
        <f>IF(ISBLANK(DeemedDashboard[[#This Row],[Existing Device EUL]]),"",ROUND(DeemedDashboard[[#This Row],[Existing Device EUL]],0))</f>
        <v/>
      </c>
      <c r="AI80" s="323" t="str">
        <f>IF(ISBLANK(DeemedDashboard[[#This Row],[Existing Device RUL or AR First Baseline Life]]),"",ROUND(DeemedDashboard[[#This Row],[Existing Device RUL or AR First Baseline Life]],0))</f>
        <v/>
      </c>
      <c r="AJ80" s="327" t="str">
        <f>DeemedDashboard[[#This Row],[Measure Start Year]]</f>
        <v/>
      </c>
      <c r="AK80" s="327" t="str">
        <f>IF(DeemedDashboard[[#This Row],[MeasAppType]]&lt;&gt;const_AR,DeemedDashboard[[#This Row],[Measure Start Year]],DeemedDashboard[[#This Row],[Ext Device Retire-ment Year]]+1)</f>
        <v/>
      </c>
      <c r="AL80" s="327" t="str">
        <f>IFERROR(IF(DeemedDashboard[[#This Row],[MeasAppType]]=const_AR,DeemedDashboard[[#This Row],[Measure Start Year]]-(DeemedDashboard[[#This Row],[Existing Device EUL]]-DeemedDashboard[[#This Row],[Existing Device RUL or AR First Baseline Life]]),NA()),"")</f>
        <v/>
      </c>
      <c r="AM80" s="327" t="str">
        <f>DeemedDashboard[[#This Row],[Pre Device Install Year]]</f>
        <v/>
      </c>
      <c r="AN80" s="327" t="str">
        <f>IFERROR(IF(ISBLANK(DeemedDashboard[[#This Row],[MeasAppType]]),NA(),DeemedDashboard[[#This Row],[Measure Start Year]]+DeemedDashboard[[#This Row],[Msr EUL rounded]]-1),"")</f>
        <v/>
      </c>
      <c r="AO80" s="327" t="str">
        <f>IFERROR(DeemedDashboard[[#This Row],[Std Device Install Year]]+DeemedDashboard[[#This Row],[Counterfactual New Device EUL]]-1,"")</f>
        <v/>
      </c>
      <c r="AP80" s="327" t="str">
        <f>IFERROR(IF(AND(DeemedDashboard[[#This Row],[MeasAppType]]=const_AR,DeemedDashboard[[#This Row],[Measure Start Year]]&lt;(DeemedDashboard[[#This Row],[Pre Device Install Year]]+DeemedDashboard[[#This Row],[Existing Device EUL]]-1)),DeemedDashboard[[#This Row],[Measure Start Year]]-1,NA()),"")</f>
        <v/>
      </c>
      <c r="AQ80" s="327" t="str">
        <f>IFERROR(IF(DeemedDashboard[[#This Row],[MeasAppType]]=const_AR,DeemedDashboard[[#This Row],[Ext Device Install Year]]+DeemedDashboard[[#This Row],[Existing Device EUL]]-1,NA()),"")</f>
        <v/>
      </c>
      <c r="AR80" s="327" t="str">
        <f>IFERROR(IF(ISBLANK(DeemedDashboard[[#This Row],[MeasAppType]]),NA(),0),"")</f>
        <v/>
      </c>
      <c r="AS80" s="327" t="str">
        <f>IFERROR(IF(ISBLANK(DeemedDashboard[[#This Row],[MeasAppType]]),NA(),0),"")</f>
        <v/>
      </c>
      <c r="AT80" s="327" t="str">
        <f>IF(ISBLANK(DeemedDashboard[[#This Row],[MeasAppType]]),"",IF(DeemedDashboard[[#This Row],[MeasAppType]]&lt;&gt;const_AR,"",(DeemedDashboard[[#This Row],[Pre Device Install Year]]+DeemedDashboard[[#This Row],[Existing Device EUL]]-1)-DeemedDashboard[[#This Row],[Pre Device Retire-ment Year]]))</f>
        <v/>
      </c>
      <c r="AU80" s="327" t="str">
        <f>IF(ISBLANK(DeemedDashboard[[#This Row],[MeasAppType]]),"",IF(DeemedDashboard[[#This Row],[MeasAppType]]=const_AR,0,""))</f>
        <v/>
      </c>
      <c r="AV80" s="328" t="str">
        <f>IF(ISBLANK(DeemedDashboard[[#This Row],[MeasAppType]]),"",MAX((1+MIN(DeemedDashboard[[#This Row],[Msr Device Retire-ment Year]],DeemedDashboard[[#This Row],[Measure End 
Year]])-MAX(DeemedDashboard[[#This Row],[Msr Device Install Year]],DeemedDashboard[[#This Row],[Measure Start Year]])),0))</f>
        <v/>
      </c>
      <c r="AW80" s="328" t="str">
        <f>IF(ISBLANK(DeemedDashboard[[#This Row],[MeasAppType]]),"",MAX((1+MIN(DeemedDashboard[[#This Row],[Std Device Retire-ment Year]],DeemedDashboard[[#This Row],[Measure End 
Year]])-MAX(DeemedDashboard[[#This Row],[Std Device Install Year]],DeemedDashboard[[#This Row],[Measure Start Year]])),0))</f>
        <v/>
      </c>
      <c r="AX8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0" s="329" t="str">
        <f>IF(ISBLANK(DeemedDashboard[[#This Row],[MeasAppType]]),"",IF(DeemedDashboard[[#This Row],[Msr Device Years Over-lapping with Measure Years]]=0,0,DeemedDashboard[[#This Row],[Msr Device Years Over-lapping with Measure Years]]/DeemedDashboard[[#This Row],[Msr EUL rounded]]))</f>
        <v/>
      </c>
      <c r="BA80" s="329" t="str">
        <f>IF(ISBLANK(DeemedDashboard[[#This Row],[MeasAppType]]),"",IF(DeemedDashboard[[#This Row],[Std Device Years Over-lapping with Measure Years]]=0,0,DeemedDashboard[[#This Row],[Std Device Years Over-lapping with Measure Years]]/DeemedDashboard[[#This Row],[Counterfactual New Device EUL]]))</f>
        <v/>
      </c>
      <c r="BB80" s="329" t="str">
        <f>IF(ISBLANK(DeemedDashboard[[#This Row],[MeasAppType]]),"",IFERROR(IF(DeemedDashboard[[#This Row],[Pre Device Years Over-lapping with Measure Years]]=0,0,DeemedDashboard[[#This Row],[Pre Device Years Over-lapping with Measure Years]]/DeemedDashboard[[#This Row],[Existing Device EUL]]),""))</f>
        <v/>
      </c>
      <c r="BC80" s="329" t="str">
        <f>IFERROR(IF(DeemedDashboard[[#This Row],[Ext Device Years Over-lapping with Measure Years]]=0,0,DeemedDashboard[[#This Row],[Ext Device Years Over-lapping with Measure Years]]/DeemedDashboard[[#This Row],[Existing Device EUL]]),"")</f>
        <v/>
      </c>
      <c r="BD80" s="329" t="str">
        <f>IFERROR(IF(DeemedDashboard[[#This Row],[Msr Number of Years device retired early]]=0,0,DeemedDashboard[[#This Row],[Msr Number of Years device retired early]]/DeemedDashboard[[#This Row],[Msr EUL rounded]]),"")</f>
        <v/>
      </c>
      <c r="BE80" s="329" t="str">
        <f>IFERROR(IF(DeemedDashboard[[#This Row],[Std Number of Years device retired early]]=0,0,DeemedDashboard[[#This Row],[Std Number of Years device retired early]]/DeemedDashboard[[#This Row],[Msr EUL rounded]]),"")</f>
        <v/>
      </c>
      <c r="BF80" s="329" t="str">
        <f>IFERROR(IF(DeemedDashboard[[#This Row],[MeasAppType]]&lt;&gt;const_AR,"",IF(DeemedDashboard[[#This Row],[Pre Number of Years device retired early]]=0,0,DeemedDashboard[[#This Row],[Pre Number of Years device retired early]]/DeemedDashboard[[#This Row],[Existing Device EUL]])),"")</f>
        <v/>
      </c>
      <c r="BG80" s="329" t="str">
        <f>IFERROR(IF(DeemedDashboard[[#This Row],[Ext Number of Years device retired early]]=0,0,DeemedDashboard[[#This Row],[Ext Number of Years device retired early]]/DeemedDashboard[[#This Row],[Existing Device EUL]]),"")</f>
        <v/>
      </c>
      <c r="BH80" s="325" t="str">
        <f>IFERROR(1-DeemedDashboard[[#This Row],[Msr annual refrigerant leakage %]]*DeemedDashboard[[#This Row],[Msr t_EOL]],"")</f>
        <v/>
      </c>
      <c r="BI80" s="325" t="str">
        <f>IFERROR(1-DeemedDashboard[[#This Row],[Std annual refrigerant leakage %]]*DeemedDashboard[[#This Row],[Std t_EOL]],"")</f>
        <v/>
      </c>
      <c r="BJ80" s="325" t="str">
        <f>IFERROR(1-DeemedDashboard[[#This Row],[Pre/Ext annual refrigerant leakage %]]*DeemedDashboard[[#This Row],[Pre/Ext t_EOL]],"")</f>
        <v/>
      </c>
      <c r="BK80" s="325" t="str">
        <f>IFERROR(1-DeemedDashboard[[#This Row],[Pre/Ext annual refrigerant leakage %]]*DeemedDashboard[[#This Row],[Pre/Ext t_EOL]],"")</f>
        <v/>
      </c>
      <c r="BL80" s="325" t="str">
        <f>IFERROR(DeemedDashboard[[#This Row],[Msr charging remaining (%)]]*DeemedDashboard[[#This Row],[Msr gross EOL refrigerant leakage %]],"")</f>
        <v/>
      </c>
      <c r="BM80" s="325" t="str">
        <f>IFERROR(DeemedDashboard[[#This Row],[Std charging remaining (%)]]*DeemedDashboard[[#This Row],[Std gross EOL refrigerant leakage %]],"")</f>
        <v/>
      </c>
      <c r="BN80" s="325" t="str">
        <f>IFERROR(DeemedDashboard[[#This Row],[Pre charging remaining (%)]]*DeemedDashboard[[#This Row],[Pre/Ext gross EOL refrigerant leakage %]],"")</f>
        <v/>
      </c>
      <c r="BO80" s="325" t="str">
        <f>IFERROR(DeemedDashboard[[#This Row],[Ext charging remaining (%)]]*DeemedDashboard[[#This Row],[Pre/Ext gross EOL refrigerant leakage %]],"")</f>
        <v/>
      </c>
      <c r="BP80" s="330" t="str">
        <f>IFERROR((DeemedDashboard[[#This Row],[Msr refrigerant charge (lb) per NormUnit]]/pounds_per_metric_ton)*DeemedDashboard[[#This Row],[Msr annual refrigerant leakage %]]*DeemedDashboard[[#This Row],[Msr GWP]],"")</f>
        <v/>
      </c>
      <c r="BQ80" s="330" t="str">
        <f>IFERROR((DeemedDashboard[[#This Row],[Std refrigerant charge (lb) per NormUnit]]/pounds_per_metric_ton)*DeemedDashboard[[#This Row],[Std annual refrigerant leakage %]]*DeemedDashboard[[#This Row],[Std GWP]],"")</f>
        <v/>
      </c>
      <c r="BR80" s="330" t="str">
        <f>IF(DeemedDashboard[[#This Row],[MeasAppType]]=const_AR,(DeemedDashboard[[#This Row],[Pre/Ext refrigerant charge (lb) per NormUnit]]/pounds_per_metric_ton)*DeemedDashboard[[#This Row],[Pre/Ext annual refrigerant leakage %]]*DeemedDashboard[[#This Row],[Pre/Ext GWP]],"")</f>
        <v/>
      </c>
      <c r="BS80" s="330" t="str">
        <f>IF(DeemedDashboard[[#This Row],[MeasAppType]]=const_AR,(DeemedDashboard[[#This Row],[Pre/Ext refrigerant charge (lb) per NormUnit]]/pounds_per_metric_ton)*DeemedDashboard[[#This Row],[Pre/Ext annual refrigerant leakage %]]*DeemedDashboard[[#This Row],[Pre/Ext GWP]],"")</f>
        <v/>
      </c>
      <c r="BT80" s="330" t="str">
        <f>IFERROR((DeemedDashboard[[#This Row],[Msr refrigerant charge (lb) per NormUnit]]/pounds_per_metric_ton)*DeemedDashboard[[#This Row],[Msr net EOL refrigerant leakage (%)]]*DeemedDashboard[[#This Row],[Msr GWP]],"")</f>
        <v/>
      </c>
      <c r="BU80" s="330" t="str">
        <f>IFERROR((DeemedDashboard[[#This Row],[Std refrigerant charge (lb) per NormUnit]]/pounds_per_metric_ton)*DeemedDashboard[[#This Row],[Std net EOL refrigerant leakage (%)]]*DeemedDashboard[[#This Row],[Std GWP]],"")</f>
        <v/>
      </c>
      <c r="BV80" s="330" t="str">
        <f>IFERROR((DeemedDashboard[[#This Row],[Pre/Ext refrigerant charge (lb) per NormUnit]]/pounds_per_metric_ton)*DeemedDashboard[[#This Row],[Pre net EOL refrigerant leakage (%)]]*DeemedDashboard[[#This Row],[Pre/Ext GWP]],"")</f>
        <v/>
      </c>
      <c r="BW80" s="330" t="str">
        <f>IFERROR((DeemedDashboard[[#This Row],[Pre/Ext refrigerant charge (lb) per NormUnit]]/pounds_per_metric_ton)*DeemedDashboard[[#This Row],[Ext net EOL refrigerant leakage (%)]]*DeemedDashboard[[#This Row],[Pre/Ext GWP]],"")</f>
        <v/>
      </c>
      <c r="BX80" s="299" t="str" cm="1">
        <f t="array" aca="1" ref="BX8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0" s="305" t="str" cm="1">
        <f t="array" aca="1" ref="BY8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0" s="299" t="str">
        <f>IFERROR(IF(OR(DeemedDashboard[[#This Row],[MeasAppType]]&lt;&gt;const_AR,ISBLANK(DeemedDashboard[[#This Row],[MeasAppType]])),NA(),0),"")</f>
        <v/>
      </c>
      <c r="CA80" s="305" t="str" cm="1">
        <f t="array" aca="1" ref="CA8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0" s="299" t="str">
        <f ca="1">IFERROR((DeemedDashboard[[#This Row],[Msr EOL leakage tons CO2e]]*OFFSET(GHG_Adder_dollar_per_tonne,0,(DeemedDashboard[[#This Row],[Msr Device Retire-ment Year]]-DY+1),1,1))/(1+WACC)^(DeemedDashboard[[#This Row],[Msr Device Retire-ment Year]]-DeemedDashboard[[#This Row],[Measure Start Year]]+0.5),"")</f>
        <v/>
      </c>
      <c r="CC80" s="299" t="str">
        <f ca="1">IFERROR((DeemedDashboard[[#This Row],[Std EOL leakage tons CO2e]]*OFFSET(GHG_Adder_dollar_per_tonne,0,(DeemedDashboard[[#This Row],[Std Device Retire-ment Year]]-DY+1),1,1))/(1+WACC)^(DeemedDashboard[[#This Row],[Std Device Retire-ment Year]]-DeemedDashboard[[#This Row],[Measure Start Year]]+0.5),"")</f>
        <v/>
      </c>
      <c r="CD80" s="299" t="str">
        <f ca="1">IFERROR((DeemedDashboard[[#This Row],[Pre EOL leakage tons CO2e]]*OFFSET(GHG_Adder_dollar_per_tonne,0,(DeemedDashboard[[#This Row],[Measure Start Year]]-DY),1,1))/(1+WACC)^(-0.5),"")</f>
        <v/>
      </c>
      <c r="CE8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0" s="299" t="str">
        <f ca="1">IFERROR(DeemedDashboard[[#This Row],[Msr NPV Cost of Annual Leakage]]/(1+ACC_Inflation_Rate)^(DeemedDashboard[[#This Row],[Measure Start Year]]-DY),"")</f>
        <v/>
      </c>
      <c r="CG80" s="299" t="str">
        <f ca="1">IFERROR(DeemedDashboard[[#This Row],[Std NPV Cost of Annual Leakage]]/(1+ACC_Inflation_Rate)^(DeemedDashboard[[#This Row],[Measure Start Year]]-DY),"")</f>
        <v/>
      </c>
      <c r="CH80" s="299" t="str">
        <f>IFERROR(IF(ISBLANK(DeemedDashboard[[#This Row],[MeasAppType]]),NA(),IF(DeemedDashboard[[#This Row],[MeasAppType]]=const_AR,DeemedDashboard[[#This Row],[Pre NPV Cost of Annual Leakage]]/(1+ACC_Inflation_Rate)^(DeemedDashboard[[#This Row],[Measure Start Year]]-DY),"")),"")</f>
        <v/>
      </c>
      <c r="CI80" s="296" t="str">
        <f>IFERROR(IF(ISBLANK(DeemedDashboard[[#This Row],[MeasAppType]]),NA(),IF(DeemedDashboard[[#This Row],[MeasAppType]]=const_AR,DeemedDashboard[[#This Row],[Ext NPV Cost of Annual Leakage]]/(1+ACC_Inflation_Rate)^(DeemedDashboard[[#This Row],[Measure Start Year]]-DY),"")),"")</f>
        <v/>
      </c>
      <c r="CJ80" s="296" t="str">
        <f ca="1">IFERROR((DeemedDashboard[[#This Row],[Msr % of device lifetime during measure years]]+DeemedDashboard[[#This Row],[Msr % of device lifetime retired early]])*DeemedDashboard[[#This Row],[Msr NPV Cost of EOL Leakage]]/(1+ACC_Inflation_Rate)^(DeemedDashboard[[#This Row],[Measure Start Year]]-DY),"")</f>
        <v/>
      </c>
      <c r="CK80" s="296" t="str">
        <f ca="1">IFERROR((DeemedDashboard[[#This Row],[Std % of device lifetime during measure years]]+DeemedDashboard[[#This Row],[Std % of device lifetime retired early]])*DeemedDashboard[[#This Row],[Std NPV Cost of EOL Leakage]]/(1+ACC_Inflation_Rate)^(DeemedDashboard[[#This Row],[Measure Start Year]]-DY),"")</f>
        <v/>
      </c>
      <c r="CL8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0" s="299" t="str">
        <f ca="1">IFERROR(DeemedDashboard[[#This Row],[Counter-factual total 
NPV cost]]-DeemedDashboard[[#This Row],[Measure total 
NPV cost]],"")</f>
        <v/>
      </c>
      <c r="CQ80" s="299" t="str">
        <f>IF(ISBLANK(DeemedDashboard[[#This Row],[MeasAppType]]),"",DeemedDashboard[[#This Row],[Refrigerant
NPV costs
avoided]]&gt;0)</f>
        <v/>
      </c>
      <c r="CR80" s="299" t="str">
        <f ca="1">IFERROR(DeemedDashboard[[#This Row],[Msr Adj NPV Cost of Annual Leakage]]+DeemedDashboard[[#This Row],[Msr Adj NPV Cost of EOL Leakage]],"")</f>
        <v/>
      </c>
      <c r="CS80" s="299" t="str">
        <f ca="1">IFERROR(DeemedDashboard[[#This Row],[Std Adj NPV Cost of Annual Leakage]]+DeemedDashboard[[#This Row],[Std Adj NPV Cost of EOL Leakage]],"")</f>
        <v/>
      </c>
      <c r="CT80" s="299" t="str">
        <f>IFERROR(IF((DeemedDashboard[[#This Row],[Pre Adj NPV Cost of Annual Leakage]]+DeemedDashboard[[#This Row],[Pre Adj NPV Cost of EOL Leakage]])=0,"",DeemedDashboard[[#This Row],[Pre Adj NPV Cost of Annual Leakage]]+DeemedDashboard[[#This Row],[Pre Adj NPV Cost of EOL Leakage]]),"")</f>
        <v/>
      </c>
      <c r="CU80" s="299" t="str">
        <f>IFERROR(IF((DeemedDashboard[[#This Row],[Ext Adj NPV Cost of Annual Leakage]]+DeemedDashboard[[#This Row],[Ext Adj NPV Cost of EOL Leakage]])=0,"",DeemedDashboard[[#This Row],[Ext Adj NPV Cost of Annual Leakage]]+DeemedDashboard[[#This Row],[Ext Adj NPV Cost of EOL Leakage]]),"")</f>
        <v/>
      </c>
      <c r="CV80" s="299" t="str">
        <f>IFERROR(IF(DeemedDashboard[[#This Row],[Is Avoided Net Cost &gt;0?]],"",-DeemedDashboard[[#This Row],[Refrigerant
NPV costs
avoided]]),"")</f>
        <v/>
      </c>
      <c r="CW80" s="299" t="str">
        <f>IFERROR(IF(DeemedDashboard[[#This Row],[Is Avoided Net Cost &gt;0?]],DeemedDashboard[[#This Row],[Refrigerant
NPV costs
avoided]],""),"")</f>
        <v/>
      </c>
      <c r="CX80" s="391">
        <f ca="1">IFERROR(MATCH(DeemedDashboard[[#This Row],[TechGroup and NormUnit]],TechGroup_and_NormUnit,0),1)</f>
        <v>1</v>
      </c>
      <c r="CY80" s="391" cm="1">
        <f t="array" aca="1" ref="CY80" ca="1">IFERROR(INDEX(TGRows,DeemedDashboard[[#This Row],[TGIndex]]),"")</f>
        <v>2</v>
      </c>
      <c r="CZ80" s="391">
        <f ca="1">IF(DeemedDashboard[[#This Row],[MeasAppType]]=const_AR,DeemedDashboard[[#This Row],[TGRows]],DeemedDashboard[[#This Row],[TGRows]]+1)</f>
        <v>3</v>
      </c>
      <c r="DA80" s="391" t="str">
        <f>IF(ISBLANK(DeemedDashboard[[#This Row],[MeasAppType]]),"",IF(DeemedDashboard[[#This Row],[Index]]=User_Specified_Refrigerant[[#This Row],[Index]],"OK","ERROR"))</f>
        <v/>
      </c>
    </row>
    <row r="81" spans="1:105" s="320" customFormat="1" x14ac:dyDescent="0.25">
      <c r="A81" s="297">
        <f>ROW(DeemedDashboard[[#This Row],[Index]])-ROW(DeemedDashboard[[#Headers],[Index]])</f>
        <v>72</v>
      </c>
      <c r="B81" s="298"/>
      <c r="C81" s="321"/>
      <c r="D81" s="403"/>
      <c r="E81" s="403"/>
      <c r="F81" s="403"/>
      <c r="G81" s="403"/>
      <c r="H81" s="366"/>
      <c r="I81" s="339"/>
      <c r="J81" s="339"/>
      <c r="K81" s="339"/>
      <c r="L81" s="322"/>
      <c r="M81" s="322"/>
      <c r="N81" s="322"/>
      <c r="O8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1" s="582" t="str" cm="1">
        <f t="array" ref="R81">IFERROR(IF(DeemedDashboard[[#This Row],[Msr device type]]=const_device_nonrefrig,0,INDEX(_xlfn.SWITCH($E$4,const_20_yr,GWP_Values_20_year_AR4,const_100_yr,GWP_Values_100_year_AR4),MATCH(DeemedDashboard[[#This Row],[Msr refrigerant Type]],RefrigDropdownList,0))),"")</f>
        <v/>
      </c>
      <c r="S81" s="582" t="str" cm="1">
        <f t="array" ref="S81">IFERROR(IF(DeemedDashboard[[#This Row],[Std device type]]=const_device_nonrefrig,0,INDEX(_xlfn.SWITCH($E$4,const_20_yr,GWP_Values_20_year_AR4,const_100_yr,GWP_Values_100_year_AR4),MATCH(DeemedDashboard[[#This Row],[Std refrigerant Type]],RefrigDropdownList,0))),"")</f>
        <v/>
      </c>
      <c r="T81" s="582" t="str" cm="1">
        <f t="array" ref="T81">IFERROR(IF(DeemedDashboard[[#This Row],[Pre/Ext device type]]=const_device_nonrefrig,0,INDEX(_xlfn.SWITCH($E$4,const_20_yr,GWP_Values_20_year_AR4,const_100_yr,GWP_Values_100_year_AR4),MATCH(DeemedDashboard[[#This Row],[Pre/Ext refrigerant Type]],RefrigDropdownList,0))),"")</f>
        <v/>
      </c>
      <c r="U8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1" s="326" t="str">
        <f>IFERROR(IF(DeemedDashboard[[#This Row],[Msr device type]]=const_userspec,IF(ISBLANK(User_Specified_Refrigerant[[#This Row],[Msr t_EOL]]),"",User_Specified_Refrigerant[[#This Row],[Msr t_EOL]]),INDEX(TechGroup_NormUnit_Table[t_EOL],MATCH(DeemedDashboard[[#This Row],[Msr device type]],DropdownRefrigTech,0))),"")</f>
        <v/>
      </c>
      <c r="AB81" s="326" t="str">
        <f>IFERROR(IF(DeemedDashboard[[#This Row],[Std device type]]=const_userspec,IF(ISBLANK(User_Specified_Refrigerant[[#This Row],[Std t_EOL]]),"",User_Specified_Refrigerant[[#This Row],[Std t_EOL]]),INDEX(TechGroup_NormUnit_Table[t_EOL],MATCH(DeemedDashboard[[#This Row],[Std device type]],DropdownRefrigTech,0))),"")</f>
        <v/>
      </c>
      <c r="AC8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1" s="395" t="str">
        <f>IF(ISBLANK(DeemedDashboard[[#This Row],[MeasAppType]]),"",$E$2)</f>
        <v/>
      </c>
      <c r="AE81" s="395" t="str">
        <f>IFERROR(IF(ISBLANK(DeemedDashboard[[#This Row],[MeasAppType]]),NA(),DeemedDashboard[[#This Row],[Measure Start Year]]+DeemedDashboard[[#This Row],[Msr EUL rounded]]-1),"")</f>
        <v/>
      </c>
      <c r="AF81" s="323" t="str">
        <f>IF(ISBLANK(DeemedDashboard[[#This Row],[Measure New Device EUL]]),"",ROUND(DeemedDashboard[[#This Row],[Measure New Device EUL]],0))</f>
        <v/>
      </c>
      <c r="AG81" s="323" t="str">
        <f>IF(ISBLANK(DeemedDashboard[[#This Row],[Counterfactual New Device EUL]]),"",ROUND(DeemedDashboard[[#This Row],[Counterfactual New Device EUL]],0))</f>
        <v/>
      </c>
      <c r="AH81" s="323" t="str">
        <f>IF(ISBLANK(DeemedDashboard[[#This Row],[Existing Device EUL]]),"",ROUND(DeemedDashboard[[#This Row],[Existing Device EUL]],0))</f>
        <v/>
      </c>
      <c r="AI81" s="323" t="str">
        <f>IF(ISBLANK(DeemedDashboard[[#This Row],[Existing Device RUL or AR First Baseline Life]]),"",ROUND(DeemedDashboard[[#This Row],[Existing Device RUL or AR First Baseline Life]],0))</f>
        <v/>
      </c>
      <c r="AJ81" s="327" t="str">
        <f>DeemedDashboard[[#This Row],[Measure Start Year]]</f>
        <v/>
      </c>
      <c r="AK81" s="327" t="str">
        <f>IF(DeemedDashboard[[#This Row],[MeasAppType]]&lt;&gt;const_AR,DeemedDashboard[[#This Row],[Measure Start Year]],DeemedDashboard[[#This Row],[Ext Device Retire-ment Year]]+1)</f>
        <v/>
      </c>
      <c r="AL81" s="327" t="str">
        <f>IFERROR(IF(DeemedDashboard[[#This Row],[MeasAppType]]=const_AR,DeemedDashboard[[#This Row],[Measure Start Year]]-(DeemedDashboard[[#This Row],[Existing Device EUL]]-DeemedDashboard[[#This Row],[Existing Device RUL or AR First Baseline Life]]),NA()),"")</f>
        <v/>
      </c>
      <c r="AM81" s="327" t="str">
        <f>DeemedDashboard[[#This Row],[Pre Device Install Year]]</f>
        <v/>
      </c>
      <c r="AN81" s="327" t="str">
        <f>IFERROR(IF(ISBLANK(DeemedDashboard[[#This Row],[MeasAppType]]),NA(),DeemedDashboard[[#This Row],[Measure Start Year]]+DeemedDashboard[[#This Row],[Msr EUL rounded]]-1),"")</f>
        <v/>
      </c>
      <c r="AO81" s="327" t="str">
        <f>IFERROR(DeemedDashboard[[#This Row],[Std Device Install Year]]+DeemedDashboard[[#This Row],[Counterfactual New Device EUL]]-1,"")</f>
        <v/>
      </c>
      <c r="AP81" s="327" t="str">
        <f>IFERROR(IF(AND(DeemedDashboard[[#This Row],[MeasAppType]]=const_AR,DeemedDashboard[[#This Row],[Measure Start Year]]&lt;(DeemedDashboard[[#This Row],[Pre Device Install Year]]+DeemedDashboard[[#This Row],[Existing Device EUL]]-1)),DeemedDashboard[[#This Row],[Measure Start Year]]-1,NA()),"")</f>
        <v/>
      </c>
      <c r="AQ81" s="327" t="str">
        <f>IFERROR(IF(DeemedDashboard[[#This Row],[MeasAppType]]=const_AR,DeemedDashboard[[#This Row],[Ext Device Install Year]]+DeemedDashboard[[#This Row],[Existing Device EUL]]-1,NA()),"")</f>
        <v/>
      </c>
      <c r="AR81" s="327" t="str">
        <f>IFERROR(IF(ISBLANK(DeemedDashboard[[#This Row],[MeasAppType]]),NA(),0),"")</f>
        <v/>
      </c>
      <c r="AS81" s="327" t="str">
        <f>IFERROR(IF(ISBLANK(DeemedDashboard[[#This Row],[MeasAppType]]),NA(),0),"")</f>
        <v/>
      </c>
      <c r="AT81" s="327" t="str">
        <f>IF(ISBLANK(DeemedDashboard[[#This Row],[MeasAppType]]),"",IF(DeemedDashboard[[#This Row],[MeasAppType]]&lt;&gt;const_AR,"",(DeemedDashboard[[#This Row],[Pre Device Install Year]]+DeemedDashboard[[#This Row],[Existing Device EUL]]-1)-DeemedDashboard[[#This Row],[Pre Device Retire-ment Year]]))</f>
        <v/>
      </c>
      <c r="AU81" s="327" t="str">
        <f>IF(ISBLANK(DeemedDashboard[[#This Row],[MeasAppType]]),"",IF(DeemedDashboard[[#This Row],[MeasAppType]]=const_AR,0,""))</f>
        <v/>
      </c>
      <c r="AV81" s="328" t="str">
        <f>IF(ISBLANK(DeemedDashboard[[#This Row],[MeasAppType]]),"",MAX((1+MIN(DeemedDashboard[[#This Row],[Msr Device Retire-ment Year]],DeemedDashboard[[#This Row],[Measure End 
Year]])-MAX(DeemedDashboard[[#This Row],[Msr Device Install Year]],DeemedDashboard[[#This Row],[Measure Start Year]])),0))</f>
        <v/>
      </c>
      <c r="AW81" s="328" t="str">
        <f>IF(ISBLANK(DeemedDashboard[[#This Row],[MeasAppType]]),"",MAX((1+MIN(DeemedDashboard[[#This Row],[Std Device Retire-ment Year]],DeemedDashboard[[#This Row],[Measure End 
Year]])-MAX(DeemedDashboard[[#This Row],[Std Device Install Year]],DeemedDashboard[[#This Row],[Measure Start Year]])),0))</f>
        <v/>
      </c>
      <c r="AX8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1" s="329" t="str">
        <f>IF(ISBLANK(DeemedDashboard[[#This Row],[MeasAppType]]),"",IF(DeemedDashboard[[#This Row],[Msr Device Years Over-lapping with Measure Years]]=0,0,DeemedDashboard[[#This Row],[Msr Device Years Over-lapping with Measure Years]]/DeemedDashboard[[#This Row],[Msr EUL rounded]]))</f>
        <v/>
      </c>
      <c r="BA81" s="329" t="str">
        <f>IF(ISBLANK(DeemedDashboard[[#This Row],[MeasAppType]]),"",IF(DeemedDashboard[[#This Row],[Std Device Years Over-lapping with Measure Years]]=0,0,DeemedDashboard[[#This Row],[Std Device Years Over-lapping with Measure Years]]/DeemedDashboard[[#This Row],[Counterfactual New Device EUL]]))</f>
        <v/>
      </c>
      <c r="BB81" s="329" t="str">
        <f>IF(ISBLANK(DeemedDashboard[[#This Row],[MeasAppType]]),"",IFERROR(IF(DeemedDashboard[[#This Row],[Pre Device Years Over-lapping with Measure Years]]=0,0,DeemedDashboard[[#This Row],[Pre Device Years Over-lapping with Measure Years]]/DeemedDashboard[[#This Row],[Existing Device EUL]]),""))</f>
        <v/>
      </c>
      <c r="BC81" s="329" t="str">
        <f>IFERROR(IF(DeemedDashboard[[#This Row],[Ext Device Years Over-lapping with Measure Years]]=0,0,DeemedDashboard[[#This Row],[Ext Device Years Over-lapping with Measure Years]]/DeemedDashboard[[#This Row],[Existing Device EUL]]),"")</f>
        <v/>
      </c>
      <c r="BD81" s="329" t="str">
        <f>IFERROR(IF(DeemedDashboard[[#This Row],[Msr Number of Years device retired early]]=0,0,DeemedDashboard[[#This Row],[Msr Number of Years device retired early]]/DeemedDashboard[[#This Row],[Msr EUL rounded]]),"")</f>
        <v/>
      </c>
      <c r="BE81" s="329" t="str">
        <f>IFERROR(IF(DeemedDashboard[[#This Row],[Std Number of Years device retired early]]=0,0,DeemedDashboard[[#This Row],[Std Number of Years device retired early]]/DeemedDashboard[[#This Row],[Msr EUL rounded]]),"")</f>
        <v/>
      </c>
      <c r="BF81" s="329" t="str">
        <f>IFERROR(IF(DeemedDashboard[[#This Row],[MeasAppType]]&lt;&gt;const_AR,"",IF(DeemedDashboard[[#This Row],[Pre Number of Years device retired early]]=0,0,DeemedDashboard[[#This Row],[Pre Number of Years device retired early]]/DeemedDashboard[[#This Row],[Existing Device EUL]])),"")</f>
        <v/>
      </c>
      <c r="BG81" s="329" t="str">
        <f>IFERROR(IF(DeemedDashboard[[#This Row],[Ext Number of Years device retired early]]=0,0,DeemedDashboard[[#This Row],[Ext Number of Years device retired early]]/DeemedDashboard[[#This Row],[Existing Device EUL]]),"")</f>
        <v/>
      </c>
      <c r="BH81" s="325" t="str">
        <f>IFERROR(1-DeemedDashboard[[#This Row],[Msr annual refrigerant leakage %]]*DeemedDashboard[[#This Row],[Msr t_EOL]],"")</f>
        <v/>
      </c>
      <c r="BI81" s="325" t="str">
        <f>IFERROR(1-DeemedDashboard[[#This Row],[Std annual refrigerant leakage %]]*DeemedDashboard[[#This Row],[Std t_EOL]],"")</f>
        <v/>
      </c>
      <c r="BJ81" s="325" t="str">
        <f>IFERROR(1-DeemedDashboard[[#This Row],[Pre/Ext annual refrigerant leakage %]]*DeemedDashboard[[#This Row],[Pre/Ext t_EOL]],"")</f>
        <v/>
      </c>
      <c r="BK81" s="325" t="str">
        <f>IFERROR(1-DeemedDashboard[[#This Row],[Pre/Ext annual refrigerant leakage %]]*DeemedDashboard[[#This Row],[Pre/Ext t_EOL]],"")</f>
        <v/>
      </c>
      <c r="BL81" s="325" t="str">
        <f>IFERROR(DeemedDashboard[[#This Row],[Msr charging remaining (%)]]*DeemedDashboard[[#This Row],[Msr gross EOL refrigerant leakage %]],"")</f>
        <v/>
      </c>
      <c r="BM81" s="325" t="str">
        <f>IFERROR(DeemedDashboard[[#This Row],[Std charging remaining (%)]]*DeemedDashboard[[#This Row],[Std gross EOL refrigerant leakage %]],"")</f>
        <v/>
      </c>
      <c r="BN81" s="325" t="str">
        <f>IFERROR(DeemedDashboard[[#This Row],[Pre charging remaining (%)]]*DeemedDashboard[[#This Row],[Pre/Ext gross EOL refrigerant leakage %]],"")</f>
        <v/>
      </c>
      <c r="BO81" s="325" t="str">
        <f>IFERROR(DeemedDashboard[[#This Row],[Ext charging remaining (%)]]*DeemedDashboard[[#This Row],[Pre/Ext gross EOL refrigerant leakage %]],"")</f>
        <v/>
      </c>
      <c r="BP81" s="330" t="str">
        <f>IFERROR((DeemedDashboard[[#This Row],[Msr refrigerant charge (lb) per NormUnit]]/pounds_per_metric_ton)*DeemedDashboard[[#This Row],[Msr annual refrigerant leakage %]]*DeemedDashboard[[#This Row],[Msr GWP]],"")</f>
        <v/>
      </c>
      <c r="BQ81" s="330" t="str">
        <f>IFERROR((DeemedDashboard[[#This Row],[Std refrigerant charge (lb) per NormUnit]]/pounds_per_metric_ton)*DeemedDashboard[[#This Row],[Std annual refrigerant leakage %]]*DeemedDashboard[[#This Row],[Std GWP]],"")</f>
        <v/>
      </c>
      <c r="BR81" s="330" t="str">
        <f>IF(DeemedDashboard[[#This Row],[MeasAppType]]=const_AR,(DeemedDashboard[[#This Row],[Pre/Ext refrigerant charge (lb) per NormUnit]]/pounds_per_metric_ton)*DeemedDashboard[[#This Row],[Pre/Ext annual refrigerant leakage %]]*DeemedDashboard[[#This Row],[Pre/Ext GWP]],"")</f>
        <v/>
      </c>
      <c r="BS81" s="330" t="str">
        <f>IF(DeemedDashboard[[#This Row],[MeasAppType]]=const_AR,(DeemedDashboard[[#This Row],[Pre/Ext refrigerant charge (lb) per NormUnit]]/pounds_per_metric_ton)*DeemedDashboard[[#This Row],[Pre/Ext annual refrigerant leakage %]]*DeemedDashboard[[#This Row],[Pre/Ext GWP]],"")</f>
        <v/>
      </c>
      <c r="BT81" s="330" t="str">
        <f>IFERROR((DeemedDashboard[[#This Row],[Msr refrigerant charge (lb) per NormUnit]]/pounds_per_metric_ton)*DeemedDashboard[[#This Row],[Msr net EOL refrigerant leakage (%)]]*DeemedDashboard[[#This Row],[Msr GWP]],"")</f>
        <v/>
      </c>
      <c r="BU81" s="330" t="str">
        <f>IFERROR((DeemedDashboard[[#This Row],[Std refrigerant charge (lb) per NormUnit]]/pounds_per_metric_ton)*DeemedDashboard[[#This Row],[Std net EOL refrigerant leakage (%)]]*DeemedDashboard[[#This Row],[Std GWP]],"")</f>
        <v/>
      </c>
      <c r="BV81" s="330" t="str">
        <f>IFERROR((DeemedDashboard[[#This Row],[Pre/Ext refrigerant charge (lb) per NormUnit]]/pounds_per_metric_ton)*DeemedDashboard[[#This Row],[Pre net EOL refrigerant leakage (%)]]*DeemedDashboard[[#This Row],[Pre/Ext GWP]],"")</f>
        <v/>
      </c>
      <c r="BW81" s="330" t="str">
        <f>IFERROR((DeemedDashboard[[#This Row],[Pre/Ext refrigerant charge (lb) per NormUnit]]/pounds_per_metric_ton)*DeemedDashboard[[#This Row],[Ext net EOL refrigerant leakage (%)]]*DeemedDashboard[[#This Row],[Pre/Ext GWP]],"")</f>
        <v/>
      </c>
      <c r="BX81" s="299" t="str" cm="1">
        <f t="array" aca="1" ref="BX8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1" s="305" t="str" cm="1">
        <f t="array" aca="1" ref="BY8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1" s="299" t="str">
        <f>IFERROR(IF(OR(DeemedDashboard[[#This Row],[MeasAppType]]&lt;&gt;const_AR,ISBLANK(DeemedDashboard[[#This Row],[MeasAppType]])),NA(),0),"")</f>
        <v/>
      </c>
      <c r="CA81" s="305" t="str" cm="1">
        <f t="array" aca="1" ref="CA8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1" s="299" t="str">
        <f ca="1">IFERROR((DeemedDashboard[[#This Row],[Msr EOL leakage tons CO2e]]*OFFSET(GHG_Adder_dollar_per_tonne,0,(DeemedDashboard[[#This Row],[Msr Device Retire-ment Year]]-DY+1),1,1))/(1+WACC)^(DeemedDashboard[[#This Row],[Msr Device Retire-ment Year]]-DeemedDashboard[[#This Row],[Measure Start Year]]+0.5),"")</f>
        <v/>
      </c>
      <c r="CC81" s="299" t="str">
        <f ca="1">IFERROR((DeemedDashboard[[#This Row],[Std EOL leakage tons CO2e]]*OFFSET(GHG_Adder_dollar_per_tonne,0,(DeemedDashboard[[#This Row],[Std Device Retire-ment Year]]-DY+1),1,1))/(1+WACC)^(DeemedDashboard[[#This Row],[Std Device Retire-ment Year]]-DeemedDashboard[[#This Row],[Measure Start Year]]+0.5),"")</f>
        <v/>
      </c>
      <c r="CD81" s="299" t="str">
        <f ca="1">IFERROR((DeemedDashboard[[#This Row],[Pre EOL leakage tons CO2e]]*OFFSET(GHG_Adder_dollar_per_tonne,0,(DeemedDashboard[[#This Row],[Measure Start Year]]-DY),1,1))/(1+WACC)^(-0.5),"")</f>
        <v/>
      </c>
      <c r="CE8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1" s="296" t="str">
        <f ca="1">IFERROR(DeemedDashboard[[#This Row],[Msr NPV Cost of Annual Leakage]]/(1+ACC_Inflation_Rate)^(DeemedDashboard[[#This Row],[Measure Start Year]]-DY),"")</f>
        <v/>
      </c>
      <c r="CG81" s="296" t="str">
        <f ca="1">IFERROR(DeemedDashboard[[#This Row],[Std NPV Cost of Annual Leakage]]/(1+ACC_Inflation_Rate)^(DeemedDashboard[[#This Row],[Measure Start Year]]-DY),"")</f>
        <v/>
      </c>
      <c r="CH81" s="296" t="str">
        <f>IFERROR(IF(ISBLANK(DeemedDashboard[[#This Row],[MeasAppType]]),NA(),IF(DeemedDashboard[[#This Row],[MeasAppType]]=const_AR,DeemedDashboard[[#This Row],[Pre NPV Cost of Annual Leakage]]/(1+ACC_Inflation_Rate)^(DeemedDashboard[[#This Row],[Measure Start Year]]-DY),"")),"")</f>
        <v/>
      </c>
      <c r="CI81" s="296" t="str">
        <f>IFERROR(IF(ISBLANK(DeemedDashboard[[#This Row],[MeasAppType]]),NA(),IF(DeemedDashboard[[#This Row],[MeasAppType]]=const_AR,DeemedDashboard[[#This Row],[Ext NPV Cost of Annual Leakage]]/(1+ACC_Inflation_Rate)^(DeemedDashboard[[#This Row],[Measure Start Year]]-DY),"")),"")</f>
        <v/>
      </c>
      <c r="CJ81" s="296" t="str">
        <f ca="1">IFERROR((DeemedDashboard[[#This Row],[Msr % of device lifetime during measure years]]+DeemedDashboard[[#This Row],[Msr % of device lifetime retired early]])*DeemedDashboard[[#This Row],[Msr NPV Cost of EOL Leakage]]/(1+ACC_Inflation_Rate)^(DeemedDashboard[[#This Row],[Measure Start Year]]-DY),"")</f>
        <v/>
      </c>
      <c r="CK81" s="296" t="str">
        <f ca="1">IFERROR((DeemedDashboard[[#This Row],[Std % of device lifetime during measure years]]+DeemedDashboard[[#This Row],[Std % of device lifetime retired early]])*DeemedDashboard[[#This Row],[Std NPV Cost of EOL Leakage]]/(1+ACC_Inflation_Rate)^(DeemedDashboard[[#This Row],[Measure Start Year]]-DY),"")</f>
        <v/>
      </c>
      <c r="CL8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1" s="299" t="str">
        <f ca="1">IFERROR(DeemedDashboard[[#This Row],[Counter-factual total 
NPV cost]]-DeemedDashboard[[#This Row],[Measure total 
NPV cost]],"")</f>
        <v/>
      </c>
      <c r="CQ81" s="299" t="str">
        <f>IF(ISBLANK(DeemedDashboard[[#This Row],[MeasAppType]]),"",DeemedDashboard[[#This Row],[Refrigerant
NPV costs
avoided]]&gt;0)</f>
        <v/>
      </c>
      <c r="CR81" s="299" t="str">
        <f ca="1">IFERROR(DeemedDashboard[[#This Row],[Msr Adj NPV Cost of Annual Leakage]]+DeemedDashboard[[#This Row],[Msr Adj NPV Cost of EOL Leakage]],"")</f>
        <v/>
      </c>
      <c r="CS81" s="299" t="str">
        <f ca="1">IFERROR(DeemedDashboard[[#This Row],[Std Adj NPV Cost of Annual Leakage]]+DeemedDashboard[[#This Row],[Std Adj NPV Cost of EOL Leakage]],"")</f>
        <v/>
      </c>
      <c r="CT81" s="299" t="str">
        <f>IFERROR(IF((DeemedDashboard[[#This Row],[Pre Adj NPV Cost of Annual Leakage]]+DeemedDashboard[[#This Row],[Pre Adj NPV Cost of EOL Leakage]])=0,"",DeemedDashboard[[#This Row],[Pre Adj NPV Cost of Annual Leakage]]+DeemedDashboard[[#This Row],[Pre Adj NPV Cost of EOL Leakage]]),"")</f>
        <v/>
      </c>
      <c r="CU81" s="299" t="str">
        <f>IFERROR(IF((DeemedDashboard[[#This Row],[Ext Adj NPV Cost of Annual Leakage]]+DeemedDashboard[[#This Row],[Ext Adj NPV Cost of EOL Leakage]])=0,"",DeemedDashboard[[#This Row],[Ext Adj NPV Cost of Annual Leakage]]+DeemedDashboard[[#This Row],[Ext Adj NPV Cost of EOL Leakage]]),"")</f>
        <v/>
      </c>
      <c r="CV81" s="299" t="str">
        <f>IFERROR(IF(DeemedDashboard[[#This Row],[Is Avoided Net Cost &gt;0?]],"",-DeemedDashboard[[#This Row],[Refrigerant
NPV costs
avoided]]),"")</f>
        <v/>
      </c>
      <c r="CW81" s="299" t="str">
        <f>IFERROR(IF(DeemedDashboard[[#This Row],[Is Avoided Net Cost &gt;0?]],DeemedDashboard[[#This Row],[Refrigerant
NPV costs
avoided]],""),"")</f>
        <v/>
      </c>
      <c r="CX81" s="391">
        <f ca="1">IFERROR(MATCH(DeemedDashboard[[#This Row],[TechGroup and NormUnit]],TechGroup_and_NormUnit,0),1)</f>
        <v>1</v>
      </c>
      <c r="CY81" s="391" cm="1">
        <f t="array" aca="1" ref="CY81" ca="1">IFERROR(INDEX(TGRows,DeemedDashboard[[#This Row],[TGIndex]]),"")</f>
        <v>2</v>
      </c>
      <c r="CZ81" s="391">
        <f ca="1">IF(DeemedDashboard[[#This Row],[MeasAppType]]=const_AR,DeemedDashboard[[#This Row],[TGRows]],DeemedDashboard[[#This Row],[TGRows]]+1)</f>
        <v>3</v>
      </c>
      <c r="DA81" s="391" t="str">
        <f>IF(ISBLANK(DeemedDashboard[[#This Row],[MeasAppType]]),"",IF(DeemedDashboard[[#This Row],[Index]]=User_Specified_Refrigerant[[#This Row],[Index]],"OK","ERROR"))</f>
        <v/>
      </c>
    </row>
    <row r="82" spans="1:105" s="320" customFormat="1" x14ac:dyDescent="0.25">
      <c r="A82" s="297">
        <f>ROW(DeemedDashboard[[#This Row],[Index]])-ROW(DeemedDashboard[[#Headers],[Index]])</f>
        <v>73</v>
      </c>
      <c r="B82" s="298"/>
      <c r="C82" s="321"/>
      <c r="D82" s="403"/>
      <c r="E82" s="403"/>
      <c r="F82" s="403"/>
      <c r="G82" s="403"/>
      <c r="H82" s="366"/>
      <c r="I82" s="339"/>
      <c r="J82" s="339"/>
      <c r="K82" s="339"/>
      <c r="L82" s="322"/>
      <c r="M82" s="322"/>
      <c r="N82" s="322"/>
      <c r="O8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2" s="582" t="str" cm="1">
        <f t="array" ref="R82">IFERROR(IF(DeemedDashboard[[#This Row],[Msr device type]]=const_device_nonrefrig,0,INDEX(_xlfn.SWITCH($E$4,const_20_yr,GWP_Values_20_year_AR4,const_100_yr,GWP_Values_100_year_AR4),MATCH(DeemedDashboard[[#This Row],[Msr refrigerant Type]],RefrigDropdownList,0))),"")</f>
        <v/>
      </c>
      <c r="S82" s="582" t="str" cm="1">
        <f t="array" ref="S82">IFERROR(IF(DeemedDashboard[[#This Row],[Std device type]]=const_device_nonrefrig,0,INDEX(_xlfn.SWITCH($E$4,const_20_yr,GWP_Values_20_year_AR4,const_100_yr,GWP_Values_100_year_AR4),MATCH(DeemedDashboard[[#This Row],[Std refrigerant Type]],RefrigDropdownList,0))),"")</f>
        <v/>
      </c>
      <c r="T82" s="582" t="str" cm="1">
        <f t="array" ref="T82">IFERROR(IF(DeemedDashboard[[#This Row],[Pre/Ext device type]]=const_device_nonrefrig,0,INDEX(_xlfn.SWITCH($E$4,const_20_yr,GWP_Values_20_year_AR4,const_100_yr,GWP_Values_100_year_AR4),MATCH(DeemedDashboard[[#This Row],[Pre/Ext refrigerant Type]],RefrigDropdownList,0))),"")</f>
        <v/>
      </c>
      <c r="U8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2" s="326" t="str">
        <f>IFERROR(IF(DeemedDashboard[[#This Row],[Msr device type]]=const_userspec,IF(ISBLANK(User_Specified_Refrigerant[[#This Row],[Msr t_EOL]]),"",User_Specified_Refrigerant[[#This Row],[Msr t_EOL]]),INDEX(TechGroup_NormUnit_Table[t_EOL],MATCH(DeemedDashboard[[#This Row],[Msr device type]],DropdownRefrigTech,0))),"")</f>
        <v/>
      </c>
      <c r="AB82" s="326" t="str">
        <f>IFERROR(IF(DeemedDashboard[[#This Row],[Std device type]]=const_userspec,IF(ISBLANK(User_Specified_Refrigerant[[#This Row],[Std t_EOL]]),"",User_Specified_Refrigerant[[#This Row],[Std t_EOL]]),INDEX(TechGroup_NormUnit_Table[t_EOL],MATCH(DeemedDashboard[[#This Row],[Std device type]],DropdownRefrigTech,0))),"")</f>
        <v/>
      </c>
      <c r="AC8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2" s="395" t="str">
        <f>IF(ISBLANK(DeemedDashboard[[#This Row],[MeasAppType]]),"",$E$2)</f>
        <v/>
      </c>
      <c r="AE82" s="395" t="str">
        <f>IFERROR(IF(ISBLANK(DeemedDashboard[[#This Row],[MeasAppType]]),NA(),DeemedDashboard[[#This Row],[Measure Start Year]]+DeemedDashboard[[#This Row],[Msr EUL rounded]]-1),"")</f>
        <v/>
      </c>
      <c r="AF82" s="323" t="str">
        <f>IF(ISBLANK(DeemedDashboard[[#This Row],[Measure New Device EUL]]),"",ROUND(DeemedDashboard[[#This Row],[Measure New Device EUL]],0))</f>
        <v/>
      </c>
      <c r="AG82" s="323" t="str">
        <f>IF(ISBLANK(DeemedDashboard[[#This Row],[Counterfactual New Device EUL]]),"",ROUND(DeemedDashboard[[#This Row],[Counterfactual New Device EUL]],0))</f>
        <v/>
      </c>
      <c r="AH82" s="323" t="str">
        <f>IF(ISBLANK(DeemedDashboard[[#This Row],[Existing Device EUL]]),"",ROUND(DeemedDashboard[[#This Row],[Existing Device EUL]],0))</f>
        <v/>
      </c>
      <c r="AI82" s="323" t="str">
        <f>IF(ISBLANK(DeemedDashboard[[#This Row],[Existing Device RUL or AR First Baseline Life]]),"",ROUND(DeemedDashboard[[#This Row],[Existing Device RUL or AR First Baseline Life]],0))</f>
        <v/>
      </c>
      <c r="AJ82" s="327" t="str">
        <f>DeemedDashboard[[#This Row],[Measure Start Year]]</f>
        <v/>
      </c>
      <c r="AK82" s="327" t="str">
        <f>IF(DeemedDashboard[[#This Row],[MeasAppType]]&lt;&gt;const_AR,DeemedDashboard[[#This Row],[Measure Start Year]],DeemedDashboard[[#This Row],[Ext Device Retire-ment Year]]+1)</f>
        <v/>
      </c>
      <c r="AL82" s="327" t="str">
        <f>IFERROR(IF(DeemedDashboard[[#This Row],[MeasAppType]]=const_AR,DeemedDashboard[[#This Row],[Measure Start Year]]-(DeemedDashboard[[#This Row],[Existing Device EUL]]-DeemedDashboard[[#This Row],[Existing Device RUL or AR First Baseline Life]]),NA()),"")</f>
        <v/>
      </c>
      <c r="AM82" s="327" t="str">
        <f>DeemedDashboard[[#This Row],[Pre Device Install Year]]</f>
        <v/>
      </c>
      <c r="AN82" s="327" t="str">
        <f>IFERROR(IF(ISBLANK(DeemedDashboard[[#This Row],[MeasAppType]]),NA(),DeemedDashboard[[#This Row],[Measure Start Year]]+DeemedDashboard[[#This Row],[Msr EUL rounded]]-1),"")</f>
        <v/>
      </c>
      <c r="AO82" s="327" t="str">
        <f>IFERROR(DeemedDashboard[[#This Row],[Std Device Install Year]]+DeemedDashboard[[#This Row],[Counterfactual New Device EUL]]-1,"")</f>
        <v/>
      </c>
      <c r="AP82" s="327" t="str">
        <f>IFERROR(IF(AND(DeemedDashboard[[#This Row],[MeasAppType]]=const_AR,DeemedDashboard[[#This Row],[Measure Start Year]]&lt;(DeemedDashboard[[#This Row],[Pre Device Install Year]]+DeemedDashboard[[#This Row],[Existing Device EUL]]-1)),DeemedDashboard[[#This Row],[Measure Start Year]]-1,NA()),"")</f>
        <v/>
      </c>
      <c r="AQ82" s="327" t="str">
        <f>IFERROR(IF(DeemedDashboard[[#This Row],[MeasAppType]]=const_AR,DeemedDashboard[[#This Row],[Ext Device Install Year]]+DeemedDashboard[[#This Row],[Existing Device EUL]]-1,NA()),"")</f>
        <v/>
      </c>
      <c r="AR82" s="327" t="str">
        <f>IFERROR(IF(ISBLANK(DeemedDashboard[[#This Row],[MeasAppType]]),NA(),0),"")</f>
        <v/>
      </c>
      <c r="AS82" s="327" t="str">
        <f>IFERROR(IF(ISBLANK(DeemedDashboard[[#This Row],[MeasAppType]]),NA(),0),"")</f>
        <v/>
      </c>
      <c r="AT82" s="327" t="str">
        <f>IF(ISBLANK(DeemedDashboard[[#This Row],[MeasAppType]]),"",IF(DeemedDashboard[[#This Row],[MeasAppType]]&lt;&gt;const_AR,"",(DeemedDashboard[[#This Row],[Pre Device Install Year]]+DeemedDashboard[[#This Row],[Existing Device EUL]]-1)-DeemedDashboard[[#This Row],[Pre Device Retire-ment Year]]))</f>
        <v/>
      </c>
      <c r="AU82" s="327" t="str">
        <f>IF(ISBLANK(DeemedDashboard[[#This Row],[MeasAppType]]),"",IF(DeemedDashboard[[#This Row],[MeasAppType]]=const_AR,0,""))</f>
        <v/>
      </c>
      <c r="AV82" s="328" t="str">
        <f>IF(ISBLANK(DeemedDashboard[[#This Row],[MeasAppType]]),"",MAX((1+MIN(DeemedDashboard[[#This Row],[Msr Device Retire-ment Year]],DeemedDashboard[[#This Row],[Measure End 
Year]])-MAX(DeemedDashboard[[#This Row],[Msr Device Install Year]],DeemedDashboard[[#This Row],[Measure Start Year]])),0))</f>
        <v/>
      </c>
      <c r="AW82" s="328" t="str">
        <f>IF(ISBLANK(DeemedDashboard[[#This Row],[MeasAppType]]),"",MAX((1+MIN(DeemedDashboard[[#This Row],[Std Device Retire-ment Year]],DeemedDashboard[[#This Row],[Measure End 
Year]])-MAX(DeemedDashboard[[#This Row],[Std Device Install Year]],DeemedDashboard[[#This Row],[Measure Start Year]])),0))</f>
        <v/>
      </c>
      <c r="AX8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2" s="329" t="str">
        <f>IF(ISBLANK(DeemedDashboard[[#This Row],[MeasAppType]]),"",IF(DeemedDashboard[[#This Row],[Msr Device Years Over-lapping with Measure Years]]=0,0,DeemedDashboard[[#This Row],[Msr Device Years Over-lapping with Measure Years]]/DeemedDashboard[[#This Row],[Msr EUL rounded]]))</f>
        <v/>
      </c>
      <c r="BA82" s="329" t="str">
        <f>IF(ISBLANK(DeemedDashboard[[#This Row],[MeasAppType]]),"",IF(DeemedDashboard[[#This Row],[Std Device Years Over-lapping with Measure Years]]=0,0,DeemedDashboard[[#This Row],[Std Device Years Over-lapping with Measure Years]]/DeemedDashboard[[#This Row],[Counterfactual New Device EUL]]))</f>
        <v/>
      </c>
      <c r="BB82" s="329" t="str">
        <f>IF(ISBLANK(DeemedDashboard[[#This Row],[MeasAppType]]),"",IFERROR(IF(DeemedDashboard[[#This Row],[Pre Device Years Over-lapping with Measure Years]]=0,0,DeemedDashboard[[#This Row],[Pre Device Years Over-lapping with Measure Years]]/DeemedDashboard[[#This Row],[Existing Device EUL]]),""))</f>
        <v/>
      </c>
      <c r="BC82" s="329" t="str">
        <f>IFERROR(IF(DeemedDashboard[[#This Row],[Ext Device Years Over-lapping with Measure Years]]=0,0,DeemedDashboard[[#This Row],[Ext Device Years Over-lapping with Measure Years]]/DeemedDashboard[[#This Row],[Existing Device EUL]]),"")</f>
        <v/>
      </c>
      <c r="BD82" s="329" t="str">
        <f>IFERROR(IF(DeemedDashboard[[#This Row],[Msr Number of Years device retired early]]=0,0,DeemedDashboard[[#This Row],[Msr Number of Years device retired early]]/DeemedDashboard[[#This Row],[Msr EUL rounded]]),"")</f>
        <v/>
      </c>
      <c r="BE82" s="329" t="str">
        <f>IFERROR(IF(DeemedDashboard[[#This Row],[Std Number of Years device retired early]]=0,0,DeemedDashboard[[#This Row],[Std Number of Years device retired early]]/DeemedDashboard[[#This Row],[Msr EUL rounded]]),"")</f>
        <v/>
      </c>
      <c r="BF82" s="329" t="str">
        <f>IFERROR(IF(DeemedDashboard[[#This Row],[MeasAppType]]&lt;&gt;const_AR,"",IF(DeemedDashboard[[#This Row],[Pre Number of Years device retired early]]=0,0,DeemedDashboard[[#This Row],[Pre Number of Years device retired early]]/DeemedDashboard[[#This Row],[Existing Device EUL]])),"")</f>
        <v/>
      </c>
      <c r="BG82" s="329" t="str">
        <f>IFERROR(IF(DeemedDashboard[[#This Row],[Ext Number of Years device retired early]]=0,0,DeemedDashboard[[#This Row],[Ext Number of Years device retired early]]/DeemedDashboard[[#This Row],[Existing Device EUL]]),"")</f>
        <v/>
      </c>
      <c r="BH82" s="325" t="str">
        <f>IFERROR(1-DeemedDashboard[[#This Row],[Msr annual refrigerant leakage %]]*DeemedDashboard[[#This Row],[Msr t_EOL]],"")</f>
        <v/>
      </c>
      <c r="BI82" s="325" t="str">
        <f>IFERROR(1-DeemedDashboard[[#This Row],[Std annual refrigerant leakage %]]*DeemedDashboard[[#This Row],[Std t_EOL]],"")</f>
        <v/>
      </c>
      <c r="BJ82" s="325" t="str">
        <f>IFERROR(1-DeemedDashboard[[#This Row],[Pre/Ext annual refrigerant leakage %]]*DeemedDashboard[[#This Row],[Pre/Ext t_EOL]],"")</f>
        <v/>
      </c>
      <c r="BK82" s="325" t="str">
        <f>IFERROR(1-DeemedDashboard[[#This Row],[Pre/Ext annual refrigerant leakage %]]*DeemedDashboard[[#This Row],[Pre/Ext t_EOL]],"")</f>
        <v/>
      </c>
      <c r="BL82" s="325" t="str">
        <f>IFERROR(DeemedDashboard[[#This Row],[Msr charging remaining (%)]]*DeemedDashboard[[#This Row],[Msr gross EOL refrigerant leakage %]],"")</f>
        <v/>
      </c>
      <c r="BM82" s="325" t="str">
        <f>IFERROR(DeemedDashboard[[#This Row],[Std charging remaining (%)]]*DeemedDashboard[[#This Row],[Std gross EOL refrigerant leakage %]],"")</f>
        <v/>
      </c>
      <c r="BN82" s="325" t="str">
        <f>IFERROR(DeemedDashboard[[#This Row],[Pre charging remaining (%)]]*DeemedDashboard[[#This Row],[Pre/Ext gross EOL refrigerant leakage %]],"")</f>
        <v/>
      </c>
      <c r="BO82" s="325" t="str">
        <f>IFERROR(DeemedDashboard[[#This Row],[Ext charging remaining (%)]]*DeemedDashboard[[#This Row],[Pre/Ext gross EOL refrigerant leakage %]],"")</f>
        <v/>
      </c>
      <c r="BP82" s="330" t="str">
        <f>IFERROR((DeemedDashboard[[#This Row],[Msr refrigerant charge (lb) per NormUnit]]/pounds_per_metric_ton)*DeemedDashboard[[#This Row],[Msr annual refrigerant leakage %]]*DeemedDashboard[[#This Row],[Msr GWP]],"")</f>
        <v/>
      </c>
      <c r="BQ82" s="330" t="str">
        <f>IFERROR((DeemedDashboard[[#This Row],[Std refrigerant charge (lb) per NormUnit]]/pounds_per_metric_ton)*DeemedDashboard[[#This Row],[Std annual refrigerant leakage %]]*DeemedDashboard[[#This Row],[Std GWP]],"")</f>
        <v/>
      </c>
      <c r="BR82" s="330" t="str">
        <f>IF(DeemedDashboard[[#This Row],[MeasAppType]]=const_AR,(DeemedDashboard[[#This Row],[Pre/Ext refrigerant charge (lb) per NormUnit]]/pounds_per_metric_ton)*DeemedDashboard[[#This Row],[Pre/Ext annual refrigerant leakage %]]*DeemedDashboard[[#This Row],[Pre/Ext GWP]],"")</f>
        <v/>
      </c>
      <c r="BS82" s="330" t="str">
        <f>IF(DeemedDashboard[[#This Row],[MeasAppType]]=const_AR,(DeemedDashboard[[#This Row],[Pre/Ext refrigerant charge (lb) per NormUnit]]/pounds_per_metric_ton)*DeemedDashboard[[#This Row],[Pre/Ext annual refrigerant leakage %]]*DeemedDashboard[[#This Row],[Pre/Ext GWP]],"")</f>
        <v/>
      </c>
      <c r="BT82" s="330" t="str">
        <f>IFERROR((DeemedDashboard[[#This Row],[Msr refrigerant charge (lb) per NormUnit]]/pounds_per_metric_ton)*DeemedDashboard[[#This Row],[Msr net EOL refrigerant leakage (%)]]*DeemedDashboard[[#This Row],[Msr GWP]],"")</f>
        <v/>
      </c>
      <c r="BU82" s="330" t="str">
        <f>IFERROR((DeemedDashboard[[#This Row],[Std refrigerant charge (lb) per NormUnit]]/pounds_per_metric_ton)*DeemedDashboard[[#This Row],[Std net EOL refrigerant leakage (%)]]*DeemedDashboard[[#This Row],[Std GWP]],"")</f>
        <v/>
      </c>
      <c r="BV82" s="330" t="str">
        <f>IFERROR((DeemedDashboard[[#This Row],[Pre/Ext refrigerant charge (lb) per NormUnit]]/pounds_per_metric_ton)*DeemedDashboard[[#This Row],[Pre net EOL refrigerant leakage (%)]]*DeemedDashboard[[#This Row],[Pre/Ext GWP]],"")</f>
        <v/>
      </c>
      <c r="BW82" s="330" t="str">
        <f>IFERROR((DeemedDashboard[[#This Row],[Pre/Ext refrigerant charge (lb) per NormUnit]]/pounds_per_metric_ton)*DeemedDashboard[[#This Row],[Ext net EOL refrigerant leakage (%)]]*DeemedDashboard[[#This Row],[Pre/Ext GWP]],"")</f>
        <v/>
      </c>
      <c r="BX82" s="299" t="str" cm="1">
        <f t="array" aca="1" ref="BX8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2" s="305" t="str" cm="1">
        <f t="array" aca="1" ref="BY8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2" s="299" t="str">
        <f>IFERROR(IF(OR(DeemedDashboard[[#This Row],[MeasAppType]]&lt;&gt;const_AR,ISBLANK(DeemedDashboard[[#This Row],[MeasAppType]])),NA(),0),"")</f>
        <v/>
      </c>
      <c r="CA82" s="305" t="str" cm="1">
        <f t="array" aca="1" ref="CA8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2" s="299" t="str">
        <f ca="1">IFERROR((DeemedDashboard[[#This Row],[Msr EOL leakage tons CO2e]]*OFFSET(GHG_Adder_dollar_per_tonne,0,(DeemedDashboard[[#This Row],[Msr Device Retire-ment Year]]-DY+1),1,1))/(1+WACC)^(DeemedDashboard[[#This Row],[Msr Device Retire-ment Year]]-DeemedDashboard[[#This Row],[Measure Start Year]]+0.5),"")</f>
        <v/>
      </c>
      <c r="CC82" s="299" t="str">
        <f ca="1">IFERROR((DeemedDashboard[[#This Row],[Std EOL leakage tons CO2e]]*OFFSET(GHG_Adder_dollar_per_tonne,0,(DeemedDashboard[[#This Row],[Std Device Retire-ment Year]]-DY+1),1,1))/(1+WACC)^(DeemedDashboard[[#This Row],[Std Device Retire-ment Year]]-DeemedDashboard[[#This Row],[Measure Start Year]]+0.5),"")</f>
        <v/>
      </c>
      <c r="CD82" s="299" t="str">
        <f ca="1">IFERROR((DeemedDashboard[[#This Row],[Pre EOL leakage tons CO2e]]*OFFSET(GHG_Adder_dollar_per_tonne,0,(DeemedDashboard[[#This Row],[Measure Start Year]]-DY),1,1))/(1+WACC)^(-0.5),"")</f>
        <v/>
      </c>
      <c r="CE8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2" s="299" t="str">
        <f ca="1">IFERROR(DeemedDashboard[[#This Row],[Msr NPV Cost of Annual Leakage]]/(1+ACC_Inflation_Rate)^(DeemedDashboard[[#This Row],[Measure Start Year]]-DY),"")</f>
        <v/>
      </c>
      <c r="CG82" s="299" t="str">
        <f ca="1">IFERROR(DeemedDashboard[[#This Row],[Std NPV Cost of Annual Leakage]]/(1+ACC_Inflation_Rate)^(DeemedDashboard[[#This Row],[Measure Start Year]]-DY),"")</f>
        <v/>
      </c>
      <c r="CH82" s="299" t="str">
        <f>IFERROR(IF(ISBLANK(DeemedDashboard[[#This Row],[MeasAppType]]),NA(),IF(DeemedDashboard[[#This Row],[MeasAppType]]=const_AR,DeemedDashboard[[#This Row],[Pre NPV Cost of Annual Leakage]]/(1+ACC_Inflation_Rate)^(DeemedDashboard[[#This Row],[Measure Start Year]]-DY),"")),"")</f>
        <v/>
      </c>
      <c r="CI82" s="296" t="str">
        <f>IFERROR(IF(ISBLANK(DeemedDashboard[[#This Row],[MeasAppType]]),NA(),IF(DeemedDashboard[[#This Row],[MeasAppType]]=const_AR,DeemedDashboard[[#This Row],[Ext NPV Cost of Annual Leakage]]/(1+ACC_Inflation_Rate)^(DeemedDashboard[[#This Row],[Measure Start Year]]-DY),"")),"")</f>
        <v/>
      </c>
      <c r="CJ82" s="296" t="str">
        <f ca="1">IFERROR((DeemedDashboard[[#This Row],[Msr % of device lifetime during measure years]]+DeemedDashboard[[#This Row],[Msr % of device lifetime retired early]])*DeemedDashboard[[#This Row],[Msr NPV Cost of EOL Leakage]]/(1+ACC_Inflation_Rate)^(DeemedDashboard[[#This Row],[Measure Start Year]]-DY),"")</f>
        <v/>
      </c>
      <c r="CK82" s="296" t="str">
        <f ca="1">IFERROR((DeemedDashboard[[#This Row],[Std % of device lifetime during measure years]]+DeemedDashboard[[#This Row],[Std % of device lifetime retired early]])*DeemedDashboard[[#This Row],[Std NPV Cost of EOL Leakage]]/(1+ACC_Inflation_Rate)^(DeemedDashboard[[#This Row],[Measure Start Year]]-DY),"")</f>
        <v/>
      </c>
      <c r="CL8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2" s="299" t="str">
        <f ca="1">IFERROR(DeemedDashboard[[#This Row],[Counter-factual total 
NPV cost]]-DeemedDashboard[[#This Row],[Measure total 
NPV cost]],"")</f>
        <v/>
      </c>
      <c r="CQ82" s="299" t="str">
        <f>IF(ISBLANK(DeemedDashboard[[#This Row],[MeasAppType]]),"",DeemedDashboard[[#This Row],[Refrigerant
NPV costs
avoided]]&gt;0)</f>
        <v/>
      </c>
      <c r="CR82" s="299" t="str">
        <f ca="1">IFERROR(DeemedDashboard[[#This Row],[Msr Adj NPV Cost of Annual Leakage]]+DeemedDashboard[[#This Row],[Msr Adj NPV Cost of EOL Leakage]],"")</f>
        <v/>
      </c>
      <c r="CS82" s="299" t="str">
        <f ca="1">IFERROR(DeemedDashboard[[#This Row],[Std Adj NPV Cost of Annual Leakage]]+DeemedDashboard[[#This Row],[Std Adj NPV Cost of EOL Leakage]],"")</f>
        <v/>
      </c>
      <c r="CT82" s="299" t="str">
        <f>IFERROR(IF((DeemedDashboard[[#This Row],[Pre Adj NPV Cost of Annual Leakage]]+DeemedDashboard[[#This Row],[Pre Adj NPV Cost of EOL Leakage]])=0,"",DeemedDashboard[[#This Row],[Pre Adj NPV Cost of Annual Leakage]]+DeemedDashboard[[#This Row],[Pre Adj NPV Cost of EOL Leakage]]),"")</f>
        <v/>
      </c>
      <c r="CU82" s="299" t="str">
        <f>IFERROR(IF((DeemedDashboard[[#This Row],[Ext Adj NPV Cost of Annual Leakage]]+DeemedDashboard[[#This Row],[Ext Adj NPV Cost of EOL Leakage]])=0,"",DeemedDashboard[[#This Row],[Ext Adj NPV Cost of Annual Leakage]]+DeemedDashboard[[#This Row],[Ext Adj NPV Cost of EOL Leakage]]),"")</f>
        <v/>
      </c>
      <c r="CV82" s="299" t="str">
        <f>IFERROR(IF(DeemedDashboard[[#This Row],[Is Avoided Net Cost &gt;0?]],"",-DeemedDashboard[[#This Row],[Refrigerant
NPV costs
avoided]]),"")</f>
        <v/>
      </c>
      <c r="CW82" s="299" t="str">
        <f>IFERROR(IF(DeemedDashboard[[#This Row],[Is Avoided Net Cost &gt;0?]],DeemedDashboard[[#This Row],[Refrigerant
NPV costs
avoided]],""),"")</f>
        <v/>
      </c>
      <c r="CX82" s="391">
        <f ca="1">IFERROR(MATCH(DeemedDashboard[[#This Row],[TechGroup and NormUnit]],TechGroup_and_NormUnit,0),1)</f>
        <v>1</v>
      </c>
      <c r="CY82" s="391" cm="1">
        <f t="array" aca="1" ref="CY82" ca="1">IFERROR(INDEX(TGRows,DeemedDashboard[[#This Row],[TGIndex]]),"")</f>
        <v>2</v>
      </c>
      <c r="CZ82" s="391">
        <f ca="1">IF(DeemedDashboard[[#This Row],[MeasAppType]]=const_AR,DeemedDashboard[[#This Row],[TGRows]],DeemedDashboard[[#This Row],[TGRows]]+1)</f>
        <v>3</v>
      </c>
      <c r="DA82" s="391" t="str">
        <f>IF(ISBLANK(DeemedDashboard[[#This Row],[MeasAppType]]),"",IF(DeemedDashboard[[#This Row],[Index]]=User_Specified_Refrigerant[[#This Row],[Index]],"OK","ERROR"))</f>
        <v/>
      </c>
    </row>
    <row r="83" spans="1:105" s="320" customFormat="1" x14ac:dyDescent="0.25">
      <c r="A83" s="297">
        <f>ROW(DeemedDashboard[[#This Row],[Index]])-ROW(DeemedDashboard[[#Headers],[Index]])</f>
        <v>74</v>
      </c>
      <c r="B83" s="298"/>
      <c r="C83" s="321"/>
      <c r="D83" s="403"/>
      <c r="E83" s="403"/>
      <c r="F83" s="403"/>
      <c r="G83" s="403"/>
      <c r="H83" s="366"/>
      <c r="I83" s="339"/>
      <c r="J83" s="339"/>
      <c r="K83" s="339"/>
      <c r="L83" s="322"/>
      <c r="M83" s="322"/>
      <c r="N83" s="322"/>
      <c r="O8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3" s="582" t="str" cm="1">
        <f t="array" ref="R83">IFERROR(IF(DeemedDashboard[[#This Row],[Msr device type]]=const_device_nonrefrig,0,INDEX(_xlfn.SWITCH($E$4,const_20_yr,GWP_Values_20_year_AR4,const_100_yr,GWP_Values_100_year_AR4),MATCH(DeemedDashboard[[#This Row],[Msr refrigerant Type]],RefrigDropdownList,0))),"")</f>
        <v/>
      </c>
      <c r="S83" s="582" t="str" cm="1">
        <f t="array" ref="S83">IFERROR(IF(DeemedDashboard[[#This Row],[Std device type]]=const_device_nonrefrig,0,INDEX(_xlfn.SWITCH($E$4,const_20_yr,GWP_Values_20_year_AR4,const_100_yr,GWP_Values_100_year_AR4),MATCH(DeemedDashboard[[#This Row],[Std refrigerant Type]],RefrigDropdownList,0))),"")</f>
        <v/>
      </c>
      <c r="T83" s="582" t="str" cm="1">
        <f t="array" ref="T83">IFERROR(IF(DeemedDashboard[[#This Row],[Pre/Ext device type]]=const_device_nonrefrig,0,INDEX(_xlfn.SWITCH($E$4,const_20_yr,GWP_Values_20_year_AR4,const_100_yr,GWP_Values_100_year_AR4),MATCH(DeemedDashboard[[#This Row],[Pre/Ext refrigerant Type]],RefrigDropdownList,0))),"")</f>
        <v/>
      </c>
      <c r="U8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3" s="326" t="str">
        <f>IFERROR(IF(DeemedDashboard[[#This Row],[Msr device type]]=const_userspec,IF(ISBLANK(User_Specified_Refrigerant[[#This Row],[Msr t_EOL]]),"",User_Specified_Refrigerant[[#This Row],[Msr t_EOL]]),INDEX(TechGroup_NormUnit_Table[t_EOL],MATCH(DeemedDashboard[[#This Row],[Msr device type]],DropdownRefrigTech,0))),"")</f>
        <v/>
      </c>
      <c r="AB83" s="326" t="str">
        <f>IFERROR(IF(DeemedDashboard[[#This Row],[Std device type]]=const_userspec,IF(ISBLANK(User_Specified_Refrigerant[[#This Row],[Std t_EOL]]),"",User_Specified_Refrigerant[[#This Row],[Std t_EOL]]),INDEX(TechGroup_NormUnit_Table[t_EOL],MATCH(DeemedDashboard[[#This Row],[Std device type]],DropdownRefrigTech,0))),"")</f>
        <v/>
      </c>
      <c r="AC8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3" s="395" t="str">
        <f>IF(ISBLANK(DeemedDashboard[[#This Row],[MeasAppType]]),"",$E$2)</f>
        <v/>
      </c>
      <c r="AE83" s="395" t="str">
        <f>IFERROR(IF(ISBLANK(DeemedDashboard[[#This Row],[MeasAppType]]),NA(),DeemedDashboard[[#This Row],[Measure Start Year]]+DeemedDashboard[[#This Row],[Msr EUL rounded]]-1),"")</f>
        <v/>
      </c>
      <c r="AF83" s="323" t="str">
        <f>IF(ISBLANK(DeemedDashboard[[#This Row],[Measure New Device EUL]]),"",ROUND(DeemedDashboard[[#This Row],[Measure New Device EUL]],0))</f>
        <v/>
      </c>
      <c r="AG83" s="323" t="str">
        <f>IF(ISBLANK(DeemedDashboard[[#This Row],[Counterfactual New Device EUL]]),"",ROUND(DeemedDashboard[[#This Row],[Counterfactual New Device EUL]],0))</f>
        <v/>
      </c>
      <c r="AH83" s="323" t="str">
        <f>IF(ISBLANK(DeemedDashboard[[#This Row],[Existing Device EUL]]),"",ROUND(DeemedDashboard[[#This Row],[Existing Device EUL]],0))</f>
        <v/>
      </c>
      <c r="AI83" s="323" t="str">
        <f>IF(ISBLANK(DeemedDashboard[[#This Row],[Existing Device RUL or AR First Baseline Life]]),"",ROUND(DeemedDashboard[[#This Row],[Existing Device RUL or AR First Baseline Life]],0))</f>
        <v/>
      </c>
      <c r="AJ83" s="327" t="str">
        <f>DeemedDashboard[[#This Row],[Measure Start Year]]</f>
        <v/>
      </c>
      <c r="AK83" s="327" t="str">
        <f>IF(DeemedDashboard[[#This Row],[MeasAppType]]&lt;&gt;const_AR,DeemedDashboard[[#This Row],[Measure Start Year]],DeemedDashboard[[#This Row],[Ext Device Retire-ment Year]]+1)</f>
        <v/>
      </c>
      <c r="AL83" s="327" t="str">
        <f>IFERROR(IF(DeemedDashboard[[#This Row],[MeasAppType]]=const_AR,DeemedDashboard[[#This Row],[Measure Start Year]]-(DeemedDashboard[[#This Row],[Existing Device EUL]]-DeemedDashboard[[#This Row],[Existing Device RUL or AR First Baseline Life]]),NA()),"")</f>
        <v/>
      </c>
      <c r="AM83" s="327" t="str">
        <f>DeemedDashboard[[#This Row],[Pre Device Install Year]]</f>
        <v/>
      </c>
      <c r="AN83" s="327" t="str">
        <f>IFERROR(IF(ISBLANK(DeemedDashboard[[#This Row],[MeasAppType]]),NA(),DeemedDashboard[[#This Row],[Measure Start Year]]+DeemedDashboard[[#This Row],[Msr EUL rounded]]-1),"")</f>
        <v/>
      </c>
      <c r="AO83" s="327" t="str">
        <f>IFERROR(DeemedDashboard[[#This Row],[Std Device Install Year]]+DeemedDashboard[[#This Row],[Counterfactual New Device EUL]]-1,"")</f>
        <v/>
      </c>
      <c r="AP83" s="327" t="str">
        <f>IFERROR(IF(AND(DeemedDashboard[[#This Row],[MeasAppType]]=const_AR,DeemedDashboard[[#This Row],[Measure Start Year]]&lt;(DeemedDashboard[[#This Row],[Pre Device Install Year]]+DeemedDashboard[[#This Row],[Existing Device EUL]]-1)),DeemedDashboard[[#This Row],[Measure Start Year]]-1,NA()),"")</f>
        <v/>
      </c>
      <c r="AQ83" s="327" t="str">
        <f>IFERROR(IF(DeemedDashboard[[#This Row],[MeasAppType]]=const_AR,DeemedDashboard[[#This Row],[Ext Device Install Year]]+DeemedDashboard[[#This Row],[Existing Device EUL]]-1,NA()),"")</f>
        <v/>
      </c>
      <c r="AR83" s="327" t="str">
        <f>IFERROR(IF(ISBLANK(DeemedDashboard[[#This Row],[MeasAppType]]),NA(),0),"")</f>
        <v/>
      </c>
      <c r="AS83" s="327" t="str">
        <f>IFERROR(IF(ISBLANK(DeemedDashboard[[#This Row],[MeasAppType]]),NA(),0),"")</f>
        <v/>
      </c>
      <c r="AT83" s="327" t="str">
        <f>IF(ISBLANK(DeemedDashboard[[#This Row],[MeasAppType]]),"",IF(DeemedDashboard[[#This Row],[MeasAppType]]&lt;&gt;const_AR,"",(DeemedDashboard[[#This Row],[Pre Device Install Year]]+DeemedDashboard[[#This Row],[Existing Device EUL]]-1)-DeemedDashboard[[#This Row],[Pre Device Retire-ment Year]]))</f>
        <v/>
      </c>
      <c r="AU83" s="327" t="str">
        <f>IF(ISBLANK(DeemedDashboard[[#This Row],[MeasAppType]]),"",IF(DeemedDashboard[[#This Row],[MeasAppType]]=const_AR,0,""))</f>
        <v/>
      </c>
      <c r="AV83" s="328" t="str">
        <f>IF(ISBLANK(DeemedDashboard[[#This Row],[MeasAppType]]),"",MAX((1+MIN(DeemedDashboard[[#This Row],[Msr Device Retire-ment Year]],DeemedDashboard[[#This Row],[Measure End 
Year]])-MAX(DeemedDashboard[[#This Row],[Msr Device Install Year]],DeemedDashboard[[#This Row],[Measure Start Year]])),0))</f>
        <v/>
      </c>
      <c r="AW83" s="328" t="str">
        <f>IF(ISBLANK(DeemedDashboard[[#This Row],[MeasAppType]]),"",MAX((1+MIN(DeemedDashboard[[#This Row],[Std Device Retire-ment Year]],DeemedDashboard[[#This Row],[Measure End 
Year]])-MAX(DeemedDashboard[[#This Row],[Std Device Install Year]],DeemedDashboard[[#This Row],[Measure Start Year]])),0))</f>
        <v/>
      </c>
      <c r="AX8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3" s="329" t="str">
        <f>IF(ISBLANK(DeemedDashboard[[#This Row],[MeasAppType]]),"",IF(DeemedDashboard[[#This Row],[Msr Device Years Over-lapping with Measure Years]]=0,0,DeemedDashboard[[#This Row],[Msr Device Years Over-lapping with Measure Years]]/DeemedDashboard[[#This Row],[Msr EUL rounded]]))</f>
        <v/>
      </c>
      <c r="BA83" s="329" t="str">
        <f>IF(ISBLANK(DeemedDashboard[[#This Row],[MeasAppType]]),"",IF(DeemedDashboard[[#This Row],[Std Device Years Over-lapping with Measure Years]]=0,0,DeemedDashboard[[#This Row],[Std Device Years Over-lapping with Measure Years]]/DeemedDashboard[[#This Row],[Counterfactual New Device EUL]]))</f>
        <v/>
      </c>
      <c r="BB83" s="329" t="str">
        <f>IF(ISBLANK(DeemedDashboard[[#This Row],[MeasAppType]]),"",IFERROR(IF(DeemedDashboard[[#This Row],[Pre Device Years Over-lapping with Measure Years]]=0,0,DeemedDashboard[[#This Row],[Pre Device Years Over-lapping with Measure Years]]/DeemedDashboard[[#This Row],[Existing Device EUL]]),""))</f>
        <v/>
      </c>
      <c r="BC83" s="329" t="str">
        <f>IFERROR(IF(DeemedDashboard[[#This Row],[Ext Device Years Over-lapping with Measure Years]]=0,0,DeemedDashboard[[#This Row],[Ext Device Years Over-lapping with Measure Years]]/DeemedDashboard[[#This Row],[Existing Device EUL]]),"")</f>
        <v/>
      </c>
      <c r="BD83" s="329" t="str">
        <f>IFERROR(IF(DeemedDashboard[[#This Row],[Msr Number of Years device retired early]]=0,0,DeemedDashboard[[#This Row],[Msr Number of Years device retired early]]/DeemedDashboard[[#This Row],[Msr EUL rounded]]),"")</f>
        <v/>
      </c>
      <c r="BE83" s="329" t="str">
        <f>IFERROR(IF(DeemedDashboard[[#This Row],[Std Number of Years device retired early]]=0,0,DeemedDashboard[[#This Row],[Std Number of Years device retired early]]/DeemedDashboard[[#This Row],[Msr EUL rounded]]),"")</f>
        <v/>
      </c>
      <c r="BF83" s="329" t="str">
        <f>IFERROR(IF(DeemedDashboard[[#This Row],[MeasAppType]]&lt;&gt;const_AR,"",IF(DeemedDashboard[[#This Row],[Pre Number of Years device retired early]]=0,0,DeemedDashboard[[#This Row],[Pre Number of Years device retired early]]/DeemedDashboard[[#This Row],[Existing Device EUL]])),"")</f>
        <v/>
      </c>
      <c r="BG83" s="329" t="str">
        <f>IFERROR(IF(DeemedDashboard[[#This Row],[Ext Number of Years device retired early]]=0,0,DeemedDashboard[[#This Row],[Ext Number of Years device retired early]]/DeemedDashboard[[#This Row],[Existing Device EUL]]),"")</f>
        <v/>
      </c>
      <c r="BH83" s="325" t="str">
        <f>IFERROR(1-DeemedDashboard[[#This Row],[Msr annual refrigerant leakage %]]*DeemedDashboard[[#This Row],[Msr t_EOL]],"")</f>
        <v/>
      </c>
      <c r="BI83" s="325" t="str">
        <f>IFERROR(1-DeemedDashboard[[#This Row],[Std annual refrigerant leakage %]]*DeemedDashboard[[#This Row],[Std t_EOL]],"")</f>
        <v/>
      </c>
      <c r="BJ83" s="325" t="str">
        <f>IFERROR(1-DeemedDashboard[[#This Row],[Pre/Ext annual refrigerant leakage %]]*DeemedDashboard[[#This Row],[Pre/Ext t_EOL]],"")</f>
        <v/>
      </c>
      <c r="BK83" s="325" t="str">
        <f>IFERROR(1-DeemedDashboard[[#This Row],[Pre/Ext annual refrigerant leakage %]]*DeemedDashboard[[#This Row],[Pre/Ext t_EOL]],"")</f>
        <v/>
      </c>
      <c r="BL83" s="325" t="str">
        <f>IFERROR(DeemedDashboard[[#This Row],[Msr charging remaining (%)]]*DeemedDashboard[[#This Row],[Msr gross EOL refrigerant leakage %]],"")</f>
        <v/>
      </c>
      <c r="BM83" s="325" t="str">
        <f>IFERROR(DeemedDashboard[[#This Row],[Std charging remaining (%)]]*DeemedDashboard[[#This Row],[Std gross EOL refrigerant leakage %]],"")</f>
        <v/>
      </c>
      <c r="BN83" s="325" t="str">
        <f>IFERROR(DeemedDashboard[[#This Row],[Pre charging remaining (%)]]*DeemedDashboard[[#This Row],[Pre/Ext gross EOL refrigerant leakage %]],"")</f>
        <v/>
      </c>
      <c r="BO83" s="325" t="str">
        <f>IFERROR(DeemedDashboard[[#This Row],[Ext charging remaining (%)]]*DeemedDashboard[[#This Row],[Pre/Ext gross EOL refrigerant leakage %]],"")</f>
        <v/>
      </c>
      <c r="BP83" s="330" t="str">
        <f>IFERROR((DeemedDashboard[[#This Row],[Msr refrigerant charge (lb) per NormUnit]]/pounds_per_metric_ton)*DeemedDashboard[[#This Row],[Msr annual refrigerant leakage %]]*DeemedDashboard[[#This Row],[Msr GWP]],"")</f>
        <v/>
      </c>
      <c r="BQ83" s="330" t="str">
        <f>IFERROR((DeemedDashboard[[#This Row],[Std refrigerant charge (lb) per NormUnit]]/pounds_per_metric_ton)*DeemedDashboard[[#This Row],[Std annual refrigerant leakage %]]*DeemedDashboard[[#This Row],[Std GWP]],"")</f>
        <v/>
      </c>
      <c r="BR83" s="330" t="str">
        <f>IF(DeemedDashboard[[#This Row],[MeasAppType]]=const_AR,(DeemedDashboard[[#This Row],[Pre/Ext refrigerant charge (lb) per NormUnit]]/pounds_per_metric_ton)*DeemedDashboard[[#This Row],[Pre/Ext annual refrigerant leakage %]]*DeemedDashboard[[#This Row],[Pre/Ext GWP]],"")</f>
        <v/>
      </c>
      <c r="BS83" s="330" t="str">
        <f>IF(DeemedDashboard[[#This Row],[MeasAppType]]=const_AR,(DeemedDashboard[[#This Row],[Pre/Ext refrigerant charge (lb) per NormUnit]]/pounds_per_metric_ton)*DeemedDashboard[[#This Row],[Pre/Ext annual refrigerant leakage %]]*DeemedDashboard[[#This Row],[Pre/Ext GWP]],"")</f>
        <v/>
      </c>
      <c r="BT83" s="330" t="str">
        <f>IFERROR((DeemedDashboard[[#This Row],[Msr refrigerant charge (lb) per NormUnit]]/pounds_per_metric_ton)*DeemedDashboard[[#This Row],[Msr net EOL refrigerant leakage (%)]]*DeemedDashboard[[#This Row],[Msr GWP]],"")</f>
        <v/>
      </c>
      <c r="BU83" s="330" t="str">
        <f>IFERROR((DeemedDashboard[[#This Row],[Std refrigerant charge (lb) per NormUnit]]/pounds_per_metric_ton)*DeemedDashboard[[#This Row],[Std net EOL refrigerant leakage (%)]]*DeemedDashboard[[#This Row],[Std GWP]],"")</f>
        <v/>
      </c>
      <c r="BV83" s="330" t="str">
        <f>IFERROR((DeemedDashboard[[#This Row],[Pre/Ext refrigerant charge (lb) per NormUnit]]/pounds_per_metric_ton)*DeemedDashboard[[#This Row],[Pre net EOL refrigerant leakage (%)]]*DeemedDashboard[[#This Row],[Pre/Ext GWP]],"")</f>
        <v/>
      </c>
      <c r="BW83" s="330" t="str">
        <f>IFERROR((DeemedDashboard[[#This Row],[Pre/Ext refrigerant charge (lb) per NormUnit]]/pounds_per_metric_ton)*DeemedDashboard[[#This Row],[Ext net EOL refrigerant leakage (%)]]*DeemedDashboard[[#This Row],[Pre/Ext GWP]],"")</f>
        <v/>
      </c>
      <c r="BX83" s="299" t="str" cm="1">
        <f t="array" aca="1" ref="BX8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3" s="305" t="str" cm="1">
        <f t="array" aca="1" ref="BY8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3" s="299" t="str">
        <f>IFERROR(IF(OR(DeemedDashboard[[#This Row],[MeasAppType]]&lt;&gt;const_AR,ISBLANK(DeemedDashboard[[#This Row],[MeasAppType]])),NA(),0),"")</f>
        <v/>
      </c>
      <c r="CA83" s="305" t="str" cm="1">
        <f t="array" aca="1" ref="CA8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3" s="299" t="str">
        <f ca="1">IFERROR((DeemedDashboard[[#This Row],[Msr EOL leakage tons CO2e]]*OFFSET(GHG_Adder_dollar_per_tonne,0,(DeemedDashboard[[#This Row],[Msr Device Retire-ment Year]]-DY+1),1,1))/(1+WACC)^(DeemedDashboard[[#This Row],[Msr Device Retire-ment Year]]-DeemedDashboard[[#This Row],[Measure Start Year]]+0.5),"")</f>
        <v/>
      </c>
      <c r="CC83" s="299" t="str">
        <f ca="1">IFERROR((DeemedDashboard[[#This Row],[Std EOL leakage tons CO2e]]*OFFSET(GHG_Adder_dollar_per_tonne,0,(DeemedDashboard[[#This Row],[Std Device Retire-ment Year]]-DY+1),1,1))/(1+WACC)^(DeemedDashboard[[#This Row],[Std Device Retire-ment Year]]-DeemedDashboard[[#This Row],[Measure Start Year]]+0.5),"")</f>
        <v/>
      </c>
      <c r="CD83" s="299" t="str">
        <f ca="1">IFERROR((DeemedDashboard[[#This Row],[Pre EOL leakage tons CO2e]]*OFFSET(GHG_Adder_dollar_per_tonne,0,(DeemedDashboard[[#This Row],[Measure Start Year]]-DY),1,1))/(1+WACC)^(-0.5),"")</f>
        <v/>
      </c>
      <c r="CE8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3" s="299" t="str">
        <f ca="1">IFERROR(DeemedDashboard[[#This Row],[Msr NPV Cost of Annual Leakage]]/(1+ACC_Inflation_Rate)^(DeemedDashboard[[#This Row],[Measure Start Year]]-DY),"")</f>
        <v/>
      </c>
      <c r="CG83" s="299" t="str">
        <f ca="1">IFERROR(DeemedDashboard[[#This Row],[Std NPV Cost of Annual Leakage]]/(1+ACC_Inflation_Rate)^(DeemedDashboard[[#This Row],[Measure Start Year]]-DY),"")</f>
        <v/>
      </c>
      <c r="CH83" s="299" t="str">
        <f>IFERROR(IF(ISBLANK(DeemedDashboard[[#This Row],[MeasAppType]]),NA(),IF(DeemedDashboard[[#This Row],[MeasAppType]]=const_AR,DeemedDashboard[[#This Row],[Pre NPV Cost of Annual Leakage]]/(1+ACC_Inflation_Rate)^(DeemedDashboard[[#This Row],[Measure Start Year]]-DY),"")),"")</f>
        <v/>
      </c>
      <c r="CI83" s="296" t="str">
        <f>IFERROR(IF(ISBLANK(DeemedDashboard[[#This Row],[MeasAppType]]),NA(),IF(DeemedDashboard[[#This Row],[MeasAppType]]=const_AR,DeemedDashboard[[#This Row],[Ext NPV Cost of Annual Leakage]]/(1+ACC_Inflation_Rate)^(DeemedDashboard[[#This Row],[Measure Start Year]]-DY),"")),"")</f>
        <v/>
      </c>
      <c r="CJ83" s="296" t="str">
        <f ca="1">IFERROR((DeemedDashboard[[#This Row],[Msr % of device lifetime during measure years]]+DeemedDashboard[[#This Row],[Msr % of device lifetime retired early]])*DeemedDashboard[[#This Row],[Msr NPV Cost of EOL Leakage]]/(1+ACC_Inflation_Rate)^(DeemedDashboard[[#This Row],[Measure Start Year]]-DY),"")</f>
        <v/>
      </c>
      <c r="CK83" s="296" t="str">
        <f ca="1">IFERROR((DeemedDashboard[[#This Row],[Std % of device lifetime during measure years]]+DeemedDashboard[[#This Row],[Std % of device lifetime retired early]])*DeemedDashboard[[#This Row],[Std NPV Cost of EOL Leakage]]/(1+ACC_Inflation_Rate)^(DeemedDashboard[[#This Row],[Measure Start Year]]-DY),"")</f>
        <v/>
      </c>
      <c r="CL8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3" s="299" t="str">
        <f ca="1">IFERROR(DeemedDashboard[[#This Row],[Counter-factual total 
NPV cost]]-DeemedDashboard[[#This Row],[Measure total 
NPV cost]],"")</f>
        <v/>
      </c>
      <c r="CQ83" s="299" t="str">
        <f>IF(ISBLANK(DeemedDashboard[[#This Row],[MeasAppType]]),"",DeemedDashboard[[#This Row],[Refrigerant
NPV costs
avoided]]&gt;0)</f>
        <v/>
      </c>
      <c r="CR83" s="299" t="str">
        <f ca="1">IFERROR(DeemedDashboard[[#This Row],[Msr Adj NPV Cost of Annual Leakage]]+DeemedDashboard[[#This Row],[Msr Adj NPV Cost of EOL Leakage]],"")</f>
        <v/>
      </c>
      <c r="CS83" s="299" t="str">
        <f ca="1">IFERROR(DeemedDashboard[[#This Row],[Std Adj NPV Cost of Annual Leakage]]+DeemedDashboard[[#This Row],[Std Adj NPV Cost of EOL Leakage]],"")</f>
        <v/>
      </c>
      <c r="CT83" s="299" t="str">
        <f>IFERROR(IF((DeemedDashboard[[#This Row],[Pre Adj NPV Cost of Annual Leakage]]+DeemedDashboard[[#This Row],[Pre Adj NPV Cost of EOL Leakage]])=0,"",DeemedDashboard[[#This Row],[Pre Adj NPV Cost of Annual Leakage]]+DeemedDashboard[[#This Row],[Pre Adj NPV Cost of EOL Leakage]]),"")</f>
        <v/>
      </c>
      <c r="CU83" s="299" t="str">
        <f>IFERROR(IF((DeemedDashboard[[#This Row],[Ext Adj NPV Cost of Annual Leakage]]+DeemedDashboard[[#This Row],[Ext Adj NPV Cost of EOL Leakage]])=0,"",DeemedDashboard[[#This Row],[Ext Adj NPV Cost of Annual Leakage]]+DeemedDashboard[[#This Row],[Ext Adj NPV Cost of EOL Leakage]]),"")</f>
        <v/>
      </c>
      <c r="CV83" s="299" t="str">
        <f>IFERROR(IF(DeemedDashboard[[#This Row],[Is Avoided Net Cost &gt;0?]],"",-DeemedDashboard[[#This Row],[Refrigerant
NPV costs
avoided]]),"")</f>
        <v/>
      </c>
      <c r="CW83" s="299" t="str">
        <f>IFERROR(IF(DeemedDashboard[[#This Row],[Is Avoided Net Cost &gt;0?]],DeemedDashboard[[#This Row],[Refrigerant
NPV costs
avoided]],""),"")</f>
        <v/>
      </c>
      <c r="CX83" s="391">
        <f ca="1">IFERROR(MATCH(DeemedDashboard[[#This Row],[TechGroup and NormUnit]],TechGroup_and_NormUnit,0),1)</f>
        <v>1</v>
      </c>
      <c r="CY83" s="391" cm="1">
        <f t="array" aca="1" ref="CY83" ca="1">IFERROR(INDEX(TGRows,DeemedDashboard[[#This Row],[TGIndex]]),"")</f>
        <v>2</v>
      </c>
      <c r="CZ83" s="391">
        <f ca="1">IF(DeemedDashboard[[#This Row],[MeasAppType]]=const_AR,DeemedDashboard[[#This Row],[TGRows]],DeemedDashboard[[#This Row],[TGRows]]+1)</f>
        <v>3</v>
      </c>
      <c r="DA83" s="391" t="str">
        <f>IF(ISBLANK(DeemedDashboard[[#This Row],[MeasAppType]]),"",IF(DeemedDashboard[[#This Row],[Index]]=User_Specified_Refrigerant[[#This Row],[Index]],"OK","ERROR"))</f>
        <v/>
      </c>
    </row>
    <row r="84" spans="1:105" s="320" customFormat="1" x14ac:dyDescent="0.25">
      <c r="A84" s="297">
        <f>ROW(DeemedDashboard[[#This Row],[Index]])-ROW(DeemedDashboard[[#Headers],[Index]])</f>
        <v>75</v>
      </c>
      <c r="B84" s="298"/>
      <c r="C84" s="321"/>
      <c r="D84" s="403"/>
      <c r="E84" s="403"/>
      <c r="F84" s="403"/>
      <c r="G84" s="403"/>
      <c r="H84" s="366"/>
      <c r="I84" s="339"/>
      <c r="J84" s="339"/>
      <c r="K84" s="339"/>
      <c r="L84" s="322"/>
      <c r="M84" s="322"/>
      <c r="N84" s="322"/>
      <c r="O8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4" s="582" t="str" cm="1">
        <f t="array" ref="R84">IFERROR(IF(DeemedDashboard[[#This Row],[Msr device type]]=const_device_nonrefrig,0,INDEX(_xlfn.SWITCH($E$4,const_20_yr,GWP_Values_20_year_AR4,const_100_yr,GWP_Values_100_year_AR4),MATCH(DeemedDashboard[[#This Row],[Msr refrigerant Type]],RefrigDropdownList,0))),"")</f>
        <v/>
      </c>
      <c r="S84" s="582" t="str" cm="1">
        <f t="array" ref="S84">IFERROR(IF(DeemedDashboard[[#This Row],[Std device type]]=const_device_nonrefrig,0,INDEX(_xlfn.SWITCH($E$4,const_20_yr,GWP_Values_20_year_AR4,const_100_yr,GWP_Values_100_year_AR4),MATCH(DeemedDashboard[[#This Row],[Std refrigerant Type]],RefrigDropdownList,0))),"")</f>
        <v/>
      </c>
      <c r="T84" s="582" t="str" cm="1">
        <f t="array" ref="T84">IFERROR(IF(DeemedDashboard[[#This Row],[Pre/Ext device type]]=const_device_nonrefrig,0,INDEX(_xlfn.SWITCH($E$4,const_20_yr,GWP_Values_20_year_AR4,const_100_yr,GWP_Values_100_year_AR4),MATCH(DeemedDashboard[[#This Row],[Pre/Ext refrigerant Type]],RefrigDropdownList,0))),"")</f>
        <v/>
      </c>
      <c r="U8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4" s="326" t="str">
        <f>IFERROR(IF(DeemedDashboard[[#This Row],[Msr device type]]=const_userspec,IF(ISBLANK(User_Specified_Refrigerant[[#This Row],[Msr t_EOL]]),"",User_Specified_Refrigerant[[#This Row],[Msr t_EOL]]),INDEX(TechGroup_NormUnit_Table[t_EOL],MATCH(DeemedDashboard[[#This Row],[Msr device type]],DropdownRefrigTech,0))),"")</f>
        <v/>
      </c>
      <c r="AB84" s="326" t="str">
        <f>IFERROR(IF(DeemedDashboard[[#This Row],[Std device type]]=const_userspec,IF(ISBLANK(User_Specified_Refrigerant[[#This Row],[Std t_EOL]]),"",User_Specified_Refrigerant[[#This Row],[Std t_EOL]]),INDEX(TechGroup_NormUnit_Table[t_EOL],MATCH(DeemedDashboard[[#This Row],[Std device type]],DropdownRefrigTech,0))),"")</f>
        <v/>
      </c>
      <c r="AC8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4" s="395" t="str">
        <f>IF(ISBLANK(DeemedDashboard[[#This Row],[MeasAppType]]),"",$E$2)</f>
        <v/>
      </c>
      <c r="AE84" s="395" t="str">
        <f>IFERROR(IF(ISBLANK(DeemedDashboard[[#This Row],[MeasAppType]]),NA(),DeemedDashboard[[#This Row],[Measure Start Year]]+DeemedDashboard[[#This Row],[Msr EUL rounded]]-1),"")</f>
        <v/>
      </c>
      <c r="AF84" s="323" t="str">
        <f>IF(ISBLANK(DeemedDashboard[[#This Row],[Measure New Device EUL]]),"",ROUND(DeemedDashboard[[#This Row],[Measure New Device EUL]],0))</f>
        <v/>
      </c>
      <c r="AG84" s="323" t="str">
        <f>IF(ISBLANK(DeemedDashboard[[#This Row],[Counterfactual New Device EUL]]),"",ROUND(DeemedDashboard[[#This Row],[Counterfactual New Device EUL]],0))</f>
        <v/>
      </c>
      <c r="AH84" s="323" t="str">
        <f>IF(ISBLANK(DeemedDashboard[[#This Row],[Existing Device EUL]]),"",ROUND(DeemedDashboard[[#This Row],[Existing Device EUL]],0))</f>
        <v/>
      </c>
      <c r="AI84" s="323" t="str">
        <f>IF(ISBLANK(DeemedDashboard[[#This Row],[Existing Device RUL or AR First Baseline Life]]),"",ROUND(DeemedDashboard[[#This Row],[Existing Device RUL or AR First Baseline Life]],0))</f>
        <v/>
      </c>
      <c r="AJ84" s="327" t="str">
        <f>DeemedDashboard[[#This Row],[Measure Start Year]]</f>
        <v/>
      </c>
      <c r="AK84" s="327" t="str">
        <f>IF(DeemedDashboard[[#This Row],[MeasAppType]]&lt;&gt;const_AR,DeemedDashboard[[#This Row],[Measure Start Year]],DeemedDashboard[[#This Row],[Ext Device Retire-ment Year]]+1)</f>
        <v/>
      </c>
      <c r="AL84" s="327" t="str">
        <f>IFERROR(IF(DeemedDashboard[[#This Row],[MeasAppType]]=const_AR,DeemedDashboard[[#This Row],[Measure Start Year]]-(DeemedDashboard[[#This Row],[Existing Device EUL]]-DeemedDashboard[[#This Row],[Existing Device RUL or AR First Baseline Life]]),NA()),"")</f>
        <v/>
      </c>
      <c r="AM84" s="327" t="str">
        <f>DeemedDashboard[[#This Row],[Pre Device Install Year]]</f>
        <v/>
      </c>
      <c r="AN84" s="327" t="str">
        <f>IFERROR(IF(ISBLANK(DeemedDashboard[[#This Row],[MeasAppType]]),NA(),DeemedDashboard[[#This Row],[Measure Start Year]]+DeemedDashboard[[#This Row],[Msr EUL rounded]]-1),"")</f>
        <v/>
      </c>
      <c r="AO84" s="327" t="str">
        <f>IFERROR(DeemedDashboard[[#This Row],[Std Device Install Year]]+DeemedDashboard[[#This Row],[Counterfactual New Device EUL]]-1,"")</f>
        <v/>
      </c>
      <c r="AP84" s="327" t="str">
        <f>IFERROR(IF(AND(DeemedDashboard[[#This Row],[MeasAppType]]=const_AR,DeemedDashboard[[#This Row],[Measure Start Year]]&lt;(DeemedDashboard[[#This Row],[Pre Device Install Year]]+DeemedDashboard[[#This Row],[Existing Device EUL]]-1)),DeemedDashboard[[#This Row],[Measure Start Year]]-1,NA()),"")</f>
        <v/>
      </c>
      <c r="AQ84" s="327" t="str">
        <f>IFERROR(IF(DeemedDashboard[[#This Row],[MeasAppType]]=const_AR,DeemedDashboard[[#This Row],[Ext Device Install Year]]+DeemedDashboard[[#This Row],[Existing Device EUL]]-1,NA()),"")</f>
        <v/>
      </c>
      <c r="AR84" s="327" t="str">
        <f>IFERROR(IF(ISBLANK(DeemedDashboard[[#This Row],[MeasAppType]]),NA(),0),"")</f>
        <v/>
      </c>
      <c r="AS84" s="327" t="str">
        <f>IFERROR(IF(ISBLANK(DeemedDashboard[[#This Row],[MeasAppType]]),NA(),0),"")</f>
        <v/>
      </c>
      <c r="AT84" s="327" t="str">
        <f>IF(ISBLANK(DeemedDashboard[[#This Row],[MeasAppType]]),"",IF(DeemedDashboard[[#This Row],[MeasAppType]]&lt;&gt;const_AR,"",(DeemedDashboard[[#This Row],[Pre Device Install Year]]+DeemedDashboard[[#This Row],[Existing Device EUL]]-1)-DeemedDashboard[[#This Row],[Pre Device Retire-ment Year]]))</f>
        <v/>
      </c>
      <c r="AU84" s="327" t="str">
        <f>IF(ISBLANK(DeemedDashboard[[#This Row],[MeasAppType]]),"",IF(DeemedDashboard[[#This Row],[MeasAppType]]=const_AR,0,""))</f>
        <v/>
      </c>
      <c r="AV84" s="328" t="str">
        <f>IF(ISBLANK(DeemedDashboard[[#This Row],[MeasAppType]]),"",MAX((1+MIN(DeemedDashboard[[#This Row],[Msr Device Retire-ment Year]],DeemedDashboard[[#This Row],[Measure End 
Year]])-MAX(DeemedDashboard[[#This Row],[Msr Device Install Year]],DeemedDashboard[[#This Row],[Measure Start Year]])),0))</f>
        <v/>
      </c>
      <c r="AW84" s="328" t="str">
        <f>IF(ISBLANK(DeemedDashboard[[#This Row],[MeasAppType]]),"",MAX((1+MIN(DeemedDashboard[[#This Row],[Std Device Retire-ment Year]],DeemedDashboard[[#This Row],[Measure End 
Year]])-MAX(DeemedDashboard[[#This Row],[Std Device Install Year]],DeemedDashboard[[#This Row],[Measure Start Year]])),0))</f>
        <v/>
      </c>
      <c r="AX8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4" s="329" t="str">
        <f>IF(ISBLANK(DeemedDashboard[[#This Row],[MeasAppType]]),"",IF(DeemedDashboard[[#This Row],[Msr Device Years Over-lapping with Measure Years]]=0,0,DeemedDashboard[[#This Row],[Msr Device Years Over-lapping with Measure Years]]/DeemedDashboard[[#This Row],[Msr EUL rounded]]))</f>
        <v/>
      </c>
      <c r="BA84" s="329" t="str">
        <f>IF(ISBLANK(DeemedDashboard[[#This Row],[MeasAppType]]),"",IF(DeemedDashboard[[#This Row],[Std Device Years Over-lapping with Measure Years]]=0,0,DeemedDashboard[[#This Row],[Std Device Years Over-lapping with Measure Years]]/DeemedDashboard[[#This Row],[Counterfactual New Device EUL]]))</f>
        <v/>
      </c>
      <c r="BB84" s="329" t="str">
        <f>IF(ISBLANK(DeemedDashboard[[#This Row],[MeasAppType]]),"",IFERROR(IF(DeemedDashboard[[#This Row],[Pre Device Years Over-lapping with Measure Years]]=0,0,DeemedDashboard[[#This Row],[Pre Device Years Over-lapping with Measure Years]]/DeemedDashboard[[#This Row],[Existing Device EUL]]),""))</f>
        <v/>
      </c>
      <c r="BC84" s="329" t="str">
        <f>IFERROR(IF(DeemedDashboard[[#This Row],[Ext Device Years Over-lapping with Measure Years]]=0,0,DeemedDashboard[[#This Row],[Ext Device Years Over-lapping with Measure Years]]/DeemedDashboard[[#This Row],[Existing Device EUL]]),"")</f>
        <v/>
      </c>
      <c r="BD84" s="329" t="str">
        <f>IFERROR(IF(DeemedDashboard[[#This Row],[Msr Number of Years device retired early]]=0,0,DeemedDashboard[[#This Row],[Msr Number of Years device retired early]]/DeemedDashboard[[#This Row],[Msr EUL rounded]]),"")</f>
        <v/>
      </c>
      <c r="BE84" s="329" t="str">
        <f>IFERROR(IF(DeemedDashboard[[#This Row],[Std Number of Years device retired early]]=0,0,DeemedDashboard[[#This Row],[Std Number of Years device retired early]]/DeemedDashboard[[#This Row],[Msr EUL rounded]]),"")</f>
        <v/>
      </c>
      <c r="BF84" s="329" t="str">
        <f>IFERROR(IF(DeemedDashboard[[#This Row],[MeasAppType]]&lt;&gt;const_AR,"",IF(DeemedDashboard[[#This Row],[Pre Number of Years device retired early]]=0,0,DeemedDashboard[[#This Row],[Pre Number of Years device retired early]]/DeemedDashboard[[#This Row],[Existing Device EUL]])),"")</f>
        <v/>
      </c>
      <c r="BG84" s="329" t="str">
        <f>IFERROR(IF(DeemedDashboard[[#This Row],[Ext Number of Years device retired early]]=0,0,DeemedDashboard[[#This Row],[Ext Number of Years device retired early]]/DeemedDashboard[[#This Row],[Existing Device EUL]]),"")</f>
        <v/>
      </c>
      <c r="BH84" s="325" t="str">
        <f>IFERROR(1-DeemedDashboard[[#This Row],[Msr annual refrigerant leakage %]]*DeemedDashboard[[#This Row],[Msr t_EOL]],"")</f>
        <v/>
      </c>
      <c r="BI84" s="325" t="str">
        <f>IFERROR(1-DeemedDashboard[[#This Row],[Std annual refrigerant leakage %]]*DeemedDashboard[[#This Row],[Std t_EOL]],"")</f>
        <v/>
      </c>
      <c r="BJ84" s="325" t="str">
        <f>IFERROR(1-DeemedDashboard[[#This Row],[Pre/Ext annual refrigerant leakage %]]*DeemedDashboard[[#This Row],[Pre/Ext t_EOL]],"")</f>
        <v/>
      </c>
      <c r="BK84" s="325" t="str">
        <f>IFERROR(1-DeemedDashboard[[#This Row],[Pre/Ext annual refrigerant leakage %]]*DeemedDashboard[[#This Row],[Pre/Ext t_EOL]],"")</f>
        <v/>
      </c>
      <c r="BL84" s="325" t="str">
        <f>IFERROR(DeemedDashboard[[#This Row],[Msr charging remaining (%)]]*DeemedDashboard[[#This Row],[Msr gross EOL refrigerant leakage %]],"")</f>
        <v/>
      </c>
      <c r="BM84" s="325" t="str">
        <f>IFERROR(DeemedDashboard[[#This Row],[Std charging remaining (%)]]*DeemedDashboard[[#This Row],[Std gross EOL refrigerant leakage %]],"")</f>
        <v/>
      </c>
      <c r="BN84" s="325" t="str">
        <f>IFERROR(DeemedDashboard[[#This Row],[Pre charging remaining (%)]]*DeemedDashboard[[#This Row],[Pre/Ext gross EOL refrigerant leakage %]],"")</f>
        <v/>
      </c>
      <c r="BO84" s="325" t="str">
        <f>IFERROR(DeemedDashboard[[#This Row],[Ext charging remaining (%)]]*DeemedDashboard[[#This Row],[Pre/Ext gross EOL refrigerant leakage %]],"")</f>
        <v/>
      </c>
      <c r="BP84" s="330" t="str">
        <f>IFERROR((DeemedDashboard[[#This Row],[Msr refrigerant charge (lb) per NormUnit]]/pounds_per_metric_ton)*DeemedDashboard[[#This Row],[Msr annual refrigerant leakage %]]*DeemedDashboard[[#This Row],[Msr GWP]],"")</f>
        <v/>
      </c>
      <c r="BQ84" s="330" t="str">
        <f>IFERROR((DeemedDashboard[[#This Row],[Std refrigerant charge (lb) per NormUnit]]/pounds_per_metric_ton)*DeemedDashboard[[#This Row],[Std annual refrigerant leakage %]]*DeemedDashboard[[#This Row],[Std GWP]],"")</f>
        <v/>
      </c>
      <c r="BR84" s="330" t="str">
        <f>IF(DeemedDashboard[[#This Row],[MeasAppType]]=const_AR,(DeemedDashboard[[#This Row],[Pre/Ext refrigerant charge (lb) per NormUnit]]/pounds_per_metric_ton)*DeemedDashboard[[#This Row],[Pre/Ext annual refrigerant leakage %]]*DeemedDashboard[[#This Row],[Pre/Ext GWP]],"")</f>
        <v/>
      </c>
      <c r="BS84" s="330" t="str">
        <f>IF(DeemedDashboard[[#This Row],[MeasAppType]]=const_AR,(DeemedDashboard[[#This Row],[Pre/Ext refrigerant charge (lb) per NormUnit]]/pounds_per_metric_ton)*DeemedDashboard[[#This Row],[Pre/Ext annual refrigerant leakage %]]*DeemedDashboard[[#This Row],[Pre/Ext GWP]],"")</f>
        <v/>
      </c>
      <c r="BT84" s="330" t="str">
        <f>IFERROR((DeemedDashboard[[#This Row],[Msr refrigerant charge (lb) per NormUnit]]/pounds_per_metric_ton)*DeemedDashboard[[#This Row],[Msr net EOL refrigerant leakage (%)]]*DeemedDashboard[[#This Row],[Msr GWP]],"")</f>
        <v/>
      </c>
      <c r="BU84" s="330" t="str">
        <f>IFERROR((DeemedDashboard[[#This Row],[Std refrigerant charge (lb) per NormUnit]]/pounds_per_metric_ton)*DeemedDashboard[[#This Row],[Std net EOL refrigerant leakage (%)]]*DeemedDashboard[[#This Row],[Std GWP]],"")</f>
        <v/>
      </c>
      <c r="BV84" s="330" t="str">
        <f>IFERROR((DeemedDashboard[[#This Row],[Pre/Ext refrigerant charge (lb) per NormUnit]]/pounds_per_metric_ton)*DeemedDashboard[[#This Row],[Pre net EOL refrigerant leakage (%)]]*DeemedDashboard[[#This Row],[Pre/Ext GWP]],"")</f>
        <v/>
      </c>
      <c r="BW84" s="330" t="str">
        <f>IFERROR((DeemedDashboard[[#This Row],[Pre/Ext refrigerant charge (lb) per NormUnit]]/pounds_per_metric_ton)*DeemedDashboard[[#This Row],[Ext net EOL refrigerant leakage (%)]]*DeemedDashboard[[#This Row],[Pre/Ext GWP]],"")</f>
        <v/>
      </c>
      <c r="BX84" s="299" t="str" cm="1">
        <f t="array" aca="1" ref="BX8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4" s="305" t="str" cm="1">
        <f t="array" aca="1" ref="BY8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4" s="299" t="str">
        <f>IFERROR(IF(OR(DeemedDashboard[[#This Row],[MeasAppType]]&lt;&gt;const_AR,ISBLANK(DeemedDashboard[[#This Row],[MeasAppType]])),NA(),0),"")</f>
        <v/>
      </c>
      <c r="CA84" s="305" t="str" cm="1">
        <f t="array" aca="1" ref="CA8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4" s="299" t="str">
        <f ca="1">IFERROR((DeemedDashboard[[#This Row],[Msr EOL leakage tons CO2e]]*OFFSET(GHG_Adder_dollar_per_tonne,0,(DeemedDashboard[[#This Row],[Msr Device Retire-ment Year]]-DY+1),1,1))/(1+WACC)^(DeemedDashboard[[#This Row],[Msr Device Retire-ment Year]]-DeemedDashboard[[#This Row],[Measure Start Year]]+0.5),"")</f>
        <v/>
      </c>
      <c r="CC84" s="299" t="str">
        <f ca="1">IFERROR((DeemedDashboard[[#This Row],[Std EOL leakage tons CO2e]]*OFFSET(GHG_Adder_dollar_per_tonne,0,(DeemedDashboard[[#This Row],[Std Device Retire-ment Year]]-DY+1),1,1))/(1+WACC)^(DeemedDashboard[[#This Row],[Std Device Retire-ment Year]]-DeemedDashboard[[#This Row],[Measure Start Year]]+0.5),"")</f>
        <v/>
      </c>
      <c r="CD84" s="299" t="str">
        <f ca="1">IFERROR((DeemedDashboard[[#This Row],[Pre EOL leakage tons CO2e]]*OFFSET(GHG_Adder_dollar_per_tonne,0,(DeemedDashboard[[#This Row],[Measure Start Year]]-DY),1,1))/(1+WACC)^(-0.5),"")</f>
        <v/>
      </c>
      <c r="CE8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4" s="299" t="str">
        <f ca="1">IFERROR(DeemedDashboard[[#This Row],[Msr NPV Cost of Annual Leakage]]/(1+ACC_Inflation_Rate)^(DeemedDashboard[[#This Row],[Measure Start Year]]-DY),"")</f>
        <v/>
      </c>
      <c r="CG84" s="299" t="str">
        <f ca="1">IFERROR(DeemedDashboard[[#This Row],[Std NPV Cost of Annual Leakage]]/(1+ACC_Inflation_Rate)^(DeemedDashboard[[#This Row],[Measure Start Year]]-DY),"")</f>
        <v/>
      </c>
      <c r="CH84" s="299" t="str">
        <f>IFERROR(IF(ISBLANK(DeemedDashboard[[#This Row],[MeasAppType]]),NA(),IF(DeemedDashboard[[#This Row],[MeasAppType]]=const_AR,DeemedDashboard[[#This Row],[Pre NPV Cost of Annual Leakage]]/(1+ACC_Inflation_Rate)^(DeemedDashboard[[#This Row],[Measure Start Year]]-DY),"")),"")</f>
        <v/>
      </c>
      <c r="CI84" s="296" t="str">
        <f>IFERROR(IF(ISBLANK(DeemedDashboard[[#This Row],[MeasAppType]]),NA(),IF(DeemedDashboard[[#This Row],[MeasAppType]]=const_AR,DeemedDashboard[[#This Row],[Ext NPV Cost of Annual Leakage]]/(1+ACC_Inflation_Rate)^(DeemedDashboard[[#This Row],[Measure Start Year]]-DY),"")),"")</f>
        <v/>
      </c>
      <c r="CJ84" s="296" t="str">
        <f ca="1">IFERROR((DeemedDashboard[[#This Row],[Msr % of device lifetime during measure years]]+DeemedDashboard[[#This Row],[Msr % of device lifetime retired early]])*DeemedDashboard[[#This Row],[Msr NPV Cost of EOL Leakage]]/(1+ACC_Inflation_Rate)^(DeemedDashboard[[#This Row],[Measure Start Year]]-DY),"")</f>
        <v/>
      </c>
      <c r="CK84" s="296" t="str">
        <f ca="1">IFERROR((DeemedDashboard[[#This Row],[Std % of device lifetime during measure years]]+DeemedDashboard[[#This Row],[Std % of device lifetime retired early]])*DeemedDashboard[[#This Row],[Std NPV Cost of EOL Leakage]]/(1+ACC_Inflation_Rate)^(DeemedDashboard[[#This Row],[Measure Start Year]]-DY),"")</f>
        <v/>
      </c>
      <c r="CL8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4" s="299" t="str">
        <f ca="1">IFERROR(DeemedDashboard[[#This Row],[Counter-factual total 
NPV cost]]-DeemedDashboard[[#This Row],[Measure total 
NPV cost]],"")</f>
        <v/>
      </c>
      <c r="CQ84" s="299" t="str">
        <f>IF(ISBLANK(DeemedDashboard[[#This Row],[MeasAppType]]),"",DeemedDashboard[[#This Row],[Refrigerant
NPV costs
avoided]]&gt;0)</f>
        <v/>
      </c>
      <c r="CR84" s="299" t="str">
        <f ca="1">IFERROR(DeemedDashboard[[#This Row],[Msr Adj NPV Cost of Annual Leakage]]+DeemedDashboard[[#This Row],[Msr Adj NPV Cost of EOL Leakage]],"")</f>
        <v/>
      </c>
      <c r="CS84" s="299" t="str">
        <f ca="1">IFERROR(DeemedDashboard[[#This Row],[Std Adj NPV Cost of Annual Leakage]]+DeemedDashboard[[#This Row],[Std Adj NPV Cost of EOL Leakage]],"")</f>
        <v/>
      </c>
      <c r="CT84" s="299" t="str">
        <f>IFERROR(IF((DeemedDashboard[[#This Row],[Pre Adj NPV Cost of Annual Leakage]]+DeemedDashboard[[#This Row],[Pre Adj NPV Cost of EOL Leakage]])=0,"",DeemedDashboard[[#This Row],[Pre Adj NPV Cost of Annual Leakage]]+DeemedDashboard[[#This Row],[Pre Adj NPV Cost of EOL Leakage]]),"")</f>
        <v/>
      </c>
      <c r="CU84" s="299" t="str">
        <f>IFERROR(IF((DeemedDashboard[[#This Row],[Ext Adj NPV Cost of Annual Leakage]]+DeemedDashboard[[#This Row],[Ext Adj NPV Cost of EOL Leakage]])=0,"",DeemedDashboard[[#This Row],[Ext Adj NPV Cost of Annual Leakage]]+DeemedDashboard[[#This Row],[Ext Adj NPV Cost of EOL Leakage]]),"")</f>
        <v/>
      </c>
      <c r="CV84" s="299" t="str">
        <f>IFERROR(IF(DeemedDashboard[[#This Row],[Is Avoided Net Cost &gt;0?]],"",-DeemedDashboard[[#This Row],[Refrigerant
NPV costs
avoided]]),"")</f>
        <v/>
      </c>
      <c r="CW84" s="299" t="str">
        <f>IFERROR(IF(DeemedDashboard[[#This Row],[Is Avoided Net Cost &gt;0?]],DeemedDashboard[[#This Row],[Refrigerant
NPV costs
avoided]],""),"")</f>
        <v/>
      </c>
      <c r="CX84" s="391">
        <f ca="1">IFERROR(MATCH(DeemedDashboard[[#This Row],[TechGroup and NormUnit]],TechGroup_and_NormUnit,0),1)</f>
        <v>1</v>
      </c>
      <c r="CY84" s="391" cm="1">
        <f t="array" aca="1" ref="CY84" ca="1">IFERROR(INDEX(TGRows,DeemedDashboard[[#This Row],[TGIndex]]),"")</f>
        <v>2</v>
      </c>
      <c r="CZ84" s="391">
        <f ca="1">IF(DeemedDashboard[[#This Row],[MeasAppType]]=const_AR,DeemedDashboard[[#This Row],[TGRows]],DeemedDashboard[[#This Row],[TGRows]]+1)</f>
        <v>3</v>
      </c>
      <c r="DA84" s="391" t="str">
        <f>IF(ISBLANK(DeemedDashboard[[#This Row],[MeasAppType]]),"",IF(DeemedDashboard[[#This Row],[Index]]=User_Specified_Refrigerant[[#This Row],[Index]],"OK","ERROR"))</f>
        <v/>
      </c>
    </row>
    <row r="85" spans="1:105" s="320" customFormat="1" x14ac:dyDescent="0.25">
      <c r="A85" s="297">
        <f>ROW(DeemedDashboard[[#This Row],[Index]])-ROW(DeemedDashboard[[#Headers],[Index]])</f>
        <v>76</v>
      </c>
      <c r="B85" s="298"/>
      <c r="C85" s="321"/>
      <c r="D85" s="403"/>
      <c r="E85" s="403"/>
      <c r="F85" s="403"/>
      <c r="G85" s="403"/>
      <c r="H85" s="366"/>
      <c r="I85" s="339"/>
      <c r="J85" s="339"/>
      <c r="K85" s="339"/>
      <c r="L85" s="322"/>
      <c r="M85" s="322"/>
      <c r="N85" s="322"/>
      <c r="O8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5" s="582" t="str" cm="1">
        <f t="array" ref="R85">IFERROR(IF(DeemedDashboard[[#This Row],[Msr device type]]=const_device_nonrefrig,0,INDEX(_xlfn.SWITCH($E$4,const_20_yr,GWP_Values_20_year_AR4,const_100_yr,GWP_Values_100_year_AR4),MATCH(DeemedDashboard[[#This Row],[Msr refrigerant Type]],RefrigDropdownList,0))),"")</f>
        <v/>
      </c>
      <c r="S85" s="582" t="str" cm="1">
        <f t="array" ref="S85">IFERROR(IF(DeemedDashboard[[#This Row],[Std device type]]=const_device_nonrefrig,0,INDEX(_xlfn.SWITCH($E$4,const_20_yr,GWP_Values_20_year_AR4,const_100_yr,GWP_Values_100_year_AR4),MATCH(DeemedDashboard[[#This Row],[Std refrigerant Type]],RefrigDropdownList,0))),"")</f>
        <v/>
      </c>
      <c r="T85" s="582" t="str" cm="1">
        <f t="array" ref="T85">IFERROR(IF(DeemedDashboard[[#This Row],[Pre/Ext device type]]=const_device_nonrefrig,0,INDEX(_xlfn.SWITCH($E$4,const_20_yr,GWP_Values_20_year_AR4,const_100_yr,GWP_Values_100_year_AR4),MATCH(DeemedDashboard[[#This Row],[Pre/Ext refrigerant Type]],RefrigDropdownList,0))),"")</f>
        <v/>
      </c>
      <c r="U8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5" s="326" t="str">
        <f>IFERROR(IF(DeemedDashboard[[#This Row],[Msr device type]]=const_userspec,IF(ISBLANK(User_Specified_Refrigerant[[#This Row],[Msr t_EOL]]),"",User_Specified_Refrigerant[[#This Row],[Msr t_EOL]]),INDEX(TechGroup_NormUnit_Table[t_EOL],MATCH(DeemedDashboard[[#This Row],[Msr device type]],DropdownRefrigTech,0))),"")</f>
        <v/>
      </c>
      <c r="AB85" s="326" t="str">
        <f>IFERROR(IF(DeemedDashboard[[#This Row],[Std device type]]=const_userspec,IF(ISBLANK(User_Specified_Refrigerant[[#This Row],[Std t_EOL]]),"",User_Specified_Refrigerant[[#This Row],[Std t_EOL]]),INDEX(TechGroup_NormUnit_Table[t_EOL],MATCH(DeemedDashboard[[#This Row],[Std device type]],DropdownRefrigTech,0))),"")</f>
        <v/>
      </c>
      <c r="AC8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5" s="395" t="str">
        <f>IF(ISBLANK(DeemedDashboard[[#This Row],[MeasAppType]]),"",$E$2)</f>
        <v/>
      </c>
      <c r="AE85" s="395" t="str">
        <f>IFERROR(IF(ISBLANK(DeemedDashboard[[#This Row],[MeasAppType]]),NA(),DeemedDashboard[[#This Row],[Measure Start Year]]+DeemedDashboard[[#This Row],[Msr EUL rounded]]-1),"")</f>
        <v/>
      </c>
      <c r="AF85" s="323" t="str">
        <f>IF(ISBLANK(DeemedDashboard[[#This Row],[Measure New Device EUL]]),"",ROUND(DeemedDashboard[[#This Row],[Measure New Device EUL]],0))</f>
        <v/>
      </c>
      <c r="AG85" s="323" t="str">
        <f>IF(ISBLANK(DeemedDashboard[[#This Row],[Counterfactual New Device EUL]]),"",ROUND(DeemedDashboard[[#This Row],[Counterfactual New Device EUL]],0))</f>
        <v/>
      </c>
      <c r="AH85" s="323" t="str">
        <f>IF(ISBLANK(DeemedDashboard[[#This Row],[Existing Device EUL]]),"",ROUND(DeemedDashboard[[#This Row],[Existing Device EUL]],0))</f>
        <v/>
      </c>
      <c r="AI85" s="323" t="str">
        <f>IF(ISBLANK(DeemedDashboard[[#This Row],[Existing Device RUL or AR First Baseline Life]]),"",ROUND(DeemedDashboard[[#This Row],[Existing Device RUL or AR First Baseline Life]],0))</f>
        <v/>
      </c>
      <c r="AJ85" s="327" t="str">
        <f>DeemedDashboard[[#This Row],[Measure Start Year]]</f>
        <v/>
      </c>
      <c r="AK85" s="327" t="str">
        <f>IF(DeemedDashboard[[#This Row],[MeasAppType]]&lt;&gt;const_AR,DeemedDashboard[[#This Row],[Measure Start Year]],DeemedDashboard[[#This Row],[Ext Device Retire-ment Year]]+1)</f>
        <v/>
      </c>
      <c r="AL85" s="327" t="str">
        <f>IFERROR(IF(DeemedDashboard[[#This Row],[MeasAppType]]=const_AR,DeemedDashboard[[#This Row],[Measure Start Year]]-(DeemedDashboard[[#This Row],[Existing Device EUL]]-DeemedDashboard[[#This Row],[Existing Device RUL or AR First Baseline Life]]),NA()),"")</f>
        <v/>
      </c>
      <c r="AM85" s="327" t="str">
        <f>DeemedDashboard[[#This Row],[Pre Device Install Year]]</f>
        <v/>
      </c>
      <c r="AN85" s="327" t="str">
        <f>IFERROR(IF(ISBLANK(DeemedDashboard[[#This Row],[MeasAppType]]),NA(),DeemedDashboard[[#This Row],[Measure Start Year]]+DeemedDashboard[[#This Row],[Msr EUL rounded]]-1),"")</f>
        <v/>
      </c>
      <c r="AO85" s="327" t="str">
        <f>IFERROR(DeemedDashboard[[#This Row],[Std Device Install Year]]+DeemedDashboard[[#This Row],[Counterfactual New Device EUL]]-1,"")</f>
        <v/>
      </c>
      <c r="AP85" s="327" t="str">
        <f>IFERROR(IF(AND(DeemedDashboard[[#This Row],[MeasAppType]]=const_AR,DeemedDashboard[[#This Row],[Measure Start Year]]&lt;(DeemedDashboard[[#This Row],[Pre Device Install Year]]+DeemedDashboard[[#This Row],[Existing Device EUL]]-1)),DeemedDashboard[[#This Row],[Measure Start Year]]-1,NA()),"")</f>
        <v/>
      </c>
      <c r="AQ85" s="327" t="str">
        <f>IFERROR(IF(DeemedDashboard[[#This Row],[MeasAppType]]=const_AR,DeemedDashboard[[#This Row],[Ext Device Install Year]]+DeemedDashboard[[#This Row],[Existing Device EUL]]-1,NA()),"")</f>
        <v/>
      </c>
      <c r="AR85" s="327" t="str">
        <f>IFERROR(IF(ISBLANK(DeemedDashboard[[#This Row],[MeasAppType]]),NA(),0),"")</f>
        <v/>
      </c>
      <c r="AS85" s="327" t="str">
        <f>IFERROR(IF(ISBLANK(DeemedDashboard[[#This Row],[MeasAppType]]),NA(),0),"")</f>
        <v/>
      </c>
      <c r="AT85" s="327" t="str">
        <f>IF(ISBLANK(DeemedDashboard[[#This Row],[MeasAppType]]),"",IF(DeemedDashboard[[#This Row],[MeasAppType]]&lt;&gt;const_AR,"",(DeemedDashboard[[#This Row],[Pre Device Install Year]]+DeemedDashboard[[#This Row],[Existing Device EUL]]-1)-DeemedDashboard[[#This Row],[Pre Device Retire-ment Year]]))</f>
        <v/>
      </c>
      <c r="AU85" s="327" t="str">
        <f>IF(ISBLANK(DeemedDashboard[[#This Row],[MeasAppType]]),"",IF(DeemedDashboard[[#This Row],[MeasAppType]]=const_AR,0,""))</f>
        <v/>
      </c>
      <c r="AV85" s="328" t="str">
        <f>IF(ISBLANK(DeemedDashboard[[#This Row],[MeasAppType]]),"",MAX((1+MIN(DeemedDashboard[[#This Row],[Msr Device Retire-ment Year]],DeemedDashboard[[#This Row],[Measure End 
Year]])-MAX(DeemedDashboard[[#This Row],[Msr Device Install Year]],DeemedDashboard[[#This Row],[Measure Start Year]])),0))</f>
        <v/>
      </c>
      <c r="AW85" s="328" t="str">
        <f>IF(ISBLANK(DeemedDashboard[[#This Row],[MeasAppType]]),"",MAX((1+MIN(DeemedDashboard[[#This Row],[Std Device Retire-ment Year]],DeemedDashboard[[#This Row],[Measure End 
Year]])-MAX(DeemedDashboard[[#This Row],[Std Device Install Year]],DeemedDashboard[[#This Row],[Measure Start Year]])),0))</f>
        <v/>
      </c>
      <c r="AX8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5" s="329" t="str">
        <f>IF(ISBLANK(DeemedDashboard[[#This Row],[MeasAppType]]),"",IF(DeemedDashboard[[#This Row],[Msr Device Years Over-lapping with Measure Years]]=0,0,DeemedDashboard[[#This Row],[Msr Device Years Over-lapping with Measure Years]]/DeemedDashboard[[#This Row],[Msr EUL rounded]]))</f>
        <v/>
      </c>
      <c r="BA85" s="329" t="str">
        <f>IF(ISBLANK(DeemedDashboard[[#This Row],[MeasAppType]]),"",IF(DeemedDashboard[[#This Row],[Std Device Years Over-lapping with Measure Years]]=0,0,DeemedDashboard[[#This Row],[Std Device Years Over-lapping with Measure Years]]/DeemedDashboard[[#This Row],[Counterfactual New Device EUL]]))</f>
        <v/>
      </c>
      <c r="BB85" s="329" t="str">
        <f>IF(ISBLANK(DeemedDashboard[[#This Row],[MeasAppType]]),"",IFERROR(IF(DeemedDashboard[[#This Row],[Pre Device Years Over-lapping with Measure Years]]=0,0,DeemedDashboard[[#This Row],[Pre Device Years Over-lapping with Measure Years]]/DeemedDashboard[[#This Row],[Existing Device EUL]]),""))</f>
        <v/>
      </c>
      <c r="BC85" s="329" t="str">
        <f>IFERROR(IF(DeemedDashboard[[#This Row],[Ext Device Years Over-lapping with Measure Years]]=0,0,DeemedDashboard[[#This Row],[Ext Device Years Over-lapping with Measure Years]]/DeemedDashboard[[#This Row],[Existing Device EUL]]),"")</f>
        <v/>
      </c>
      <c r="BD85" s="329" t="str">
        <f>IFERROR(IF(DeemedDashboard[[#This Row],[Msr Number of Years device retired early]]=0,0,DeemedDashboard[[#This Row],[Msr Number of Years device retired early]]/DeemedDashboard[[#This Row],[Msr EUL rounded]]),"")</f>
        <v/>
      </c>
      <c r="BE85" s="329" t="str">
        <f>IFERROR(IF(DeemedDashboard[[#This Row],[Std Number of Years device retired early]]=0,0,DeemedDashboard[[#This Row],[Std Number of Years device retired early]]/DeemedDashboard[[#This Row],[Msr EUL rounded]]),"")</f>
        <v/>
      </c>
      <c r="BF85" s="329" t="str">
        <f>IFERROR(IF(DeemedDashboard[[#This Row],[MeasAppType]]&lt;&gt;const_AR,"",IF(DeemedDashboard[[#This Row],[Pre Number of Years device retired early]]=0,0,DeemedDashboard[[#This Row],[Pre Number of Years device retired early]]/DeemedDashboard[[#This Row],[Existing Device EUL]])),"")</f>
        <v/>
      </c>
      <c r="BG85" s="329" t="str">
        <f>IFERROR(IF(DeemedDashboard[[#This Row],[Ext Number of Years device retired early]]=0,0,DeemedDashboard[[#This Row],[Ext Number of Years device retired early]]/DeemedDashboard[[#This Row],[Existing Device EUL]]),"")</f>
        <v/>
      </c>
      <c r="BH85" s="325" t="str">
        <f>IFERROR(1-DeemedDashboard[[#This Row],[Msr annual refrigerant leakage %]]*DeemedDashboard[[#This Row],[Msr t_EOL]],"")</f>
        <v/>
      </c>
      <c r="BI85" s="325" t="str">
        <f>IFERROR(1-DeemedDashboard[[#This Row],[Std annual refrigerant leakage %]]*DeemedDashboard[[#This Row],[Std t_EOL]],"")</f>
        <v/>
      </c>
      <c r="BJ85" s="325" t="str">
        <f>IFERROR(1-DeemedDashboard[[#This Row],[Pre/Ext annual refrigerant leakage %]]*DeemedDashboard[[#This Row],[Pre/Ext t_EOL]],"")</f>
        <v/>
      </c>
      <c r="BK85" s="325" t="str">
        <f>IFERROR(1-DeemedDashboard[[#This Row],[Pre/Ext annual refrigerant leakage %]]*DeemedDashboard[[#This Row],[Pre/Ext t_EOL]],"")</f>
        <v/>
      </c>
      <c r="BL85" s="325" t="str">
        <f>IFERROR(DeemedDashboard[[#This Row],[Msr charging remaining (%)]]*DeemedDashboard[[#This Row],[Msr gross EOL refrigerant leakage %]],"")</f>
        <v/>
      </c>
      <c r="BM85" s="325" t="str">
        <f>IFERROR(DeemedDashboard[[#This Row],[Std charging remaining (%)]]*DeemedDashboard[[#This Row],[Std gross EOL refrigerant leakage %]],"")</f>
        <v/>
      </c>
      <c r="BN85" s="325" t="str">
        <f>IFERROR(DeemedDashboard[[#This Row],[Pre charging remaining (%)]]*DeemedDashboard[[#This Row],[Pre/Ext gross EOL refrigerant leakage %]],"")</f>
        <v/>
      </c>
      <c r="BO85" s="325" t="str">
        <f>IFERROR(DeemedDashboard[[#This Row],[Ext charging remaining (%)]]*DeemedDashboard[[#This Row],[Pre/Ext gross EOL refrigerant leakage %]],"")</f>
        <v/>
      </c>
      <c r="BP85" s="330" t="str">
        <f>IFERROR((DeemedDashboard[[#This Row],[Msr refrigerant charge (lb) per NormUnit]]/pounds_per_metric_ton)*DeemedDashboard[[#This Row],[Msr annual refrigerant leakage %]]*DeemedDashboard[[#This Row],[Msr GWP]],"")</f>
        <v/>
      </c>
      <c r="BQ85" s="330" t="str">
        <f>IFERROR((DeemedDashboard[[#This Row],[Std refrigerant charge (lb) per NormUnit]]/pounds_per_metric_ton)*DeemedDashboard[[#This Row],[Std annual refrigerant leakage %]]*DeemedDashboard[[#This Row],[Std GWP]],"")</f>
        <v/>
      </c>
      <c r="BR85" s="330" t="str">
        <f>IF(DeemedDashboard[[#This Row],[MeasAppType]]=const_AR,(DeemedDashboard[[#This Row],[Pre/Ext refrigerant charge (lb) per NormUnit]]/pounds_per_metric_ton)*DeemedDashboard[[#This Row],[Pre/Ext annual refrigerant leakage %]]*DeemedDashboard[[#This Row],[Pre/Ext GWP]],"")</f>
        <v/>
      </c>
      <c r="BS85" s="330" t="str">
        <f>IF(DeemedDashboard[[#This Row],[MeasAppType]]=const_AR,(DeemedDashboard[[#This Row],[Pre/Ext refrigerant charge (lb) per NormUnit]]/pounds_per_metric_ton)*DeemedDashboard[[#This Row],[Pre/Ext annual refrigerant leakage %]]*DeemedDashboard[[#This Row],[Pre/Ext GWP]],"")</f>
        <v/>
      </c>
      <c r="BT85" s="330" t="str">
        <f>IFERROR((DeemedDashboard[[#This Row],[Msr refrigerant charge (lb) per NormUnit]]/pounds_per_metric_ton)*DeemedDashboard[[#This Row],[Msr net EOL refrigerant leakage (%)]]*DeemedDashboard[[#This Row],[Msr GWP]],"")</f>
        <v/>
      </c>
      <c r="BU85" s="330" t="str">
        <f>IFERROR((DeemedDashboard[[#This Row],[Std refrigerant charge (lb) per NormUnit]]/pounds_per_metric_ton)*DeemedDashboard[[#This Row],[Std net EOL refrigerant leakage (%)]]*DeemedDashboard[[#This Row],[Std GWP]],"")</f>
        <v/>
      </c>
      <c r="BV85" s="330" t="str">
        <f>IFERROR((DeemedDashboard[[#This Row],[Pre/Ext refrigerant charge (lb) per NormUnit]]/pounds_per_metric_ton)*DeemedDashboard[[#This Row],[Pre net EOL refrigerant leakage (%)]]*DeemedDashboard[[#This Row],[Pre/Ext GWP]],"")</f>
        <v/>
      </c>
      <c r="BW85" s="330" t="str">
        <f>IFERROR((DeemedDashboard[[#This Row],[Pre/Ext refrigerant charge (lb) per NormUnit]]/pounds_per_metric_ton)*DeemedDashboard[[#This Row],[Ext net EOL refrigerant leakage (%)]]*DeemedDashboard[[#This Row],[Pre/Ext GWP]],"")</f>
        <v/>
      </c>
      <c r="BX85" s="299" t="str" cm="1">
        <f t="array" aca="1" ref="BX8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5" s="305" t="str" cm="1">
        <f t="array" aca="1" ref="BY8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5" s="299" t="str">
        <f>IFERROR(IF(OR(DeemedDashboard[[#This Row],[MeasAppType]]&lt;&gt;const_AR,ISBLANK(DeemedDashboard[[#This Row],[MeasAppType]])),NA(),0),"")</f>
        <v/>
      </c>
      <c r="CA85" s="305" t="str" cm="1">
        <f t="array" aca="1" ref="CA8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5" s="299" t="str">
        <f ca="1">IFERROR((DeemedDashboard[[#This Row],[Msr EOL leakage tons CO2e]]*OFFSET(GHG_Adder_dollar_per_tonne,0,(DeemedDashboard[[#This Row],[Msr Device Retire-ment Year]]-DY+1),1,1))/(1+WACC)^(DeemedDashboard[[#This Row],[Msr Device Retire-ment Year]]-DeemedDashboard[[#This Row],[Measure Start Year]]+0.5),"")</f>
        <v/>
      </c>
      <c r="CC85" s="299" t="str">
        <f ca="1">IFERROR((DeemedDashboard[[#This Row],[Std EOL leakage tons CO2e]]*OFFSET(GHG_Adder_dollar_per_tonne,0,(DeemedDashboard[[#This Row],[Std Device Retire-ment Year]]-DY+1),1,1))/(1+WACC)^(DeemedDashboard[[#This Row],[Std Device Retire-ment Year]]-DeemedDashboard[[#This Row],[Measure Start Year]]+0.5),"")</f>
        <v/>
      </c>
      <c r="CD85" s="299" t="str">
        <f ca="1">IFERROR((DeemedDashboard[[#This Row],[Pre EOL leakage tons CO2e]]*OFFSET(GHG_Adder_dollar_per_tonne,0,(DeemedDashboard[[#This Row],[Measure Start Year]]-DY),1,1))/(1+WACC)^(-0.5),"")</f>
        <v/>
      </c>
      <c r="CE8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5" s="299" t="str">
        <f ca="1">IFERROR(DeemedDashboard[[#This Row],[Msr NPV Cost of Annual Leakage]]/(1+ACC_Inflation_Rate)^(DeemedDashboard[[#This Row],[Measure Start Year]]-DY),"")</f>
        <v/>
      </c>
      <c r="CG85" s="299" t="str">
        <f ca="1">IFERROR(DeemedDashboard[[#This Row],[Std NPV Cost of Annual Leakage]]/(1+ACC_Inflation_Rate)^(DeemedDashboard[[#This Row],[Measure Start Year]]-DY),"")</f>
        <v/>
      </c>
      <c r="CH85" s="299" t="str">
        <f>IFERROR(IF(ISBLANK(DeemedDashboard[[#This Row],[MeasAppType]]),NA(),IF(DeemedDashboard[[#This Row],[MeasAppType]]=const_AR,DeemedDashboard[[#This Row],[Pre NPV Cost of Annual Leakage]]/(1+ACC_Inflation_Rate)^(DeemedDashboard[[#This Row],[Measure Start Year]]-DY),"")),"")</f>
        <v/>
      </c>
      <c r="CI85" s="296" t="str">
        <f>IFERROR(IF(ISBLANK(DeemedDashboard[[#This Row],[MeasAppType]]),NA(),IF(DeemedDashboard[[#This Row],[MeasAppType]]=const_AR,DeemedDashboard[[#This Row],[Ext NPV Cost of Annual Leakage]]/(1+ACC_Inflation_Rate)^(DeemedDashboard[[#This Row],[Measure Start Year]]-DY),"")),"")</f>
        <v/>
      </c>
      <c r="CJ85" s="296" t="str">
        <f ca="1">IFERROR((DeemedDashboard[[#This Row],[Msr % of device lifetime during measure years]]+DeemedDashboard[[#This Row],[Msr % of device lifetime retired early]])*DeemedDashboard[[#This Row],[Msr NPV Cost of EOL Leakage]]/(1+ACC_Inflation_Rate)^(DeemedDashboard[[#This Row],[Measure Start Year]]-DY),"")</f>
        <v/>
      </c>
      <c r="CK85" s="296" t="str">
        <f ca="1">IFERROR((DeemedDashboard[[#This Row],[Std % of device lifetime during measure years]]+DeemedDashboard[[#This Row],[Std % of device lifetime retired early]])*DeemedDashboard[[#This Row],[Std NPV Cost of EOL Leakage]]/(1+ACC_Inflation_Rate)^(DeemedDashboard[[#This Row],[Measure Start Year]]-DY),"")</f>
        <v/>
      </c>
      <c r="CL8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5" s="299" t="str">
        <f ca="1">IFERROR(DeemedDashboard[[#This Row],[Counter-factual total 
NPV cost]]-DeemedDashboard[[#This Row],[Measure total 
NPV cost]],"")</f>
        <v/>
      </c>
      <c r="CQ85" s="299" t="str">
        <f>IF(ISBLANK(DeemedDashboard[[#This Row],[MeasAppType]]),"",DeemedDashboard[[#This Row],[Refrigerant
NPV costs
avoided]]&gt;0)</f>
        <v/>
      </c>
      <c r="CR85" s="299" t="str">
        <f ca="1">IFERROR(DeemedDashboard[[#This Row],[Msr Adj NPV Cost of Annual Leakage]]+DeemedDashboard[[#This Row],[Msr Adj NPV Cost of EOL Leakage]],"")</f>
        <v/>
      </c>
      <c r="CS85" s="299" t="str">
        <f ca="1">IFERROR(DeemedDashboard[[#This Row],[Std Adj NPV Cost of Annual Leakage]]+DeemedDashboard[[#This Row],[Std Adj NPV Cost of EOL Leakage]],"")</f>
        <v/>
      </c>
      <c r="CT85" s="299" t="str">
        <f>IFERROR(IF((DeemedDashboard[[#This Row],[Pre Adj NPV Cost of Annual Leakage]]+DeemedDashboard[[#This Row],[Pre Adj NPV Cost of EOL Leakage]])=0,"",DeemedDashboard[[#This Row],[Pre Adj NPV Cost of Annual Leakage]]+DeemedDashboard[[#This Row],[Pre Adj NPV Cost of EOL Leakage]]),"")</f>
        <v/>
      </c>
      <c r="CU85" s="299" t="str">
        <f>IFERROR(IF((DeemedDashboard[[#This Row],[Ext Adj NPV Cost of Annual Leakage]]+DeemedDashboard[[#This Row],[Ext Adj NPV Cost of EOL Leakage]])=0,"",DeemedDashboard[[#This Row],[Ext Adj NPV Cost of Annual Leakage]]+DeemedDashboard[[#This Row],[Ext Adj NPV Cost of EOL Leakage]]),"")</f>
        <v/>
      </c>
      <c r="CV85" s="299" t="str">
        <f>IFERROR(IF(DeemedDashboard[[#This Row],[Is Avoided Net Cost &gt;0?]],"",-DeemedDashboard[[#This Row],[Refrigerant
NPV costs
avoided]]),"")</f>
        <v/>
      </c>
      <c r="CW85" s="299" t="str">
        <f>IFERROR(IF(DeemedDashboard[[#This Row],[Is Avoided Net Cost &gt;0?]],DeemedDashboard[[#This Row],[Refrigerant
NPV costs
avoided]],""),"")</f>
        <v/>
      </c>
      <c r="CX85" s="391">
        <f ca="1">IFERROR(MATCH(DeemedDashboard[[#This Row],[TechGroup and NormUnit]],TechGroup_and_NormUnit,0),1)</f>
        <v>1</v>
      </c>
      <c r="CY85" s="391" cm="1">
        <f t="array" aca="1" ref="CY85" ca="1">IFERROR(INDEX(TGRows,DeemedDashboard[[#This Row],[TGIndex]]),"")</f>
        <v>2</v>
      </c>
      <c r="CZ85" s="391">
        <f ca="1">IF(DeemedDashboard[[#This Row],[MeasAppType]]=const_AR,DeemedDashboard[[#This Row],[TGRows]],DeemedDashboard[[#This Row],[TGRows]]+1)</f>
        <v>3</v>
      </c>
      <c r="DA85" s="391" t="str">
        <f>IF(ISBLANK(DeemedDashboard[[#This Row],[MeasAppType]]),"",IF(DeemedDashboard[[#This Row],[Index]]=User_Specified_Refrigerant[[#This Row],[Index]],"OK","ERROR"))</f>
        <v/>
      </c>
    </row>
    <row r="86" spans="1:105" s="320" customFormat="1" x14ac:dyDescent="0.25">
      <c r="A86" s="297">
        <f>ROW(DeemedDashboard[[#This Row],[Index]])-ROW(DeemedDashboard[[#Headers],[Index]])</f>
        <v>77</v>
      </c>
      <c r="B86" s="298"/>
      <c r="C86" s="321"/>
      <c r="D86" s="403"/>
      <c r="E86" s="403"/>
      <c r="F86" s="403"/>
      <c r="G86" s="403"/>
      <c r="H86" s="366"/>
      <c r="I86" s="339"/>
      <c r="J86" s="339"/>
      <c r="K86" s="339"/>
      <c r="L86" s="322"/>
      <c r="M86" s="322"/>
      <c r="N86" s="322"/>
      <c r="O8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6" s="582" t="str" cm="1">
        <f t="array" ref="R86">IFERROR(IF(DeemedDashboard[[#This Row],[Msr device type]]=const_device_nonrefrig,0,INDEX(_xlfn.SWITCH($E$4,const_20_yr,GWP_Values_20_year_AR4,const_100_yr,GWP_Values_100_year_AR4),MATCH(DeemedDashboard[[#This Row],[Msr refrigerant Type]],RefrigDropdownList,0))),"")</f>
        <v/>
      </c>
      <c r="S86" s="582" t="str" cm="1">
        <f t="array" ref="S86">IFERROR(IF(DeemedDashboard[[#This Row],[Std device type]]=const_device_nonrefrig,0,INDEX(_xlfn.SWITCH($E$4,const_20_yr,GWP_Values_20_year_AR4,const_100_yr,GWP_Values_100_year_AR4),MATCH(DeemedDashboard[[#This Row],[Std refrigerant Type]],RefrigDropdownList,0))),"")</f>
        <v/>
      </c>
      <c r="T86" s="582" t="str" cm="1">
        <f t="array" ref="T86">IFERROR(IF(DeemedDashboard[[#This Row],[Pre/Ext device type]]=const_device_nonrefrig,0,INDEX(_xlfn.SWITCH($E$4,const_20_yr,GWP_Values_20_year_AR4,const_100_yr,GWP_Values_100_year_AR4),MATCH(DeemedDashboard[[#This Row],[Pre/Ext refrigerant Type]],RefrigDropdownList,0))),"")</f>
        <v/>
      </c>
      <c r="U8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6" s="326" t="str">
        <f>IFERROR(IF(DeemedDashboard[[#This Row],[Msr device type]]=const_userspec,IF(ISBLANK(User_Specified_Refrigerant[[#This Row],[Msr t_EOL]]),"",User_Specified_Refrigerant[[#This Row],[Msr t_EOL]]),INDEX(TechGroup_NormUnit_Table[t_EOL],MATCH(DeemedDashboard[[#This Row],[Msr device type]],DropdownRefrigTech,0))),"")</f>
        <v/>
      </c>
      <c r="AB86" s="326" t="str">
        <f>IFERROR(IF(DeemedDashboard[[#This Row],[Std device type]]=const_userspec,IF(ISBLANK(User_Specified_Refrigerant[[#This Row],[Std t_EOL]]),"",User_Specified_Refrigerant[[#This Row],[Std t_EOL]]),INDEX(TechGroup_NormUnit_Table[t_EOL],MATCH(DeemedDashboard[[#This Row],[Std device type]],DropdownRefrigTech,0))),"")</f>
        <v/>
      </c>
      <c r="AC8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6" s="395" t="str">
        <f>IF(ISBLANK(DeemedDashboard[[#This Row],[MeasAppType]]),"",$E$2)</f>
        <v/>
      </c>
      <c r="AE86" s="395" t="str">
        <f>IFERROR(IF(ISBLANK(DeemedDashboard[[#This Row],[MeasAppType]]),NA(),DeemedDashboard[[#This Row],[Measure Start Year]]+DeemedDashboard[[#This Row],[Msr EUL rounded]]-1),"")</f>
        <v/>
      </c>
      <c r="AF86" s="323" t="str">
        <f>IF(ISBLANK(DeemedDashboard[[#This Row],[Measure New Device EUL]]),"",ROUND(DeemedDashboard[[#This Row],[Measure New Device EUL]],0))</f>
        <v/>
      </c>
      <c r="AG86" s="323" t="str">
        <f>IF(ISBLANK(DeemedDashboard[[#This Row],[Counterfactual New Device EUL]]),"",ROUND(DeemedDashboard[[#This Row],[Counterfactual New Device EUL]],0))</f>
        <v/>
      </c>
      <c r="AH86" s="323" t="str">
        <f>IF(ISBLANK(DeemedDashboard[[#This Row],[Existing Device EUL]]),"",ROUND(DeemedDashboard[[#This Row],[Existing Device EUL]],0))</f>
        <v/>
      </c>
      <c r="AI86" s="323" t="str">
        <f>IF(ISBLANK(DeemedDashboard[[#This Row],[Existing Device RUL or AR First Baseline Life]]),"",ROUND(DeemedDashboard[[#This Row],[Existing Device RUL or AR First Baseline Life]],0))</f>
        <v/>
      </c>
      <c r="AJ86" s="327" t="str">
        <f>DeemedDashboard[[#This Row],[Measure Start Year]]</f>
        <v/>
      </c>
      <c r="AK86" s="327" t="str">
        <f>IF(DeemedDashboard[[#This Row],[MeasAppType]]&lt;&gt;const_AR,DeemedDashboard[[#This Row],[Measure Start Year]],DeemedDashboard[[#This Row],[Ext Device Retire-ment Year]]+1)</f>
        <v/>
      </c>
      <c r="AL86" s="327" t="str">
        <f>IFERROR(IF(DeemedDashboard[[#This Row],[MeasAppType]]=const_AR,DeemedDashboard[[#This Row],[Measure Start Year]]-(DeemedDashboard[[#This Row],[Existing Device EUL]]-DeemedDashboard[[#This Row],[Existing Device RUL or AR First Baseline Life]]),NA()),"")</f>
        <v/>
      </c>
      <c r="AM86" s="327" t="str">
        <f>DeemedDashboard[[#This Row],[Pre Device Install Year]]</f>
        <v/>
      </c>
      <c r="AN86" s="327" t="str">
        <f>IFERROR(IF(ISBLANK(DeemedDashboard[[#This Row],[MeasAppType]]),NA(),DeemedDashboard[[#This Row],[Measure Start Year]]+DeemedDashboard[[#This Row],[Msr EUL rounded]]-1),"")</f>
        <v/>
      </c>
      <c r="AO86" s="327" t="str">
        <f>IFERROR(DeemedDashboard[[#This Row],[Std Device Install Year]]+DeemedDashboard[[#This Row],[Counterfactual New Device EUL]]-1,"")</f>
        <v/>
      </c>
      <c r="AP86" s="327" t="str">
        <f>IFERROR(IF(AND(DeemedDashboard[[#This Row],[MeasAppType]]=const_AR,DeemedDashboard[[#This Row],[Measure Start Year]]&lt;(DeemedDashboard[[#This Row],[Pre Device Install Year]]+DeemedDashboard[[#This Row],[Existing Device EUL]]-1)),DeemedDashboard[[#This Row],[Measure Start Year]]-1,NA()),"")</f>
        <v/>
      </c>
      <c r="AQ86" s="327" t="str">
        <f>IFERROR(IF(DeemedDashboard[[#This Row],[MeasAppType]]=const_AR,DeemedDashboard[[#This Row],[Ext Device Install Year]]+DeemedDashboard[[#This Row],[Existing Device EUL]]-1,NA()),"")</f>
        <v/>
      </c>
      <c r="AR86" s="327" t="str">
        <f>IFERROR(IF(ISBLANK(DeemedDashboard[[#This Row],[MeasAppType]]),NA(),0),"")</f>
        <v/>
      </c>
      <c r="AS86" s="327" t="str">
        <f>IFERROR(IF(ISBLANK(DeemedDashboard[[#This Row],[MeasAppType]]),NA(),0),"")</f>
        <v/>
      </c>
      <c r="AT86" s="327" t="str">
        <f>IF(ISBLANK(DeemedDashboard[[#This Row],[MeasAppType]]),"",IF(DeemedDashboard[[#This Row],[MeasAppType]]&lt;&gt;const_AR,"",(DeemedDashboard[[#This Row],[Pre Device Install Year]]+DeemedDashboard[[#This Row],[Existing Device EUL]]-1)-DeemedDashboard[[#This Row],[Pre Device Retire-ment Year]]))</f>
        <v/>
      </c>
      <c r="AU86" s="327" t="str">
        <f>IF(ISBLANK(DeemedDashboard[[#This Row],[MeasAppType]]),"",IF(DeemedDashboard[[#This Row],[MeasAppType]]=const_AR,0,""))</f>
        <v/>
      </c>
      <c r="AV86" s="328" t="str">
        <f>IF(ISBLANK(DeemedDashboard[[#This Row],[MeasAppType]]),"",MAX((1+MIN(DeemedDashboard[[#This Row],[Msr Device Retire-ment Year]],DeemedDashboard[[#This Row],[Measure End 
Year]])-MAX(DeemedDashboard[[#This Row],[Msr Device Install Year]],DeemedDashboard[[#This Row],[Measure Start Year]])),0))</f>
        <v/>
      </c>
      <c r="AW86" s="328" t="str">
        <f>IF(ISBLANK(DeemedDashboard[[#This Row],[MeasAppType]]),"",MAX((1+MIN(DeemedDashboard[[#This Row],[Std Device Retire-ment Year]],DeemedDashboard[[#This Row],[Measure End 
Year]])-MAX(DeemedDashboard[[#This Row],[Std Device Install Year]],DeemedDashboard[[#This Row],[Measure Start Year]])),0))</f>
        <v/>
      </c>
      <c r="AX8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6" s="329" t="str">
        <f>IF(ISBLANK(DeemedDashboard[[#This Row],[MeasAppType]]),"",IF(DeemedDashboard[[#This Row],[Msr Device Years Over-lapping with Measure Years]]=0,0,DeemedDashboard[[#This Row],[Msr Device Years Over-lapping with Measure Years]]/DeemedDashboard[[#This Row],[Msr EUL rounded]]))</f>
        <v/>
      </c>
      <c r="BA86" s="329" t="str">
        <f>IF(ISBLANK(DeemedDashboard[[#This Row],[MeasAppType]]),"",IF(DeemedDashboard[[#This Row],[Std Device Years Over-lapping with Measure Years]]=0,0,DeemedDashboard[[#This Row],[Std Device Years Over-lapping with Measure Years]]/DeemedDashboard[[#This Row],[Counterfactual New Device EUL]]))</f>
        <v/>
      </c>
      <c r="BB86" s="329" t="str">
        <f>IF(ISBLANK(DeemedDashboard[[#This Row],[MeasAppType]]),"",IFERROR(IF(DeemedDashboard[[#This Row],[Pre Device Years Over-lapping with Measure Years]]=0,0,DeemedDashboard[[#This Row],[Pre Device Years Over-lapping with Measure Years]]/DeemedDashboard[[#This Row],[Existing Device EUL]]),""))</f>
        <v/>
      </c>
      <c r="BC86" s="329" t="str">
        <f>IFERROR(IF(DeemedDashboard[[#This Row],[Ext Device Years Over-lapping with Measure Years]]=0,0,DeemedDashboard[[#This Row],[Ext Device Years Over-lapping with Measure Years]]/DeemedDashboard[[#This Row],[Existing Device EUL]]),"")</f>
        <v/>
      </c>
      <c r="BD86" s="329" t="str">
        <f>IFERROR(IF(DeemedDashboard[[#This Row],[Msr Number of Years device retired early]]=0,0,DeemedDashboard[[#This Row],[Msr Number of Years device retired early]]/DeemedDashboard[[#This Row],[Msr EUL rounded]]),"")</f>
        <v/>
      </c>
      <c r="BE86" s="329" t="str">
        <f>IFERROR(IF(DeemedDashboard[[#This Row],[Std Number of Years device retired early]]=0,0,DeemedDashboard[[#This Row],[Std Number of Years device retired early]]/DeemedDashboard[[#This Row],[Msr EUL rounded]]),"")</f>
        <v/>
      </c>
      <c r="BF86" s="329" t="str">
        <f>IFERROR(IF(DeemedDashboard[[#This Row],[MeasAppType]]&lt;&gt;const_AR,"",IF(DeemedDashboard[[#This Row],[Pre Number of Years device retired early]]=0,0,DeemedDashboard[[#This Row],[Pre Number of Years device retired early]]/DeemedDashboard[[#This Row],[Existing Device EUL]])),"")</f>
        <v/>
      </c>
      <c r="BG86" s="329" t="str">
        <f>IFERROR(IF(DeemedDashboard[[#This Row],[Ext Number of Years device retired early]]=0,0,DeemedDashboard[[#This Row],[Ext Number of Years device retired early]]/DeemedDashboard[[#This Row],[Existing Device EUL]]),"")</f>
        <v/>
      </c>
      <c r="BH86" s="325" t="str">
        <f>IFERROR(1-DeemedDashboard[[#This Row],[Msr annual refrigerant leakage %]]*DeemedDashboard[[#This Row],[Msr t_EOL]],"")</f>
        <v/>
      </c>
      <c r="BI86" s="325" t="str">
        <f>IFERROR(1-DeemedDashboard[[#This Row],[Std annual refrigerant leakage %]]*DeemedDashboard[[#This Row],[Std t_EOL]],"")</f>
        <v/>
      </c>
      <c r="BJ86" s="325" t="str">
        <f>IFERROR(1-DeemedDashboard[[#This Row],[Pre/Ext annual refrigerant leakage %]]*DeemedDashboard[[#This Row],[Pre/Ext t_EOL]],"")</f>
        <v/>
      </c>
      <c r="BK86" s="325" t="str">
        <f>IFERROR(1-DeemedDashboard[[#This Row],[Pre/Ext annual refrigerant leakage %]]*DeemedDashboard[[#This Row],[Pre/Ext t_EOL]],"")</f>
        <v/>
      </c>
      <c r="BL86" s="325" t="str">
        <f>IFERROR(DeemedDashboard[[#This Row],[Msr charging remaining (%)]]*DeemedDashboard[[#This Row],[Msr gross EOL refrigerant leakage %]],"")</f>
        <v/>
      </c>
      <c r="BM86" s="325" t="str">
        <f>IFERROR(DeemedDashboard[[#This Row],[Std charging remaining (%)]]*DeemedDashboard[[#This Row],[Std gross EOL refrigerant leakage %]],"")</f>
        <v/>
      </c>
      <c r="BN86" s="325" t="str">
        <f>IFERROR(DeemedDashboard[[#This Row],[Pre charging remaining (%)]]*DeemedDashboard[[#This Row],[Pre/Ext gross EOL refrigerant leakage %]],"")</f>
        <v/>
      </c>
      <c r="BO86" s="325" t="str">
        <f>IFERROR(DeemedDashboard[[#This Row],[Ext charging remaining (%)]]*DeemedDashboard[[#This Row],[Pre/Ext gross EOL refrigerant leakage %]],"")</f>
        <v/>
      </c>
      <c r="BP86" s="330" t="str">
        <f>IFERROR((DeemedDashboard[[#This Row],[Msr refrigerant charge (lb) per NormUnit]]/pounds_per_metric_ton)*DeemedDashboard[[#This Row],[Msr annual refrigerant leakage %]]*DeemedDashboard[[#This Row],[Msr GWP]],"")</f>
        <v/>
      </c>
      <c r="BQ86" s="330" t="str">
        <f>IFERROR((DeemedDashboard[[#This Row],[Std refrigerant charge (lb) per NormUnit]]/pounds_per_metric_ton)*DeemedDashboard[[#This Row],[Std annual refrigerant leakage %]]*DeemedDashboard[[#This Row],[Std GWP]],"")</f>
        <v/>
      </c>
      <c r="BR86" s="330" t="str">
        <f>IF(DeemedDashboard[[#This Row],[MeasAppType]]=const_AR,(DeemedDashboard[[#This Row],[Pre/Ext refrigerant charge (lb) per NormUnit]]/pounds_per_metric_ton)*DeemedDashboard[[#This Row],[Pre/Ext annual refrigerant leakage %]]*DeemedDashboard[[#This Row],[Pre/Ext GWP]],"")</f>
        <v/>
      </c>
      <c r="BS86" s="330" t="str">
        <f>IF(DeemedDashboard[[#This Row],[MeasAppType]]=const_AR,(DeemedDashboard[[#This Row],[Pre/Ext refrigerant charge (lb) per NormUnit]]/pounds_per_metric_ton)*DeemedDashboard[[#This Row],[Pre/Ext annual refrigerant leakage %]]*DeemedDashboard[[#This Row],[Pre/Ext GWP]],"")</f>
        <v/>
      </c>
      <c r="BT86" s="330" t="str">
        <f>IFERROR((DeemedDashboard[[#This Row],[Msr refrigerant charge (lb) per NormUnit]]/pounds_per_metric_ton)*DeemedDashboard[[#This Row],[Msr net EOL refrigerant leakage (%)]]*DeemedDashboard[[#This Row],[Msr GWP]],"")</f>
        <v/>
      </c>
      <c r="BU86" s="330" t="str">
        <f>IFERROR((DeemedDashboard[[#This Row],[Std refrigerant charge (lb) per NormUnit]]/pounds_per_metric_ton)*DeemedDashboard[[#This Row],[Std net EOL refrigerant leakage (%)]]*DeemedDashboard[[#This Row],[Std GWP]],"")</f>
        <v/>
      </c>
      <c r="BV86" s="330" t="str">
        <f>IFERROR((DeemedDashboard[[#This Row],[Pre/Ext refrigerant charge (lb) per NormUnit]]/pounds_per_metric_ton)*DeemedDashboard[[#This Row],[Pre net EOL refrigerant leakage (%)]]*DeemedDashboard[[#This Row],[Pre/Ext GWP]],"")</f>
        <v/>
      </c>
      <c r="BW86" s="330" t="str">
        <f>IFERROR((DeemedDashboard[[#This Row],[Pre/Ext refrigerant charge (lb) per NormUnit]]/pounds_per_metric_ton)*DeemedDashboard[[#This Row],[Ext net EOL refrigerant leakage (%)]]*DeemedDashboard[[#This Row],[Pre/Ext GWP]],"")</f>
        <v/>
      </c>
      <c r="BX86" s="299" t="str" cm="1">
        <f t="array" aca="1" ref="BX8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6" s="305" t="str" cm="1">
        <f t="array" aca="1" ref="BY8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6" s="299" t="str">
        <f>IFERROR(IF(OR(DeemedDashboard[[#This Row],[MeasAppType]]&lt;&gt;const_AR,ISBLANK(DeemedDashboard[[#This Row],[MeasAppType]])),NA(),0),"")</f>
        <v/>
      </c>
      <c r="CA86" s="305" t="str" cm="1">
        <f t="array" aca="1" ref="CA8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6" s="299" t="str">
        <f ca="1">IFERROR((DeemedDashboard[[#This Row],[Msr EOL leakage tons CO2e]]*OFFSET(GHG_Adder_dollar_per_tonne,0,(DeemedDashboard[[#This Row],[Msr Device Retire-ment Year]]-DY+1),1,1))/(1+WACC)^(DeemedDashboard[[#This Row],[Msr Device Retire-ment Year]]-DeemedDashboard[[#This Row],[Measure Start Year]]+0.5),"")</f>
        <v/>
      </c>
      <c r="CC86" s="299" t="str">
        <f ca="1">IFERROR((DeemedDashboard[[#This Row],[Std EOL leakage tons CO2e]]*OFFSET(GHG_Adder_dollar_per_tonne,0,(DeemedDashboard[[#This Row],[Std Device Retire-ment Year]]-DY+1),1,1))/(1+WACC)^(DeemedDashboard[[#This Row],[Std Device Retire-ment Year]]-DeemedDashboard[[#This Row],[Measure Start Year]]+0.5),"")</f>
        <v/>
      </c>
      <c r="CD86" s="299" t="str">
        <f ca="1">IFERROR((DeemedDashboard[[#This Row],[Pre EOL leakage tons CO2e]]*OFFSET(GHG_Adder_dollar_per_tonne,0,(DeemedDashboard[[#This Row],[Measure Start Year]]-DY),1,1))/(1+WACC)^(-0.5),"")</f>
        <v/>
      </c>
      <c r="CE8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6" s="299" t="str">
        <f ca="1">IFERROR(DeemedDashboard[[#This Row],[Msr NPV Cost of Annual Leakage]]/(1+ACC_Inflation_Rate)^(DeemedDashboard[[#This Row],[Measure Start Year]]-DY),"")</f>
        <v/>
      </c>
      <c r="CG86" s="299" t="str">
        <f ca="1">IFERROR(DeemedDashboard[[#This Row],[Std NPV Cost of Annual Leakage]]/(1+ACC_Inflation_Rate)^(DeemedDashboard[[#This Row],[Measure Start Year]]-DY),"")</f>
        <v/>
      </c>
      <c r="CH86" s="299" t="str">
        <f>IFERROR(IF(ISBLANK(DeemedDashboard[[#This Row],[MeasAppType]]),NA(),IF(DeemedDashboard[[#This Row],[MeasAppType]]=const_AR,DeemedDashboard[[#This Row],[Pre NPV Cost of Annual Leakage]]/(1+ACC_Inflation_Rate)^(DeemedDashboard[[#This Row],[Measure Start Year]]-DY),"")),"")</f>
        <v/>
      </c>
      <c r="CI86" s="296" t="str">
        <f>IFERROR(IF(ISBLANK(DeemedDashboard[[#This Row],[MeasAppType]]),NA(),IF(DeemedDashboard[[#This Row],[MeasAppType]]=const_AR,DeemedDashboard[[#This Row],[Ext NPV Cost of Annual Leakage]]/(1+ACC_Inflation_Rate)^(DeemedDashboard[[#This Row],[Measure Start Year]]-DY),"")),"")</f>
        <v/>
      </c>
      <c r="CJ86" s="296" t="str">
        <f ca="1">IFERROR((DeemedDashboard[[#This Row],[Msr % of device lifetime during measure years]]+DeemedDashboard[[#This Row],[Msr % of device lifetime retired early]])*DeemedDashboard[[#This Row],[Msr NPV Cost of EOL Leakage]]/(1+ACC_Inflation_Rate)^(DeemedDashboard[[#This Row],[Measure Start Year]]-DY),"")</f>
        <v/>
      </c>
      <c r="CK86" s="296" t="str">
        <f ca="1">IFERROR((DeemedDashboard[[#This Row],[Std % of device lifetime during measure years]]+DeemedDashboard[[#This Row],[Std % of device lifetime retired early]])*DeemedDashboard[[#This Row],[Std NPV Cost of EOL Leakage]]/(1+ACC_Inflation_Rate)^(DeemedDashboard[[#This Row],[Measure Start Year]]-DY),"")</f>
        <v/>
      </c>
      <c r="CL8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6" s="299" t="str">
        <f ca="1">IFERROR(DeemedDashboard[[#This Row],[Counter-factual total 
NPV cost]]-DeemedDashboard[[#This Row],[Measure total 
NPV cost]],"")</f>
        <v/>
      </c>
      <c r="CQ86" s="299" t="str">
        <f>IF(ISBLANK(DeemedDashboard[[#This Row],[MeasAppType]]),"",DeemedDashboard[[#This Row],[Refrigerant
NPV costs
avoided]]&gt;0)</f>
        <v/>
      </c>
      <c r="CR86" s="299" t="str">
        <f ca="1">IFERROR(DeemedDashboard[[#This Row],[Msr Adj NPV Cost of Annual Leakage]]+DeemedDashboard[[#This Row],[Msr Adj NPV Cost of EOL Leakage]],"")</f>
        <v/>
      </c>
      <c r="CS86" s="299" t="str">
        <f ca="1">IFERROR(DeemedDashboard[[#This Row],[Std Adj NPV Cost of Annual Leakage]]+DeemedDashboard[[#This Row],[Std Adj NPV Cost of EOL Leakage]],"")</f>
        <v/>
      </c>
      <c r="CT86" s="299" t="str">
        <f>IFERROR(IF((DeemedDashboard[[#This Row],[Pre Adj NPV Cost of Annual Leakage]]+DeemedDashboard[[#This Row],[Pre Adj NPV Cost of EOL Leakage]])=0,"",DeemedDashboard[[#This Row],[Pre Adj NPV Cost of Annual Leakage]]+DeemedDashboard[[#This Row],[Pre Adj NPV Cost of EOL Leakage]]),"")</f>
        <v/>
      </c>
      <c r="CU86" s="299" t="str">
        <f>IFERROR(IF((DeemedDashboard[[#This Row],[Ext Adj NPV Cost of Annual Leakage]]+DeemedDashboard[[#This Row],[Ext Adj NPV Cost of EOL Leakage]])=0,"",DeemedDashboard[[#This Row],[Ext Adj NPV Cost of Annual Leakage]]+DeemedDashboard[[#This Row],[Ext Adj NPV Cost of EOL Leakage]]),"")</f>
        <v/>
      </c>
      <c r="CV86" s="299" t="str">
        <f>IFERROR(IF(DeemedDashboard[[#This Row],[Is Avoided Net Cost &gt;0?]],"",-DeemedDashboard[[#This Row],[Refrigerant
NPV costs
avoided]]),"")</f>
        <v/>
      </c>
      <c r="CW86" s="299" t="str">
        <f>IFERROR(IF(DeemedDashboard[[#This Row],[Is Avoided Net Cost &gt;0?]],DeemedDashboard[[#This Row],[Refrigerant
NPV costs
avoided]],""),"")</f>
        <v/>
      </c>
      <c r="CX86" s="391">
        <f ca="1">IFERROR(MATCH(DeemedDashboard[[#This Row],[TechGroup and NormUnit]],TechGroup_and_NormUnit,0),1)</f>
        <v>1</v>
      </c>
      <c r="CY86" s="391" cm="1">
        <f t="array" aca="1" ref="CY86" ca="1">IFERROR(INDEX(TGRows,DeemedDashboard[[#This Row],[TGIndex]]),"")</f>
        <v>2</v>
      </c>
      <c r="CZ86" s="391">
        <f ca="1">IF(DeemedDashboard[[#This Row],[MeasAppType]]=const_AR,DeemedDashboard[[#This Row],[TGRows]],DeemedDashboard[[#This Row],[TGRows]]+1)</f>
        <v>3</v>
      </c>
      <c r="DA86" s="391" t="str">
        <f>IF(ISBLANK(DeemedDashboard[[#This Row],[MeasAppType]]),"",IF(DeemedDashboard[[#This Row],[Index]]=User_Specified_Refrigerant[[#This Row],[Index]],"OK","ERROR"))</f>
        <v/>
      </c>
    </row>
    <row r="87" spans="1:105" s="320" customFormat="1" x14ac:dyDescent="0.25">
      <c r="A87" s="297">
        <f>ROW(DeemedDashboard[[#This Row],[Index]])-ROW(DeemedDashboard[[#Headers],[Index]])</f>
        <v>78</v>
      </c>
      <c r="B87" s="298"/>
      <c r="C87" s="321"/>
      <c r="D87" s="403"/>
      <c r="E87" s="403"/>
      <c r="F87" s="403"/>
      <c r="G87" s="403"/>
      <c r="H87" s="366"/>
      <c r="I87" s="339"/>
      <c r="J87" s="339"/>
      <c r="K87" s="339"/>
      <c r="L87" s="322"/>
      <c r="M87" s="322"/>
      <c r="N87" s="322"/>
      <c r="O8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7" s="582" t="str" cm="1">
        <f t="array" ref="R87">IFERROR(IF(DeemedDashboard[[#This Row],[Msr device type]]=const_device_nonrefrig,0,INDEX(_xlfn.SWITCH($E$4,const_20_yr,GWP_Values_20_year_AR4,const_100_yr,GWP_Values_100_year_AR4),MATCH(DeemedDashboard[[#This Row],[Msr refrigerant Type]],RefrigDropdownList,0))),"")</f>
        <v/>
      </c>
      <c r="S87" s="582" t="str" cm="1">
        <f t="array" ref="S87">IFERROR(IF(DeemedDashboard[[#This Row],[Std device type]]=const_device_nonrefrig,0,INDEX(_xlfn.SWITCH($E$4,const_20_yr,GWP_Values_20_year_AR4,const_100_yr,GWP_Values_100_year_AR4),MATCH(DeemedDashboard[[#This Row],[Std refrigerant Type]],RefrigDropdownList,0))),"")</f>
        <v/>
      </c>
      <c r="T87" s="582" t="str" cm="1">
        <f t="array" ref="T87">IFERROR(IF(DeemedDashboard[[#This Row],[Pre/Ext device type]]=const_device_nonrefrig,0,INDEX(_xlfn.SWITCH($E$4,const_20_yr,GWP_Values_20_year_AR4,const_100_yr,GWP_Values_100_year_AR4),MATCH(DeemedDashboard[[#This Row],[Pre/Ext refrigerant Type]],RefrigDropdownList,0))),"")</f>
        <v/>
      </c>
      <c r="U8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7" s="326" t="str">
        <f>IFERROR(IF(DeemedDashboard[[#This Row],[Msr device type]]=const_userspec,IF(ISBLANK(User_Specified_Refrigerant[[#This Row],[Msr t_EOL]]),"",User_Specified_Refrigerant[[#This Row],[Msr t_EOL]]),INDEX(TechGroup_NormUnit_Table[t_EOL],MATCH(DeemedDashboard[[#This Row],[Msr device type]],DropdownRefrigTech,0))),"")</f>
        <v/>
      </c>
      <c r="AB87" s="326" t="str">
        <f>IFERROR(IF(DeemedDashboard[[#This Row],[Std device type]]=const_userspec,IF(ISBLANK(User_Specified_Refrigerant[[#This Row],[Std t_EOL]]),"",User_Specified_Refrigerant[[#This Row],[Std t_EOL]]),INDEX(TechGroup_NormUnit_Table[t_EOL],MATCH(DeemedDashboard[[#This Row],[Std device type]],DropdownRefrigTech,0))),"")</f>
        <v/>
      </c>
      <c r="AC8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7" s="395" t="str">
        <f>IF(ISBLANK(DeemedDashboard[[#This Row],[MeasAppType]]),"",$E$2)</f>
        <v/>
      </c>
      <c r="AE87" s="395" t="str">
        <f>IFERROR(IF(ISBLANK(DeemedDashboard[[#This Row],[MeasAppType]]),NA(),DeemedDashboard[[#This Row],[Measure Start Year]]+DeemedDashboard[[#This Row],[Msr EUL rounded]]-1),"")</f>
        <v/>
      </c>
      <c r="AF87" s="323" t="str">
        <f>IF(ISBLANK(DeemedDashboard[[#This Row],[Measure New Device EUL]]),"",ROUND(DeemedDashboard[[#This Row],[Measure New Device EUL]],0))</f>
        <v/>
      </c>
      <c r="AG87" s="323" t="str">
        <f>IF(ISBLANK(DeemedDashboard[[#This Row],[Counterfactual New Device EUL]]),"",ROUND(DeemedDashboard[[#This Row],[Counterfactual New Device EUL]],0))</f>
        <v/>
      </c>
      <c r="AH87" s="323" t="str">
        <f>IF(ISBLANK(DeemedDashboard[[#This Row],[Existing Device EUL]]),"",ROUND(DeemedDashboard[[#This Row],[Existing Device EUL]],0))</f>
        <v/>
      </c>
      <c r="AI87" s="323" t="str">
        <f>IF(ISBLANK(DeemedDashboard[[#This Row],[Existing Device RUL or AR First Baseline Life]]),"",ROUND(DeemedDashboard[[#This Row],[Existing Device RUL or AR First Baseline Life]],0))</f>
        <v/>
      </c>
      <c r="AJ87" s="327" t="str">
        <f>DeemedDashboard[[#This Row],[Measure Start Year]]</f>
        <v/>
      </c>
      <c r="AK87" s="327" t="str">
        <f>IF(DeemedDashboard[[#This Row],[MeasAppType]]&lt;&gt;const_AR,DeemedDashboard[[#This Row],[Measure Start Year]],DeemedDashboard[[#This Row],[Ext Device Retire-ment Year]]+1)</f>
        <v/>
      </c>
      <c r="AL87" s="327" t="str">
        <f>IFERROR(IF(DeemedDashboard[[#This Row],[MeasAppType]]=const_AR,DeemedDashboard[[#This Row],[Measure Start Year]]-(DeemedDashboard[[#This Row],[Existing Device EUL]]-DeemedDashboard[[#This Row],[Existing Device RUL or AR First Baseline Life]]),NA()),"")</f>
        <v/>
      </c>
      <c r="AM87" s="327" t="str">
        <f>DeemedDashboard[[#This Row],[Pre Device Install Year]]</f>
        <v/>
      </c>
      <c r="AN87" s="327" t="str">
        <f>IFERROR(IF(ISBLANK(DeemedDashboard[[#This Row],[MeasAppType]]),NA(),DeemedDashboard[[#This Row],[Measure Start Year]]+DeemedDashboard[[#This Row],[Msr EUL rounded]]-1),"")</f>
        <v/>
      </c>
      <c r="AO87" s="327" t="str">
        <f>IFERROR(DeemedDashboard[[#This Row],[Std Device Install Year]]+DeemedDashboard[[#This Row],[Counterfactual New Device EUL]]-1,"")</f>
        <v/>
      </c>
      <c r="AP87" s="327" t="str">
        <f>IFERROR(IF(AND(DeemedDashboard[[#This Row],[MeasAppType]]=const_AR,DeemedDashboard[[#This Row],[Measure Start Year]]&lt;(DeemedDashboard[[#This Row],[Pre Device Install Year]]+DeemedDashboard[[#This Row],[Existing Device EUL]]-1)),DeemedDashboard[[#This Row],[Measure Start Year]]-1,NA()),"")</f>
        <v/>
      </c>
      <c r="AQ87" s="327" t="str">
        <f>IFERROR(IF(DeemedDashboard[[#This Row],[MeasAppType]]=const_AR,DeemedDashboard[[#This Row],[Ext Device Install Year]]+DeemedDashboard[[#This Row],[Existing Device EUL]]-1,NA()),"")</f>
        <v/>
      </c>
      <c r="AR87" s="327" t="str">
        <f>IFERROR(IF(ISBLANK(DeemedDashboard[[#This Row],[MeasAppType]]),NA(),0),"")</f>
        <v/>
      </c>
      <c r="AS87" s="327" t="str">
        <f>IFERROR(IF(ISBLANK(DeemedDashboard[[#This Row],[MeasAppType]]),NA(),0),"")</f>
        <v/>
      </c>
      <c r="AT87" s="327" t="str">
        <f>IF(ISBLANK(DeemedDashboard[[#This Row],[MeasAppType]]),"",IF(DeemedDashboard[[#This Row],[MeasAppType]]&lt;&gt;const_AR,"",(DeemedDashboard[[#This Row],[Pre Device Install Year]]+DeemedDashboard[[#This Row],[Existing Device EUL]]-1)-DeemedDashboard[[#This Row],[Pre Device Retire-ment Year]]))</f>
        <v/>
      </c>
      <c r="AU87" s="327" t="str">
        <f>IF(ISBLANK(DeemedDashboard[[#This Row],[MeasAppType]]),"",IF(DeemedDashboard[[#This Row],[MeasAppType]]=const_AR,0,""))</f>
        <v/>
      </c>
      <c r="AV87" s="328" t="str">
        <f>IF(ISBLANK(DeemedDashboard[[#This Row],[MeasAppType]]),"",MAX((1+MIN(DeemedDashboard[[#This Row],[Msr Device Retire-ment Year]],DeemedDashboard[[#This Row],[Measure End 
Year]])-MAX(DeemedDashboard[[#This Row],[Msr Device Install Year]],DeemedDashboard[[#This Row],[Measure Start Year]])),0))</f>
        <v/>
      </c>
      <c r="AW87" s="328" t="str">
        <f>IF(ISBLANK(DeemedDashboard[[#This Row],[MeasAppType]]),"",MAX((1+MIN(DeemedDashboard[[#This Row],[Std Device Retire-ment Year]],DeemedDashboard[[#This Row],[Measure End 
Year]])-MAX(DeemedDashboard[[#This Row],[Std Device Install Year]],DeemedDashboard[[#This Row],[Measure Start Year]])),0))</f>
        <v/>
      </c>
      <c r="AX8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7" s="329" t="str">
        <f>IF(ISBLANK(DeemedDashboard[[#This Row],[MeasAppType]]),"",IF(DeemedDashboard[[#This Row],[Msr Device Years Over-lapping with Measure Years]]=0,0,DeemedDashboard[[#This Row],[Msr Device Years Over-lapping with Measure Years]]/DeemedDashboard[[#This Row],[Msr EUL rounded]]))</f>
        <v/>
      </c>
      <c r="BA87" s="329" t="str">
        <f>IF(ISBLANK(DeemedDashboard[[#This Row],[MeasAppType]]),"",IF(DeemedDashboard[[#This Row],[Std Device Years Over-lapping with Measure Years]]=0,0,DeemedDashboard[[#This Row],[Std Device Years Over-lapping with Measure Years]]/DeemedDashboard[[#This Row],[Counterfactual New Device EUL]]))</f>
        <v/>
      </c>
      <c r="BB87" s="329" t="str">
        <f>IF(ISBLANK(DeemedDashboard[[#This Row],[MeasAppType]]),"",IFERROR(IF(DeemedDashboard[[#This Row],[Pre Device Years Over-lapping with Measure Years]]=0,0,DeemedDashboard[[#This Row],[Pre Device Years Over-lapping with Measure Years]]/DeemedDashboard[[#This Row],[Existing Device EUL]]),""))</f>
        <v/>
      </c>
      <c r="BC87" s="329" t="str">
        <f>IFERROR(IF(DeemedDashboard[[#This Row],[Ext Device Years Over-lapping with Measure Years]]=0,0,DeemedDashboard[[#This Row],[Ext Device Years Over-lapping with Measure Years]]/DeemedDashboard[[#This Row],[Existing Device EUL]]),"")</f>
        <v/>
      </c>
      <c r="BD87" s="329" t="str">
        <f>IFERROR(IF(DeemedDashboard[[#This Row],[Msr Number of Years device retired early]]=0,0,DeemedDashboard[[#This Row],[Msr Number of Years device retired early]]/DeemedDashboard[[#This Row],[Msr EUL rounded]]),"")</f>
        <v/>
      </c>
      <c r="BE87" s="329" t="str">
        <f>IFERROR(IF(DeemedDashboard[[#This Row],[Std Number of Years device retired early]]=0,0,DeemedDashboard[[#This Row],[Std Number of Years device retired early]]/DeemedDashboard[[#This Row],[Msr EUL rounded]]),"")</f>
        <v/>
      </c>
      <c r="BF87" s="329" t="str">
        <f>IFERROR(IF(DeemedDashboard[[#This Row],[MeasAppType]]&lt;&gt;const_AR,"",IF(DeemedDashboard[[#This Row],[Pre Number of Years device retired early]]=0,0,DeemedDashboard[[#This Row],[Pre Number of Years device retired early]]/DeemedDashboard[[#This Row],[Existing Device EUL]])),"")</f>
        <v/>
      </c>
      <c r="BG87" s="329" t="str">
        <f>IFERROR(IF(DeemedDashboard[[#This Row],[Ext Number of Years device retired early]]=0,0,DeemedDashboard[[#This Row],[Ext Number of Years device retired early]]/DeemedDashboard[[#This Row],[Existing Device EUL]]),"")</f>
        <v/>
      </c>
      <c r="BH87" s="325" t="str">
        <f>IFERROR(1-DeemedDashboard[[#This Row],[Msr annual refrigerant leakage %]]*DeemedDashboard[[#This Row],[Msr t_EOL]],"")</f>
        <v/>
      </c>
      <c r="BI87" s="325" t="str">
        <f>IFERROR(1-DeemedDashboard[[#This Row],[Std annual refrigerant leakage %]]*DeemedDashboard[[#This Row],[Std t_EOL]],"")</f>
        <v/>
      </c>
      <c r="BJ87" s="325" t="str">
        <f>IFERROR(1-DeemedDashboard[[#This Row],[Pre/Ext annual refrigerant leakage %]]*DeemedDashboard[[#This Row],[Pre/Ext t_EOL]],"")</f>
        <v/>
      </c>
      <c r="BK87" s="325" t="str">
        <f>IFERROR(1-DeemedDashboard[[#This Row],[Pre/Ext annual refrigerant leakage %]]*DeemedDashboard[[#This Row],[Pre/Ext t_EOL]],"")</f>
        <v/>
      </c>
      <c r="BL87" s="325" t="str">
        <f>IFERROR(DeemedDashboard[[#This Row],[Msr charging remaining (%)]]*DeemedDashboard[[#This Row],[Msr gross EOL refrigerant leakage %]],"")</f>
        <v/>
      </c>
      <c r="BM87" s="325" t="str">
        <f>IFERROR(DeemedDashboard[[#This Row],[Std charging remaining (%)]]*DeemedDashboard[[#This Row],[Std gross EOL refrigerant leakage %]],"")</f>
        <v/>
      </c>
      <c r="BN87" s="325" t="str">
        <f>IFERROR(DeemedDashboard[[#This Row],[Pre charging remaining (%)]]*DeemedDashboard[[#This Row],[Pre/Ext gross EOL refrigerant leakage %]],"")</f>
        <v/>
      </c>
      <c r="BO87" s="325" t="str">
        <f>IFERROR(DeemedDashboard[[#This Row],[Ext charging remaining (%)]]*DeemedDashboard[[#This Row],[Pre/Ext gross EOL refrigerant leakage %]],"")</f>
        <v/>
      </c>
      <c r="BP87" s="330" t="str">
        <f>IFERROR((DeemedDashboard[[#This Row],[Msr refrigerant charge (lb) per NormUnit]]/pounds_per_metric_ton)*DeemedDashboard[[#This Row],[Msr annual refrigerant leakage %]]*DeemedDashboard[[#This Row],[Msr GWP]],"")</f>
        <v/>
      </c>
      <c r="BQ87" s="330" t="str">
        <f>IFERROR((DeemedDashboard[[#This Row],[Std refrigerant charge (lb) per NormUnit]]/pounds_per_metric_ton)*DeemedDashboard[[#This Row],[Std annual refrigerant leakage %]]*DeemedDashboard[[#This Row],[Std GWP]],"")</f>
        <v/>
      </c>
      <c r="BR87" s="330" t="str">
        <f>IF(DeemedDashboard[[#This Row],[MeasAppType]]=const_AR,(DeemedDashboard[[#This Row],[Pre/Ext refrigerant charge (lb) per NormUnit]]/pounds_per_metric_ton)*DeemedDashboard[[#This Row],[Pre/Ext annual refrigerant leakage %]]*DeemedDashboard[[#This Row],[Pre/Ext GWP]],"")</f>
        <v/>
      </c>
      <c r="BS87" s="330" t="str">
        <f>IF(DeemedDashboard[[#This Row],[MeasAppType]]=const_AR,(DeemedDashboard[[#This Row],[Pre/Ext refrigerant charge (lb) per NormUnit]]/pounds_per_metric_ton)*DeemedDashboard[[#This Row],[Pre/Ext annual refrigerant leakage %]]*DeemedDashboard[[#This Row],[Pre/Ext GWP]],"")</f>
        <v/>
      </c>
      <c r="BT87" s="330" t="str">
        <f>IFERROR((DeemedDashboard[[#This Row],[Msr refrigerant charge (lb) per NormUnit]]/pounds_per_metric_ton)*DeemedDashboard[[#This Row],[Msr net EOL refrigerant leakage (%)]]*DeemedDashboard[[#This Row],[Msr GWP]],"")</f>
        <v/>
      </c>
      <c r="BU87" s="330" t="str">
        <f>IFERROR((DeemedDashboard[[#This Row],[Std refrigerant charge (lb) per NormUnit]]/pounds_per_metric_ton)*DeemedDashboard[[#This Row],[Std net EOL refrigerant leakage (%)]]*DeemedDashboard[[#This Row],[Std GWP]],"")</f>
        <v/>
      </c>
      <c r="BV87" s="330" t="str">
        <f>IFERROR((DeemedDashboard[[#This Row],[Pre/Ext refrigerant charge (lb) per NormUnit]]/pounds_per_metric_ton)*DeemedDashboard[[#This Row],[Pre net EOL refrigerant leakage (%)]]*DeemedDashboard[[#This Row],[Pre/Ext GWP]],"")</f>
        <v/>
      </c>
      <c r="BW87" s="330" t="str">
        <f>IFERROR((DeemedDashboard[[#This Row],[Pre/Ext refrigerant charge (lb) per NormUnit]]/pounds_per_metric_ton)*DeemedDashboard[[#This Row],[Ext net EOL refrigerant leakage (%)]]*DeemedDashboard[[#This Row],[Pre/Ext GWP]],"")</f>
        <v/>
      </c>
      <c r="BX87" s="299" t="str" cm="1">
        <f t="array" aca="1" ref="BX8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7" s="305" t="str" cm="1">
        <f t="array" aca="1" ref="BY8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7" s="299" t="str">
        <f>IFERROR(IF(OR(DeemedDashboard[[#This Row],[MeasAppType]]&lt;&gt;const_AR,ISBLANK(DeemedDashboard[[#This Row],[MeasAppType]])),NA(),0),"")</f>
        <v/>
      </c>
      <c r="CA87" s="305" t="str" cm="1">
        <f t="array" aca="1" ref="CA8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7" s="299" t="str">
        <f ca="1">IFERROR((DeemedDashboard[[#This Row],[Msr EOL leakage tons CO2e]]*OFFSET(GHG_Adder_dollar_per_tonne,0,(DeemedDashboard[[#This Row],[Msr Device Retire-ment Year]]-DY+1),1,1))/(1+WACC)^(DeemedDashboard[[#This Row],[Msr Device Retire-ment Year]]-DeemedDashboard[[#This Row],[Measure Start Year]]+0.5),"")</f>
        <v/>
      </c>
      <c r="CC87" s="299" t="str">
        <f ca="1">IFERROR((DeemedDashboard[[#This Row],[Std EOL leakage tons CO2e]]*OFFSET(GHG_Adder_dollar_per_tonne,0,(DeemedDashboard[[#This Row],[Std Device Retire-ment Year]]-DY+1),1,1))/(1+WACC)^(DeemedDashboard[[#This Row],[Std Device Retire-ment Year]]-DeemedDashboard[[#This Row],[Measure Start Year]]+0.5),"")</f>
        <v/>
      </c>
      <c r="CD87" s="299" t="str">
        <f ca="1">IFERROR((DeemedDashboard[[#This Row],[Pre EOL leakage tons CO2e]]*OFFSET(GHG_Adder_dollar_per_tonne,0,(DeemedDashboard[[#This Row],[Measure Start Year]]-DY),1,1))/(1+WACC)^(-0.5),"")</f>
        <v/>
      </c>
      <c r="CE8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7" s="299" t="str">
        <f ca="1">IFERROR(DeemedDashboard[[#This Row],[Msr NPV Cost of Annual Leakage]]/(1+ACC_Inflation_Rate)^(DeemedDashboard[[#This Row],[Measure Start Year]]-DY),"")</f>
        <v/>
      </c>
      <c r="CG87" s="299" t="str">
        <f ca="1">IFERROR(DeemedDashboard[[#This Row],[Std NPV Cost of Annual Leakage]]/(1+ACC_Inflation_Rate)^(DeemedDashboard[[#This Row],[Measure Start Year]]-DY),"")</f>
        <v/>
      </c>
      <c r="CH87" s="299" t="str">
        <f>IFERROR(IF(ISBLANK(DeemedDashboard[[#This Row],[MeasAppType]]),NA(),IF(DeemedDashboard[[#This Row],[MeasAppType]]=const_AR,DeemedDashboard[[#This Row],[Pre NPV Cost of Annual Leakage]]/(1+ACC_Inflation_Rate)^(DeemedDashboard[[#This Row],[Measure Start Year]]-DY),"")),"")</f>
        <v/>
      </c>
      <c r="CI87" s="296" t="str">
        <f>IFERROR(IF(ISBLANK(DeemedDashboard[[#This Row],[MeasAppType]]),NA(),IF(DeemedDashboard[[#This Row],[MeasAppType]]=const_AR,DeemedDashboard[[#This Row],[Ext NPV Cost of Annual Leakage]]/(1+ACC_Inflation_Rate)^(DeemedDashboard[[#This Row],[Measure Start Year]]-DY),"")),"")</f>
        <v/>
      </c>
      <c r="CJ87" s="296" t="str">
        <f ca="1">IFERROR((DeemedDashboard[[#This Row],[Msr % of device lifetime during measure years]]+DeemedDashboard[[#This Row],[Msr % of device lifetime retired early]])*DeemedDashboard[[#This Row],[Msr NPV Cost of EOL Leakage]]/(1+ACC_Inflation_Rate)^(DeemedDashboard[[#This Row],[Measure Start Year]]-DY),"")</f>
        <v/>
      </c>
      <c r="CK87" s="296" t="str">
        <f ca="1">IFERROR((DeemedDashboard[[#This Row],[Std % of device lifetime during measure years]]+DeemedDashboard[[#This Row],[Std % of device lifetime retired early]])*DeemedDashboard[[#This Row],[Std NPV Cost of EOL Leakage]]/(1+ACC_Inflation_Rate)^(DeemedDashboard[[#This Row],[Measure Start Year]]-DY),"")</f>
        <v/>
      </c>
      <c r="CL8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7" s="299" t="str">
        <f ca="1">IFERROR(DeemedDashboard[[#This Row],[Counter-factual total 
NPV cost]]-DeemedDashboard[[#This Row],[Measure total 
NPV cost]],"")</f>
        <v/>
      </c>
      <c r="CQ87" s="299" t="str">
        <f>IF(ISBLANK(DeemedDashboard[[#This Row],[MeasAppType]]),"",DeemedDashboard[[#This Row],[Refrigerant
NPV costs
avoided]]&gt;0)</f>
        <v/>
      </c>
      <c r="CR87" s="299" t="str">
        <f ca="1">IFERROR(DeemedDashboard[[#This Row],[Msr Adj NPV Cost of Annual Leakage]]+DeemedDashboard[[#This Row],[Msr Adj NPV Cost of EOL Leakage]],"")</f>
        <v/>
      </c>
      <c r="CS87" s="299" t="str">
        <f ca="1">IFERROR(DeemedDashboard[[#This Row],[Std Adj NPV Cost of Annual Leakage]]+DeemedDashboard[[#This Row],[Std Adj NPV Cost of EOL Leakage]],"")</f>
        <v/>
      </c>
      <c r="CT87" s="299" t="str">
        <f>IFERROR(IF((DeemedDashboard[[#This Row],[Pre Adj NPV Cost of Annual Leakage]]+DeemedDashboard[[#This Row],[Pre Adj NPV Cost of EOL Leakage]])=0,"",DeemedDashboard[[#This Row],[Pre Adj NPV Cost of Annual Leakage]]+DeemedDashboard[[#This Row],[Pre Adj NPV Cost of EOL Leakage]]),"")</f>
        <v/>
      </c>
      <c r="CU87" s="299" t="str">
        <f>IFERROR(IF((DeemedDashboard[[#This Row],[Ext Adj NPV Cost of Annual Leakage]]+DeemedDashboard[[#This Row],[Ext Adj NPV Cost of EOL Leakage]])=0,"",DeemedDashboard[[#This Row],[Ext Adj NPV Cost of Annual Leakage]]+DeemedDashboard[[#This Row],[Ext Adj NPV Cost of EOL Leakage]]),"")</f>
        <v/>
      </c>
      <c r="CV87" s="299" t="str">
        <f>IFERROR(IF(DeemedDashboard[[#This Row],[Is Avoided Net Cost &gt;0?]],"",-DeemedDashboard[[#This Row],[Refrigerant
NPV costs
avoided]]),"")</f>
        <v/>
      </c>
      <c r="CW87" s="299" t="str">
        <f>IFERROR(IF(DeemedDashboard[[#This Row],[Is Avoided Net Cost &gt;0?]],DeemedDashboard[[#This Row],[Refrigerant
NPV costs
avoided]],""),"")</f>
        <v/>
      </c>
      <c r="CX87" s="391">
        <f ca="1">IFERROR(MATCH(DeemedDashboard[[#This Row],[TechGroup and NormUnit]],TechGroup_and_NormUnit,0),1)</f>
        <v>1</v>
      </c>
      <c r="CY87" s="391" cm="1">
        <f t="array" aca="1" ref="CY87" ca="1">IFERROR(INDEX(TGRows,DeemedDashboard[[#This Row],[TGIndex]]),"")</f>
        <v>2</v>
      </c>
      <c r="CZ87" s="391">
        <f ca="1">IF(DeemedDashboard[[#This Row],[MeasAppType]]=const_AR,DeemedDashboard[[#This Row],[TGRows]],DeemedDashboard[[#This Row],[TGRows]]+1)</f>
        <v>3</v>
      </c>
      <c r="DA87" s="391" t="str">
        <f>IF(ISBLANK(DeemedDashboard[[#This Row],[MeasAppType]]),"",IF(DeemedDashboard[[#This Row],[Index]]=User_Specified_Refrigerant[[#This Row],[Index]],"OK","ERROR"))</f>
        <v/>
      </c>
    </row>
    <row r="88" spans="1:105" s="320" customFormat="1" x14ac:dyDescent="0.25">
      <c r="A88" s="297">
        <f>ROW(DeemedDashboard[[#This Row],[Index]])-ROW(DeemedDashboard[[#Headers],[Index]])</f>
        <v>79</v>
      </c>
      <c r="B88" s="298"/>
      <c r="C88" s="321"/>
      <c r="D88" s="403"/>
      <c r="E88" s="403"/>
      <c r="F88" s="403"/>
      <c r="G88" s="403"/>
      <c r="H88" s="366"/>
      <c r="I88" s="339"/>
      <c r="J88" s="339"/>
      <c r="K88" s="339"/>
      <c r="L88" s="322"/>
      <c r="M88" s="322"/>
      <c r="N88" s="322"/>
      <c r="O8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8" s="582" t="str" cm="1">
        <f t="array" ref="R88">IFERROR(IF(DeemedDashboard[[#This Row],[Msr device type]]=const_device_nonrefrig,0,INDEX(_xlfn.SWITCH($E$4,const_20_yr,GWP_Values_20_year_AR4,const_100_yr,GWP_Values_100_year_AR4),MATCH(DeemedDashboard[[#This Row],[Msr refrigerant Type]],RefrigDropdownList,0))),"")</f>
        <v/>
      </c>
      <c r="S88" s="582" t="str" cm="1">
        <f t="array" ref="S88">IFERROR(IF(DeemedDashboard[[#This Row],[Std device type]]=const_device_nonrefrig,0,INDEX(_xlfn.SWITCH($E$4,const_20_yr,GWP_Values_20_year_AR4,const_100_yr,GWP_Values_100_year_AR4),MATCH(DeemedDashboard[[#This Row],[Std refrigerant Type]],RefrigDropdownList,0))),"")</f>
        <v/>
      </c>
      <c r="T88" s="582" t="str" cm="1">
        <f t="array" ref="T88">IFERROR(IF(DeemedDashboard[[#This Row],[Pre/Ext device type]]=const_device_nonrefrig,0,INDEX(_xlfn.SWITCH($E$4,const_20_yr,GWP_Values_20_year_AR4,const_100_yr,GWP_Values_100_year_AR4),MATCH(DeemedDashboard[[#This Row],[Pre/Ext refrigerant Type]],RefrigDropdownList,0))),"")</f>
        <v/>
      </c>
      <c r="U8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8" s="326" t="str">
        <f>IFERROR(IF(DeemedDashboard[[#This Row],[Msr device type]]=const_userspec,IF(ISBLANK(User_Specified_Refrigerant[[#This Row],[Msr t_EOL]]),"",User_Specified_Refrigerant[[#This Row],[Msr t_EOL]]),INDEX(TechGroup_NormUnit_Table[t_EOL],MATCH(DeemedDashboard[[#This Row],[Msr device type]],DropdownRefrigTech,0))),"")</f>
        <v/>
      </c>
      <c r="AB88" s="326" t="str">
        <f>IFERROR(IF(DeemedDashboard[[#This Row],[Std device type]]=const_userspec,IF(ISBLANK(User_Specified_Refrigerant[[#This Row],[Std t_EOL]]),"",User_Specified_Refrigerant[[#This Row],[Std t_EOL]]),INDEX(TechGroup_NormUnit_Table[t_EOL],MATCH(DeemedDashboard[[#This Row],[Std device type]],DropdownRefrigTech,0))),"")</f>
        <v/>
      </c>
      <c r="AC8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8" s="395" t="str">
        <f>IF(ISBLANK(DeemedDashboard[[#This Row],[MeasAppType]]),"",$E$2)</f>
        <v/>
      </c>
      <c r="AE88" s="395" t="str">
        <f>IFERROR(IF(ISBLANK(DeemedDashboard[[#This Row],[MeasAppType]]),NA(),DeemedDashboard[[#This Row],[Measure Start Year]]+DeemedDashboard[[#This Row],[Msr EUL rounded]]-1),"")</f>
        <v/>
      </c>
      <c r="AF88" s="323" t="str">
        <f>IF(ISBLANK(DeemedDashboard[[#This Row],[Measure New Device EUL]]),"",ROUND(DeemedDashboard[[#This Row],[Measure New Device EUL]],0))</f>
        <v/>
      </c>
      <c r="AG88" s="323" t="str">
        <f>IF(ISBLANK(DeemedDashboard[[#This Row],[Counterfactual New Device EUL]]),"",ROUND(DeemedDashboard[[#This Row],[Counterfactual New Device EUL]],0))</f>
        <v/>
      </c>
      <c r="AH88" s="323" t="str">
        <f>IF(ISBLANK(DeemedDashboard[[#This Row],[Existing Device EUL]]),"",ROUND(DeemedDashboard[[#This Row],[Existing Device EUL]],0))</f>
        <v/>
      </c>
      <c r="AI88" s="323" t="str">
        <f>IF(ISBLANK(DeemedDashboard[[#This Row],[Existing Device RUL or AR First Baseline Life]]),"",ROUND(DeemedDashboard[[#This Row],[Existing Device RUL or AR First Baseline Life]],0))</f>
        <v/>
      </c>
      <c r="AJ88" s="327" t="str">
        <f>DeemedDashboard[[#This Row],[Measure Start Year]]</f>
        <v/>
      </c>
      <c r="AK88" s="327" t="str">
        <f>IF(DeemedDashboard[[#This Row],[MeasAppType]]&lt;&gt;const_AR,DeemedDashboard[[#This Row],[Measure Start Year]],DeemedDashboard[[#This Row],[Ext Device Retire-ment Year]]+1)</f>
        <v/>
      </c>
      <c r="AL88" s="327" t="str">
        <f>IFERROR(IF(DeemedDashboard[[#This Row],[MeasAppType]]=const_AR,DeemedDashboard[[#This Row],[Measure Start Year]]-(DeemedDashboard[[#This Row],[Existing Device EUL]]-DeemedDashboard[[#This Row],[Existing Device RUL or AR First Baseline Life]]),NA()),"")</f>
        <v/>
      </c>
      <c r="AM88" s="327" t="str">
        <f>DeemedDashboard[[#This Row],[Pre Device Install Year]]</f>
        <v/>
      </c>
      <c r="AN88" s="327" t="str">
        <f>IFERROR(IF(ISBLANK(DeemedDashboard[[#This Row],[MeasAppType]]),NA(),DeemedDashboard[[#This Row],[Measure Start Year]]+DeemedDashboard[[#This Row],[Msr EUL rounded]]-1),"")</f>
        <v/>
      </c>
      <c r="AO88" s="327" t="str">
        <f>IFERROR(DeemedDashboard[[#This Row],[Std Device Install Year]]+DeemedDashboard[[#This Row],[Counterfactual New Device EUL]]-1,"")</f>
        <v/>
      </c>
      <c r="AP88" s="327" t="str">
        <f>IFERROR(IF(AND(DeemedDashboard[[#This Row],[MeasAppType]]=const_AR,DeemedDashboard[[#This Row],[Measure Start Year]]&lt;(DeemedDashboard[[#This Row],[Pre Device Install Year]]+DeemedDashboard[[#This Row],[Existing Device EUL]]-1)),DeemedDashboard[[#This Row],[Measure Start Year]]-1,NA()),"")</f>
        <v/>
      </c>
      <c r="AQ88" s="327" t="str">
        <f>IFERROR(IF(DeemedDashboard[[#This Row],[MeasAppType]]=const_AR,DeemedDashboard[[#This Row],[Ext Device Install Year]]+DeemedDashboard[[#This Row],[Existing Device EUL]]-1,NA()),"")</f>
        <v/>
      </c>
      <c r="AR88" s="327" t="str">
        <f>IFERROR(IF(ISBLANK(DeemedDashboard[[#This Row],[MeasAppType]]),NA(),0),"")</f>
        <v/>
      </c>
      <c r="AS88" s="327" t="str">
        <f>IFERROR(IF(ISBLANK(DeemedDashboard[[#This Row],[MeasAppType]]),NA(),0),"")</f>
        <v/>
      </c>
      <c r="AT88" s="327" t="str">
        <f>IF(ISBLANK(DeemedDashboard[[#This Row],[MeasAppType]]),"",IF(DeemedDashboard[[#This Row],[MeasAppType]]&lt;&gt;const_AR,"",(DeemedDashboard[[#This Row],[Pre Device Install Year]]+DeemedDashboard[[#This Row],[Existing Device EUL]]-1)-DeemedDashboard[[#This Row],[Pre Device Retire-ment Year]]))</f>
        <v/>
      </c>
      <c r="AU88" s="327" t="str">
        <f>IF(ISBLANK(DeemedDashboard[[#This Row],[MeasAppType]]),"",IF(DeemedDashboard[[#This Row],[MeasAppType]]=const_AR,0,""))</f>
        <v/>
      </c>
      <c r="AV88" s="328" t="str">
        <f>IF(ISBLANK(DeemedDashboard[[#This Row],[MeasAppType]]),"",MAX((1+MIN(DeemedDashboard[[#This Row],[Msr Device Retire-ment Year]],DeemedDashboard[[#This Row],[Measure End 
Year]])-MAX(DeemedDashboard[[#This Row],[Msr Device Install Year]],DeemedDashboard[[#This Row],[Measure Start Year]])),0))</f>
        <v/>
      </c>
      <c r="AW88" s="328" t="str">
        <f>IF(ISBLANK(DeemedDashboard[[#This Row],[MeasAppType]]),"",MAX((1+MIN(DeemedDashboard[[#This Row],[Std Device Retire-ment Year]],DeemedDashboard[[#This Row],[Measure End 
Year]])-MAX(DeemedDashboard[[#This Row],[Std Device Install Year]],DeemedDashboard[[#This Row],[Measure Start Year]])),0))</f>
        <v/>
      </c>
      <c r="AX8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8" s="329" t="str">
        <f>IF(ISBLANK(DeemedDashboard[[#This Row],[MeasAppType]]),"",IF(DeemedDashboard[[#This Row],[Msr Device Years Over-lapping with Measure Years]]=0,0,DeemedDashboard[[#This Row],[Msr Device Years Over-lapping with Measure Years]]/DeemedDashboard[[#This Row],[Msr EUL rounded]]))</f>
        <v/>
      </c>
      <c r="BA88" s="329" t="str">
        <f>IF(ISBLANK(DeemedDashboard[[#This Row],[MeasAppType]]),"",IF(DeemedDashboard[[#This Row],[Std Device Years Over-lapping with Measure Years]]=0,0,DeemedDashboard[[#This Row],[Std Device Years Over-lapping with Measure Years]]/DeemedDashboard[[#This Row],[Counterfactual New Device EUL]]))</f>
        <v/>
      </c>
      <c r="BB88" s="329" t="str">
        <f>IF(ISBLANK(DeemedDashboard[[#This Row],[MeasAppType]]),"",IFERROR(IF(DeemedDashboard[[#This Row],[Pre Device Years Over-lapping with Measure Years]]=0,0,DeemedDashboard[[#This Row],[Pre Device Years Over-lapping with Measure Years]]/DeemedDashboard[[#This Row],[Existing Device EUL]]),""))</f>
        <v/>
      </c>
      <c r="BC88" s="329" t="str">
        <f>IFERROR(IF(DeemedDashboard[[#This Row],[Ext Device Years Over-lapping with Measure Years]]=0,0,DeemedDashboard[[#This Row],[Ext Device Years Over-lapping with Measure Years]]/DeemedDashboard[[#This Row],[Existing Device EUL]]),"")</f>
        <v/>
      </c>
      <c r="BD88" s="329" t="str">
        <f>IFERROR(IF(DeemedDashboard[[#This Row],[Msr Number of Years device retired early]]=0,0,DeemedDashboard[[#This Row],[Msr Number of Years device retired early]]/DeemedDashboard[[#This Row],[Msr EUL rounded]]),"")</f>
        <v/>
      </c>
      <c r="BE88" s="329" t="str">
        <f>IFERROR(IF(DeemedDashboard[[#This Row],[Std Number of Years device retired early]]=0,0,DeemedDashboard[[#This Row],[Std Number of Years device retired early]]/DeemedDashboard[[#This Row],[Msr EUL rounded]]),"")</f>
        <v/>
      </c>
      <c r="BF88" s="329" t="str">
        <f>IFERROR(IF(DeemedDashboard[[#This Row],[MeasAppType]]&lt;&gt;const_AR,"",IF(DeemedDashboard[[#This Row],[Pre Number of Years device retired early]]=0,0,DeemedDashboard[[#This Row],[Pre Number of Years device retired early]]/DeemedDashboard[[#This Row],[Existing Device EUL]])),"")</f>
        <v/>
      </c>
      <c r="BG88" s="329" t="str">
        <f>IFERROR(IF(DeemedDashboard[[#This Row],[Ext Number of Years device retired early]]=0,0,DeemedDashboard[[#This Row],[Ext Number of Years device retired early]]/DeemedDashboard[[#This Row],[Existing Device EUL]]),"")</f>
        <v/>
      </c>
      <c r="BH88" s="325" t="str">
        <f>IFERROR(1-DeemedDashboard[[#This Row],[Msr annual refrigerant leakage %]]*DeemedDashboard[[#This Row],[Msr t_EOL]],"")</f>
        <v/>
      </c>
      <c r="BI88" s="325" t="str">
        <f>IFERROR(1-DeemedDashboard[[#This Row],[Std annual refrigerant leakage %]]*DeemedDashboard[[#This Row],[Std t_EOL]],"")</f>
        <v/>
      </c>
      <c r="BJ88" s="325" t="str">
        <f>IFERROR(1-DeemedDashboard[[#This Row],[Pre/Ext annual refrigerant leakage %]]*DeemedDashboard[[#This Row],[Pre/Ext t_EOL]],"")</f>
        <v/>
      </c>
      <c r="BK88" s="325" t="str">
        <f>IFERROR(1-DeemedDashboard[[#This Row],[Pre/Ext annual refrigerant leakage %]]*DeemedDashboard[[#This Row],[Pre/Ext t_EOL]],"")</f>
        <v/>
      </c>
      <c r="BL88" s="325" t="str">
        <f>IFERROR(DeemedDashboard[[#This Row],[Msr charging remaining (%)]]*DeemedDashboard[[#This Row],[Msr gross EOL refrigerant leakage %]],"")</f>
        <v/>
      </c>
      <c r="BM88" s="325" t="str">
        <f>IFERROR(DeemedDashboard[[#This Row],[Std charging remaining (%)]]*DeemedDashboard[[#This Row],[Std gross EOL refrigerant leakage %]],"")</f>
        <v/>
      </c>
      <c r="BN88" s="325" t="str">
        <f>IFERROR(DeemedDashboard[[#This Row],[Pre charging remaining (%)]]*DeemedDashboard[[#This Row],[Pre/Ext gross EOL refrigerant leakage %]],"")</f>
        <v/>
      </c>
      <c r="BO88" s="325" t="str">
        <f>IFERROR(DeemedDashboard[[#This Row],[Ext charging remaining (%)]]*DeemedDashboard[[#This Row],[Pre/Ext gross EOL refrigerant leakage %]],"")</f>
        <v/>
      </c>
      <c r="BP88" s="330" t="str">
        <f>IFERROR((DeemedDashboard[[#This Row],[Msr refrigerant charge (lb) per NormUnit]]/pounds_per_metric_ton)*DeemedDashboard[[#This Row],[Msr annual refrigerant leakage %]]*DeemedDashboard[[#This Row],[Msr GWP]],"")</f>
        <v/>
      </c>
      <c r="BQ88" s="330" t="str">
        <f>IFERROR((DeemedDashboard[[#This Row],[Std refrigerant charge (lb) per NormUnit]]/pounds_per_metric_ton)*DeemedDashboard[[#This Row],[Std annual refrigerant leakage %]]*DeemedDashboard[[#This Row],[Std GWP]],"")</f>
        <v/>
      </c>
      <c r="BR88" s="330" t="str">
        <f>IF(DeemedDashboard[[#This Row],[MeasAppType]]=const_AR,(DeemedDashboard[[#This Row],[Pre/Ext refrigerant charge (lb) per NormUnit]]/pounds_per_metric_ton)*DeemedDashboard[[#This Row],[Pre/Ext annual refrigerant leakage %]]*DeemedDashboard[[#This Row],[Pre/Ext GWP]],"")</f>
        <v/>
      </c>
      <c r="BS88" s="330" t="str">
        <f>IF(DeemedDashboard[[#This Row],[MeasAppType]]=const_AR,(DeemedDashboard[[#This Row],[Pre/Ext refrigerant charge (lb) per NormUnit]]/pounds_per_metric_ton)*DeemedDashboard[[#This Row],[Pre/Ext annual refrigerant leakage %]]*DeemedDashboard[[#This Row],[Pre/Ext GWP]],"")</f>
        <v/>
      </c>
      <c r="BT88" s="330" t="str">
        <f>IFERROR((DeemedDashboard[[#This Row],[Msr refrigerant charge (lb) per NormUnit]]/pounds_per_metric_ton)*DeemedDashboard[[#This Row],[Msr net EOL refrigerant leakage (%)]]*DeemedDashboard[[#This Row],[Msr GWP]],"")</f>
        <v/>
      </c>
      <c r="BU88" s="330" t="str">
        <f>IFERROR((DeemedDashboard[[#This Row],[Std refrigerant charge (lb) per NormUnit]]/pounds_per_metric_ton)*DeemedDashboard[[#This Row],[Std net EOL refrigerant leakage (%)]]*DeemedDashboard[[#This Row],[Std GWP]],"")</f>
        <v/>
      </c>
      <c r="BV88" s="330" t="str">
        <f>IFERROR((DeemedDashboard[[#This Row],[Pre/Ext refrigerant charge (lb) per NormUnit]]/pounds_per_metric_ton)*DeemedDashboard[[#This Row],[Pre net EOL refrigerant leakage (%)]]*DeemedDashboard[[#This Row],[Pre/Ext GWP]],"")</f>
        <v/>
      </c>
      <c r="BW88" s="330" t="str">
        <f>IFERROR((DeemedDashboard[[#This Row],[Pre/Ext refrigerant charge (lb) per NormUnit]]/pounds_per_metric_ton)*DeemedDashboard[[#This Row],[Ext net EOL refrigerant leakage (%)]]*DeemedDashboard[[#This Row],[Pre/Ext GWP]],"")</f>
        <v/>
      </c>
      <c r="BX88" s="299" t="str" cm="1">
        <f t="array" aca="1" ref="BX8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8" s="305" t="str" cm="1">
        <f t="array" aca="1" ref="BY8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8" s="299" t="str">
        <f>IFERROR(IF(OR(DeemedDashboard[[#This Row],[MeasAppType]]&lt;&gt;const_AR,ISBLANK(DeemedDashboard[[#This Row],[MeasAppType]])),NA(),0),"")</f>
        <v/>
      </c>
      <c r="CA88" s="305" t="str" cm="1">
        <f t="array" aca="1" ref="CA8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8" s="299" t="str">
        <f ca="1">IFERROR((DeemedDashboard[[#This Row],[Msr EOL leakage tons CO2e]]*OFFSET(GHG_Adder_dollar_per_tonne,0,(DeemedDashboard[[#This Row],[Msr Device Retire-ment Year]]-DY+1),1,1))/(1+WACC)^(DeemedDashboard[[#This Row],[Msr Device Retire-ment Year]]-DeemedDashboard[[#This Row],[Measure Start Year]]+0.5),"")</f>
        <v/>
      </c>
      <c r="CC88" s="299" t="str">
        <f ca="1">IFERROR((DeemedDashboard[[#This Row],[Std EOL leakage tons CO2e]]*OFFSET(GHG_Adder_dollar_per_tonne,0,(DeemedDashboard[[#This Row],[Std Device Retire-ment Year]]-DY+1),1,1))/(1+WACC)^(DeemedDashboard[[#This Row],[Std Device Retire-ment Year]]-DeemedDashboard[[#This Row],[Measure Start Year]]+0.5),"")</f>
        <v/>
      </c>
      <c r="CD88" s="299" t="str">
        <f ca="1">IFERROR((DeemedDashboard[[#This Row],[Pre EOL leakage tons CO2e]]*OFFSET(GHG_Adder_dollar_per_tonne,0,(DeemedDashboard[[#This Row],[Measure Start Year]]-DY),1,1))/(1+WACC)^(-0.5),"")</f>
        <v/>
      </c>
      <c r="CE8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8" s="299" t="str">
        <f ca="1">IFERROR(DeemedDashboard[[#This Row],[Msr NPV Cost of Annual Leakage]]/(1+ACC_Inflation_Rate)^(DeemedDashboard[[#This Row],[Measure Start Year]]-DY),"")</f>
        <v/>
      </c>
      <c r="CG88" s="299" t="str">
        <f ca="1">IFERROR(DeemedDashboard[[#This Row],[Std NPV Cost of Annual Leakage]]/(1+ACC_Inflation_Rate)^(DeemedDashboard[[#This Row],[Measure Start Year]]-DY),"")</f>
        <v/>
      </c>
      <c r="CH88" s="299" t="str">
        <f>IFERROR(IF(ISBLANK(DeemedDashboard[[#This Row],[MeasAppType]]),NA(),IF(DeemedDashboard[[#This Row],[MeasAppType]]=const_AR,DeemedDashboard[[#This Row],[Pre NPV Cost of Annual Leakage]]/(1+ACC_Inflation_Rate)^(DeemedDashboard[[#This Row],[Measure Start Year]]-DY),"")),"")</f>
        <v/>
      </c>
      <c r="CI88" s="296" t="str">
        <f>IFERROR(IF(ISBLANK(DeemedDashboard[[#This Row],[MeasAppType]]),NA(),IF(DeemedDashboard[[#This Row],[MeasAppType]]=const_AR,DeemedDashboard[[#This Row],[Ext NPV Cost of Annual Leakage]]/(1+ACC_Inflation_Rate)^(DeemedDashboard[[#This Row],[Measure Start Year]]-DY),"")),"")</f>
        <v/>
      </c>
      <c r="CJ88" s="296" t="str">
        <f ca="1">IFERROR((DeemedDashboard[[#This Row],[Msr % of device lifetime during measure years]]+DeemedDashboard[[#This Row],[Msr % of device lifetime retired early]])*DeemedDashboard[[#This Row],[Msr NPV Cost of EOL Leakage]]/(1+ACC_Inflation_Rate)^(DeemedDashboard[[#This Row],[Measure Start Year]]-DY),"")</f>
        <v/>
      </c>
      <c r="CK88" s="296" t="str">
        <f ca="1">IFERROR((DeemedDashboard[[#This Row],[Std % of device lifetime during measure years]]+DeemedDashboard[[#This Row],[Std % of device lifetime retired early]])*DeemedDashboard[[#This Row],[Std NPV Cost of EOL Leakage]]/(1+ACC_Inflation_Rate)^(DeemedDashboard[[#This Row],[Measure Start Year]]-DY),"")</f>
        <v/>
      </c>
      <c r="CL8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8" s="299" t="str">
        <f ca="1">IFERROR(DeemedDashboard[[#This Row],[Counter-factual total 
NPV cost]]-DeemedDashboard[[#This Row],[Measure total 
NPV cost]],"")</f>
        <v/>
      </c>
      <c r="CQ88" s="299" t="str">
        <f>IF(ISBLANK(DeemedDashboard[[#This Row],[MeasAppType]]),"",DeemedDashboard[[#This Row],[Refrigerant
NPV costs
avoided]]&gt;0)</f>
        <v/>
      </c>
      <c r="CR88" s="299" t="str">
        <f ca="1">IFERROR(DeemedDashboard[[#This Row],[Msr Adj NPV Cost of Annual Leakage]]+DeemedDashboard[[#This Row],[Msr Adj NPV Cost of EOL Leakage]],"")</f>
        <v/>
      </c>
      <c r="CS88" s="299" t="str">
        <f ca="1">IFERROR(DeemedDashboard[[#This Row],[Std Adj NPV Cost of Annual Leakage]]+DeemedDashboard[[#This Row],[Std Adj NPV Cost of EOL Leakage]],"")</f>
        <v/>
      </c>
      <c r="CT88" s="299" t="str">
        <f>IFERROR(IF((DeemedDashboard[[#This Row],[Pre Adj NPV Cost of Annual Leakage]]+DeemedDashboard[[#This Row],[Pre Adj NPV Cost of EOL Leakage]])=0,"",DeemedDashboard[[#This Row],[Pre Adj NPV Cost of Annual Leakage]]+DeemedDashboard[[#This Row],[Pre Adj NPV Cost of EOL Leakage]]),"")</f>
        <v/>
      </c>
      <c r="CU88" s="299" t="str">
        <f>IFERROR(IF((DeemedDashboard[[#This Row],[Ext Adj NPV Cost of Annual Leakage]]+DeemedDashboard[[#This Row],[Ext Adj NPV Cost of EOL Leakage]])=0,"",DeemedDashboard[[#This Row],[Ext Adj NPV Cost of Annual Leakage]]+DeemedDashboard[[#This Row],[Ext Adj NPV Cost of EOL Leakage]]),"")</f>
        <v/>
      </c>
      <c r="CV88" s="299" t="str">
        <f>IFERROR(IF(DeemedDashboard[[#This Row],[Is Avoided Net Cost &gt;0?]],"",-DeemedDashboard[[#This Row],[Refrigerant
NPV costs
avoided]]),"")</f>
        <v/>
      </c>
      <c r="CW88" s="299" t="str">
        <f>IFERROR(IF(DeemedDashboard[[#This Row],[Is Avoided Net Cost &gt;0?]],DeemedDashboard[[#This Row],[Refrigerant
NPV costs
avoided]],""),"")</f>
        <v/>
      </c>
      <c r="CX88" s="391">
        <f ca="1">IFERROR(MATCH(DeemedDashboard[[#This Row],[TechGroup and NormUnit]],TechGroup_and_NormUnit,0),1)</f>
        <v>1</v>
      </c>
      <c r="CY88" s="391" cm="1">
        <f t="array" aca="1" ref="CY88" ca="1">IFERROR(INDEX(TGRows,DeemedDashboard[[#This Row],[TGIndex]]),"")</f>
        <v>2</v>
      </c>
      <c r="CZ88" s="391">
        <f ca="1">IF(DeemedDashboard[[#This Row],[MeasAppType]]=const_AR,DeemedDashboard[[#This Row],[TGRows]],DeemedDashboard[[#This Row],[TGRows]]+1)</f>
        <v>3</v>
      </c>
      <c r="DA88" s="391" t="str">
        <f>IF(ISBLANK(DeemedDashboard[[#This Row],[MeasAppType]]),"",IF(DeemedDashboard[[#This Row],[Index]]=User_Specified_Refrigerant[[#This Row],[Index]],"OK","ERROR"))</f>
        <v/>
      </c>
    </row>
    <row r="89" spans="1:105" s="320" customFormat="1" x14ac:dyDescent="0.25">
      <c r="A89" s="297">
        <f>ROW(DeemedDashboard[[#This Row],[Index]])-ROW(DeemedDashboard[[#Headers],[Index]])</f>
        <v>80</v>
      </c>
      <c r="B89" s="298"/>
      <c r="C89" s="321"/>
      <c r="D89" s="403"/>
      <c r="E89" s="403"/>
      <c r="F89" s="403"/>
      <c r="G89" s="403"/>
      <c r="H89" s="366"/>
      <c r="I89" s="339"/>
      <c r="J89" s="339"/>
      <c r="K89" s="339"/>
      <c r="L89" s="322"/>
      <c r="M89" s="322"/>
      <c r="N89" s="322"/>
      <c r="O8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8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8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89" s="582" t="str" cm="1">
        <f t="array" ref="R89">IFERROR(IF(DeemedDashboard[[#This Row],[Msr device type]]=const_device_nonrefrig,0,INDEX(_xlfn.SWITCH($E$4,const_20_yr,GWP_Values_20_year_AR4,const_100_yr,GWP_Values_100_year_AR4),MATCH(DeemedDashboard[[#This Row],[Msr refrigerant Type]],RefrigDropdownList,0))),"")</f>
        <v/>
      </c>
      <c r="S89" s="582" t="str" cm="1">
        <f t="array" ref="S89">IFERROR(IF(DeemedDashboard[[#This Row],[Std device type]]=const_device_nonrefrig,0,INDEX(_xlfn.SWITCH($E$4,const_20_yr,GWP_Values_20_year_AR4,const_100_yr,GWP_Values_100_year_AR4),MATCH(DeemedDashboard[[#This Row],[Std refrigerant Type]],RefrigDropdownList,0))),"")</f>
        <v/>
      </c>
      <c r="T89" s="582" t="str" cm="1">
        <f t="array" ref="T89">IFERROR(IF(DeemedDashboard[[#This Row],[Pre/Ext device type]]=const_device_nonrefrig,0,INDEX(_xlfn.SWITCH($E$4,const_20_yr,GWP_Values_20_year_AR4,const_100_yr,GWP_Values_100_year_AR4),MATCH(DeemedDashboard[[#This Row],[Pre/Ext refrigerant Type]],RefrigDropdownList,0))),"")</f>
        <v/>
      </c>
      <c r="U8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8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8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8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8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8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89" s="326" t="str">
        <f>IFERROR(IF(DeemedDashboard[[#This Row],[Msr device type]]=const_userspec,IF(ISBLANK(User_Specified_Refrigerant[[#This Row],[Msr t_EOL]]),"",User_Specified_Refrigerant[[#This Row],[Msr t_EOL]]),INDEX(TechGroup_NormUnit_Table[t_EOL],MATCH(DeemedDashboard[[#This Row],[Msr device type]],DropdownRefrigTech,0))),"")</f>
        <v/>
      </c>
      <c r="AB89" s="326" t="str">
        <f>IFERROR(IF(DeemedDashboard[[#This Row],[Std device type]]=const_userspec,IF(ISBLANK(User_Specified_Refrigerant[[#This Row],[Std t_EOL]]),"",User_Specified_Refrigerant[[#This Row],[Std t_EOL]]),INDEX(TechGroup_NormUnit_Table[t_EOL],MATCH(DeemedDashboard[[#This Row],[Std device type]],DropdownRefrigTech,0))),"")</f>
        <v/>
      </c>
      <c r="AC8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89" s="395" t="str">
        <f>IF(ISBLANK(DeemedDashboard[[#This Row],[MeasAppType]]),"",$E$2)</f>
        <v/>
      </c>
      <c r="AE89" s="395" t="str">
        <f>IFERROR(IF(ISBLANK(DeemedDashboard[[#This Row],[MeasAppType]]),NA(),DeemedDashboard[[#This Row],[Measure Start Year]]+DeemedDashboard[[#This Row],[Msr EUL rounded]]-1),"")</f>
        <v/>
      </c>
      <c r="AF89" s="323" t="str">
        <f>IF(ISBLANK(DeemedDashboard[[#This Row],[Measure New Device EUL]]),"",ROUND(DeemedDashboard[[#This Row],[Measure New Device EUL]],0))</f>
        <v/>
      </c>
      <c r="AG89" s="323" t="str">
        <f>IF(ISBLANK(DeemedDashboard[[#This Row],[Counterfactual New Device EUL]]),"",ROUND(DeemedDashboard[[#This Row],[Counterfactual New Device EUL]],0))</f>
        <v/>
      </c>
      <c r="AH89" s="323" t="str">
        <f>IF(ISBLANK(DeemedDashboard[[#This Row],[Existing Device EUL]]),"",ROUND(DeemedDashboard[[#This Row],[Existing Device EUL]],0))</f>
        <v/>
      </c>
      <c r="AI89" s="323" t="str">
        <f>IF(ISBLANK(DeemedDashboard[[#This Row],[Existing Device RUL or AR First Baseline Life]]),"",ROUND(DeemedDashboard[[#This Row],[Existing Device RUL or AR First Baseline Life]],0))</f>
        <v/>
      </c>
      <c r="AJ89" s="327" t="str">
        <f>DeemedDashboard[[#This Row],[Measure Start Year]]</f>
        <v/>
      </c>
      <c r="AK89" s="327" t="str">
        <f>IF(DeemedDashboard[[#This Row],[MeasAppType]]&lt;&gt;const_AR,DeemedDashboard[[#This Row],[Measure Start Year]],DeemedDashboard[[#This Row],[Ext Device Retire-ment Year]]+1)</f>
        <v/>
      </c>
      <c r="AL89" s="327" t="str">
        <f>IFERROR(IF(DeemedDashboard[[#This Row],[MeasAppType]]=const_AR,DeemedDashboard[[#This Row],[Measure Start Year]]-(DeemedDashboard[[#This Row],[Existing Device EUL]]-DeemedDashboard[[#This Row],[Existing Device RUL or AR First Baseline Life]]),NA()),"")</f>
        <v/>
      </c>
      <c r="AM89" s="327" t="str">
        <f>DeemedDashboard[[#This Row],[Pre Device Install Year]]</f>
        <v/>
      </c>
      <c r="AN89" s="327" t="str">
        <f>IFERROR(IF(ISBLANK(DeemedDashboard[[#This Row],[MeasAppType]]),NA(),DeemedDashboard[[#This Row],[Measure Start Year]]+DeemedDashboard[[#This Row],[Msr EUL rounded]]-1),"")</f>
        <v/>
      </c>
      <c r="AO89" s="327" t="str">
        <f>IFERROR(DeemedDashboard[[#This Row],[Std Device Install Year]]+DeemedDashboard[[#This Row],[Counterfactual New Device EUL]]-1,"")</f>
        <v/>
      </c>
      <c r="AP89" s="327" t="str">
        <f>IFERROR(IF(AND(DeemedDashboard[[#This Row],[MeasAppType]]=const_AR,DeemedDashboard[[#This Row],[Measure Start Year]]&lt;(DeemedDashboard[[#This Row],[Pre Device Install Year]]+DeemedDashboard[[#This Row],[Existing Device EUL]]-1)),DeemedDashboard[[#This Row],[Measure Start Year]]-1,NA()),"")</f>
        <v/>
      </c>
      <c r="AQ89" s="327" t="str">
        <f>IFERROR(IF(DeemedDashboard[[#This Row],[MeasAppType]]=const_AR,DeemedDashboard[[#This Row],[Ext Device Install Year]]+DeemedDashboard[[#This Row],[Existing Device EUL]]-1,NA()),"")</f>
        <v/>
      </c>
      <c r="AR89" s="327" t="str">
        <f>IFERROR(IF(ISBLANK(DeemedDashboard[[#This Row],[MeasAppType]]),NA(),0),"")</f>
        <v/>
      </c>
      <c r="AS89" s="327" t="str">
        <f>IFERROR(IF(ISBLANK(DeemedDashboard[[#This Row],[MeasAppType]]),NA(),0),"")</f>
        <v/>
      </c>
      <c r="AT89" s="327" t="str">
        <f>IF(ISBLANK(DeemedDashboard[[#This Row],[MeasAppType]]),"",IF(DeemedDashboard[[#This Row],[MeasAppType]]&lt;&gt;const_AR,"",(DeemedDashboard[[#This Row],[Pre Device Install Year]]+DeemedDashboard[[#This Row],[Existing Device EUL]]-1)-DeemedDashboard[[#This Row],[Pre Device Retire-ment Year]]))</f>
        <v/>
      </c>
      <c r="AU89" s="327" t="str">
        <f>IF(ISBLANK(DeemedDashboard[[#This Row],[MeasAppType]]),"",IF(DeemedDashboard[[#This Row],[MeasAppType]]=const_AR,0,""))</f>
        <v/>
      </c>
      <c r="AV89" s="328" t="str">
        <f>IF(ISBLANK(DeemedDashboard[[#This Row],[MeasAppType]]),"",MAX((1+MIN(DeemedDashboard[[#This Row],[Msr Device Retire-ment Year]],DeemedDashboard[[#This Row],[Measure End 
Year]])-MAX(DeemedDashboard[[#This Row],[Msr Device Install Year]],DeemedDashboard[[#This Row],[Measure Start Year]])),0))</f>
        <v/>
      </c>
      <c r="AW89" s="328" t="str">
        <f>IF(ISBLANK(DeemedDashboard[[#This Row],[MeasAppType]]),"",MAX((1+MIN(DeemedDashboard[[#This Row],[Std Device Retire-ment Year]],DeemedDashboard[[#This Row],[Measure End 
Year]])-MAX(DeemedDashboard[[#This Row],[Std Device Install Year]],DeemedDashboard[[#This Row],[Measure Start Year]])),0))</f>
        <v/>
      </c>
      <c r="AX8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8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89" s="329" t="str">
        <f>IF(ISBLANK(DeemedDashboard[[#This Row],[MeasAppType]]),"",IF(DeemedDashboard[[#This Row],[Msr Device Years Over-lapping with Measure Years]]=0,0,DeemedDashboard[[#This Row],[Msr Device Years Over-lapping with Measure Years]]/DeemedDashboard[[#This Row],[Msr EUL rounded]]))</f>
        <v/>
      </c>
      <c r="BA89" s="329" t="str">
        <f>IF(ISBLANK(DeemedDashboard[[#This Row],[MeasAppType]]),"",IF(DeemedDashboard[[#This Row],[Std Device Years Over-lapping with Measure Years]]=0,0,DeemedDashboard[[#This Row],[Std Device Years Over-lapping with Measure Years]]/DeemedDashboard[[#This Row],[Counterfactual New Device EUL]]))</f>
        <v/>
      </c>
      <c r="BB89" s="329" t="str">
        <f>IF(ISBLANK(DeemedDashboard[[#This Row],[MeasAppType]]),"",IFERROR(IF(DeemedDashboard[[#This Row],[Pre Device Years Over-lapping with Measure Years]]=0,0,DeemedDashboard[[#This Row],[Pre Device Years Over-lapping with Measure Years]]/DeemedDashboard[[#This Row],[Existing Device EUL]]),""))</f>
        <v/>
      </c>
      <c r="BC89" s="329" t="str">
        <f>IFERROR(IF(DeemedDashboard[[#This Row],[Ext Device Years Over-lapping with Measure Years]]=0,0,DeemedDashboard[[#This Row],[Ext Device Years Over-lapping with Measure Years]]/DeemedDashboard[[#This Row],[Existing Device EUL]]),"")</f>
        <v/>
      </c>
      <c r="BD89" s="329" t="str">
        <f>IFERROR(IF(DeemedDashboard[[#This Row],[Msr Number of Years device retired early]]=0,0,DeemedDashboard[[#This Row],[Msr Number of Years device retired early]]/DeemedDashboard[[#This Row],[Msr EUL rounded]]),"")</f>
        <v/>
      </c>
      <c r="BE89" s="329" t="str">
        <f>IFERROR(IF(DeemedDashboard[[#This Row],[Std Number of Years device retired early]]=0,0,DeemedDashboard[[#This Row],[Std Number of Years device retired early]]/DeemedDashboard[[#This Row],[Msr EUL rounded]]),"")</f>
        <v/>
      </c>
      <c r="BF89" s="329" t="str">
        <f>IFERROR(IF(DeemedDashboard[[#This Row],[MeasAppType]]&lt;&gt;const_AR,"",IF(DeemedDashboard[[#This Row],[Pre Number of Years device retired early]]=0,0,DeemedDashboard[[#This Row],[Pre Number of Years device retired early]]/DeemedDashboard[[#This Row],[Existing Device EUL]])),"")</f>
        <v/>
      </c>
      <c r="BG89" s="329" t="str">
        <f>IFERROR(IF(DeemedDashboard[[#This Row],[Ext Number of Years device retired early]]=0,0,DeemedDashboard[[#This Row],[Ext Number of Years device retired early]]/DeemedDashboard[[#This Row],[Existing Device EUL]]),"")</f>
        <v/>
      </c>
      <c r="BH89" s="325" t="str">
        <f>IFERROR(1-DeemedDashboard[[#This Row],[Msr annual refrigerant leakage %]]*DeemedDashboard[[#This Row],[Msr t_EOL]],"")</f>
        <v/>
      </c>
      <c r="BI89" s="325" t="str">
        <f>IFERROR(1-DeemedDashboard[[#This Row],[Std annual refrigerant leakage %]]*DeemedDashboard[[#This Row],[Std t_EOL]],"")</f>
        <v/>
      </c>
      <c r="BJ89" s="325" t="str">
        <f>IFERROR(1-DeemedDashboard[[#This Row],[Pre/Ext annual refrigerant leakage %]]*DeemedDashboard[[#This Row],[Pre/Ext t_EOL]],"")</f>
        <v/>
      </c>
      <c r="BK89" s="325" t="str">
        <f>IFERROR(1-DeemedDashboard[[#This Row],[Pre/Ext annual refrigerant leakage %]]*DeemedDashboard[[#This Row],[Pre/Ext t_EOL]],"")</f>
        <v/>
      </c>
      <c r="BL89" s="325" t="str">
        <f>IFERROR(DeemedDashboard[[#This Row],[Msr charging remaining (%)]]*DeemedDashboard[[#This Row],[Msr gross EOL refrigerant leakage %]],"")</f>
        <v/>
      </c>
      <c r="BM89" s="325" t="str">
        <f>IFERROR(DeemedDashboard[[#This Row],[Std charging remaining (%)]]*DeemedDashboard[[#This Row],[Std gross EOL refrigerant leakage %]],"")</f>
        <v/>
      </c>
      <c r="BN89" s="325" t="str">
        <f>IFERROR(DeemedDashboard[[#This Row],[Pre charging remaining (%)]]*DeemedDashboard[[#This Row],[Pre/Ext gross EOL refrigerant leakage %]],"")</f>
        <v/>
      </c>
      <c r="BO89" s="325" t="str">
        <f>IFERROR(DeemedDashboard[[#This Row],[Ext charging remaining (%)]]*DeemedDashboard[[#This Row],[Pre/Ext gross EOL refrigerant leakage %]],"")</f>
        <v/>
      </c>
      <c r="BP89" s="330" t="str">
        <f>IFERROR((DeemedDashboard[[#This Row],[Msr refrigerant charge (lb) per NormUnit]]/pounds_per_metric_ton)*DeemedDashboard[[#This Row],[Msr annual refrigerant leakage %]]*DeemedDashboard[[#This Row],[Msr GWP]],"")</f>
        <v/>
      </c>
      <c r="BQ89" s="330" t="str">
        <f>IFERROR((DeemedDashboard[[#This Row],[Std refrigerant charge (lb) per NormUnit]]/pounds_per_metric_ton)*DeemedDashboard[[#This Row],[Std annual refrigerant leakage %]]*DeemedDashboard[[#This Row],[Std GWP]],"")</f>
        <v/>
      </c>
      <c r="BR89" s="330" t="str">
        <f>IF(DeemedDashboard[[#This Row],[MeasAppType]]=const_AR,(DeemedDashboard[[#This Row],[Pre/Ext refrigerant charge (lb) per NormUnit]]/pounds_per_metric_ton)*DeemedDashboard[[#This Row],[Pre/Ext annual refrigerant leakage %]]*DeemedDashboard[[#This Row],[Pre/Ext GWP]],"")</f>
        <v/>
      </c>
      <c r="BS89" s="330" t="str">
        <f>IF(DeemedDashboard[[#This Row],[MeasAppType]]=const_AR,(DeemedDashboard[[#This Row],[Pre/Ext refrigerant charge (lb) per NormUnit]]/pounds_per_metric_ton)*DeemedDashboard[[#This Row],[Pre/Ext annual refrigerant leakage %]]*DeemedDashboard[[#This Row],[Pre/Ext GWP]],"")</f>
        <v/>
      </c>
      <c r="BT89" s="330" t="str">
        <f>IFERROR((DeemedDashboard[[#This Row],[Msr refrigerant charge (lb) per NormUnit]]/pounds_per_metric_ton)*DeemedDashboard[[#This Row],[Msr net EOL refrigerant leakage (%)]]*DeemedDashboard[[#This Row],[Msr GWP]],"")</f>
        <v/>
      </c>
      <c r="BU89" s="330" t="str">
        <f>IFERROR((DeemedDashboard[[#This Row],[Std refrigerant charge (lb) per NormUnit]]/pounds_per_metric_ton)*DeemedDashboard[[#This Row],[Std net EOL refrigerant leakage (%)]]*DeemedDashboard[[#This Row],[Std GWP]],"")</f>
        <v/>
      </c>
      <c r="BV89" s="330" t="str">
        <f>IFERROR((DeemedDashboard[[#This Row],[Pre/Ext refrigerant charge (lb) per NormUnit]]/pounds_per_metric_ton)*DeemedDashboard[[#This Row],[Pre net EOL refrigerant leakage (%)]]*DeemedDashboard[[#This Row],[Pre/Ext GWP]],"")</f>
        <v/>
      </c>
      <c r="BW89" s="330" t="str">
        <f>IFERROR((DeemedDashboard[[#This Row],[Pre/Ext refrigerant charge (lb) per NormUnit]]/pounds_per_metric_ton)*DeemedDashboard[[#This Row],[Ext net EOL refrigerant leakage (%)]]*DeemedDashboard[[#This Row],[Pre/Ext GWP]],"")</f>
        <v/>
      </c>
      <c r="BX89" s="299" t="str" cm="1">
        <f t="array" aca="1" ref="BX8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89" s="305" t="str" cm="1">
        <f t="array" aca="1" ref="BY8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89" s="299" t="str">
        <f>IFERROR(IF(OR(DeemedDashboard[[#This Row],[MeasAppType]]&lt;&gt;const_AR,ISBLANK(DeemedDashboard[[#This Row],[MeasAppType]])),NA(),0),"")</f>
        <v/>
      </c>
      <c r="CA89" s="305" t="str" cm="1">
        <f t="array" aca="1" ref="CA8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89" s="299" t="str">
        <f ca="1">IFERROR((DeemedDashboard[[#This Row],[Msr EOL leakage tons CO2e]]*OFFSET(GHG_Adder_dollar_per_tonne,0,(DeemedDashboard[[#This Row],[Msr Device Retire-ment Year]]-DY+1),1,1))/(1+WACC)^(DeemedDashboard[[#This Row],[Msr Device Retire-ment Year]]-DeemedDashboard[[#This Row],[Measure Start Year]]+0.5),"")</f>
        <v/>
      </c>
      <c r="CC89" s="299" t="str">
        <f ca="1">IFERROR((DeemedDashboard[[#This Row],[Std EOL leakage tons CO2e]]*OFFSET(GHG_Adder_dollar_per_tonne,0,(DeemedDashboard[[#This Row],[Std Device Retire-ment Year]]-DY+1),1,1))/(1+WACC)^(DeemedDashboard[[#This Row],[Std Device Retire-ment Year]]-DeemedDashboard[[#This Row],[Measure Start Year]]+0.5),"")</f>
        <v/>
      </c>
      <c r="CD89" s="299" t="str">
        <f ca="1">IFERROR((DeemedDashboard[[#This Row],[Pre EOL leakage tons CO2e]]*OFFSET(GHG_Adder_dollar_per_tonne,0,(DeemedDashboard[[#This Row],[Measure Start Year]]-DY),1,1))/(1+WACC)^(-0.5),"")</f>
        <v/>
      </c>
      <c r="CE8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89" s="296" t="str">
        <f ca="1">IFERROR(DeemedDashboard[[#This Row],[Msr NPV Cost of Annual Leakage]]/(1+ACC_Inflation_Rate)^(DeemedDashboard[[#This Row],[Measure Start Year]]-DY),"")</f>
        <v/>
      </c>
      <c r="CG89" s="296" t="str">
        <f ca="1">IFERROR(DeemedDashboard[[#This Row],[Std NPV Cost of Annual Leakage]]/(1+ACC_Inflation_Rate)^(DeemedDashboard[[#This Row],[Measure Start Year]]-DY),"")</f>
        <v/>
      </c>
      <c r="CH89" s="296" t="str">
        <f>IFERROR(IF(ISBLANK(DeemedDashboard[[#This Row],[MeasAppType]]),NA(),IF(DeemedDashboard[[#This Row],[MeasAppType]]=const_AR,DeemedDashboard[[#This Row],[Pre NPV Cost of Annual Leakage]]/(1+ACC_Inflation_Rate)^(DeemedDashboard[[#This Row],[Measure Start Year]]-DY),"")),"")</f>
        <v/>
      </c>
      <c r="CI89" s="296" t="str">
        <f>IFERROR(IF(ISBLANK(DeemedDashboard[[#This Row],[MeasAppType]]),NA(),IF(DeemedDashboard[[#This Row],[MeasAppType]]=const_AR,DeemedDashboard[[#This Row],[Ext NPV Cost of Annual Leakage]]/(1+ACC_Inflation_Rate)^(DeemedDashboard[[#This Row],[Measure Start Year]]-DY),"")),"")</f>
        <v/>
      </c>
      <c r="CJ89" s="296" t="str">
        <f ca="1">IFERROR((DeemedDashboard[[#This Row],[Msr % of device lifetime during measure years]]+DeemedDashboard[[#This Row],[Msr % of device lifetime retired early]])*DeemedDashboard[[#This Row],[Msr NPV Cost of EOL Leakage]]/(1+ACC_Inflation_Rate)^(DeemedDashboard[[#This Row],[Measure Start Year]]-DY),"")</f>
        <v/>
      </c>
      <c r="CK89" s="296" t="str">
        <f ca="1">IFERROR((DeemedDashboard[[#This Row],[Std % of device lifetime during measure years]]+DeemedDashboard[[#This Row],[Std % of device lifetime retired early]])*DeemedDashboard[[#This Row],[Std NPV Cost of EOL Leakage]]/(1+ACC_Inflation_Rate)^(DeemedDashboard[[#This Row],[Measure Start Year]]-DY),"")</f>
        <v/>
      </c>
      <c r="CL8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8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8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8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89" s="299" t="str">
        <f ca="1">IFERROR(DeemedDashboard[[#This Row],[Counter-factual total 
NPV cost]]-DeemedDashboard[[#This Row],[Measure total 
NPV cost]],"")</f>
        <v/>
      </c>
      <c r="CQ89" s="299" t="str">
        <f>IF(ISBLANK(DeemedDashboard[[#This Row],[MeasAppType]]),"",DeemedDashboard[[#This Row],[Refrigerant
NPV costs
avoided]]&gt;0)</f>
        <v/>
      </c>
      <c r="CR89" s="299" t="str">
        <f ca="1">IFERROR(DeemedDashboard[[#This Row],[Msr Adj NPV Cost of Annual Leakage]]+DeemedDashboard[[#This Row],[Msr Adj NPV Cost of EOL Leakage]],"")</f>
        <v/>
      </c>
      <c r="CS89" s="299" t="str">
        <f ca="1">IFERROR(DeemedDashboard[[#This Row],[Std Adj NPV Cost of Annual Leakage]]+DeemedDashboard[[#This Row],[Std Adj NPV Cost of EOL Leakage]],"")</f>
        <v/>
      </c>
      <c r="CT89" s="299" t="str">
        <f>IFERROR(IF((DeemedDashboard[[#This Row],[Pre Adj NPV Cost of Annual Leakage]]+DeemedDashboard[[#This Row],[Pre Adj NPV Cost of EOL Leakage]])=0,"",DeemedDashboard[[#This Row],[Pre Adj NPV Cost of Annual Leakage]]+DeemedDashboard[[#This Row],[Pre Adj NPV Cost of EOL Leakage]]),"")</f>
        <v/>
      </c>
      <c r="CU89" s="299" t="str">
        <f>IFERROR(IF((DeemedDashboard[[#This Row],[Ext Adj NPV Cost of Annual Leakage]]+DeemedDashboard[[#This Row],[Ext Adj NPV Cost of EOL Leakage]])=0,"",DeemedDashboard[[#This Row],[Ext Adj NPV Cost of Annual Leakage]]+DeemedDashboard[[#This Row],[Ext Adj NPV Cost of EOL Leakage]]),"")</f>
        <v/>
      </c>
      <c r="CV89" s="299" t="str">
        <f>IFERROR(IF(DeemedDashboard[[#This Row],[Is Avoided Net Cost &gt;0?]],"",-DeemedDashboard[[#This Row],[Refrigerant
NPV costs
avoided]]),"")</f>
        <v/>
      </c>
      <c r="CW89" s="299" t="str">
        <f>IFERROR(IF(DeemedDashboard[[#This Row],[Is Avoided Net Cost &gt;0?]],DeemedDashboard[[#This Row],[Refrigerant
NPV costs
avoided]],""),"")</f>
        <v/>
      </c>
      <c r="CX89" s="391">
        <f ca="1">IFERROR(MATCH(DeemedDashboard[[#This Row],[TechGroup and NormUnit]],TechGroup_and_NormUnit,0),1)</f>
        <v>1</v>
      </c>
      <c r="CY89" s="391" cm="1">
        <f t="array" aca="1" ref="CY89" ca="1">IFERROR(INDEX(TGRows,DeemedDashboard[[#This Row],[TGIndex]]),"")</f>
        <v>2</v>
      </c>
      <c r="CZ89" s="391">
        <f ca="1">IF(DeemedDashboard[[#This Row],[MeasAppType]]=const_AR,DeemedDashboard[[#This Row],[TGRows]],DeemedDashboard[[#This Row],[TGRows]]+1)</f>
        <v>3</v>
      </c>
      <c r="DA89" s="391" t="str">
        <f>IF(ISBLANK(DeemedDashboard[[#This Row],[MeasAppType]]),"",IF(DeemedDashboard[[#This Row],[Index]]=User_Specified_Refrigerant[[#This Row],[Index]],"OK","ERROR"))</f>
        <v/>
      </c>
    </row>
    <row r="90" spans="1:105" s="320" customFormat="1" x14ac:dyDescent="0.25">
      <c r="A90" s="297">
        <f>ROW(DeemedDashboard[[#This Row],[Index]])-ROW(DeemedDashboard[[#Headers],[Index]])</f>
        <v>81</v>
      </c>
      <c r="B90" s="298"/>
      <c r="C90" s="321"/>
      <c r="D90" s="403"/>
      <c r="E90" s="403"/>
      <c r="F90" s="403"/>
      <c r="G90" s="403"/>
      <c r="H90" s="366"/>
      <c r="I90" s="339"/>
      <c r="J90" s="339"/>
      <c r="K90" s="339"/>
      <c r="L90" s="322"/>
      <c r="M90" s="322"/>
      <c r="N90" s="322"/>
      <c r="O9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0" s="582" t="str" cm="1">
        <f t="array" ref="R90">IFERROR(IF(DeemedDashboard[[#This Row],[Msr device type]]=const_device_nonrefrig,0,INDEX(_xlfn.SWITCH($E$4,const_20_yr,GWP_Values_20_year_AR4,const_100_yr,GWP_Values_100_year_AR4),MATCH(DeemedDashboard[[#This Row],[Msr refrigerant Type]],RefrigDropdownList,0))),"")</f>
        <v/>
      </c>
      <c r="S90" s="582" t="str" cm="1">
        <f t="array" ref="S90">IFERROR(IF(DeemedDashboard[[#This Row],[Std device type]]=const_device_nonrefrig,0,INDEX(_xlfn.SWITCH($E$4,const_20_yr,GWP_Values_20_year_AR4,const_100_yr,GWP_Values_100_year_AR4),MATCH(DeemedDashboard[[#This Row],[Std refrigerant Type]],RefrigDropdownList,0))),"")</f>
        <v/>
      </c>
      <c r="T90" s="582" t="str" cm="1">
        <f t="array" ref="T90">IFERROR(IF(DeemedDashboard[[#This Row],[Pre/Ext device type]]=const_device_nonrefrig,0,INDEX(_xlfn.SWITCH($E$4,const_20_yr,GWP_Values_20_year_AR4,const_100_yr,GWP_Values_100_year_AR4),MATCH(DeemedDashboard[[#This Row],[Pre/Ext refrigerant Type]],RefrigDropdownList,0))),"")</f>
        <v/>
      </c>
      <c r="U9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0" s="326" t="str">
        <f>IFERROR(IF(DeemedDashboard[[#This Row],[Msr device type]]=const_userspec,IF(ISBLANK(User_Specified_Refrigerant[[#This Row],[Msr t_EOL]]),"",User_Specified_Refrigerant[[#This Row],[Msr t_EOL]]),INDEX(TechGroup_NormUnit_Table[t_EOL],MATCH(DeemedDashboard[[#This Row],[Msr device type]],DropdownRefrigTech,0))),"")</f>
        <v/>
      </c>
      <c r="AB90" s="326" t="str">
        <f>IFERROR(IF(DeemedDashboard[[#This Row],[Std device type]]=const_userspec,IF(ISBLANK(User_Specified_Refrigerant[[#This Row],[Std t_EOL]]),"",User_Specified_Refrigerant[[#This Row],[Std t_EOL]]),INDEX(TechGroup_NormUnit_Table[t_EOL],MATCH(DeemedDashboard[[#This Row],[Std device type]],DropdownRefrigTech,0))),"")</f>
        <v/>
      </c>
      <c r="AC9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0" s="395" t="str">
        <f>IF(ISBLANK(DeemedDashboard[[#This Row],[MeasAppType]]),"",$E$2)</f>
        <v/>
      </c>
      <c r="AE90" s="395" t="str">
        <f>IFERROR(IF(ISBLANK(DeemedDashboard[[#This Row],[MeasAppType]]),NA(),DeemedDashboard[[#This Row],[Measure Start Year]]+DeemedDashboard[[#This Row],[Msr EUL rounded]]-1),"")</f>
        <v/>
      </c>
      <c r="AF90" s="323" t="str">
        <f>IF(ISBLANK(DeemedDashboard[[#This Row],[Measure New Device EUL]]),"",ROUND(DeemedDashboard[[#This Row],[Measure New Device EUL]],0))</f>
        <v/>
      </c>
      <c r="AG90" s="323" t="str">
        <f>IF(ISBLANK(DeemedDashboard[[#This Row],[Counterfactual New Device EUL]]),"",ROUND(DeemedDashboard[[#This Row],[Counterfactual New Device EUL]],0))</f>
        <v/>
      </c>
      <c r="AH90" s="323" t="str">
        <f>IF(ISBLANK(DeemedDashboard[[#This Row],[Existing Device EUL]]),"",ROUND(DeemedDashboard[[#This Row],[Existing Device EUL]],0))</f>
        <v/>
      </c>
      <c r="AI90" s="323" t="str">
        <f>IF(ISBLANK(DeemedDashboard[[#This Row],[Existing Device RUL or AR First Baseline Life]]),"",ROUND(DeemedDashboard[[#This Row],[Existing Device RUL or AR First Baseline Life]],0))</f>
        <v/>
      </c>
      <c r="AJ90" s="327" t="str">
        <f>DeemedDashboard[[#This Row],[Measure Start Year]]</f>
        <v/>
      </c>
      <c r="AK90" s="327" t="str">
        <f>IF(DeemedDashboard[[#This Row],[MeasAppType]]&lt;&gt;const_AR,DeemedDashboard[[#This Row],[Measure Start Year]],DeemedDashboard[[#This Row],[Ext Device Retire-ment Year]]+1)</f>
        <v/>
      </c>
      <c r="AL90" s="327" t="str">
        <f>IFERROR(IF(DeemedDashboard[[#This Row],[MeasAppType]]=const_AR,DeemedDashboard[[#This Row],[Measure Start Year]]-(DeemedDashboard[[#This Row],[Existing Device EUL]]-DeemedDashboard[[#This Row],[Existing Device RUL or AR First Baseline Life]]),NA()),"")</f>
        <v/>
      </c>
      <c r="AM90" s="327" t="str">
        <f>DeemedDashboard[[#This Row],[Pre Device Install Year]]</f>
        <v/>
      </c>
      <c r="AN90" s="327" t="str">
        <f>IFERROR(IF(ISBLANK(DeemedDashboard[[#This Row],[MeasAppType]]),NA(),DeemedDashboard[[#This Row],[Measure Start Year]]+DeemedDashboard[[#This Row],[Msr EUL rounded]]-1),"")</f>
        <v/>
      </c>
      <c r="AO90" s="327" t="str">
        <f>IFERROR(DeemedDashboard[[#This Row],[Std Device Install Year]]+DeemedDashboard[[#This Row],[Counterfactual New Device EUL]]-1,"")</f>
        <v/>
      </c>
      <c r="AP90" s="327" t="str">
        <f>IFERROR(IF(AND(DeemedDashboard[[#This Row],[MeasAppType]]=const_AR,DeemedDashboard[[#This Row],[Measure Start Year]]&lt;(DeemedDashboard[[#This Row],[Pre Device Install Year]]+DeemedDashboard[[#This Row],[Existing Device EUL]]-1)),DeemedDashboard[[#This Row],[Measure Start Year]]-1,NA()),"")</f>
        <v/>
      </c>
      <c r="AQ90" s="327" t="str">
        <f>IFERROR(IF(DeemedDashboard[[#This Row],[MeasAppType]]=const_AR,DeemedDashboard[[#This Row],[Ext Device Install Year]]+DeemedDashboard[[#This Row],[Existing Device EUL]]-1,NA()),"")</f>
        <v/>
      </c>
      <c r="AR90" s="327" t="str">
        <f>IFERROR(IF(ISBLANK(DeemedDashboard[[#This Row],[MeasAppType]]),NA(),0),"")</f>
        <v/>
      </c>
      <c r="AS90" s="327" t="str">
        <f>IFERROR(IF(ISBLANK(DeemedDashboard[[#This Row],[MeasAppType]]),NA(),0),"")</f>
        <v/>
      </c>
      <c r="AT90" s="327" t="str">
        <f>IF(ISBLANK(DeemedDashboard[[#This Row],[MeasAppType]]),"",IF(DeemedDashboard[[#This Row],[MeasAppType]]&lt;&gt;const_AR,"",(DeemedDashboard[[#This Row],[Pre Device Install Year]]+DeemedDashboard[[#This Row],[Existing Device EUL]]-1)-DeemedDashboard[[#This Row],[Pre Device Retire-ment Year]]))</f>
        <v/>
      </c>
      <c r="AU90" s="327" t="str">
        <f>IF(ISBLANK(DeemedDashboard[[#This Row],[MeasAppType]]),"",IF(DeemedDashboard[[#This Row],[MeasAppType]]=const_AR,0,""))</f>
        <v/>
      </c>
      <c r="AV90" s="328" t="str">
        <f>IF(ISBLANK(DeemedDashboard[[#This Row],[MeasAppType]]),"",MAX((1+MIN(DeemedDashboard[[#This Row],[Msr Device Retire-ment Year]],DeemedDashboard[[#This Row],[Measure End 
Year]])-MAX(DeemedDashboard[[#This Row],[Msr Device Install Year]],DeemedDashboard[[#This Row],[Measure Start Year]])),0))</f>
        <v/>
      </c>
      <c r="AW90" s="328" t="str">
        <f>IF(ISBLANK(DeemedDashboard[[#This Row],[MeasAppType]]),"",MAX((1+MIN(DeemedDashboard[[#This Row],[Std Device Retire-ment Year]],DeemedDashboard[[#This Row],[Measure End 
Year]])-MAX(DeemedDashboard[[#This Row],[Std Device Install Year]],DeemedDashboard[[#This Row],[Measure Start Year]])),0))</f>
        <v/>
      </c>
      <c r="AX9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0" s="329" t="str">
        <f>IF(ISBLANK(DeemedDashboard[[#This Row],[MeasAppType]]),"",IF(DeemedDashboard[[#This Row],[Msr Device Years Over-lapping with Measure Years]]=0,0,DeemedDashboard[[#This Row],[Msr Device Years Over-lapping with Measure Years]]/DeemedDashboard[[#This Row],[Msr EUL rounded]]))</f>
        <v/>
      </c>
      <c r="BA90" s="329" t="str">
        <f>IF(ISBLANK(DeemedDashboard[[#This Row],[MeasAppType]]),"",IF(DeemedDashboard[[#This Row],[Std Device Years Over-lapping with Measure Years]]=0,0,DeemedDashboard[[#This Row],[Std Device Years Over-lapping with Measure Years]]/DeemedDashboard[[#This Row],[Counterfactual New Device EUL]]))</f>
        <v/>
      </c>
      <c r="BB90" s="329" t="str">
        <f>IF(ISBLANK(DeemedDashboard[[#This Row],[MeasAppType]]),"",IFERROR(IF(DeemedDashboard[[#This Row],[Pre Device Years Over-lapping with Measure Years]]=0,0,DeemedDashboard[[#This Row],[Pre Device Years Over-lapping with Measure Years]]/DeemedDashboard[[#This Row],[Existing Device EUL]]),""))</f>
        <v/>
      </c>
      <c r="BC90" s="329" t="str">
        <f>IFERROR(IF(DeemedDashboard[[#This Row],[Ext Device Years Over-lapping with Measure Years]]=0,0,DeemedDashboard[[#This Row],[Ext Device Years Over-lapping with Measure Years]]/DeemedDashboard[[#This Row],[Existing Device EUL]]),"")</f>
        <v/>
      </c>
      <c r="BD90" s="329" t="str">
        <f>IFERROR(IF(DeemedDashboard[[#This Row],[Msr Number of Years device retired early]]=0,0,DeemedDashboard[[#This Row],[Msr Number of Years device retired early]]/DeemedDashboard[[#This Row],[Msr EUL rounded]]),"")</f>
        <v/>
      </c>
      <c r="BE90" s="329" t="str">
        <f>IFERROR(IF(DeemedDashboard[[#This Row],[Std Number of Years device retired early]]=0,0,DeemedDashboard[[#This Row],[Std Number of Years device retired early]]/DeemedDashboard[[#This Row],[Msr EUL rounded]]),"")</f>
        <v/>
      </c>
      <c r="BF90" s="329" t="str">
        <f>IFERROR(IF(DeemedDashboard[[#This Row],[MeasAppType]]&lt;&gt;const_AR,"",IF(DeemedDashboard[[#This Row],[Pre Number of Years device retired early]]=0,0,DeemedDashboard[[#This Row],[Pre Number of Years device retired early]]/DeemedDashboard[[#This Row],[Existing Device EUL]])),"")</f>
        <v/>
      </c>
      <c r="BG90" s="329" t="str">
        <f>IFERROR(IF(DeemedDashboard[[#This Row],[Ext Number of Years device retired early]]=0,0,DeemedDashboard[[#This Row],[Ext Number of Years device retired early]]/DeemedDashboard[[#This Row],[Existing Device EUL]]),"")</f>
        <v/>
      </c>
      <c r="BH90" s="325" t="str">
        <f>IFERROR(1-DeemedDashboard[[#This Row],[Msr annual refrigerant leakage %]]*DeemedDashboard[[#This Row],[Msr t_EOL]],"")</f>
        <v/>
      </c>
      <c r="BI90" s="325" t="str">
        <f>IFERROR(1-DeemedDashboard[[#This Row],[Std annual refrigerant leakage %]]*DeemedDashboard[[#This Row],[Std t_EOL]],"")</f>
        <v/>
      </c>
      <c r="BJ90" s="325" t="str">
        <f>IFERROR(1-DeemedDashboard[[#This Row],[Pre/Ext annual refrigerant leakage %]]*DeemedDashboard[[#This Row],[Pre/Ext t_EOL]],"")</f>
        <v/>
      </c>
      <c r="BK90" s="325" t="str">
        <f>IFERROR(1-DeemedDashboard[[#This Row],[Pre/Ext annual refrigerant leakage %]]*DeemedDashboard[[#This Row],[Pre/Ext t_EOL]],"")</f>
        <v/>
      </c>
      <c r="BL90" s="325" t="str">
        <f>IFERROR(DeemedDashboard[[#This Row],[Msr charging remaining (%)]]*DeemedDashboard[[#This Row],[Msr gross EOL refrigerant leakage %]],"")</f>
        <v/>
      </c>
      <c r="BM90" s="325" t="str">
        <f>IFERROR(DeemedDashboard[[#This Row],[Std charging remaining (%)]]*DeemedDashboard[[#This Row],[Std gross EOL refrigerant leakage %]],"")</f>
        <v/>
      </c>
      <c r="BN90" s="325" t="str">
        <f>IFERROR(DeemedDashboard[[#This Row],[Pre charging remaining (%)]]*DeemedDashboard[[#This Row],[Pre/Ext gross EOL refrigerant leakage %]],"")</f>
        <v/>
      </c>
      <c r="BO90" s="325" t="str">
        <f>IFERROR(DeemedDashboard[[#This Row],[Ext charging remaining (%)]]*DeemedDashboard[[#This Row],[Pre/Ext gross EOL refrigerant leakage %]],"")</f>
        <v/>
      </c>
      <c r="BP90" s="330" t="str">
        <f>IFERROR((DeemedDashboard[[#This Row],[Msr refrigerant charge (lb) per NormUnit]]/pounds_per_metric_ton)*DeemedDashboard[[#This Row],[Msr annual refrigerant leakage %]]*DeemedDashboard[[#This Row],[Msr GWP]],"")</f>
        <v/>
      </c>
      <c r="BQ90" s="330" t="str">
        <f>IFERROR((DeemedDashboard[[#This Row],[Std refrigerant charge (lb) per NormUnit]]/pounds_per_metric_ton)*DeemedDashboard[[#This Row],[Std annual refrigerant leakage %]]*DeemedDashboard[[#This Row],[Std GWP]],"")</f>
        <v/>
      </c>
      <c r="BR90" s="330" t="str">
        <f>IF(DeemedDashboard[[#This Row],[MeasAppType]]=const_AR,(DeemedDashboard[[#This Row],[Pre/Ext refrigerant charge (lb) per NormUnit]]/pounds_per_metric_ton)*DeemedDashboard[[#This Row],[Pre/Ext annual refrigerant leakage %]]*DeemedDashboard[[#This Row],[Pre/Ext GWP]],"")</f>
        <v/>
      </c>
      <c r="BS90" s="330" t="str">
        <f>IF(DeemedDashboard[[#This Row],[MeasAppType]]=const_AR,(DeemedDashboard[[#This Row],[Pre/Ext refrigerant charge (lb) per NormUnit]]/pounds_per_metric_ton)*DeemedDashboard[[#This Row],[Pre/Ext annual refrigerant leakage %]]*DeemedDashboard[[#This Row],[Pre/Ext GWP]],"")</f>
        <v/>
      </c>
      <c r="BT90" s="330" t="str">
        <f>IFERROR((DeemedDashboard[[#This Row],[Msr refrigerant charge (lb) per NormUnit]]/pounds_per_metric_ton)*DeemedDashboard[[#This Row],[Msr net EOL refrigerant leakage (%)]]*DeemedDashboard[[#This Row],[Msr GWP]],"")</f>
        <v/>
      </c>
      <c r="BU90" s="330" t="str">
        <f>IFERROR((DeemedDashboard[[#This Row],[Std refrigerant charge (lb) per NormUnit]]/pounds_per_metric_ton)*DeemedDashboard[[#This Row],[Std net EOL refrigerant leakage (%)]]*DeemedDashboard[[#This Row],[Std GWP]],"")</f>
        <v/>
      </c>
      <c r="BV90" s="330" t="str">
        <f>IFERROR((DeemedDashboard[[#This Row],[Pre/Ext refrigerant charge (lb) per NormUnit]]/pounds_per_metric_ton)*DeemedDashboard[[#This Row],[Pre net EOL refrigerant leakage (%)]]*DeemedDashboard[[#This Row],[Pre/Ext GWP]],"")</f>
        <v/>
      </c>
      <c r="BW90" s="330" t="str">
        <f>IFERROR((DeemedDashboard[[#This Row],[Pre/Ext refrigerant charge (lb) per NormUnit]]/pounds_per_metric_ton)*DeemedDashboard[[#This Row],[Ext net EOL refrigerant leakage (%)]]*DeemedDashboard[[#This Row],[Pre/Ext GWP]],"")</f>
        <v/>
      </c>
      <c r="BX90" s="299" t="str" cm="1">
        <f t="array" aca="1" ref="BX9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0" s="305" t="str" cm="1">
        <f t="array" aca="1" ref="BY9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0" s="299" t="str">
        <f>IFERROR(IF(OR(DeemedDashboard[[#This Row],[MeasAppType]]&lt;&gt;const_AR,ISBLANK(DeemedDashboard[[#This Row],[MeasAppType]])),NA(),0),"")</f>
        <v/>
      </c>
      <c r="CA90" s="305" t="str" cm="1">
        <f t="array" aca="1" ref="CA9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0" s="299" t="str">
        <f ca="1">IFERROR((DeemedDashboard[[#This Row],[Msr EOL leakage tons CO2e]]*OFFSET(GHG_Adder_dollar_per_tonne,0,(DeemedDashboard[[#This Row],[Msr Device Retire-ment Year]]-DY+1),1,1))/(1+WACC)^(DeemedDashboard[[#This Row],[Msr Device Retire-ment Year]]-DeemedDashboard[[#This Row],[Measure Start Year]]+0.5),"")</f>
        <v/>
      </c>
      <c r="CC90" s="299" t="str">
        <f ca="1">IFERROR((DeemedDashboard[[#This Row],[Std EOL leakage tons CO2e]]*OFFSET(GHG_Adder_dollar_per_tonne,0,(DeemedDashboard[[#This Row],[Std Device Retire-ment Year]]-DY+1),1,1))/(1+WACC)^(DeemedDashboard[[#This Row],[Std Device Retire-ment Year]]-DeemedDashboard[[#This Row],[Measure Start Year]]+0.5),"")</f>
        <v/>
      </c>
      <c r="CD90" s="299" t="str">
        <f ca="1">IFERROR((DeemedDashboard[[#This Row],[Pre EOL leakage tons CO2e]]*OFFSET(GHG_Adder_dollar_per_tonne,0,(DeemedDashboard[[#This Row],[Measure Start Year]]-DY),1,1))/(1+WACC)^(-0.5),"")</f>
        <v/>
      </c>
      <c r="CE9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0" s="299" t="str">
        <f ca="1">IFERROR(DeemedDashboard[[#This Row],[Msr NPV Cost of Annual Leakage]]/(1+ACC_Inflation_Rate)^(DeemedDashboard[[#This Row],[Measure Start Year]]-DY),"")</f>
        <v/>
      </c>
      <c r="CG90" s="299" t="str">
        <f ca="1">IFERROR(DeemedDashboard[[#This Row],[Std NPV Cost of Annual Leakage]]/(1+ACC_Inflation_Rate)^(DeemedDashboard[[#This Row],[Measure Start Year]]-DY),"")</f>
        <v/>
      </c>
      <c r="CH90" s="299" t="str">
        <f>IFERROR(IF(ISBLANK(DeemedDashboard[[#This Row],[MeasAppType]]),NA(),IF(DeemedDashboard[[#This Row],[MeasAppType]]=const_AR,DeemedDashboard[[#This Row],[Pre NPV Cost of Annual Leakage]]/(1+ACC_Inflation_Rate)^(DeemedDashboard[[#This Row],[Measure Start Year]]-DY),"")),"")</f>
        <v/>
      </c>
      <c r="CI90" s="296" t="str">
        <f>IFERROR(IF(ISBLANK(DeemedDashboard[[#This Row],[MeasAppType]]),NA(),IF(DeemedDashboard[[#This Row],[MeasAppType]]=const_AR,DeemedDashboard[[#This Row],[Ext NPV Cost of Annual Leakage]]/(1+ACC_Inflation_Rate)^(DeemedDashboard[[#This Row],[Measure Start Year]]-DY),"")),"")</f>
        <v/>
      </c>
      <c r="CJ90" s="296" t="str">
        <f ca="1">IFERROR((DeemedDashboard[[#This Row],[Msr % of device lifetime during measure years]]+DeemedDashboard[[#This Row],[Msr % of device lifetime retired early]])*DeemedDashboard[[#This Row],[Msr NPV Cost of EOL Leakage]]/(1+ACC_Inflation_Rate)^(DeemedDashboard[[#This Row],[Measure Start Year]]-DY),"")</f>
        <v/>
      </c>
      <c r="CK90" s="296" t="str">
        <f ca="1">IFERROR((DeemedDashboard[[#This Row],[Std % of device lifetime during measure years]]+DeemedDashboard[[#This Row],[Std % of device lifetime retired early]])*DeemedDashboard[[#This Row],[Std NPV Cost of EOL Leakage]]/(1+ACC_Inflation_Rate)^(DeemedDashboard[[#This Row],[Measure Start Year]]-DY),"")</f>
        <v/>
      </c>
      <c r="CL9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0" s="299" t="str">
        <f ca="1">IFERROR(DeemedDashboard[[#This Row],[Counter-factual total 
NPV cost]]-DeemedDashboard[[#This Row],[Measure total 
NPV cost]],"")</f>
        <v/>
      </c>
      <c r="CQ90" s="299" t="str">
        <f>IF(ISBLANK(DeemedDashboard[[#This Row],[MeasAppType]]),"",DeemedDashboard[[#This Row],[Refrigerant
NPV costs
avoided]]&gt;0)</f>
        <v/>
      </c>
      <c r="CR90" s="299" t="str">
        <f ca="1">IFERROR(DeemedDashboard[[#This Row],[Msr Adj NPV Cost of Annual Leakage]]+DeemedDashboard[[#This Row],[Msr Adj NPV Cost of EOL Leakage]],"")</f>
        <v/>
      </c>
      <c r="CS90" s="299" t="str">
        <f ca="1">IFERROR(DeemedDashboard[[#This Row],[Std Adj NPV Cost of Annual Leakage]]+DeemedDashboard[[#This Row],[Std Adj NPV Cost of EOL Leakage]],"")</f>
        <v/>
      </c>
      <c r="CT90" s="299" t="str">
        <f>IFERROR(IF((DeemedDashboard[[#This Row],[Pre Adj NPV Cost of Annual Leakage]]+DeemedDashboard[[#This Row],[Pre Adj NPV Cost of EOL Leakage]])=0,"",DeemedDashboard[[#This Row],[Pre Adj NPV Cost of Annual Leakage]]+DeemedDashboard[[#This Row],[Pre Adj NPV Cost of EOL Leakage]]),"")</f>
        <v/>
      </c>
      <c r="CU90" s="299" t="str">
        <f>IFERROR(IF((DeemedDashboard[[#This Row],[Ext Adj NPV Cost of Annual Leakage]]+DeemedDashboard[[#This Row],[Ext Adj NPV Cost of EOL Leakage]])=0,"",DeemedDashboard[[#This Row],[Ext Adj NPV Cost of Annual Leakage]]+DeemedDashboard[[#This Row],[Ext Adj NPV Cost of EOL Leakage]]),"")</f>
        <v/>
      </c>
      <c r="CV90" s="299" t="str">
        <f>IFERROR(IF(DeemedDashboard[[#This Row],[Is Avoided Net Cost &gt;0?]],"",-DeemedDashboard[[#This Row],[Refrigerant
NPV costs
avoided]]),"")</f>
        <v/>
      </c>
      <c r="CW90" s="299" t="str">
        <f>IFERROR(IF(DeemedDashboard[[#This Row],[Is Avoided Net Cost &gt;0?]],DeemedDashboard[[#This Row],[Refrigerant
NPV costs
avoided]],""),"")</f>
        <v/>
      </c>
      <c r="CX90" s="391">
        <f ca="1">IFERROR(MATCH(DeemedDashboard[[#This Row],[TechGroup and NormUnit]],TechGroup_and_NormUnit,0),1)</f>
        <v>1</v>
      </c>
      <c r="CY90" s="391" cm="1">
        <f t="array" aca="1" ref="CY90" ca="1">IFERROR(INDEX(TGRows,DeemedDashboard[[#This Row],[TGIndex]]),"")</f>
        <v>2</v>
      </c>
      <c r="CZ90" s="391">
        <f ca="1">IF(DeemedDashboard[[#This Row],[MeasAppType]]=const_AR,DeemedDashboard[[#This Row],[TGRows]],DeemedDashboard[[#This Row],[TGRows]]+1)</f>
        <v>3</v>
      </c>
      <c r="DA90" s="391" t="str">
        <f>IF(ISBLANK(DeemedDashboard[[#This Row],[MeasAppType]]),"",IF(DeemedDashboard[[#This Row],[Index]]=User_Specified_Refrigerant[[#This Row],[Index]],"OK","ERROR"))</f>
        <v/>
      </c>
    </row>
    <row r="91" spans="1:105" s="320" customFormat="1" x14ac:dyDescent="0.25">
      <c r="A91" s="297">
        <f>ROW(DeemedDashboard[[#This Row],[Index]])-ROW(DeemedDashboard[[#Headers],[Index]])</f>
        <v>82</v>
      </c>
      <c r="B91" s="298"/>
      <c r="C91" s="321"/>
      <c r="D91" s="403"/>
      <c r="E91" s="403"/>
      <c r="F91" s="403"/>
      <c r="G91" s="403"/>
      <c r="H91" s="366"/>
      <c r="I91" s="339"/>
      <c r="J91" s="339"/>
      <c r="K91" s="339"/>
      <c r="L91" s="322"/>
      <c r="M91" s="322"/>
      <c r="N91" s="322"/>
      <c r="O9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1" s="582" t="str" cm="1">
        <f t="array" ref="R91">IFERROR(IF(DeemedDashboard[[#This Row],[Msr device type]]=const_device_nonrefrig,0,INDEX(_xlfn.SWITCH($E$4,const_20_yr,GWP_Values_20_year_AR4,const_100_yr,GWP_Values_100_year_AR4),MATCH(DeemedDashboard[[#This Row],[Msr refrigerant Type]],RefrigDropdownList,0))),"")</f>
        <v/>
      </c>
      <c r="S91" s="582" t="str" cm="1">
        <f t="array" ref="S91">IFERROR(IF(DeemedDashboard[[#This Row],[Std device type]]=const_device_nonrefrig,0,INDEX(_xlfn.SWITCH($E$4,const_20_yr,GWP_Values_20_year_AR4,const_100_yr,GWP_Values_100_year_AR4),MATCH(DeemedDashboard[[#This Row],[Std refrigerant Type]],RefrigDropdownList,0))),"")</f>
        <v/>
      </c>
      <c r="T91" s="582" t="str" cm="1">
        <f t="array" ref="T91">IFERROR(IF(DeemedDashboard[[#This Row],[Pre/Ext device type]]=const_device_nonrefrig,0,INDEX(_xlfn.SWITCH($E$4,const_20_yr,GWP_Values_20_year_AR4,const_100_yr,GWP_Values_100_year_AR4),MATCH(DeemedDashboard[[#This Row],[Pre/Ext refrigerant Type]],RefrigDropdownList,0))),"")</f>
        <v/>
      </c>
      <c r="U9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1" s="326" t="str">
        <f>IFERROR(IF(DeemedDashboard[[#This Row],[Msr device type]]=const_userspec,IF(ISBLANK(User_Specified_Refrigerant[[#This Row],[Msr t_EOL]]),"",User_Specified_Refrigerant[[#This Row],[Msr t_EOL]]),INDEX(TechGroup_NormUnit_Table[t_EOL],MATCH(DeemedDashboard[[#This Row],[Msr device type]],DropdownRefrigTech,0))),"")</f>
        <v/>
      </c>
      <c r="AB91" s="326" t="str">
        <f>IFERROR(IF(DeemedDashboard[[#This Row],[Std device type]]=const_userspec,IF(ISBLANK(User_Specified_Refrigerant[[#This Row],[Std t_EOL]]),"",User_Specified_Refrigerant[[#This Row],[Std t_EOL]]),INDEX(TechGroup_NormUnit_Table[t_EOL],MATCH(DeemedDashboard[[#This Row],[Std device type]],DropdownRefrigTech,0))),"")</f>
        <v/>
      </c>
      <c r="AC9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1" s="395" t="str">
        <f>IF(ISBLANK(DeemedDashboard[[#This Row],[MeasAppType]]),"",$E$2)</f>
        <v/>
      </c>
      <c r="AE91" s="395" t="str">
        <f>IFERROR(IF(ISBLANK(DeemedDashboard[[#This Row],[MeasAppType]]),NA(),DeemedDashboard[[#This Row],[Measure Start Year]]+DeemedDashboard[[#This Row],[Msr EUL rounded]]-1),"")</f>
        <v/>
      </c>
      <c r="AF91" s="323" t="str">
        <f>IF(ISBLANK(DeemedDashboard[[#This Row],[Measure New Device EUL]]),"",ROUND(DeemedDashboard[[#This Row],[Measure New Device EUL]],0))</f>
        <v/>
      </c>
      <c r="AG91" s="323" t="str">
        <f>IF(ISBLANK(DeemedDashboard[[#This Row],[Counterfactual New Device EUL]]),"",ROUND(DeemedDashboard[[#This Row],[Counterfactual New Device EUL]],0))</f>
        <v/>
      </c>
      <c r="AH91" s="323" t="str">
        <f>IF(ISBLANK(DeemedDashboard[[#This Row],[Existing Device EUL]]),"",ROUND(DeemedDashboard[[#This Row],[Existing Device EUL]],0))</f>
        <v/>
      </c>
      <c r="AI91" s="323" t="str">
        <f>IF(ISBLANK(DeemedDashboard[[#This Row],[Existing Device RUL or AR First Baseline Life]]),"",ROUND(DeemedDashboard[[#This Row],[Existing Device RUL or AR First Baseline Life]],0))</f>
        <v/>
      </c>
      <c r="AJ91" s="327" t="str">
        <f>DeemedDashboard[[#This Row],[Measure Start Year]]</f>
        <v/>
      </c>
      <c r="AK91" s="327" t="str">
        <f>IF(DeemedDashboard[[#This Row],[MeasAppType]]&lt;&gt;const_AR,DeemedDashboard[[#This Row],[Measure Start Year]],DeemedDashboard[[#This Row],[Ext Device Retire-ment Year]]+1)</f>
        <v/>
      </c>
      <c r="AL91" s="327" t="str">
        <f>IFERROR(IF(DeemedDashboard[[#This Row],[MeasAppType]]=const_AR,DeemedDashboard[[#This Row],[Measure Start Year]]-(DeemedDashboard[[#This Row],[Existing Device EUL]]-DeemedDashboard[[#This Row],[Existing Device RUL or AR First Baseline Life]]),NA()),"")</f>
        <v/>
      </c>
      <c r="AM91" s="327" t="str">
        <f>DeemedDashboard[[#This Row],[Pre Device Install Year]]</f>
        <v/>
      </c>
      <c r="AN91" s="327" t="str">
        <f>IFERROR(IF(ISBLANK(DeemedDashboard[[#This Row],[MeasAppType]]),NA(),DeemedDashboard[[#This Row],[Measure Start Year]]+DeemedDashboard[[#This Row],[Msr EUL rounded]]-1),"")</f>
        <v/>
      </c>
      <c r="AO91" s="327" t="str">
        <f>IFERROR(DeemedDashboard[[#This Row],[Std Device Install Year]]+DeemedDashboard[[#This Row],[Counterfactual New Device EUL]]-1,"")</f>
        <v/>
      </c>
      <c r="AP91" s="327" t="str">
        <f>IFERROR(IF(AND(DeemedDashboard[[#This Row],[MeasAppType]]=const_AR,DeemedDashboard[[#This Row],[Measure Start Year]]&lt;(DeemedDashboard[[#This Row],[Pre Device Install Year]]+DeemedDashboard[[#This Row],[Existing Device EUL]]-1)),DeemedDashboard[[#This Row],[Measure Start Year]]-1,NA()),"")</f>
        <v/>
      </c>
      <c r="AQ91" s="327" t="str">
        <f>IFERROR(IF(DeemedDashboard[[#This Row],[MeasAppType]]=const_AR,DeemedDashboard[[#This Row],[Ext Device Install Year]]+DeemedDashboard[[#This Row],[Existing Device EUL]]-1,NA()),"")</f>
        <v/>
      </c>
      <c r="AR91" s="327" t="str">
        <f>IFERROR(IF(ISBLANK(DeemedDashboard[[#This Row],[MeasAppType]]),NA(),0),"")</f>
        <v/>
      </c>
      <c r="AS91" s="327" t="str">
        <f>IFERROR(IF(ISBLANK(DeemedDashboard[[#This Row],[MeasAppType]]),NA(),0),"")</f>
        <v/>
      </c>
      <c r="AT91" s="327" t="str">
        <f>IF(ISBLANK(DeemedDashboard[[#This Row],[MeasAppType]]),"",IF(DeemedDashboard[[#This Row],[MeasAppType]]&lt;&gt;const_AR,"",(DeemedDashboard[[#This Row],[Pre Device Install Year]]+DeemedDashboard[[#This Row],[Existing Device EUL]]-1)-DeemedDashboard[[#This Row],[Pre Device Retire-ment Year]]))</f>
        <v/>
      </c>
      <c r="AU91" s="327" t="str">
        <f>IF(ISBLANK(DeemedDashboard[[#This Row],[MeasAppType]]),"",IF(DeemedDashboard[[#This Row],[MeasAppType]]=const_AR,0,""))</f>
        <v/>
      </c>
      <c r="AV91" s="328" t="str">
        <f>IF(ISBLANK(DeemedDashboard[[#This Row],[MeasAppType]]),"",MAX((1+MIN(DeemedDashboard[[#This Row],[Msr Device Retire-ment Year]],DeemedDashboard[[#This Row],[Measure End 
Year]])-MAX(DeemedDashboard[[#This Row],[Msr Device Install Year]],DeemedDashboard[[#This Row],[Measure Start Year]])),0))</f>
        <v/>
      </c>
      <c r="AW91" s="328" t="str">
        <f>IF(ISBLANK(DeemedDashboard[[#This Row],[MeasAppType]]),"",MAX((1+MIN(DeemedDashboard[[#This Row],[Std Device Retire-ment Year]],DeemedDashboard[[#This Row],[Measure End 
Year]])-MAX(DeemedDashboard[[#This Row],[Std Device Install Year]],DeemedDashboard[[#This Row],[Measure Start Year]])),0))</f>
        <v/>
      </c>
      <c r="AX9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1" s="329" t="str">
        <f>IF(ISBLANK(DeemedDashboard[[#This Row],[MeasAppType]]),"",IF(DeemedDashboard[[#This Row],[Msr Device Years Over-lapping with Measure Years]]=0,0,DeemedDashboard[[#This Row],[Msr Device Years Over-lapping with Measure Years]]/DeemedDashboard[[#This Row],[Msr EUL rounded]]))</f>
        <v/>
      </c>
      <c r="BA91" s="329" t="str">
        <f>IF(ISBLANK(DeemedDashboard[[#This Row],[MeasAppType]]),"",IF(DeemedDashboard[[#This Row],[Std Device Years Over-lapping with Measure Years]]=0,0,DeemedDashboard[[#This Row],[Std Device Years Over-lapping with Measure Years]]/DeemedDashboard[[#This Row],[Counterfactual New Device EUL]]))</f>
        <v/>
      </c>
      <c r="BB91" s="329" t="str">
        <f>IF(ISBLANK(DeemedDashboard[[#This Row],[MeasAppType]]),"",IFERROR(IF(DeemedDashboard[[#This Row],[Pre Device Years Over-lapping with Measure Years]]=0,0,DeemedDashboard[[#This Row],[Pre Device Years Over-lapping with Measure Years]]/DeemedDashboard[[#This Row],[Existing Device EUL]]),""))</f>
        <v/>
      </c>
      <c r="BC91" s="329" t="str">
        <f>IFERROR(IF(DeemedDashboard[[#This Row],[Ext Device Years Over-lapping with Measure Years]]=0,0,DeemedDashboard[[#This Row],[Ext Device Years Over-lapping with Measure Years]]/DeemedDashboard[[#This Row],[Existing Device EUL]]),"")</f>
        <v/>
      </c>
      <c r="BD91" s="329" t="str">
        <f>IFERROR(IF(DeemedDashboard[[#This Row],[Msr Number of Years device retired early]]=0,0,DeemedDashboard[[#This Row],[Msr Number of Years device retired early]]/DeemedDashboard[[#This Row],[Msr EUL rounded]]),"")</f>
        <v/>
      </c>
      <c r="BE91" s="329" t="str">
        <f>IFERROR(IF(DeemedDashboard[[#This Row],[Std Number of Years device retired early]]=0,0,DeemedDashboard[[#This Row],[Std Number of Years device retired early]]/DeemedDashboard[[#This Row],[Msr EUL rounded]]),"")</f>
        <v/>
      </c>
      <c r="BF91" s="329" t="str">
        <f>IFERROR(IF(DeemedDashboard[[#This Row],[MeasAppType]]&lt;&gt;const_AR,"",IF(DeemedDashboard[[#This Row],[Pre Number of Years device retired early]]=0,0,DeemedDashboard[[#This Row],[Pre Number of Years device retired early]]/DeemedDashboard[[#This Row],[Existing Device EUL]])),"")</f>
        <v/>
      </c>
      <c r="BG91" s="329" t="str">
        <f>IFERROR(IF(DeemedDashboard[[#This Row],[Ext Number of Years device retired early]]=0,0,DeemedDashboard[[#This Row],[Ext Number of Years device retired early]]/DeemedDashboard[[#This Row],[Existing Device EUL]]),"")</f>
        <v/>
      </c>
      <c r="BH91" s="325" t="str">
        <f>IFERROR(1-DeemedDashboard[[#This Row],[Msr annual refrigerant leakage %]]*DeemedDashboard[[#This Row],[Msr t_EOL]],"")</f>
        <v/>
      </c>
      <c r="BI91" s="325" t="str">
        <f>IFERROR(1-DeemedDashboard[[#This Row],[Std annual refrigerant leakage %]]*DeemedDashboard[[#This Row],[Std t_EOL]],"")</f>
        <v/>
      </c>
      <c r="BJ91" s="325" t="str">
        <f>IFERROR(1-DeemedDashboard[[#This Row],[Pre/Ext annual refrigerant leakage %]]*DeemedDashboard[[#This Row],[Pre/Ext t_EOL]],"")</f>
        <v/>
      </c>
      <c r="BK91" s="325" t="str">
        <f>IFERROR(1-DeemedDashboard[[#This Row],[Pre/Ext annual refrigerant leakage %]]*DeemedDashboard[[#This Row],[Pre/Ext t_EOL]],"")</f>
        <v/>
      </c>
      <c r="BL91" s="325" t="str">
        <f>IFERROR(DeemedDashboard[[#This Row],[Msr charging remaining (%)]]*DeemedDashboard[[#This Row],[Msr gross EOL refrigerant leakage %]],"")</f>
        <v/>
      </c>
      <c r="BM91" s="325" t="str">
        <f>IFERROR(DeemedDashboard[[#This Row],[Std charging remaining (%)]]*DeemedDashboard[[#This Row],[Std gross EOL refrigerant leakage %]],"")</f>
        <v/>
      </c>
      <c r="BN91" s="325" t="str">
        <f>IFERROR(DeemedDashboard[[#This Row],[Pre charging remaining (%)]]*DeemedDashboard[[#This Row],[Pre/Ext gross EOL refrigerant leakage %]],"")</f>
        <v/>
      </c>
      <c r="BO91" s="325" t="str">
        <f>IFERROR(DeemedDashboard[[#This Row],[Ext charging remaining (%)]]*DeemedDashboard[[#This Row],[Pre/Ext gross EOL refrigerant leakage %]],"")</f>
        <v/>
      </c>
      <c r="BP91" s="330" t="str">
        <f>IFERROR((DeemedDashboard[[#This Row],[Msr refrigerant charge (lb) per NormUnit]]/pounds_per_metric_ton)*DeemedDashboard[[#This Row],[Msr annual refrigerant leakage %]]*DeemedDashboard[[#This Row],[Msr GWP]],"")</f>
        <v/>
      </c>
      <c r="BQ91" s="330" t="str">
        <f>IFERROR((DeemedDashboard[[#This Row],[Std refrigerant charge (lb) per NormUnit]]/pounds_per_metric_ton)*DeemedDashboard[[#This Row],[Std annual refrigerant leakage %]]*DeemedDashboard[[#This Row],[Std GWP]],"")</f>
        <v/>
      </c>
      <c r="BR91" s="330" t="str">
        <f>IF(DeemedDashboard[[#This Row],[MeasAppType]]=const_AR,(DeemedDashboard[[#This Row],[Pre/Ext refrigerant charge (lb) per NormUnit]]/pounds_per_metric_ton)*DeemedDashboard[[#This Row],[Pre/Ext annual refrigerant leakage %]]*DeemedDashboard[[#This Row],[Pre/Ext GWP]],"")</f>
        <v/>
      </c>
      <c r="BS91" s="330" t="str">
        <f>IF(DeemedDashboard[[#This Row],[MeasAppType]]=const_AR,(DeemedDashboard[[#This Row],[Pre/Ext refrigerant charge (lb) per NormUnit]]/pounds_per_metric_ton)*DeemedDashboard[[#This Row],[Pre/Ext annual refrigerant leakage %]]*DeemedDashboard[[#This Row],[Pre/Ext GWP]],"")</f>
        <v/>
      </c>
      <c r="BT91" s="330" t="str">
        <f>IFERROR((DeemedDashboard[[#This Row],[Msr refrigerant charge (lb) per NormUnit]]/pounds_per_metric_ton)*DeemedDashboard[[#This Row],[Msr net EOL refrigerant leakage (%)]]*DeemedDashboard[[#This Row],[Msr GWP]],"")</f>
        <v/>
      </c>
      <c r="BU91" s="330" t="str">
        <f>IFERROR((DeemedDashboard[[#This Row],[Std refrigerant charge (lb) per NormUnit]]/pounds_per_metric_ton)*DeemedDashboard[[#This Row],[Std net EOL refrigerant leakage (%)]]*DeemedDashboard[[#This Row],[Std GWP]],"")</f>
        <v/>
      </c>
      <c r="BV91" s="330" t="str">
        <f>IFERROR((DeemedDashboard[[#This Row],[Pre/Ext refrigerant charge (lb) per NormUnit]]/pounds_per_metric_ton)*DeemedDashboard[[#This Row],[Pre net EOL refrigerant leakage (%)]]*DeemedDashboard[[#This Row],[Pre/Ext GWP]],"")</f>
        <v/>
      </c>
      <c r="BW91" s="330" t="str">
        <f>IFERROR((DeemedDashboard[[#This Row],[Pre/Ext refrigerant charge (lb) per NormUnit]]/pounds_per_metric_ton)*DeemedDashboard[[#This Row],[Ext net EOL refrigerant leakage (%)]]*DeemedDashboard[[#This Row],[Pre/Ext GWP]],"")</f>
        <v/>
      </c>
      <c r="BX91" s="299" t="str" cm="1">
        <f t="array" aca="1" ref="BX9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1" s="305" t="str" cm="1">
        <f t="array" aca="1" ref="BY9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1" s="299" t="str">
        <f>IFERROR(IF(OR(DeemedDashboard[[#This Row],[MeasAppType]]&lt;&gt;const_AR,ISBLANK(DeemedDashboard[[#This Row],[MeasAppType]])),NA(),0),"")</f>
        <v/>
      </c>
      <c r="CA91" s="305" t="str" cm="1">
        <f t="array" aca="1" ref="CA9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1" s="299" t="str">
        <f ca="1">IFERROR((DeemedDashboard[[#This Row],[Msr EOL leakage tons CO2e]]*OFFSET(GHG_Adder_dollar_per_tonne,0,(DeemedDashboard[[#This Row],[Msr Device Retire-ment Year]]-DY+1),1,1))/(1+WACC)^(DeemedDashboard[[#This Row],[Msr Device Retire-ment Year]]-DeemedDashboard[[#This Row],[Measure Start Year]]+0.5),"")</f>
        <v/>
      </c>
      <c r="CC91" s="299" t="str">
        <f ca="1">IFERROR((DeemedDashboard[[#This Row],[Std EOL leakage tons CO2e]]*OFFSET(GHG_Adder_dollar_per_tonne,0,(DeemedDashboard[[#This Row],[Std Device Retire-ment Year]]-DY+1),1,1))/(1+WACC)^(DeemedDashboard[[#This Row],[Std Device Retire-ment Year]]-DeemedDashboard[[#This Row],[Measure Start Year]]+0.5),"")</f>
        <v/>
      </c>
      <c r="CD91" s="299" t="str">
        <f ca="1">IFERROR((DeemedDashboard[[#This Row],[Pre EOL leakage tons CO2e]]*OFFSET(GHG_Adder_dollar_per_tonne,0,(DeemedDashboard[[#This Row],[Measure Start Year]]-DY),1,1))/(1+WACC)^(-0.5),"")</f>
        <v/>
      </c>
      <c r="CE9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1" s="299" t="str">
        <f ca="1">IFERROR(DeemedDashboard[[#This Row],[Msr NPV Cost of Annual Leakage]]/(1+ACC_Inflation_Rate)^(DeemedDashboard[[#This Row],[Measure Start Year]]-DY),"")</f>
        <v/>
      </c>
      <c r="CG91" s="299" t="str">
        <f ca="1">IFERROR(DeemedDashboard[[#This Row],[Std NPV Cost of Annual Leakage]]/(1+ACC_Inflation_Rate)^(DeemedDashboard[[#This Row],[Measure Start Year]]-DY),"")</f>
        <v/>
      </c>
      <c r="CH91" s="299" t="str">
        <f>IFERROR(IF(ISBLANK(DeemedDashboard[[#This Row],[MeasAppType]]),NA(),IF(DeemedDashboard[[#This Row],[MeasAppType]]=const_AR,DeemedDashboard[[#This Row],[Pre NPV Cost of Annual Leakage]]/(1+ACC_Inflation_Rate)^(DeemedDashboard[[#This Row],[Measure Start Year]]-DY),"")),"")</f>
        <v/>
      </c>
      <c r="CI91" s="296" t="str">
        <f>IFERROR(IF(ISBLANK(DeemedDashboard[[#This Row],[MeasAppType]]),NA(),IF(DeemedDashboard[[#This Row],[MeasAppType]]=const_AR,DeemedDashboard[[#This Row],[Ext NPV Cost of Annual Leakage]]/(1+ACC_Inflation_Rate)^(DeemedDashboard[[#This Row],[Measure Start Year]]-DY),"")),"")</f>
        <v/>
      </c>
      <c r="CJ91" s="296" t="str">
        <f ca="1">IFERROR((DeemedDashboard[[#This Row],[Msr % of device lifetime during measure years]]+DeemedDashboard[[#This Row],[Msr % of device lifetime retired early]])*DeemedDashboard[[#This Row],[Msr NPV Cost of EOL Leakage]]/(1+ACC_Inflation_Rate)^(DeemedDashboard[[#This Row],[Measure Start Year]]-DY),"")</f>
        <v/>
      </c>
      <c r="CK91" s="296" t="str">
        <f ca="1">IFERROR((DeemedDashboard[[#This Row],[Std % of device lifetime during measure years]]+DeemedDashboard[[#This Row],[Std % of device lifetime retired early]])*DeemedDashboard[[#This Row],[Std NPV Cost of EOL Leakage]]/(1+ACC_Inflation_Rate)^(DeemedDashboard[[#This Row],[Measure Start Year]]-DY),"")</f>
        <v/>
      </c>
      <c r="CL9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1" s="299" t="str">
        <f ca="1">IFERROR(DeemedDashboard[[#This Row],[Counter-factual total 
NPV cost]]-DeemedDashboard[[#This Row],[Measure total 
NPV cost]],"")</f>
        <v/>
      </c>
      <c r="CQ91" s="299" t="str">
        <f>IF(ISBLANK(DeemedDashboard[[#This Row],[MeasAppType]]),"",DeemedDashboard[[#This Row],[Refrigerant
NPV costs
avoided]]&gt;0)</f>
        <v/>
      </c>
      <c r="CR91" s="299" t="str">
        <f ca="1">IFERROR(DeemedDashboard[[#This Row],[Msr Adj NPV Cost of Annual Leakage]]+DeemedDashboard[[#This Row],[Msr Adj NPV Cost of EOL Leakage]],"")</f>
        <v/>
      </c>
      <c r="CS91" s="299" t="str">
        <f ca="1">IFERROR(DeemedDashboard[[#This Row],[Std Adj NPV Cost of Annual Leakage]]+DeemedDashboard[[#This Row],[Std Adj NPV Cost of EOL Leakage]],"")</f>
        <v/>
      </c>
      <c r="CT91" s="299" t="str">
        <f>IFERROR(IF((DeemedDashboard[[#This Row],[Pre Adj NPV Cost of Annual Leakage]]+DeemedDashboard[[#This Row],[Pre Adj NPV Cost of EOL Leakage]])=0,"",DeemedDashboard[[#This Row],[Pre Adj NPV Cost of Annual Leakage]]+DeemedDashboard[[#This Row],[Pre Adj NPV Cost of EOL Leakage]]),"")</f>
        <v/>
      </c>
      <c r="CU91" s="299" t="str">
        <f>IFERROR(IF((DeemedDashboard[[#This Row],[Ext Adj NPV Cost of Annual Leakage]]+DeemedDashboard[[#This Row],[Ext Adj NPV Cost of EOL Leakage]])=0,"",DeemedDashboard[[#This Row],[Ext Adj NPV Cost of Annual Leakage]]+DeemedDashboard[[#This Row],[Ext Adj NPV Cost of EOL Leakage]]),"")</f>
        <v/>
      </c>
      <c r="CV91" s="299" t="str">
        <f>IFERROR(IF(DeemedDashboard[[#This Row],[Is Avoided Net Cost &gt;0?]],"",-DeemedDashboard[[#This Row],[Refrigerant
NPV costs
avoided]]),"")</f>
        <v/>
      </c>
      <c r="CW91" s="299" t="str">
        <f>IFERROR(IF(DeemedDashboard[[#This Row],[Is Avoided Net Cost &gt;0?]],DeemedDashboard[[#This Row],[Refrigerant
NPV costs
avoided]],""),"")</f>
        <v/>
      </c>
      <c r="CX91" s="391">
        <f ca="1">IFERROR(MATCH(DeemedDashboard[[#This Row],[TechGroup and NormUnit]],TechGroup_and_NormUnit,0),1)</f>
        <v>1</v>
      </c>
      <c r="CY91" s="391" cm="1">
        <f t="array" aca="1" ref="CY91" ca="1">IFERROR(INDEX(TGRows,DeemedDashboard[[#This Row],[TGIndex]]),"")</f>
        <v>2</v>
      </c>
      <c r="CZ91" s="391">
        <f ca="1">IF(DeemedDashboard[[#This Row],[MeasAppType]]=const_AR,DeemedDashboard[[#This Row],[TGRows]],DeemedDashboard[[#This Row],[TGRows]]+1)</f>
        <v>3</v>
      </c>
      <c r="DA91" s="391" t="str">
        <f>IF(ISBLANK(DeemedDashboard[[#This Row],[MeasAppType]]),"",IF(DeemedDashboard[[#This Row],[Index]]=User_Specified_Refrigerant[[#This Row],[Index]],"OK","ERROR"))</f>
        <v/>
      </c>
    </row>
    <row r="92" spans="1:105" s="320" customFormat="1" x14ac:dyDescent="0.25">
      <c r="A92" s="297">
        <f>ROW(DeemedDashboard[[#This Row],[Index]])-ROW(DeemedDashboard[[#Headers],[Index]])</f>
        <v>83</v>
      </c>
      <c r="B92" s="298"/>
      <c r="C92" s="321"/>
      <c r="D92" s="403"/>
      <c r="E92" s="403"/>
      <c r="F92" s="403"/>
      <c r="G92" s="403"/>
      <c r="H92" s="366"/>
      <c r="I92" s="339"/>
      <c r="J92" s="339"/>
      <c r="K92" s="339"/>
      <c r="L92" s="322"/>
      <c r="M92" s="322"/>
      <c r="N92" s="322"/>
      <c r="O9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2" s="582" t="str" cm="1">
        <f t="array" ref="R92">IFERROR(IF(DeemedDashboard[[#This Row],[Msr device type]]=const_device_nonrefrig,0,INDEX(_xlfn.SWITCH($E$4,const_20_yr,GWP_Values_20_year_AR4,const_100_yr,GWP_Values_100_year_AR4),MATCH(DeemedDashboard[[#This Row],[Msr refrigerant Type]],RefrigDropdownList,0))),"")</f>
        <v/>
      </c>
      <c r="S92" s="582" t="str" cm="1">
        <f t="array" ref="S92">IFERROR(IF(DeemedDashboard[[#This Row],[Std device type]]=const_device_nonrefrig,0,INDEX(_xlfn.SWITCH($E$4,const_20_yr,GWP_Values_20_year_AR4,const_100_yr,GWP_Values_100_year_AR4),MATCH(DeemedDashboard[[#This Row],[Std refrigerant Type]],RefrigDropdownList,0))),"")</f>
        <v/>
      </c>
      <c r="T92" s="582" t="str" cm="1">
        <f t="array" ref="T92">IFERROR(IF(DeemedDashboard[[#This Row],[Pre/Ext device type]]=const_device_nonrefrig,0,INDEX(_xlfn.SWITCH($E$4,const_20_yr,GWP_Values_20_year_AR4,const_100_yr,GWP_Values_100_year_AR4),MATCH(DeemedDashboard[[#This Row],[Pre/Ext refrigerant Type]],RefrigDropdownList,0))),"")</f>
        <v/>
      </c>
      <c r="U9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2" s="326" t="str">
        <f>IFERROR(IF(DeemedDashboard[[#This Row],[Msr device type]]=const_userspec,IF(ISBLANK(User_Specified_Refrigerant[[#This Row],[Msr t_EOL]]),"",User_Specified_Refrigerant[[#This Row],[Msr t_EOL]]),INDEX(TechGroup_NormUnit_Table[t_EOL],MATCH(DeemedDashboard[[#This Row],[Msr device type]],DropdownRefrigTech,0))),"")</f>
        <v/>
      </c>
      <c r="AB92" s="326" t="str">
        <f>IFERROR(IF(DeemedDashboard[[#This Row],[Std device type]]=const_userspec,IF(ISBLANK(User_Specified_Refrigerant[[#This Row],[Std t_EOL]]),"",User_Specified_Refrigerant[[#This Row],[Std t_EOL]]),INDEX(TechGroup_NormUnit_Table[t_EOL],MATCH(DeemedDashboard[[#This Row],[Std device type]],DropdownRefrigTech,0))),"")</f>
        <v/>
      </c>
      <c r="AC9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2" s="395" t="str">
        <f>IF(ISBLANK(DeemedDashboard[[#This Row],[MeasAppType]]),"",$E$2)</f>
        <v/>
      </c>
      <c r="AE92" s="395" t="str">
        <f>IFERROR(IF(ISBLANK(DeemedDashboard[[#This Row],[MeasAppType]]),NA(),DeemedDashboard[[#This Row],[Measure Start Year]]+DeemedDashboard[[#This Row],[Msr EUL rounded]]-1),"")</f>
        <v/>
      </c>
      <c r="AF92" s="323" t="str">
        <f>IF(ISBLANK(DeemedDashboard[[#This Row],[Measure New Device EUL]]),"",ROUND(DeemedDashboard[[#This Row],[Measure New Device EUL]],0))</f>
        <v/>
      </c>
      <c r="AG92" s="323" t="str">
        <f>IF(ISBLANK(DeemedDashboard[[#This Row],[Counterfactual New Device EUL]]),"",ROUND(DeemedDashboard[[#This Row],[Counterfactual New Device EUL]],0))</f>
        <v/>
      </c>
      <c r="AH92" s="323" t="str">
        <f>IF(ISBLANK(DeemedDashboard[[#This Row],[Existing Device EUL]]),"",ROUND(DeemedDashboard[[#This Row],[Existing Device EUL]],0))</f>
        <v/>
      </c>
      <c r="AI92" s="323" t="str">
        <f>IF(ISBLANK(DeemedDashboard[[#This Row],[Existing Device RUL or AR First Baseline Life]]),"",ROUND(DeemedDashboard[[#This Row],[Existing Device RUL or AR First Baseline Life]],0))</f>
        <v/>
      </c>
      <c r="AJ92" s="327" t="str">
        <f>DeemedDashboard[[#This Row],[Measure Start Year]]</f>
        <v/>
      </c>
      <c r="AK92" s="327" t="str">
        <f>IF(DeemedDashboard[[#This Row],[MeasAppType]]&lt;&gt;const_AR,DeemedDashboard[[#This Row],[Measure Start Year]],DeemedDashboard[[#This Row],[Ext Device Retire-ment Year]]+1)</f>
        <v/>
      </c>
      <c r="AL92" s="327" t="str">
        <f>IFERROR(IF(DeemedDashboard[[#This Row],[MeasAppType]]=const_AR,DeemedDashboard[[#This Row],[Measure Start Year]]-(DeemedDashboard[[#This Row],[Existing Device EUL]]-DeemedDashboard[[#This Row],[Existing Device RUL or AR First Baseline Life]]),NA()),"")</f>
        <v/>
      </c>
      <c r="AM92" s="327" t="str">
        <f>DeemedDashboard[[#This Row],[Pre Device Install Year]]</f>
        <v/>
      </c>
      <c r="AN92" s="327" t="str">
        <f>IFERROR(IF(ISBLANK(DeemedDashboard[[#This Row],[MeasAppType]]),NA(),DeemedDashboard[[#This Row],[Measure Start Year]]+DeemedDashboard[[#This Row],[Msr EUL rounded]]-1),"")</f>
        <v/>
      </c>
      <c r="AO92" s="327" t="str">
        <f>IFERROR(DeemedDashboard[[#This Row],[Std Device Install Year]]+DeemedDashboard[[#This Row],[Counterfactual New Device EUL]]-1,"")</f>
        <v/>
      </c>
      <c r="AP92" s="327" t="str">
        <f>IFERROR(IF(AND(DeemedDashboard[[#This Row],[MeasAppType]]=const_AR,DeemedDashboard[[#This Row],[Measure Start Year]]&lt;(DeemedDashboard[[#This Row],[Pre Device Install Year]]+DeemedDashboard[[#This Row],[Existing Device EUL]]-1)),DeemedDashboard[[#This Row],[Measure Start Year]]-1,NA()),"")</f>
        <v/>
      </c>
      <c r="AQ92" s="327" t="str">
        <f>IFERROR(IF(DeemedDashboard[[#This Row],[MeasAppType]]=const_AR,DeemedDashboard[[#This Row],[Ext Device Install Year]]+DeemedDashboard[[#This Row],[Existing Device EUL]]-1,NA()),"")</f>
        <v/>
      </c>
      <c r="AR92" s="327" t="str">
        <f>IFERROR(IF(ISBLANK(DeemedDashboard[[#This Row],[MeasAppType]]),NA(),0),"")</f>
        <v/>
      </c>
      <c r="AS92" s="327" t="str">
        <f>IFERROR(IF(ISBLANK(DeemedDashboard[[#This Row],[MeasAppType]]),NA(),0),"")</f>
        <v/>
      </c>
      <c r="AT92" s="327" t="str">
        <f>IF(ISBLANK(DeemedDashboard[[#This Row],[MeasAppType]]),"",IF(DeemedDashboard[[#This Row],[MeasAppType]]&lt;&gt;const_AR,"",(DeemedDashboard[[#This Row],[Pre Device Install Year]]+DeemedDashboard[[#This Row],[Existing Device EUL]]-1)-DeemedDashboard[[#This Row],[Pre Device Retire-ment Year]]))</f>
        <v/>
      </c>
      <c r="AU92" s="327" t="str">
        <f>IF(ISBLANK(DeemedDashboard[[#This Row],[MeasAppType]]),"",IF(DeemedDashboard[[#This Row],[MeasAppType]]=const_AR,0,""))</f>
        <v/>
      </c>
      <c r="AV92" s="328" t="str">
        <f>IF(ISBLANK(DeemedDashboard[[#This Row],[MeasAppType]]),"",MAX((1+MIN(DeemedDashboard[[#This Row],[Msr Device Retire-ment Year]],DeemedDashboard[[#This Row],[Measure End 
Year]])-MAX(DeemedDashboard[[#This Row],[Msr Device Install Year]],DeemedDashboard[[#This Row],[Measure Start Year]])),0))</f>
        <v/>
      </c>
      <c r="AW92" s="328" t="str">
        <f>IF(ISBLANK(DeemedDashboard[[#This Row],[MeasAppType]]),"",MAX((1+MIN(DeemedDashboard[[#This Row],[Std Device Retire-ment Year]],DeemedDashboard[[#This Row],[Measure End 
Year]])-MAX(DeemedDashboard[[#This Row],[Std Device Install Year]],DeemedDashboard[[#This Row],[Measure Start Year]])),0))</f>
        <v/>
      </c>
      <c r="AX9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2" s="329" t="str">
        <f>IF(ISBLANK(DeemedDashboard[[#This Row],[MeasAppType]]),"",IF(DeemedDashboard[[#This Row],[Msr Device Years Over-lapping with Measure Years]]=0,0,DeemedDashboard[[#This Row],[Msr Device Years Over-lapping with Measure Years]]/DeemedDashboard[[#This Row],[Msr EUL rounded]]))</f>
        <v/>
      </c>
      <c r="BA92" s="329" t="str">
        <f>IF(ISBLANK(DeemedDashboard[[#This Row],[MeasAppType]]),"",IF(DeemedDashboard[[#This Row],[Std Device Years Over-lapping with Measure Years]]=0,0,DeemedDashboard[[#This Row],[Std Device Years Over-lapping with Measure Years]]/DeemedDashboard[[#This Row],[Counterfactual New Device EUL]]))</f>
        <v/>
      </c>
      <c r="BB92" s="329" t="str">
        <f>IF(ISBLANK(DeemedDashboard[[#This Row],[MeasAppType]]),"",IFERROR(IF(DeemedDashboard[[#This Row],[Pre Device Years Over-lapping with Measure Years]]=0,0,DeemedDashboard[[#This Row],[Pre Device Years Over-lapping with Measure Years]]/DeemedDashboard[[#This Row],[Existing Device EUL]]),""))</f>
        <v/>
      </c>
      <c r="BC92" s="329" t="str">
        <f>IFERROR(IF(DeemedDashboard[[#This Row],[Ext Device Years Over-lapping with Measure Years]]=0,0,DeemedDashboard[[#This Row],[Ext Device Years Over-lapping with Measure Years]]/DeemedDashboard[[#This Row],[Existing Device EUL]]),"")</f>
        <v/>
      </c>
      <c r="BD92" s="329" t="str">
        <f>IFERROR(IF(DeemedDashboard[[#This Row],[Msr Number of Years device retired early]]=0,0,DeemedDashboard[[#This Row],[Msr Number of Years device retired early]]/DeemedDashboard[[#This Row],[Msr EUL rounded]]),"")</f>
        <v/>
      </c>
      <c r="BE92" s="329" t="str">
        <f>IFERROR(IF(DeemedDashboard[[#This Row],[Std Number of Years device retired early]]=0,0,DeemedDashboard[[#This Row],[Std Number of Years device retired early]]/DeemedDashboard[[#This Row],[Msr EUL rounded]]),"")</f>
        <v/>
      </c>
      <c r="BF92" s="329" t="str">
        <f>IFERROR(IF(DeemedDashboard[[#This Row],[MeasAppType]]&lt;&gt;const_AR,"",IF(DeemedDashboard[[#This Row],[Pre Number of Years device retired early]]=0,0,DeemedDashboard[[#This Row],[Pre Number of Years device retired early]]/DeemedDashboard[[#This Row],[Existing Device EUL]])),"")</f>
        <v/>
      </c>
      <c r="BG92" s="329" t="str">
        <f>IFERROR(IF(DeemedDashboard[[#This Row],[Ext Number of Years device retired early]]=0,0,DeemedDashboard[[#This Row],[Ext Number of Years device retired early]]/DeemedDashboard[[#This Row],[Existing Device EUL]]),"")</f>
        <v/>
      </c>
      <c r="BH92" s="325" t="str">
        <f>IFERROR(1-DeemedDashboard[[#This Row],[Msr annual refrigerant leakage %]]*DeemedDashboard[[#This Row],[Msr t_EOL]],"")</f>
        <v/>
      </c>
      <c r="BI92" s="325" t="str">
        <f>IFERROR(1-DeemedDashboard[[#This Row],[Std annual refrigerant leakage %]]*DeemedDashboard[[#This Row],[Std t_EOL]],"")</f>
        <v/>
      </c>
      <c r="BJ92" s="325" t="str">
        <f>IFERROR(1-DeemedDashboard[[#This Row],[Pre/Ext annual refrigerant leakage %]]*DeemedDashboard[[#This Row],[Pre/Ext t_EOL]],"")</f>
        <v/>
      </c>
      <c r="BK92" s="325" t="str">
        <f>IFERROR(1-DeemedDashboard[[#This Row],[Pre/Ext annual refrigerant leakage %]]*DeemedDashboard[[#This Row],[Pre/Ext t_EOL]],"")</f>
        <v/>
      </c>
      <c r="BL92" s="325" t="str">
        <f>IFERROR(DeemedDashboard[[#This Row],[Msr charging remaining (%)]]*DeemedDashboard[[#This Row],[Msr gross EOL refrigerant leakage %]],"")</f>
        <v/>
      </c>
      <c r="BM92" s="325" t="str">
        <f>IFERROR(DeemedDashboard[[#This Row],[Std charging remaining (%)]]*DeemedDashboard[[#This Row],[Std gross EOL refrigerant leakage %]],"")</f>
        <v/>
      </c>
      <c r="BN92" s="325" t="str">
        <f>IFERROR(DeemedDashboard[[#This Row],[Pre charging remaining (%)]]*DeemedDashboard[[#This Row],[Pre/Ext gross EOL refrigerant leakage %]],"")</f>
        <v/>
      </c>
      <c r="BO92" s="325" t="str">
        <f>IFERROR(DeemedDashboard[[#This Row],[Ext charging remaining (%)]]*DeemedDashboard[[#This Row],[Pre/Ext gross EOL refrigerant leakage %]],"")</f>
        <v/>
      </c>
      <c r="BP92" s="330" t="str">
        <f>IFERROR((DeemedDashboard[[#This Row],[Msr refrigerant charge (lb) per NormUnit]]/pounds_per_metric_ton)*DeemedDashboard[[#This Row],[Msr annual refrigerant leakage %]]*DeemedDashboard[[#This Row],[Msr GWP]],"")</f>
        <v/>
      </c>
      <c r="BQ92" s="330" t="str">
        <f>IFERROR((DeemedDashboard[[#This Row],[Std refrigerant charge (lb) per NormUnit]]/pounds_per_metric_ton)*DeemedDashboard[[#This Row],[Std annual refrigerant leakage %]]*DeemedDashboard[[#This Row],[Std GWP]],"")</f>
        <v/>
      </c>
      <c r="BR92" s="330" t="str">
        <f>IF(DeemedDashboard[[#This Row],[MeasAppType]]=const_AR,(DeemedDashboard[[#This Row],[Pre/Ext refrigerant charge (lb) per NormUnit]]/pounds_per_metric_ton)*DeemedDashboard[[#This Row],[Pre/Ext annual refrigerant leakage %]]*DeemedDashboard[[#This Row],[Pre/Ext GWP]],"")</f>
        <v/>
      </c>
      <c r="BS92" s="330" t="str">
        <f>IF(DeemedDashboard[[#This Row],[MeasAppType]]=const_AR,(DeemedDashboard[[#This Row],[Pre/Ext refrigerant charge (lb) per NormUnit]]/pounds_per_metric_ton)*DeemedDashboard[[#This Row],[Pre/Ext annual refrigerant leakage %]]*DeemedDashboard[[#This Row],[Pre/Ext GWP]],"")</f>
        <v/>
      </c>
      <c r="BT92" s="330" t="str">
        <f>IFERROR((DeemedDashboard[[#This Row],[Msr refrigerant charge (lb) per NormUnit]]/pounds_per_metric_ton)*DeemedDashboard[[#This Row],[Msr net EOL refrigerant leakage (%)]]*DeemedDashboard[[#This Row],[Msr GWP]],"")</f>
        <v/>
      </c>
      <c r="BU92" s="330" t="str">
        <f>IFERROR((DeemedDashboard[[#This Row],[Std refrigerant charge (lb) per NormUnit]]/pounds_per_metric_ton)*DeemedDashboard[[#This Row],[Std net EOL refrigerant leakage (%)]]*DeemedDashboard[[#This Row],[Std GWP]],"")</f>
        <v/>
      </c>
      <c r="BV92" s="330" t="str">
        <f>IFERROR((DeemedDashboard[[#This Row],[Pre/Ext refrigerant charge (lb) per NormUnit]]/pounds_per_metric_ton)*DeemedDashboard[[#This Row],[Pre net EOL refrigerant leakage (%)]]*DeemedDashboard[[#This Row],[Pre/Ext GWP]],"")</f>
        <v/>
      </c>
      <c r="BW92" s="330" t="str">
        <f>IFERROR((DeemedDashboard[[#This Row],[Pre/Ext refrigerant charge (lb) per NormUnit]]/pounds_per_metric_ton)*DeemedDashboard[[#This Row],[Ext net EOL refrigerant leakage (%)]]*DeemedDashboard[[#This Row],[Pre/Ext GWP]],"")</f>
        <v/>
      </c>
      <c r="BX92" s="299" t="str" cm="1">
        <f t="array" aca="1" ref="BX9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2" s="305" t="str" cm="1">
        <f t="array" aca="1" ref="BY9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2" s="299" t="str">
        <f>IFERROR(IF(OR(DeemedDashboard[[#This Row],[MeasAppType]]&lt;&gt;const_AR,ISBLANK(DeemedDashboard[[#This Row],[MeasAppType]])),NA(),0),"")</f>
        <v/>
      </c>
      <c r="CA92" s="305" t="str" cm="1">
        <f t="array" aca="1" ref="CA9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2" s="299" t="str">
        <f ca="1">IFERROR((DeemedDashboard[[#This Row],[Msr EOL leakage tons CO2e]]*OFFSET(GHG_Adder_dollar_per_tonne,0,(DeemedDashboard[[#This Row],[Msr Device Retire-ment Year]]-DY+1),1,1))/(1+WACC)^(DeemedDashboard[[#This Row],[Msr Device Retire-ment Year]]-DeemedDashboard[[#This Row],[Measure Start Year]]+0.5),"")</f>
        <v/>
      </c>
      <c r="CC92" s="299" t="str">
        <f ca="1">IFERROR((DeemedDashboard[[#This Row],[Std EOL leakage tons CO2e]]*OFFSET(GHG_Adder_dollar_per_tonne,0,(DeemedDashboard[[#This Row],[Std Device Retire-ment Year]]-DY+1),1,1))/(1+WACC)^(DeemedDashboard[[#This Row],[Std Device Retire-ment Year]]-DeemedDashboard[[#This Row],[Measure Start Year]]+0.5),"")</f>
        <v/>
      </c>
      <c r="CD92" s="299" t="str">
        <f ca="1">IFERROR((DeemedDashboard[[#This Row],[Pre EOL leakage tons CO2e]]*OFFSET(GHG_Adder_dollar_per_tonne,0,(DeemedDashboard[[#This Row],[Measure Start Year]]-DY),1,1))/(1+WACC)^(-0.5),"")</f>
        <v/>
      </c>
      <c r="CE9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2" s="299" t="str">
        <f ca="1">IFERROR(DeemedDashboard[[#This Row],[Msr NPV Cost of Annual Leakage]]/(1+ACC_Inflation_Rate)^(DeemedDashboard[[#This Row],[Measure Start Year]]-DY),"")</f>
        <v/>
      </c>
      <c r="CG92" s="299" t="str">
        <f ca="1">IFERROR(DeemedDashboard[[#This Row],[Std NPV Cost of Annual Leakage]]/(1+ACC_Inflation_Rate)^(DeemedDashboard[[#This Row],[Measure Start Year]]-DY),"")</f>
        <v/>
      </c>
      <c r="CH92" s="299" t="str">
        <f>IFERROR(IF(ISBLANK(DeemedDashboard[[#This Row],[MeasAppType]]),NA(),IF(DeemedDashboard[[#This Row],[MeasAppType]]=const_AR,DeemedDashboard[[#This Row],[Pre NPV Cost of Annual Leakage]]/(1+ACC_Inflation_Rate)^(DeemedDashboard[[#This Row],[Measure Start Year]]-DY),"")),"")</f>
        <v/>
      </c>
      <c r="CI92" s="296" t="str">
        <f>IFERROR(IF(ISBLANK(DeemedDashboard[[#This Row],[MeasAppType]]),NA(),IF(DeemedDashboard[[#This Row],[MeasAppType]]=const_AR,DeemedDashboard[[#This Row],[Ext NPV Cost of Annual Leakage]]/(1+ACC_Inflation_Rate)^(DeemedDashboard[[#This Row],[Measure Start Year]]-DY),"")),"")</f>
        <v/>
      </c>
      <c r="CJ92" s="296" t="str">
        <f ca="1">IFERROR((DeemedDashboard[[#This Row],[Msr % of device lifetime during measure years]]+DeemedDashboard[[#This Row],[Msr % of device lifetime retired early]])*DeemedDashboard[[#This Row],[Msr NPV Cost of EOL Leakage]]/(1+ACC_Inflation_Rate)^(DeemedDashboard[[#This Row],[Measure Start Year]]-DY),"")</f>
        <v/>
      </c>
      <c r="CK92" s="296" t="str">
        <f ca="1">IFERROR((DeemedDashboard[[#This Row],[Std % of device lifetime during measure years]]+DeemedDashboard[[#This Row],[Std % of device lifetime retired early]])*DeemedDashboard[[#This Row],[Std NPV Cost of EOL Leakage]]/(1+ACC_Inflation_Rate)^(DeemedDashboard[[#This Row],[Measure Start Year]]-DY),"")</f>
        <v/>
      </c>
      <c r="CL9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2" s="299" t="str">
        <f ca="1">IFERROR(DeemedDashboard[[#This Row],[Counter-factual total 
NPV cost]]-DeemedDashboard[[#This Row],[Measure total 
NPV cost]],"")</f>
        <v/>
      </c>
      <c r="CQ92" s="299" t="str">
        <f>IF(ISBLANK(DeemedDashboard[[#This Row],[MeasAppType]]),"",DeemedDashboard[[#This Row],[Refrigerant
NPV costs
avoided]]&gt;0)</f>
        <v/>
      </c>
      <c r="CR92" s="299" t="str">
        <f ca="1">IFERROR(DeemedDashboard[[#This Row],[Msr Adj NPV Cost of Annual Leakage]]+DeemedDashboard[[#This Row],[Msr Adj NPV Cost of EOL Leakage]],"")</f>
        <v/>
      </c>
      <c r="CS92" s="299" t="str">
        <f ca="1">IFERROR(DeemedDashboard[[#This Row],[Std Adj NPV Cost of Annual Leakage]]+DeemedDashboard[[#This Row],[Std Adj NPV Cost of EOL Leakage]],"")</f>
        <v/>
      </c>
      <c r="CT92" s="299" t="str">
        <f>IFERROR(IF((DeemedDashboard[[#This Row],[Pre Adj NPV Cost of Annual Leakage]]+DeemedDashboard[[#This Row],[Pre Adj NPV Cost of EOL Leakage]])=0,"",DeemedDashboard[[#This Row],[Pre Adj NPV Cost of Annual Leakage]]+DeemedDashboard[[#This Row],[Pre Adj NPV Cost of EOL Leakage]]),"")</f>
        <v/>
      </c>
      <c r="CU92" s="299" t="str">
        <f>IFERROR(IF((DeemedDashboard[[#This Row],[Ext Adj NPV Cost of Annual Leakage]]+DeemedDashboard[[#This Row],[Ext Adj NPV Cost of EOL Leakage]])=0,"",DeemedDashboard[[#This Row],[Ext Adj NPV Cost of Annual Leakage]]+DeemedDashboard[[#This Row],[Ext Adj NPV Cost of EOL Leakage]]),"")</f>
        <v/>
      </c>
      <c r="CV92" s="299" t="str">
        <f>IFERROR(IF(DeemedDashboard[[#This Row],[Is Avoided Net Cost &gt;0?]],"",-DeemedDashboard[[#This Row],[Refrigerant
NPV costs
avoided]]),"")</f>
        <v/>
      </c>
      <c r="CW92" s="299" t="str">
        <f>IFERROR(IF(DeemedDashboard[[#This Row],[Is Avoided Net Cost &gt;0?]],DeemedDashboard[[#This Row],[Refrigerant
NPV costs
avoided]],""),"")</f>
        <v/>
      </c>
      <c r="CX92" s="391">
        <f ca="1">IFERROR(MATCH(DeemedDashboard[[#This Row],[TechGroup and NormUnit]],TechGroup_and_NormUnit,0),1)</f>
        <v>1</v>
      </c>
      <c r="CY92" s="391" cm="1">
        <f t="array" aca="1" ref="CY92" ca="1">IFERROR(INDEX(TGRows,DeemedDashboard[[#This Row],[TGIndex]]),"")</f>
        <v>2</v>
      </c>
      <c r="CZ92" s="391">
        <f ca="1">IF(DeemedDashboard[[#This Row],[MeasAppType]]=const_AR,DeemedDashboard[[#This Row],[TGRows]],DeemedDashboard[[#This Row],[TGRows]]+1)</f>
        <v>3</v>
      </c>
      <c r="DA92" s="391" t="str">
        <f>IF(ISBLANK(DeemedDashboard[[#This Row],[MeasAppType]]),"",IF(DeemedDashboard[[#This Row],[Index]]=User_Specified_Refrigerant[[#This Row],[Index]],"OK","ERROR"))</f>
        <v/>
      </c>
    </row>
    <row r="93" spans="1:105" s="320" customFormat="1" x14ac:dyDescent="0.25">
      <c r="A93" s="297">
        <f>ROW(DeemedDashboard[[#This Row],[Index]])-ROW(DeemedDashboard[[#Headers],[Index]])</f>
        <v>84</v>
      </c>
      <c r="B93" s="298"/>
      <c r="C93" s="321"/>
      <c r="D93" s="403"/>
      <c r="E93" s="403"/>
      <c r="F93" s="403"/>
      <c r="G93" s="403"/>
      <c r="H93" s="366"/>
      <c r="I93" s="339"/>
      <c r="J93" s="339"/>
      <c r="K93" s="339"/>
      <c r="L93" s="322"/>
      <c r="M93" s="322"/>
      <c r="N93" s="322"/>
      <c r="O9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3" s="582" t="str" cm="1">
        <f t="array" ref="R93">IFERROR(IF(DeemedDashboard[[#This Row],[Msr device type]]=const_device_nonrefrig,0,INDEX(_xlfn.SWITCH($E$4,const_20_yr,GWP_Values_20_year_AR4,const_100_yr,GWP_Values_100_year_AR4),MATCH(DeemedDashboard[[#This Row],[Msr refrigerant Type]],RefrigDropdownList,0))),"")</f>
        <v/>
      </c>
      <c r="S93" s="582" t="str" cm="1">
        <f t="array" ref="S93">IFERROR(IF(DeemedDashboard[[#This Row],[Std device type]]=const_device_nonrefrig,0,INDEX(_xlfn.SWITCH($E$4,const_20_yr,GWP_Values_20_year_AR4,const_100_yr,GWP_Values_100_year_AR4),MATCH(DeemedDashboard[[#This Row],[Std refrigerant Type]],RefrigDropdownList,0))),"")</f>
        <v/>
      </c>
      <c r="T93" s="582" t="str" cm="1">
        <f t="array" ref="T93">IFERROR(IF(DeemedDashboard[[#This Row],[Pre/Ext device type]]=const_device_nonrefrig,0,INDEX(_xlfn.SWITCH($E$4,const_20_yr,GWP_Values_20_year_AR4,const_100_yr,GWP_Values_100_year_AR4),MATCH(DeemedDashboard[[#This Row],[Pre/Ext refrigerant Type]],RefrigDropdownList,0))),"")</f>
        <v/>
      </c>
      <c r="U9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3" s="326" t="str">
        <f>IFERROR(IF(DeemedDashboard[[#This Row],[Msr device type]]=const_userspec,IF(ISBLANK(User_Specified_Refrigerant[[#This Row],[Msr t_EOL]]),"",User_Specified_Refrigerant[[#This Row],[Msr t_EOL]]),INDEX(TechGroup_NormUnit_Table[t_EOL],MATCH(DeemedDashboard[[#This Row],[Msr device type]],DropdownRefrigTech,0))),"")</f>
        <v/>
      </c>
      <c r="AB93" s="326" t="str">
        <f>IFERROR(IF(DeemedDashboard[[#This Row],[Std device type]]=const_userspec,IF(ISBLANK(User_Specified_Refrigerant[[#This Row],[Std t_EOL]]),"",User_Specified_Refrigerant[[#This Row],[Std t_EOL]]),INDEX(TechGroup_NormUnit_Table[t_EOL],MATCH(DeemedDashboard[[#This Row],[Std device type]],DropdownRefrigTech,0))),"")</f>
        <v/>
      </c>
      <c r="AC9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3" s="395" t="str">
        <f>IF(ISBLANK(DeemedDashboard[[#This Row],[MeasAppType]]),"",$E$2)</f>
        <v/>
      </c>
      <c r="AE93" s="395" t="str">
        <f>IFERROR(IF(ISBLANK(DeemedDashboard[[#This Row],[MeasAppType]]),NA(),DeemedDashboard[[#This Row],[Measure Start Year]]+DeemedDashboard[[#This Row],[Msr EUL rounded]]-1),"")</f>
        <v/>
      </c>
      <c r="AF93" s="323" t="str">
        <f>IF(ISBLANK(DeemedDashboard[[#This Row],[Measure New Device EUL]]),"",ROUND(DeemedDashboard[[#This Row],[Measure New Device EUL]],0))</f>
        <v/>
      </c>
      <c r="AG93" s="323" t="str">
        <f>IF(ISBLANK(DeemedDashboard[[#This Row],[Counterfactual New Device EUL]]),"",ROUND(DeemedDashboard[[#This Row],[Counterfactual New Device EUL]],0))</f>
        <v/>
      </c>
      <c r="AH93" s="323" t="str">
        <f>IF(ISBLANK(DeemedDashboard[[#This Row],[Existing Device EUL]]),"",ROUND(DeemedDashboard[[#This Row],[Existing Device EUL]],0))</f>
        <v/>
      </c>
      <c r="AI93" s="323" t="str">
        <f>IF(ISBLANK(DeemedDashboard[[#This Row],[Existing Device RUL or AR First Baseline Life]]),"",ROUND(DeemedDashboard[[#This Row],[Existing Device RUL or AR First Baseline Life]],0))</f>
        <v/>
      </c>
      <c r="AJ93" s="327" t="str">
        <f>DeemedDashboard[[#This Row],[Measure Start Year]]</f>
        <v/>
      </c>
      <c r="AK93" s="327" t="str">
        <f>IF(DeemedDashboard[[#This Row],[MeasAppType]]&lt;&gt;const_AR,DeemedDashboard[[#This Row],[Measure Start Year]],DeemedDashboard[[#This Row],[Ext Device Retire-ment Year]]+1)</f>
        <v/>
      </c>
      <c r="AL93" s="327" t="str">
        <f>IFERROR(IF(DeemedDashboard[[#This Row],[MeasAppType]]=const_AR,DeemedDashboard[[#This Row],[Measure Start Year]]-(DeemedDashboard[[#This Row],[Existing Device EUL]]-DeemedDashboard[[#This Row],[Existing Device RUL or AR First Baseline Life]]),NA()),"")</f>
        <v/>
      </c>
      <c r="AM93" s="327" t="str">
        <f>DeemedDashboard[[#This Row],[Pre Device Install Year]]</f>
        <v/>
      </c>
      <c r="AN93" s="327" t="str">
        <f>IFERROR(IF(ISBLANK(DeemedDashboard[[#This Row],[MeasAppType]]),NA(),DeemedDashboard[[#This Row],[Measure Start Year]]+DeemedDashboard[[#This Row],[Msr EUL rounded]]-1),"")</f>
        <v/>
      </c>
      <c r="AO93" s="327" t="str">
        <f>IFERROR(DeemedDashboard[[#This Row],[Std Device Install Year]]+DeemedDashboard[[#This Row],[Counterfactual New Device EUL]]-1,"")</f>
        <v/>
      </c>
      <c r="AP93" s="327" t="str">
        <f>IFERROR(IF(AND(DeemedDashboard[[#This Row],[MeasAppType]]=const_AR,DeemedDashboard[[#This Row],[Measure Start Year]]&lt;(DeemedDashboard[[#This Row],[Pre Device Install Year]]+DeemedDashboard[[#This Row],[Existing Device EUL]]-1)),DeemedDashboard[[#This Row],[Measure Start Year]]-1,NA()),"")</f>
        <v/>
      </c>
      <c r="AQ93" s="327" t="str">
        <f>IFERROR(IF(DeemedDashboard[[#This Row],[MeasAppType]]=const_AR,DeemedDashboard[[#This Row],[Ext Device Install Year]]+DeemedDashboard[[#This Row],[Existing Device EUL]]-1,NA()),"")</f>
        <v/>
      </c>
      <c r="AR93" s="327" t="str">
        <f>IFERROR(IF(ISBLANK(DeemedDashboard[[#This Row],[MeasAppType]]),NA(),0),"")</f>
        <v/>
      </c>
      <c r="AS93" s="327" t="str">
        <f>IFERROR(IF(ISBLANK(DeemedDashboard[[#This Row],[MeasAppType]]),NA(),0),"")</f>
        <v/>
      </c>
      <c r="AT93" s="327" t="str">
        <f>IF(ISBLANK(DeemedDashboard[[#This Row],[MeasAppType]]),"",IF(DeemedDashboard[[#This Row],[MeasAppType]]&lt;&gt;const_AR,"",(DeemedDashboard[[#This Row],[Pre Device Install Year]]+DeemedDashboard[[#This Row],[Existing Device EUL]]-1)-DeemedDashboard[[#This Row],[Pre Device Retire-ment Year]]))</f>
        <v/>
      </c>
      <c r="AU93" s="327" t="str">
        <f>IF(ISBLANK(DeemedDashboard[[#This Row],[MeasAppType]]),"",IF(DeemedDashboard[[#This Row],[MeasAppType]]=const_AR,0,""))</f>
        <v/>
      </c>
      <c r="AV93" s="328" t="str">
        <f>IF(ISBLANK(DeemedDashboard[[#This Row],[MeasAppType]]),"",MAX((1+MIN(DeemedDashboard[[#This Row],[Msr Device Retire-ment Year]],DeemedDashboard[[#This Row],[Measure End 
Year]])-MAX(DeemedDashboard[[#This Row],[Msr Device Install Year]],DeemedDashboard[[#This Row],[Measure Start Year]])),0))</f>
        <v/>
      </c>
      <c r="AW93" s="328" t="str">
        <f>IF(ISBLANK(DeemedDashboard[[#This Row],[MeasAppType]]),"",MAX((1+MIN(DeemedDashboard[[#This Row],[Std Device Retire-ment Year]],DeemedDashboard[[#This Row],[Measure End 
Year]])-MAX(DeemedDashboard[[#This Row],[Std Device Install Year]],DeemedDashboard[[#This Row],[Measure Start Year]])),0))</f>
        <v/>
      </c>
      <c r="AX9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3" s="329" t="str">
        <f>IF(ISBLANK(DeemedDashboard[[#This Row],[MeasAppType]]),"",IF(DeemedDashboard[[#This Row],[Msr Device Years Over-lapping with Measure Years]]=0,0,DeemedDashboard[[#This Row],[Msr Device Years Over-lapping with Measure Years]]/DeemedDashboard[[#This Row],[Msr EUL rounded]]))</f>
        <v/>
      </c>
      <c r="BA93" s="329" t="str">
        <f>IF(ISBLANK(DeemedDashboard[[#This Row],[MeasAppType]]),"",IF(DeemedDashboard[[#This Row],[Std Device Years Over-lapping with Measure Years]]=0,0,DeemedDashboard[[#This Row],[Std Device Years Over-lapping with Measure Years]]/DeemedDashboard[[#This Row],[Counterfactual New Device EUL]]))</f>
        <v/>
      </c>
      <c r="BB93" s="329" t="str">
        <f>IF(ISBLANK(DeemedDashboard[[#This Row],[MeasAppType]]),"",IFERROR(IF(DeemedDashboard[[#This Row],[Pre Device Years Over-lapping with Measure Years]]=0,0,DeemedDashboard[[#This Row],[Pre Device Years Over-lapping with Measure Years]]/DeemedDashboard[[#This Row],[Existing Device EUL]]),""))</f>
        <v/>
      </c>
      <c r="BC93" s="329" t="str">
        <f>IFERROR(IF(DeemedDashboard[[#This Row],[Ext Device Years Over-lapping with Measure Years]]=0,0,DeemedDashboard[[#This Row],[Ext Device Years Over-lapping with Measure Years]]/DeemedDashboard[[#This Row],[Existing Device EUL]]),"")</f>
        <v/>
      </c>
      <c r="BD93" s="329" t="str">
        <f>IFERROR(IF(DeemedDashboard[[#This Row],[Msr Number of Years device retired early]]=0,0,DeemedDashboard[[#This Row],[Msr Number of Years device retired early]]/DeemedDashboard[[#This Row],[Msr EUL rounded]]),"")</f>
        <v/>
      </c>
      <c r="BE93" s="329" t="str">
        <f>IFERROR(IF(DeemedDashboard[[#This Row],[Std Number of Years device retired early]]=0,0,DeemedDashboard[[#This Row],[Std Number of Years device retired early]]/DeemedDashboard[[#This Row],[Msr EUL rounded]]),"")</f>
        <v/>
      </c>
      <c r="BF93" s="329" t="str">
        <f>IFERROR(IF(DeemedDashboard[[#This Row],[MeasAppType]]&lt;&gt;const_AR,"",IF(DeemedDashboard[[#This Row],[Pre Number of Years device retired early]]=0,0,DeemedDashboard[[#This Row],[Pre Number of Years device retired early]]/DeemedDashboard[[#This Row],[Existing Device EUL]])),"")</f>
        <v/>
      </c>
      <c r="BG93" s="329" t="str">
        <f>IFERROR(IF(DeemedDashboard[[#This Row],[Ext Number of Years device retired early]]=0,0,DeemedDashboard[[#This Row],[Ext Number of Years device retired early]]/DeemedDashboard[[#This Row],[Existing Device EUL]]),"")</f>
        <v/>
      </c>
      <c r="BH93" s="325" t="str">
        <f>IFERROR(1-DeemedDashboard[[#This Row],[Msr annual refrigerant leakage %]]*DeemedDashboard[[#This Row],[Msr t_EOL]],"")</f>
        <v/>
      </c>
      <c r="BI93" s="325" t="str">
        <f>IFERROR(1-DeemedDashboard[[#This Row],[Std annual refrigerant leakage %]]*DeemedDashboard[[#This Row],[Std t_EOL]],"")</f>
        <v/>
      </c>
      <c r="BJ93" s="325" t="str">
        <f>IFERROR(1-DeemedDashboard[[#This Row],[Pre/Ext annual refrigerant leakage %]]*DeemedDashboard[[#This Row],[Pre/Ext t_EOL]],"")</f>
        <v/>
      </c>
      <c r="BK93" s="325" t="str">
        <f>IFERROR(1-DeemedDashboard[[#This Row],[Pre/Ext annual refrigerant leakage %]]*DeemedDashboard[[#This Row],[Pre/Ext t_EOL]],"")</f>
        <v/>
      </c>
      <c r="BL93" s="325" t="str">
        <f>IFERROR(DeemedDashboard[[#This Row],[Msr charging remaining (%)]]*DeemedDashboard[[#This Row],[Msr gross EOL refrigerant leakage %]],"")</f>
        <v/>
      </c>
      <c r="BM93" s="325" t="str">
        <f>IFERROR(DeemedDashboard[[#This Row],[Std charging remaining (%)]]*DeemedDashboard[[#This Row],[Std gross EOL refrigerant leakage %]],"")</f>
        <v/>
      </c>
      <c r="BN93" s="325" t="str">
        <f>IFERROR(DeemedDashboard[[#This Row],[Pre charging remaining (%)]]*DeemedDashboard[[#This Row],[Pre/Ext gross EOL refrigerant leakage %]],"")</f>
        <v/>
      </c>
      <c r="BO93" s="325" t="str">
        <f>IFERROR(DeemedDashboard[[#This Row],[Ext charging remaining (%)]]*DeemedDashboard[[#This Row],[Pre/Ext gross EOL refrigerant leakage %]],"")</f>
        <v/>
      </c>
      <c r="BP93" s="330" t="str">
        <f>IFERROR((DeemedDashboard[[#This Row],[Msr refrigerant charge (lb) per NormUnit]]/pounds_per_metric_ton)*DeemedDashboard[[#This Row],[Msr annual refrigerant leakage %]]*DeemedDashboard[[#This Row],[Msr GWP]],"")</f>
        <v/>
      </c>
      <c r="BQ93" s="330" t="str">
        <f>IFERROR((DeemedDashboard[[#This Row],[Std refrigerant charge (lb) per NormUnit]]/pounds_per_metric_ton)*DeemedDashboard[[#This Row],[Std annual refrigerant leakage %]]*DeemedDashboard[[#This Row],[Std GWP]],"")</f>
        <v/>
      </c>
      <c r="BR93" s="330" t="str">
        <f>IF(DeemedDashboard[[#This Row],[MeasAppType]]=const_AR,(DeemedDashboard[[#This Row],[Pre/Ext refrigerant charge (lb) per NormUnit]]/pounds_per_metric_ton)*DeemedDashboard[[#This Row],[Pre/Ext annual refrigerant leakage %]]*DeemedDashboard[[#This Row],[Pre/Ext GWP]],"")</f>
        <v/>
      </c>
      <c r="BS93" s="330" t="str">
        <f>IF(DeemedDashboard[[#This Row],[MeasAppType]]=const_AR,(DeemedDashboard[[#This Row],[Pre/Ext refrigerant charge (lb) per NormUnit]]/pounds_per_metric_ton)*DeemedDashboard[[#This Row],[Pre/Ext annual refrigerant leakage %]]*DeemedDashboard[[#This Row],[Pre/Ext GWP]],"")</f>
        <v/>
      </c>
      <c r="BT93" s="330" t="str">
        <f>IFERROR((DeemedDashboard[[#This Row],[Msr refrigerant charge (lb) per NormUnit]]/pounds_per_metric_ton)*DeemedDashboard[[#This Row],[Msr net EOL refrigerant leakage (%)]]*DeemedDashboard[[#This Row],[Msr GWP]],"")</f>
        <v/>
      </c>
      <c r="BU93" s="330" t="str">
        <f>IFERROR((DeemedDashboard[[#This Row],[Std refrigerant charge (lb) per NormUnit]]/pounds_per_metric_ton)*DeemedDashboard[[#This Row],[Std net EOL refrigerant leakage (%)]]*DeemedDashboard[[#This Row],[Std GWP]],"")</f>
        <v/>
      </c>
      <c r="BV93" s="330" t="str">
        <f>IFERROR((DeemedDashboard[[#This Row],[Pre/Ext refrigerant charge (lb) per NormUnit]]/pounds_per_metric_ton)*DeemedDashboard[[#This Row],[Pre net EOL refrigerant leakage (%)]]*DeemedDashboard[[#This Row],[Pre/Ext GWP]],"")</f>
        <v/>
      </c>
      <c r="BW93" s="330" t="str">
        <f>IFERROR((DeemedDashboard[[#This Row],[Pre/Ext refrigerant charge (lb) per NormUnit]]/pounds_per_metric_ton)*DeemedDashboard[[#This Row],[Ext net EOL refrigerant leakage (%)]]*DeemedDashboard[[#This Row],[Pre/Ext GWP]],"")</f>
        <v/>
      </c>
      <c r="BX93" s="299" t="str" cm="1">
        <f t="array" aca="1" ref="BX9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3" s="305" t="str" cm="1">
        <f t="array" aca="1" ref="BY9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3" s="299" t="str">
        <f>IFERROR(IF(OR(DeemedDashboard[[#This Row],[MeasAppType]]&lt;&gt;const_AR,ISBLANK(DeemedDashboard[[#This Row],[MeasAppType]])),NA(),0),"")</f>
        <v/>
      </c>
      <c r="CA93" s="305" t="str" cm="1">
        <f t="array" aca="1" ref="CA9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3" s="299" t="str">
        <f ca="1">IFERROR((DeemedDashboard[[#This Row],[Msr EOL leakage tons CO2e]]*OFFSET(GHG_Adder_dollar_per_tonne,0,(DeemedDashboard[[#This Row],[Msr Device Retire-ment Year]]-DY+1),1,1))/(1+WACC)^(DeemedDashboard[[#This Row],[Msr Device Retire-ment Year]]-DeemedDashboard[[#This Row],[Measure Start Year]]+0.5),"")</f>
        <v/>
      </c>
      <c r="CC93" s="299" t="str">
        <f ca="1">IFERROR((DeemedDashboard[[#This Row],[Std EOL leakage tons CO2e]]*OFFSET(GHG_Adder_dollar_per_tonne,0,(DeemedDashboard[[#This Row],[Std Device Retire-ment Year]]-DY+1),1,1))/(1+WACC)^(DeemedDashboard[[#This Row],[Std Device Retire-ment Year]]-DeemedDashboard[[#This Row],[Measure Start Year]]+0.5),"")</f>
        <v/>
      </c>
      <c r="CD93" s="299" t="str">
        <f ca="1">IFERROR((DeemedDashboard[[#This Row],[Pre EOL leakage tons CO2e]]*OFFSET(GHG_Adder_dollar_per_tonne,0,(DeemedDashboard[[#This Row],[Measure Start Year]]-DY),1,1))/(1+WACC)^(-0.5),"")</f>
        <v/>
      </c>
      <c r="CE9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3" s="299" t="str">
        <f ca="1">IFERROR(DeemedDashboard[[#This Row],[Msr NPV Cost of Annual Leakage]]/(1+ACC_Inflation_Rate)^(DeemedDashboard[[#This Row],[Measure Start Year]]-DY),"")</f>
        <v/>
      </c>
      <c r="CG93" s="299" t="str">
        <f ca="1">IFERROR(DeemedDashboard[[#This Row],[Std NPV Cost of Annual Leakage]]/(1+ACC_Inflation_Rate)^(DeemedDashboard[[#This Row],[Measure Start Year]]-DY),"")</f>
        <v/>
      </c>
      <c r="CH93" s="299" t="str">
        <f>IFERROR(IF(ISBLANK(DeemedDashboard[[#This Row],[MeasAppType]]),NA(),IF(DeemedDashboard[[#This Row],[MeasAppType]]=const_AR,DeemedDashboard[[#This Row],[Pre NPV Cost of Annual Leakage]]/(1+ACC_Inflation_Rate)^(DeemedDashboard[[#This Row],[Measure Start Year]]-DY),"")),"")</f>
        <v/>
      </c>
      <c r="CI93" s="296" t="str">
        <f>IFERROR(IF(ISBLANK(DeemedDashboard[[#This Row],[MeasAppType]]),NA(),IF(DeemedDashboard[[#This Row],[MeasAppType]]=const_AR,DeemedDashboard[[#This Row],[Ext NPV Cost of Annual Leakage]]/(1+ACC_Inflation_Rate)^(DeemedDashboard[[#This Row],[Measure Start Year]]-DY),"")),"")</f>
        <v/>
      </c>
      <c r="CJ93" s="296" t="str">
        <f ca="1">IFERROR((DeemedDashboard[[#This Row],[Msr % of device lifetime during measure years]]+DeemedDashboard[[#This Row],[Msr % of device lifetime retired early]])*DeemedDashboard[[#This Row],[Msr NPV Cost of EOL Leakage]]/(1+ACC_Inflation_Rate)^(DeemedDashboard[[#This Row],[Measure Start Year]]-DY),"")</f>
        <v/>
      </c>
      <c r="CK93" s="296" t="str">
        <f ca="1">IFERROR((DeemedDashboard[[#This Row],[Std % of device lifetime during measure years]]+DeemedDashboard[[#This Row],[Std % of device lifetime retired early]])*DeemedDashboard[[#This Row],[Std NPV Cost of EOL Leakage]]/(1+ACC_Inflation_Rate)^(DeemedDashboard[[#This Row],[Measure Start Year]]-DY),"")</f>
        <v/>
      </c>
      <c r="CL9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3" s="299" t="str">
        <f ca="1">IFERROR(DeemedDashboard[[#This Row],[Counter-factual total 
NPV cost]]-DeemedDashboard[[#This Row],[Measure total 
NPV cost]],"")</f>
        <v/>
      </c>
      <c r="CQ93" s="299" t="str">
        <f>IF(ISBLANK(DeemedDashboard[[#This Row],[MeasAppType]]),"",DeemedDashboard[[#This Row],[Refrigerant
NPV costs
avoided]]&gt;0)</f>
        <v/>
      </c>
      <c r="CR93" s="299" t="str">
        <f ca="1">IFERROR(DeemedDashboard[[#This Row],[Msr Adj NPV Cost of Annual Leakage]]+DeemedDashboard[[#This Row],[Msr Adj NPV Cost of EOL Leakage]],"")</f>
        <v/>
      </c>
      <c r="CS93" s="299" t="str">
        <f ca="1">IFERROR(DeemedDashboard[[#This Row],[Std Adj NPV Cost of Annual Leakage]]+DeemedDashboard[[#This Row],[Std Adj NPV Cost of EOL Leakage]],"")</f>
        <v/>
      </c>
      <c r="CT93" s="299" t="str">
        <f>IFERROR(IF((DeemedDashboard[[#This Row],[Pre Adj NPV Cost of Annual Leakage]]+DeemedDashboard[[#This Row],[Pre Adj NPV Cost of EOL Leakage]])=0,"",DeemedDashboard[[#This Row],[Pre Adj NPV Cost of Annual Leakage]]+DeemedDashboard[[#This Row],[Pre Adj NPV Cost of EOL Leakage]]),"")</f>
        <v/>
      </c>
      <c r="CU93" s="299" t="str">
        <f>IFERROR(IF((DeemedDashboard[[#This Row],[Ext Adj NPV Cost of Annual Leakage]]+DeemedDashboard[[#This Row],[Ext Adj NPV Cost of EOL Leakage]])=0,"",DeemedDashboard[[#This Row],[Ext Adj NPV Cost of Annual Leakage]]+DeemedDashboard[[#This Row],[Ext Adj NPV Cost of EOL Leakage]]),"")</f>
        <v/>
      </c>
      <c r="CV93" s="299" t="str">
        <f>IFERROR(IF(DeemedDashboard[[#This Row],[Is Avoided Net Cost &gt;0?]],"",-DeemedDashboard[[#This Row],[Refrigerant
NPV costs
avoided]]),"")</f>
        <v/>
      </c>
      <c r="CW93" s="299" t="str">
        <f>IFERROR(IF(DeemedDashboard[[#This Row],[Is Avoided Net Cost &gt;0?]],DeemedDashboard[[#This Row],[Refrigerant
NPV costs
avoided]],""),"")</f>
        <v/>
      </c>
      <c r="CX93" s="391">
        <f ca="1">IFERROR(MATCH(DeemedDashboard[[#This Row],[TechGroup and NormUnit]],TechGroup_and_NormUnit,0),1)</f>
        <v>1</v>
      </c>
      <c r="CY93" s="391" cm="1">
        <f t="array" aca="1" ref="CY93" ca="1">IFERROR(INDEX(TGRows,DeemedDashboard[[#This Row],[TGIndex]]),"")</f>
        <v>2</v>
      </c>
      <c r="CZ93" s="391">
        <f ca="1">IF(DeemedDashboard[[#This Row],[MeasAppType]]=const_AR,DeemedDashboard[[#This Row],[TGRows]],DeemedDashboard[[#This Row],[TGRows]]+1)</f>
        <v>3</v>
      </c>
      <c r="DA93" s="391" t="str">
        <f>IF(ISBLANK(DeemedDashboard[[#This Row],[MeasAppType]]),"",IF(DeemedDashboard[[#This Row],[Index]]=User_Specified_Refrigerant[[#This Row],[Index]],"OK","ERROR"))</f>
        <v/>
      </c>
    </row>
    <row r="94" spans="1:105" s="320" customFormat="1" x14ac:dyDescent="0.25">
      <c r="A94" s="297">
        <f>ROW(DeemedDashboard[[#This Row],[Index]])-ROW(DeemedDashboard[[#Headers],[Index]])</f>
        <v>85</v>
      </c>
      <c r="B94" s="298"/>
      <c r="C94" s="321"/>
      <c r="D94" s="403"/>
      <c r="E94" s="403"/>
      <c r="F94" s="403"/>
      <c r="G94" s="403"/>
      <c r="H94" s="366"/>
      <c r="I94" s="339"/>
      <c r="J94" s="339"/>
      <c r="K94" s="339"/>
      <c r="L94" s="322"/>
      <c r="M94" s="322"/>
      <c r="N94" s="322"/>
      <c r="O9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4" s="582" t="str" cm="1">
        <f t="array" ref="R94">IFERROR(IF(DeemedDashboard[[#This Row],[Msr device type]]=const_device_nonrefrig,0,INDEX(_xlfn.SWITCH($E$4,const_20_yr,GWP_Values_20_year_AR4,const_100_yr,GWP_Values_100_year_AR4),MATCH(DeemedDashboard[[#This Row],[Msr refrigerant Type]],RefrigDropdownList,0))),"")</f>
        <v/>
      </c>
      <c r="S94" s="582" t="str" cm="1">
        <f t="array" ref="S94">IFERROR(IF(DeemedDashboard[[#This Row],[Std device type]]=const_device_nonrefrig,0,INDEX(_xlfn.SWITCH($E$4,const_20_yr,GWP_Values_20_year_AR4,const_100_yr,GWP_Values_100_year_AR4),MATCH(DeemedDashboard[[#This Row],[Std refrigerant Type]],RefrigDropdownList,0))),"")</f>
        <v/>
      </c>
      <c r="T94" s="582" t="str" cm="1">
        <f t="array" ref="T94">IFERROR(IF(DeemedDashboard[[#This Row],[Pre/Ext device type]]=const_device_nonrefrig,0,INDEX(_xlfn.SWITCH($E$4,const_20_yr,GWP_Values_20_year_AR4,const_100_yr,GWP_Values_100_year_AR4),MATCH(DeemedDashboard[[#This Row],[Pre/Ext refrigerant Type]],RefrigDropdownList,0))),"")</f>
        <v/>
      </c>
      <c r="U9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4" s="326" t="str">
        <f>IFERROR(IF(DeemedDashboard[[#This Row],[Msr device type]]=const_userspec,IF(ISBLANK(User_Specified_Refrigerant[[#This Row],[Msr t_EOL]]),"",User_Specified_Refrigerant[[#This Row],[Msr t_EOL]]),INDEX(TechGroup_NormUnit_Table[t_EOL],MATCH(DeemedDashboard[[#This Row],[Msr device type]],DropdownRefrigTech,0))),"")</f>
        <v/>
      </c>
      <c r="AB94" s="326" t="str">
        <f>IFERROR(IF(DeemedDashboard[[#This Row],[Std device type]]=const_userspec,IF(ISBLANK(User_Specified_Refrigerant[[#This Row],[Std t_EOL]]),"",User_Specified_Refrigerant[[#This Row],[Std t_EOL]]),INDEX(TechGroup_NormUnit_Table[t_EOL],MATCH(DeemedDashboard[[#This Row],[Std device type]],DropdownRefrigTech,0))),"")</f>
        <v/>
      </c>
      <c r="AC9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4" s="395" t="str">
        <f>IF(ISBLANK(DeemedDashboard[[#This Row],[MeasAppType]]),"",$E$2)</f>
        <v/>
      </c>
      <c r="AE94" s="395" t="str">
        <f>IFERROR(IF(ISBLANK(DeemedDashboard[[#This Row],[MeasAppType]]),NA(),DeemedDashboard[[#This Row],[Measure Start Year]]+DeemedDashboard[[#This Row],[Msr EUL rounded]]-1),"")</f>
        <v/>
      </c>
      <c r="AF94" s="323" t="str">
        <f>IF(ISBLANK(DeemedDashboard[[#This Row],[Measure New Device EUL]]),"",ROUND(DeemedDashboard[[#This Row],[Measure New Device EUL]],0))</f>
        <v/>
      </c>
      <c r="AG94" s="323" t="str">
        <f>IF(ISBLANK(DeemedDashboard[[#This Row],[Counterfactual New Device EUL]]),"",ROUND(DeemedDashboard[[#This Row],[Counterfactual New Device EUL]],0))</f>
        <v/>
      </c>
      <c r="AH94" s="323" t="str">
        <f>IF(ISBLANK(DeemedDashboard[[#This Row],[Existing Device EUL]]),"",ROUND(DeemedDashboard[[#This Row],[Existing Device EUL]],0))</f>
        <v/>
      </c>
      <c r="AI94" s="323" t="str">
        <f>IF(ISBLANK(DeemedDashboard[[#This Row],[Existing Device RUL or AR First Baseline Life]]),"",ROUND(DeemedDashboard[[#This Row],[Existing Device RUL or AR First Baseline Life]],0))</f>
        <v/>
      </c>
      <c r="AJ94" s="327" t="str">
        <f>DeemedDashboard[[#This Row],[Measure Start Year]]</f>
        <v/>
      </c>
      <c r="AK94" s="327" t="str">
        <f>IF(DeemedDashboard[[#This Row],[MeasAppType]]&lt;&gt;const_AR,DeemedDashboard[[#This Row],[Measure Start Year]],DeemedDashboard[[#This Row],[Ext Device Retire-ment Year]]+1)</f>
        <v/>
      </c>
      <c r="AL94" s="327" t="str">
        <f>IFERROR(IF(DeemedDashboard[[#This Row],[MeasAppType]]=const_AR,DeemedDashboard[[#This Row],[Measure Start Year]]-(DeemedDashboard[[#This Row],[Existing Device EUL]]-DeemedDashboard[[#This Row],[Existing Device RUL or AR First Baseline Life]]),NA()),"")</f>
        <v/>
      </c>
      <c r="AM94" s="327" t="str">
        <f>DeemedDashboard[[#This Row],[Pre Device Install Year]]</f>
        <v/>
      </c>
      <c r="AN94" s="327" t="str">
        <f>IFERROR(IF(ISBLANK(DeemedDashboard[[#This Row],[MeasAppType]]),NA(),DeemedDashboard[[#This Row],[Measure Start Year]]+DeemedDashboard[[#This Row],[Msr EUL rounded]]-1),"")</f>
        <v/>
      </c>
      <c r="AO94" s="327" t="str">
        <f>IFERROR(DeemedDashboard[[#This Row],[Std Device Install Year]]+DeemedDashboard[[#This Row],[Counterfactual New Device EUL]]-1,"")</f>
        <v/>
      </c>
      <c r="AP94" s="327" t="str">
        <f>IFERROR(IF(AND(DeemedDashboard[[#This Row],[MeasAppType]]=const_AR,DeemedDashboard[[#This Row],[Measure Start Year]]&lt;(DeemedDashboard[[#This Row],[Pre Device Install Year]]+DeemedDashboard[[#This Row],[Existing Device EUL]]-1)),DeemedDashboard[[#This Row],[Measure Start Year]]-1,NA()),"")</f>
        <v/>
      </c>
      <c r="AQ94" s="327" t="str">
        <f>IFERROR(IF(DeemedDashboard[[#This Row],[MeasAppType]]=const_AR,DeemedDashboard[[#This Row],[Ext Device Install Year]]+DeemedDashboard[[#This Row],[Existing Device EUL]]-1,NA()),"")</f>
        <v/>
      </c>
      <c r="AR94" s="327" t="str">
        <f>IFERROR(IF(ISBLANK(DeemedDashboard[[#This Row],[MeasAppType]]),NA(),0),"")</f>
        <v/>
      </c>
      <c r="AS94" s="327" t="str">
        <f>IFERROR(IF(ISBLANK(DeemedDashboard[[#This Row],[MeasAppType]]),NA(),0),"")</f>
        <v/>
      </c>
      <c r="AT94" s="327" t="str">
        <f>IF(ISBLANK(DeemedDashboard[[#This Row],[MeasAppType]]),"",IF(DeemedDashboard[[#This Row],[MeasAppType]]&lt;&gt;const_AR,"",(DeemedDashboard[[#This Row],[Pre Device Install Year]]+DeemedDashboard[[#This Row],[Existing Device EUL]]-1)-DeemedDashboard[[#This Row],[Pre Device Retire-ment Year]]))</f>
        <v/>
      </c>
      <c r="AU94" s="327" t="str">
        <f>IF(ISBLANK(DeemedDashboard[[#This Row],[MeasAppType]]),"",IF(DeemedDashboard[[#This Row],[MeasAppType]]=const_AR,0,""))</f>
        <v/>
      </c>
      <c r="AV94" s="328" t="str">
        <f>IF(ISBLANK(DeemedDashboard[[#This Row],[MeasAppType]]),"",MAX((1+MIN(DeemedDashboard[[#This Row],[Msr Device Retire-ment Year]],DeemedDashboard[[#This Row],[Measure End 
Year]])-MAX(DeemedDashboard[[#This Row],[Msr Device Install Year]],DeemedDashboard[[#This Row],[Measure Start Year]])),0))</f>
        <v/>
      </c>
      <c r="AW94" s="328" t="str">
        <f>IF(ISBLANK(DeemedDashboard[[#This Row],[MeasAppType]]),"",MAX((1+MIN(DeemedDashboard[[#This Row],[Std Device Retire-ment Year]],DeemedDashboard[[#This Row],[Measure End 
Year]])-MAX(DeemedDashboard[[#This Row],[Std Device Install Year]],DeemedDashboard[[#This Row],[Measure Start Year]])),0))</f>
        <v/>
      </c>
      <c r="AX9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4" s="329" t="str">
        <f>IF(ISBLANK(DeemedDashboard[[#This Row],[MeasAppType]]),"",IF(DeemedDashboard[[#This Row],[Msr Device Years Over-lapping with Measure Years]]=0,0,DeemedDashboard[[#This Row],[Msr Device Years Over-lapping with Measure Years]]/DeemedDashboard[[#This Row],[Msr EUL rounded]]))</f>
        <v/>
      </c>
      <c r="BA94" s="329" t="str">
        <f>IF(ISBLANK(DeemedDashboard[[#This Row],[MeasAppType]]),"",IF(DeemedDashboard[[#This Row],[Std Device Years Over-lapping with Measure Years]]=0,0,DeemedDashboard[[#This Row],[Std Device Years Over-lapping with Measure Years]]/DeemedDashboard[[#This Row],[Counterfactual New Device EUL]]))</f>
        <v/>
      </c>
      <c r="BB94" s="329" t="str">
        <f>IF(ISBLANK(DeemedDashboard[[#This Row],[MeasAppType]]),"",IFERROR(IF(DeemedDashboard[[#This Row],[Pre Device Years Over-lapping with Measure Years]]=0,0,DeemedDashboard[[#This Row],[Pre Device Years Over-lapping with Measure Years]]/DeemedDashboard[[#This Row],[Existing Device EUL]]),""))</f>
        <v/>
      </c>
      <c r="BC94" s="329" t="str">
        <f>IFERROR(IF(DeemedDashboard[[#This Row],[Ext Device Years Over-lapping with Measure Years]]=0,0,DeemedDashboard[[#This Row],[Ext Device Years Over-lapping with Measure Years]]/DeemedDashboard[[#This Row],[Existing Device EUL]]),"")</f>
        <v/>
      </c>
      <c r="BD94" s="329" t="str">
        <f>IFERROR(IF(DeemedDashboard[[#This Row],[Msr Number of Years device retired early]]=0,0,DeemedDashboard[[#This Row],[Msr Number of Years device retired early]]/DeemedDashboard[[#This Row],[Msr EUL rounded]]),"")</f>
        <v/>
      </c>
      <c r="BE94" s="329" t="str">
        <f>IFERROR(IF(DeemedDashboard[[#This Row],[Std Number of Years device retired early]]=0,0,DeemedDashboard[[#This Row],[Std Number of Years device retired early]]/DeemedDashboard[[#This Row],[Msr EUL rounded]]),"")</f>
        <v/>
      </c>
      <c r="BF94" s="329" t="str">
        <f>IFERROR(IF(DeemedDashboard[[#This Row],[MeasAppType]]&lt;&gt;const_AR,"",IF(DeemedDashboard[[#This Row],[Pre Number of Years device retired early]]=0,0,DeemedDashboard[[#This Row],[Pre Number of Years device retired early]]/DeemedDashboard[[#This Row],[Existing Device EUL]])),"")</f>
        <v/>
      </c>
      <c r="BG94" s="329" t="str">
        <f>IFERROR(IF(DeemedDashboard[[#This Row],[Ext Number of Years device retired early]]=0,0,DeemedDashboard[[#This Row],[Ext Number of Years device retired early]]/DeemedDashboard[[#This Row],[Existing Device EUL]]),"")</f>
        <v/>
      </c>
      <c r="BH94" s="325" t="str">
        <f>IFERROR(1-DeemedDashboard[[#This Row],[Msr annual refrigerant leakage %]]*DeemedDashboard[[#This Row],[Msr t_EOL]],"")</f>
        <v/>
      </c>
      <c r="BI94" s="325" t="str">
        <f>IFERROR(1-DeemedDashboard[[#This Row],[Std annual refrigerant leakage %]]*DeemedDashboard[[#This Row],[Std t_EOL]],"")</f>
        <v/>
      </c>
      <c r="BJ94" s="325" t="str">
        <f>IFERROR(1-DeemedDashboard[[#This Row],[Pre/Ext annual refrigerant leakage %]]*DeemedDashboard[[#This Row],[Pre/Ext t_EOL]],"")</f>
        <v/>
      </c>
      <c r="BK94" s="325" t="str">
        <f>IFERROR(1-DeemedDashboard[[#This Row],[Pre/Ext annual refrigerant leakage %]]*DeemedDashboard[[#This Row],[Pre/Ext t_EOL]],"")</f>
        <v/>
      </c>
      <c r="BL94" s="325" t="str">
        <f>IFERROR(DeemedDashboard[[#This Row],[Msr charging remaining (%)]]*DeemedDashboard[[#This Row],[Msr gross EOL refrigerant leakage %]],"")</f>
        <v/>
      </c>
      <c r="BM94" s="325" t="str">
        <f>IFERROR(DeemedDashboard[[#This Row],[Std charging remaining (%)]]*DeemedDashboard[[#This Row],[Std gross EOL refrigerant leakage %]],"")</f>
        <v/>
      </c>
      <c r="BN94" s="325" t="str">
        <f>IFERROR(DeemedDashboard[[#This Row],[Pre charging remaining (%)]]*DeemedDashboard[[#This Row],[Pre/Ext gross EOL refrigerant leakage %]],"")</f>
        <v/>
      </c>
      <c r="BO94" s="325" t="str">
        <f>IFERROR(DeemedDashboard[[#This Row],[Ext charging remaining (%)]]*DeemedDashboard[[#This Row],[Pre/Ext gross EOL refrigerant leakage %]],"")</f>
        <v/>
      </c>
      <c r="BP94" s="330" t="str">
        <f>IFERROR((DeemedDashboard[[#This Row],[Msr refrigerant charge (lb) per NormUnit]]/pounds_per_metric_ton)*DeemedDashboard[[#This Row],[Msr annual refrigerant leakage %]]*DeemedDashboard[[#This Row],[Msr GWP]],"")</f>
        <v/>
      </c>
      <c r="BQ94" s="330" t="str">
        <f>IFERROR((DeemedDashboard[[#This Row],[Std refrigerant charge (lb) per NormUnit]]/pounds_per_metric_ton)*DeemedDashboard[[#This Row],[Std annual refrigerant leakage %]]*DeemedDashboard[[#This Row],[Std GWP]],"")</f>
        <v/>
      </c>
      <c r="BR94" s="330" t="str">
        <f>IF(DeemedDashboard[[#This Row],[MeasAppType]]=const_AR,(DeemedDashboard[[#This Row],[Pre/Ext refrigerant charge (lb) per NormUnit]]/pounds_per_metric_ton)*DeemedDashboard[[#This Row],[Pre/Ext annual refrigerant leakage %]]*DeemedDashboard[[#This Row],[Pre/Ext GWP]],"")</f>
        <v/>
      </c>
      <c r="BS94" s="330" t="str">
        <f>IF(DeemedDashboard[[#This Row],[MeasAppType]]=const_AR,(DeemedDashboard[[#This Row],[Pre/Ext refrigerant charge (lb) per NormUnit]]/pounds_per_metric_ton)*DeemedDashboard[[#This Row],[Pre/Ext annual refrigerant leakage %]]*DeemedDashboard[[#This Row],[Pre/Ext GWP]],"")</f>
        <v/>
      </c>
      <c r="BT94" s="330" t="str">
        <f>IFERROR((DeemedDashboard[[#This Row],[Msr refrigerant charge (lb) per NormUnit]]/pounds_per_metric_ton)*DeemedDashboard[[#This Row],[Msr net EOL refrigerant leakage (%)]]*DeemedDashboard[[#This Row],[Msr GWP]],"")</f>
        <v/>
      </c>
      <c r="BU94" s="330" t="str">
        <f>IFERROR((DeemedDashboard[[#This Row],[Std refrigerant charge (lb) per NormUnit]]/pounds_per_metric_ton)*DeemedDashboard[[#This Row],[Std net EOL refrigerant leakage (%)]]*DeemedDashboard[[#This Row],[Std GWP]],"")</f>
        <v/>
      </c>
      <c r="BV94" s="330" t="str">
        <f>IFERROR((DeemedDashboard[[#This Row],[Pre/Ext refrigerant charge (lb) per NormUnit]]/pounds_per_metric_ton)*DeemedDashboard[[#This Row],[Pre net EOL refrigerant leakage (%)]]*DeemedDashboard[[#This Row],[Pre/Ext GWP]],"")</f>
        <v/>
      </c>
      <c r="BW94" s="330" t="str">
        <f>IFERROR((DeemedDashboard[[#This Row],[Pre/Ext refrigerant charge (lb) per NormUnit]]/pounds_per_metric_ton)*DeemedDashboard[[#This Row],[Ext net EOL refrigerant leakage (%)]]*DeemedDashboard[[#This Row],[Pre/Ext GWP]],"")</f>
        <v/>
      </c>
      <c r="BX94" s="299" t="str" cm="1">
        <f t="array" aca="1" ref="BX9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4" s="305" t="str" cm="1">
        <f t="array" aca="1" ref="BY9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4" s="299" t="str">
        <f>IFERROR(IF(OR(DeemedDashboard[[#This Row],[MeasAppType]]&lt;&gt;const_AR,ISBLANK(DeemedDashboard[[#This Row],[MeasAppType]])),NA(),0),"")</f>
        <v/>
      </c>
      <c r="CA94" s="305" t="str" cm="1">
        <f t="array" aca="1" ref="CA9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4" s="299" t="str">
        <f ca="1">IFERROR((DeemedDashboard[[#This Row],[Msr EOL leakage tons CO2e]]*OFFSET(GHG_Adder_dollar_per_tonne,0,(DeemedDashboard[[#This Row],[Msr Device Retire-ment Year]]-DY+1),1,1))/(1+WACC)^(DeemedDashboard[[#This Row],[Msr Device Retire-ment Year]]-DeemedDashboard[[#This Row],[Measure Start Year]]+0.5),"")</f>
        <v/>
      </c>
      <c r="CC94" s="299" t="str">
        <f ca="1">IFERROR((DeemedDashboard[[#This Row],[Std EOL leakage tons CO2e]]*OFFSET(GHG_Adder_dollar_per_tonne,0,(DeemedDashboard[[#This Row],[Std Device Retire-ment Year]]-DY+1),1,1))/(1+WACC)^(DeemedDashboard[[#This Row],[Std Device Retire-ment Year]]-DeemedDashboard[[#This Row],[Measure Start Year]]+0.5),"")</f>
        <v/>
      </c>
      <c r="CD94" s="299" t="str">
        <f ca="1">IFERROR((DeemedDashboard[[#This Row],[Pre EOL leakage tons CO2e]]*OFFSET(GHG_Adder_dollar_per_tonne,0,(DeemedDashboard[[#This Row],[Measure Start Year]]-DY),1,1))/(1+WACC)^(-0.5),"")</f>
        <v/>
      </c>
      <c r="CE9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4" s="299" t="str">
        <f ca="1">IFERROR(DeemedDashboard[[#This Row],[Msr NPV Cost of Annual Leakage]]/(1+ACC_Inflation_Rate)^(DeemedDashboard[[#This Row],[Measure Start Year]]-DY),"")</f>
        <v/>
      </c>
      <c r="CG94" s="299" t="str">
        <f ca="1">IFERROR(DeemedDashboard[[#This Row],[Std NPV Cost of Annual Leakage]]/(1+ACC_Inflation_Rate)^(DeemedDashboard[[#This Row],[Measure Start Year]]-DY),"")</f>
        <v/>
      </c>
      <c r="CH94" s="299" t="str">
        <f>IFERROR(IF(ISBLANK(DeemedDashboard[[#This Row],[MeasAppType]]),NA(),IF(DeemedDashboard[[#This Row],[MeasAppType]]=const_AR,DeemedDashboard[[#This Row],[Pre NPV Cost of Annual Leakage]]/(1+ACC_Inflation_Rate)^(DeemedDashboard[[#This Row],[Measure Start Year]]-DY),"")),"")</f>
        <v/>
      </c>
      <c r="CI94" s="296" t="str">
        <f>IFERROR(IF(ISBLANK(DeemedDashboard[[#This Row],[MeasAppType]]),NA(),IF(DeemedDashboard[[#This Row],[MeasAppType]]=const_AR,DeemedDashboard[[#This Row],[Ext NPV Cost of Annual Leakage]]/(1+ACC_Inflation_Rate)^(DeemedDashboard[[#This Row],[Measure Start Year]]-DY),"")),"")</f>
        <v/>
      </c>
      <c r="CJ94" s="296" t="str">
        <f ca="1">IFERROR((DeemedDashboard[[#This Row],[Msr % of device lifetime during measure years]]+DeemedDashboard[[#This Row],[Msr % of device lifetime retired early]])*DeemedDashboard[[#This Row],[Msr NPV Cost of EOL Leakage]]/(1+ACC_Inflation_Rate)^(DeemedDashboard[[#This Row],[Measure Start Year]]-DY),"")</f>
        <v/>
      </c>
      <c r="CK94" s="296" t="str">
        <f ca="1">IFERROR((DeemedDashboard[[#This Row],[Std % of device lifetime during measure years]]+DeemedDashboard[[#This Row],[Std % of device lifetime retired early]])*DeemedDashboard[[#This Row],[Std NPV Cost of EOL Leakage]]/(1+ACC_Inflation_Rate)^(DeemedDashboard[[#This Row],[Measure Start Year]]-DY),"")</f>
        <v/>
      </c>
      <c r="CL9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4" s="299" t="str">
        <f ca="1">IFERROR(DeemedDashboard[[#This Row],[Counter-factual total 
NPV cost]]-DeemedDashboard[[#This Row],[Measure total 
NPV cost]],"")</f>
        <v/>
      </c>
      <c r="CQ94" s="299" t="str">
        <f>IF(ISBLANK(DeemedDashboard[[#This Row],[MeasAppType]]),"",DeemedDashboard[[#This Row],[Refrigerant
NPV costs
avoided]]&gt;0)</f>
        <v/>
      </c>
      <c r="CR94" s="299" t="str">
        <f ca="1">IFERROR(DeemedDashboard[[#This Row],[Msr Adj NPV Cost of Annual Leakage]]+DeemedDashboard[[#This Row],[Msr Adj NPV Cost of EOL Leakage]],"")</f>
        <v/>
      </c>
      <c r="CS94" s="299" t="str">
        <f ca="1">IFERROR(DeemedDashboard[[#This Row],[Std Adj NPV Cost of Annual Leakage]]+DeemedDashboard[[#This Row],[Std Adj NPV Cost of EOL Leakage]],"")</f>
        <v/>
      </c>
      <c r="CT94" s="299" t="str">
        <f>IFERROR(IF((DeemedDashboard[[#This Row],[Pre Adj NPV Cost of Annual Leakage]]+DeemedDashboard[[#This Row],[Pre Adj NPV Cost of EOL Leakage]])=0,"",DeemedDashboard[[#This Row],[Pre Adj NPV Cost of Annual Leakage]]+DeemedDashboard[[#This Row],[Pre Adj NPV Cost of EOL Leakage]]),"")</f>
        <v/>
      </c>
      <c r="CU94" s="299" t="str">
        <f>IFERROR(IF((DeemedDashboard[[#This Row],[Ext Adj NPV Cost of Annual Leakage]]+DeemedDashboard[[#This Row],[Ext Adj NPV Cost of EOL Leakage]])=0,"",DeemedDashboard[[#This Row],[Ext Adj NPV Cost of Annual Leakage]]+DeemedDashboard[[#This Row],[Ext Adj NPV Cost of EOL Leakage]]),"")</f>
        <v/>
      </c>
      <c r="CV94" s="299" t="str">
        <f>IFERROR(IF(DeemedDashboard[[#This Row],[Is Avoided Net Cost &gt;0?]],"",-DeemedDashboard[[#This Row],[Refrigerant
NPV costs
avoided]]),"")</f>
        <v/>
      </c>
      <c r="CW94" s="299" t="str">
        <f>IFERROR(IF(DeemedDashboard[[#This Row],[Is Avoided Net Cost &gt;0?]],DeemedDashboard[[#This Row],[Refrigerant
NPV costs
avoided]],""),"")</f>
        <v/>
      </c>
      <c r="CX94" s="391">
        <f ca="1">IFERROR(MATCH(DeemedDashboard[[#This Row],[TechGroup and NormUnit]],TechGroup_and_NormUnit,0),1)</f>
        <v>1</v>
      </c>
      <c r="CY94" s="391" cm="1">
        <f t="array" aca="1" ref="CY94" ca="1">IFERROR(INDEX(TGRows,DeemedDashboard[[#This Row],[TGIndex]]),"")</f>
        <v>2</v>
      </c>
      <c r="CZ94" s="391">
        <f ca="1">IF(DeemedDashboard[[#This Row],[MeasAppType]]=const_AR,DeemedDashboard[[#This Row],[TGRows]],DeemedDashboard[[#This Row],[TGRows]]+1)</f>
        <v>3</v>
      </c>
      <c r="DA94" s="391" t="str">
        <f>IF(ISBLANK(DeemedDashboard[[#This Row],[MeasAppType]]),"",IF(DeemedDashboard[[#This Row],[Index]]=User_Specified_Refrigerant[[#This Row],[Index]],"OK","ERROR"))</f>
        <v/>
      </c>
    </row>
    <row r="95" spans="1:105" s="320" customFormat="1" x14ac:dyDescent="0.25">
      <c r="A95" s="297">
        <f>ROW(DeemedDashboard[[#This Row],[Index]])-ROW(DeemedDashboard[[#Headers],[Index]])</f>
        <v>86</v>
      </c>
      <c r="B95" s="298"/>
      <c r="C95" s="321"/>
      <c r="D95" s="403"/>
      <c r="E95" s="403"/>
      <c r="F95" s="403"/>
      <c r="G95" s="403"/>
      <c r="H95" s="366"/>
      <c r="I95" s="339"/>
      <c r="J95" s="339"/>
      <c r="K95" s="339"/>
      <c r="L95" s="322"/>
      <c r="M95" s="322"/>
      <c r="N95" s="322"/>
      <c r="O9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5" s="582" t="str" cm="1">
        <f t="array" ref="R95">IFERROR(IF(DeemedDashboard[[#This Row],[Msr device type]]=const_device_nonrefrig,0,INDEX(_xlfn.SWITCH($E$4,const_20_yr,GWP_Values_20_year_AR4,const_100_yr,GWP_Values_100_year_AR4),MATCH(DeemedDashboard[[#This Row],[Msr refrigerant Type]],RefrigDropdownList,0))),"")</f>
        <v/>
      </c>
      <c r="S95" s="582" t="str" cm="1">
        <f t="array" ref="S95">IFERROR(IF(DeemedDashboard[[#This Row],[Std device type]]=const_device_nonrefrig,0,INDEX(_xlfn.SWITCH($E$4,const_20_yr,GWP_Values_20_year_AR4,const_100_yr,GWP_Values_100_year_AR4),MATCH(DeemedDashboard[[#This Row],[Std refrigerant Type]],RefrigDropdownList,0))),"")</f>
        <v/>
      </c>
      <c r="T95" s="582" t="str" cm="1">
        <f t="array" ref="T95">IFERROR(IF(DeemedDashboard[[#This Row],[Pre/Ext device type]]=const_device_nonrefrig,0,INDEX(_xlfn.SWITCH($E$4,const_20_yr,GWP_Values_20_year_AR4,const_100_yr,GWP_Values_100_year_AR4),MATCH(DeemedDashboard[[#This Row],[Pre/Ext refrigerant Type]],RefrigDropdownList,0))),"")</f>
        <v/>
      </c>
      <c r="U9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5" s="326" t="str">
        <f>IFERROR(IF(DeemedDashboard[[#This Row],[Msr device type]]=const_userspec,IF(ISBLANK(User_Specified_Refrigerant[[#This Row],[Msr t_EOL]]),"",User_Specified_Refrigerant[[#This Row],[Msr t_EOL]]),INDEX(TechGroup_NormUnit_Table[t_EOL],MATCH(DeemedDashboard[[#This Row],[Msr device type]],DropdownRefrigTech,0))),"")</f>
        <v/>
      </c>
      <c r="AB95" s="326" t="str">
        <f>IFERROR(IF(DeemedDashboard[[#This Row],[Std device type]]=const_userspec,IF(ISBLANK(User_Specified_Refrigerant[[#This Row],[Std t_EOL]]),"",User_Specified_Refrigerant[[#This Row],[Std t_EOL]]),INDEX(TechGroup_NormUnit_Table[t_EOL],MATCH(DeemedDashboard[[#This Row],[Std device type]],DropdownRefrigTech,0))),"")</f>
        <v/>
      </c>
      <c r="AC9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5" s="395" t="str">
        <f>IF(ISBLANK(DeemedDashboard[[#This Row],[MeasAppType]]),"",$E$2)</f>
        <v/>
      </c>
      <c r="AE95" s="395" t="str">
        <f>IFERROR(IF(ISBLANK(DeemedDashboard[[#This Row],[MeasAppType]]),NA(),DeemedDashboard[[#This Row],[Measure Start Year]]+DeemedDashboard[[#This Row],[Msr EUL rounded]]-1),"")</f>
        <v/>
      </c>
      <c r="AF95" s="323" t="str">
        <f>IF(ISBLANK(DeemedDashboard[[#This Row],[Measure New Device EUL]]),"",ROUND(DeemedDashboard[[#This Row],[Measure New Device EUL]],0))</f>
        <v/>
      </c>
      <c r="AG95" s="323" t="str">
        <f>IF(ISBLANK(DeemedDashboard[[#This Row],[Counterfactual New Device EUL]]),"",ROUND(DeemedDashboard[[#This Row],[Counterfactual New Device EUL]],0))</f>
        <v/>
      </c>
      <c r="AH95" s="323" t="str">
        <f>IF(ISBLANK(DeemedDashboard[[#This Row],[Existing Device EUL]]),"",ROUND(DeemedDashboard[[#This Row],[Existing Device EUL]],0))</f>
        <v/>
      </c>
      <c r="AI95" s="323" t="str">
        <f>IF(ISBLANK(DeemedDashboard[[#This Row],[Existing Device RUL or AR First Baseline Life]]),"",ROUND(DeemedDashboard[[#This Row],[Existing Device RUL or AR First Baseline Life]],0))</f>
        <v/>
      </c>
      <c r="AJ95" s="327" t="str">
        <f>DeemedDashboard[[#This Row],[Measure Start Year]]</f>
        <v/>
      </c>
      <c r="AK95" s="327" t="str">
        <f>IF(DeemedDashboard[[#This Row],[MeasAppType]]&lt;&gt;const_AR,DeemedDashboard[[#This Row],[Measure Start Year]],DeemedDashboard[[#This Row],[Ext Device Retire-ment Year]]+1)</f>
        <v/>
      </c>
      <c r="AL95" s="327" t="str">
        <f>IFERROR(IF(DeemedDashboard[[#This Row],[MeasAppType]]=const_AR,DeemedDashboard[[#This Row],[Measure Start Year]]-(DeemedDashboard[[#This Row],[Existing Device EUL]]-DeemedDashboard[[#This Row],[Existing Device RUL or AR First Baseline Life]]),NA()),"")</f>
        <v/>
      </c>
      <c r="AM95" s="327" t="str">
        <f>DeemedDashboard[[#This Row],[Pre Device Install Year]]</f>
        <v/>
      </c>
      <c r="AN95" s="327" t="str">
        <f>IFERROR(IF(ISBLANK(DeemedDashboard[[#This Row],[MeasAppType]]),NA(),DeemedDashboard[[#This Row],[Measure Start Year]]+DeemedDashboard[[#This Row],[Msr EUL rounded]]-1),"")</f>
        <v/>
      </c>
      <c r="AO95" s="327" t="str">
        <f>IFERROR(DeemedDashboard[[#This Row],[Std Device Install Year]]+DeemedDashboard[[#This Row],[Counterfactual New Device EUL]]-1,"")</f>
        <v/>
      </c>
      <c r="AP95" s="327" t="str">
        <f>IFERROR(IF(AND(DeemedDashboard[[#This Row],[MeasAppType]]=const_AR,DeemedDashboard[[#This Row],[Measure Start Year]]&lt;(DeemedDashboard[[#This Row],[Pre Device Install Year]]+DeemedDashboard[[#This Row],[Existing Device EUL]]-1)),DeemedDashboard[[#This Row],[Measure Start Year]]-1,NA()),"")</f>
        <v/>
      </c>
      <c r="AQ95" s="327" t="str">
        <f>IFERROR(IF(DeemedDashboard[[#This Row],[MeasAppType]]=const_AR,DeemedDashboard[[#This Row],[Ext Device Install Year]]+DeemedDashboard[[#This Row],[Existing Device EUL]]-1,NA()),"")</f>
        <v/>
      </c>
      <c r="AR95" s="327" t="str">
        <f>IFERROR(IF(ISBLANK(DeemedDashboard[[#This Row],[MeasAppType]]),NA(),0),"")</f>
        <v/>
      </c>
      <c r="AS95" s="327" t="str">
        <f>IFERROR(IF(ISBLANK(DeemedDashboard[[#This Row],[MeasAppType]]),NA(),0),"")</f>
        <v/>
      </c>
      <c r="AT95" s="327" t="str">
        <f>IF(ISBLANK(DeemedDashboard[[#This Row],[MeasAppType]]),"",IF(DeemedDashboard[[#This Row],[MeasAppType]]&lt;&gt;const_AR,"",(DeemedDashboard[[#This Row],[Pre Device Install Year]]+DeemedDashboard[[#This Row],[Existing Device EUL]]-1)-DeemedDashboard[[#This Row],[Pre Device Retire-ment Year]]))</f>
        <v/>
      </c>
      <c r="AU95" s="327" t="str">
        <f>IF(ISBLANK(DeemedDashboard[[#This Row],[MeasAppType]]),"",IF(DeemedDashboard[[#This Row],[MeasAppType]]=const_AR,0,""))</f>
        <v/>
      </c>
      <c r="AV95" s="328" t="str">
        <f>IF(ISBLANK(DeemedDashboard[[#This Row],[MeasAppType]]),"",MAX((1+MIN(DeemedDashboard[[#This Row],[Msr Device Retire-ment Year]],DeemedDashboard[[#This Row],[Measure End 
Year]])-MAX(DeemedDashboard[[#This Row],[Msr Device Install Year]],DeemedDashboard[[#This Row],[Measure Start Year]])),0))</f>
        <v/>
      </c>
      <c r="AW95" s="328" t="str">
        <f>IF(ISBLANK(DeemedDashboard[[#This Row],[MeasAppType]]),"",MAX((1+MIN(DeemedDashboard[[#This Row],[Std Device Retire-ment Year]],DeemedDashboard[[#This Row],[Measure End 
Year]])-MAX(DeemedDashboard[[#This Row],[Std Device Install Year]],DeemedDashboard[[#This Row],[Measure Start Year]])),0))</f>
        <v/>
      </c>
      <c r="AX9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5" s="329" t="str">
        <f>IF(ISBLANK(DeemedDashboard[[#This Row],[MeasAppType]]),"",IF(DeemedDashboard[[#This Row],[Msr Device Years Over-lapping with Measure Years]]=0,0,DeemedDashboard[[#This Row],[Msr Device Years Over-lapping with Measure Years]]/DeemedDashboard[[#This Row],[Msr EUL rounded]]))</f>
        <v/>
      </c>
      <c r="BA95" s="329" t="str">
        <f>IF(ISBLANK(DeemedDashboard[[#This Row],[MeasAppType]]),"",IF(DeemedDashboard[[#This Row],[Std Device Years Over-lapping with Measure Years]]=0,0,DeemedDashboard[[#This Row],[Std Device Years Over-lapping with Measure Years]]/DeemedDashboard[[#This Row],[Counterfactual New Device EUL]]))</f>
        <v/>
      </c>
      <c r="BB95" s="329" t="str">
        <f>IF(ISBLANK(DeemedDashboard[[#This Row],[MeasAppType]]),"",IFERROR(IF(DeemedDashboard[[#This Row],[Pre Device Years Over-lapping with Measure Years]]=0,0,DeemedDashboard[[#This Row],[Pre Device Years Over-lapping with Measure Years]]/DeemedDashboard[[#This Row],[Existing Device EUL]]),""))</f>
        <v/>
      </c>
      <c r="BC95" s="329" t="str">
        <f>IFERROR(IF(DeemedDashboard[[#This Row],[Ext Device Years Over-lapping with Measure Years]]=0,0,DeemedDashboard[[#This Row],[Ext Device Years Over-lapping with Measure Years]]/DeemedDashboard[[#This Row],[Existing Device EUL]]),"")</f>
        <v/>
      </c>
      <c r="BD95" s="329" t="str">
        <f>IFERROR(IF(DeemedDashboard[[#This Row],[Msr Number of Years device retired early]]=0,0,DeemedDashboard[[#This Row],[Msr Number of Years device retired early]]/DeemedDashboard[[#This Row],[Msr EUL rounded]]),"")</f>
        <v/>
      </c>
      <c r="BE95" s="329" t="str">
        <f>IFERROR(IF(DeemedDashboard[[#This Row],[Std Number of Years device retired early]]=0,0,DeemedDashboard[[#This Row],[Std Number of Years device retired early]]/DeemedDashboard[[#This Row],[Msr EUL rounded]]),"")</f>
        <v/>
      </c>
      <c r="BF95" s="329" t="str">
        <f>IFERROR(IF(DeemedDashboard[[#This Row],[MeasAppType]]&lt;&gt;const_AR,"",IF(DeemedDashboard[[#This Row],[Pre Number of Years device retired early]]=0,0,DeemedDashboard[[#This Row],[Pre Number of Years device retired early]]/DeemedDashboard[[#This Row],[Existing Device EUL]])),"")</f>
        <v/>
      </c>
      <c r="BG95" s="329" t="str">
        <f>IFERROR(IF(DeemedDashboard[[#This Row],[Ext Number of Years device retired early]]=0,0,DeemedDashboard[[#This Row],[Ext Number of Years device retired early]]/DeemedDashboard[[#This Row],[Existing Device EUL]]),"")</f>
        <v/>
      </c>
      <c r="BH95" s="325" t="str">
        <f>IFERROR(1-DeemedDashboard[[#This Row],[Msr annual refrigerant leakage %]]*DeemedDashboard[[#This Row],[Msr t_EOL]],"")</f>
        <v/>
      </c>
      <c r="BI95" s="325" t="str">
        <f>IFERROR(1-DeemedDashboard[[#This Row],[Std annual refrigerant leakage %]]*DeemedDashboard[[#This Row],[Std t_EOL]],"")</f>
        <v/>
      </c>
      <c r="BJ95" s="325" t="str">
        <f>IFERROR(1-DeemedDashboard[[#This Row],[Pre/Ext annual refrigerant leakage %]]*DeemedDashboard[[#This Row],[Pre/Ext t_EOL]],"")</f>
        <v/>
      </c>
      <c r="BK95" s="325" t="str">
        <f>IFERROR(1-DeemedDashboard[[#This Row],[Pre/Ext annual refrigerant leakage %]]*DeemedDashboard[[#This Row],[Pre/Ext t_EOL]],"")</f>
        <v/>
      </c>
      <c r="BL95" s="325" t="str">
        <f>IFERROR(DeemedDashboard[[#This Row],[Msr charging remaining (%)]]*DeemedDashboard[[#This Row],[Msr gross EOL refrigerant leakage %]],"")</f>
        <v/>
      </c>
      <c r="BM95" s="325" t="str">
        <f>IFERROR(DeemedDashboard[[#This Row],[Std charging remaining (%)]]*DeemedDashboard[[#This Row],[Std gross EOL refrigerant leakage %]],"")</f>
        <v/>
      </c>
      <c r="BN95" s="325" t="str">
        <f>IFERROR(DeemedDashboard[[#This Row],[Pre charging remaining (%)]]*DeemedDashboard[[#This Row],[Pre/Ext gross EOL refrigerant leakage %]],"")</f>
        <v/>
      </c>
      <c r="BO95" s="325" t="str">
        <f>IFERROR(DeemedDashboard[[#This Row],[Ext charging remaining (%)]]*DeemedDashboard[[#This Row],[Pre/Ext gross EOL refrigerant leakage %]],"")</f>
        <v/>
      </c>
      <c r="BP95" s="330" t="str">
        <f>IFERROR((DeemedDashboard[[#This Row],[Msr refrigerant charge (lb) per NormUnit]]/pounds_per_metric_ton)*DeemedDashboard[[#This Row],[Msr annual refrigerant leakage %]]*DeemedDashboard[[#This Row],[Msr GWP]],"")</f>
        <v/>
      </c>
      <c r="BQ95" s="330" t="str">
        <f>IFERROR((DeemedDashboard[[#This Row],[Std refrigerant charge (lb) per NormUnit]]/pounds_per_metric_ton)*DeemedDashboard[[#This Row],[Std annual refrigerant leakage %]]*DeemedDashboard[[#This Row],[Std GWP]],"")</f>
        <v/>
      </c>
      <c r="BR95" s="330" t="str">
        <f>IF(DeemedDashboard[[#This Row],[MeasAppType]]=const_AR,(DeemedDashboard[[#This Row],[Pre/Ext refrigerant charge (lb) per NormUnit]]/pounds_per_metric_ton)*DeemedDashboard[[#This Row],[Pre/Ext annual refrigerant leakage %]]*DeemedDashboard[[#This Row],[Pre/Ext GWP]],"")</f>
        <v/>
      </c>
      <c r="BS95" s="330" t="str">
        <f>IF(DeemedDashboard[[#This Row],[MeasAppType]]=const_AR,(DeemedDashboard[[#This Row],[Pre/Ext refrigerant charge (lb) per NormUnit]]/pounds_per_metric_ton)*DeemedDashboard[[#This Row],[Pre/Ext annual refrigerant leakage %]]*DeemedDashboard[[#This Row],[Pre/Ext GWP]],"")</f>
        <v/>
      </c>
      <c r="BT95" s="330" t="str">
        <f>IFERROR((DeemedDashboard[[#This Row],[Msr refrigerant charge (lb) per NormUnit]]/pounds_per_metric_ton)*DeemedDashboard[[#This Row],[Msr net EOL refrigerant leakage (%)]]*DeemedDashboard[[#This Row],[Msr GWP]],"")</f>
        <v/>
      </c>
      <c r="BU95" s="330" t="str">
        <f>IFERROR((DeemedDashboard[[#This Row],[Std refrigerant charge (lb) per NormUnit]]/pounds_per_metric_ton)*DeemedDashboard[[#This Row],[Std net EOL refrigerant leakage (%)]]*DeemedDashboard[[#This Row],[Std GWP]],"")</f>
        <v/>
      </c>
      <c r="BV95" s="330" t="str">
        <f>IFERROR((DeemedDashboard[[#This Row],[Pre/Ext refrigerant charge (lb) per NormUnit]]/pounds_per_metric_ton)*DeemedDashboard[[#This Row],[Pre net EOL refrigerant leakage (%)]]*DeemedDashboard[[#This Row],[Pre/Ext GWP]],"")</f>
        <v/>
      </c>
      <c r="BW95" s="330" t="str">
        <f>IFERROR((DeemedDashboard[[#This Row],[Pre/Ext refrigerant charge (lb) per NormUnit]]/pounds_per_metric_ton)*DeemedDashboard[[#This Row],[Ext net EOL refrigerant leakage (%)]]*DeemedDashboard[[#This Row],[Pre/Ext GWP]],"")</f>
        <v/>
      </c>
      <c r="BX95" s="299" t="str" cm="1">
        <f t="array" aca="1" ref="BX9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5" s="305" t="str" cm="1">
        <f t="array" aca="1" ref="BY9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5" s="299" t="str">
        <f>IFERROR(IF(OR(DeemedDashboard[[#This Row],[MeasAppType]]&lt;&gt;const_AR,ISBLANK(DeemedDashboard[[#This Row],[MeasAppType]])),NA(),0),"")</f>
        <v/>
      </c>
      <c r="CA95" s="305" t="str" cm="1">
        <f t="array" aca="1" ref="CA9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5" s="299" t="str">
        <f ca="1">IFERROR((DeemedDashboard[[#This Row],[Msr EOL leakage tons CO2e]]*OFFSET(GHG_Adder_dollar_per_tonne,0,(DeemedDashboard[[#This Row],[Msr Device Retire-ment Year]]-DY+1),1,1))/(1+WACC)^(DeemedDashboard[[#This Row],[Msr Device Retire-ment Year]]-DeemedDashboard[[#This Row],[Measure Start Year]]+0.5),"")</f>
        <v/>
      </c>
      <c r="CC95" s="299" t="str">
        <f ca="1">IFERROR((DeemedDashboard[[#This Row],[Std EOL leakage tons CO2e]]*OFFSET(GHG_Adder_dollar_per_tonne,0,(DeemedDashboard[[#This Row],[Std Device Retire-ment Year]]-DY+1),1,1))/(1+WACC)^(DeemedDashboard[[#This Row],[Std Device Retire-ment Year]]-DeemedDashboard[[#This Row],[Measure Start Year]]+0.5),"")</f>
        <v/>
      </c>
      <c r="CD95" s="299" t="str">
        <f ca="1">IFERROR((DeemedDashboard[[#This Row],[Pre EOL leakage tons CO2e]]*OFFSET(GHG_Adder_dollar_per_tonne,0,(DeemedDashboard[[#This Row],[Measure Start Year]]-DY),1,1))/(1+WACC)^(-0.5),"")</f>
        <v/>
      </c>
      <c r="CE9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5" s="299" t="str">
        <f ca="1">IFERROR(DeemedDashboard[[#This Row],[Msr NPV Cost of Annual Leakage]]/(1+ACC_Inflation_Rate)^(DeemedDashboard[[#This Row],[Measure Start Year]]-DY),"")</f>
        <v/>
      </c>
      <c r="CG95" s="299" t="str">
        <f ca="1">IFERROR(DeemedDashboard[[#This Row],[Std NPV Cost of Annual Leakage]]/(1+ACC_Inflation_Rate)^(DeemedDashboard[[#This Row],[Measure Start Year]]-DY),"")</f>
        <v/>
      </c>
      <c r="CH95" s="299" t="str">
        <f>IFERROR(IF(ISBLANK(DeemedDashboard[[#This Row],[MeasAppType]]),NA(),IF(DeemedDashboard[[#This Row],[MeasAppType]]=const_AR,DeemedDashboard[[#This Row],[Pre NPV Cost of Annual Leakage]]/(1+ACC_Inflation_Rate)^(DeemedDashboard[[#This Row],[Measure Start Year]]-DY),"")),"")</f>
        <v/>
      </c>
      <c r="CI95" s="296" t="str">
        <f>IFERROR(IF(ISBLANK(DeemedDashboard[[#This Row],[MeasAppType]]),NA(),IF(DeemedDashboard[[#This Row],[MeasAppType]]=const_AR,DeemedDashboard[[#This Row],[Ext NPV Cost of Annual Leakage]]/(1+ACC_Inflation_Rate)^(DeemedDashboard[[#This Row],[Measure Start Year]]-DY),"")),"")</f>
        <v/>
      </c>
      <c r="CJ95" s="296" t="str">
        <f ca="1">IFERROR((DeemedDashboard[[#This Row],[Msr % of device lifetime during measure years]]+DeemedDashboard[[#This Row],[Msr % of device lifetime retired early]])*DeemedDashboard[[#This Row],[Msr NPV Cost of EOL Leakage]]/(1+ACC_Inflation_Rate)^(DeemedDashboard[[#This Row],[Measure Start Year]]-DY),"")</f>
        <v/>
      </c>
      <c r="CK95" s="296" t="str">
        <f ca="1">IFERROR((DeemedDashboard[[#This Row],[Std % of device lifetime during measure years]]+DeemedDashboard[[#This Row],[Std % of device lifetime retired early]])*DeemedDashboard[[#This Row],[Std NPV Cost of EOL Leakage]]/(1+ACC_Inflation_Rate)^(DeemedDashboard[[#This Row],[Measure Start Year]]-DY),"")</f>
        <v/>
      </c>
      <c r="CL9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5" s="299" t="str">
        <f ca="1">IFERROR(DeemedDashboard[[#This Row],[Counter-factual total 
NPV cost]]-DeemedDashboard[[#This Row],[Measure total 
NPV cost]],"")</f>
        <v/>
      </c>
      <c r="CQ95" s="299" t="str">
        <f>IF(ISBLANK(DeemedDashboard[[#This Row],[MeasAppType]]),"",DeemedDashboard[[#This Row],[Refrigerant
NPV costs
avoided]]&gt;0)</f>
        <v/>
      </c>
      <c r="CR95" s="299" t="str">
        <f ca="1">IFERROR(DeemedDashboard[[#This Row],[Msr Adj NPV Cost of Annual Leakage]]+DeemedDashboard[[#This Row],[Msr Adj NPV Cost of EOL Leakage]],"")</f>
        <v/>
      </c>
      <c r="CS95" s="299" t="str">
        <f ca="1">IFERROR(DeemedDashboard[[#This Row],[Std Adj NPV Cost of Annual Leakage]]+DeemedDashboard[[#This Row],[Std Adj NPV Cost of EOL Leakage]],"")</f>
        <v/>
      </c>
      <c r="CT95" s="299" t="str">
        <f>IFERROR(IF((DeemedDashboard[[#This Row],[Pre Adj NPV Cost of Annual Leakage]]+DeemedDashboard[[#This Row],[Pre Adj NPV Cost of EOL Leakage]])=0,"",DeemedDashboard[[#This Row],[Pre Adj NPV Cost of Annual Leakage]]+DeemedDashboard[[#This Row],[Pre Adj NPV Cost of EOL Leakage]]),"")</f>
        <v/>
      </c>
      <c r="CU95" s="299" t="str">
        <f>IFERROR(IF((DeemedDashboard[[#This Row],[Ext Adj NPV Cost of Annual Leakage]]+DeemedDashboard[[#This Row],[Ext Adj NPV Cost of EOL Leakage]])=0,"",DeemedDashboard[[#This Row],[Ext Adj NPV Cost of Annual Leakage]]+DeemedDashboard[[#This Row],[Ext Adj NPV Cost of EOL Leakage]]),"")</f>
        <v/>
      </c>
      <c r="CV95" s="299" t="str">
        <f>IFERROR(IF(DeemedDashboard[[#This Row],[Is Avoided Net Cost &gt;0?]],"",-DeemedDashboard[[#This Row],[Refrigerant
NPV costs
avoided]]),"")</f>
        <v/>
      </c>
      <c r="CW95" s="299" t="str">
        <f>IFERROR(IF(DeemedDashboard[[#This Row],[Is Avoided Net Cost &gt;0?]],DeemedDashboard[[#This Row],[Refrigerant
NPV costs
avoided]],""),"")</f>
        <v/>
      </c>
      <c r="CX95" s="391">
        <f ca="1">IFERROR(MATCH(DeemedDashboard[[#This Row],[TechGroup and NormUnit]],TechGroup_and_NormUnit,0),1)</f>
        <v>1</v>
      </c>
      <c r="CY95" s="391" cm="1">
        <f t="array" aca="1" ref="CY95" ca="1">IFERROR(INDEX(TGRows,DeemedDashboard[[#This Row],[TGIndex]]),"")</f>
        <v>2</v>
      </c>
      <c r="CZ95" s="391">
        <f ca="1">IF(DeemedDashboard[[#This Row],[MeasAppType]]=const_AR,DeemedDashboard[[#This Row],[TGRows]],DeemedDashboard[[#This Row],[TGRows]]+1)</f>
        <v>3</v>
      </c>
      <c r="DA95" s="391" t="str">
        <f>IF(ISBLANK(DeemedDashboard[[#This Row],[MeasAppType]]),"",IF(DeemedDashboard[[#This Row],[Index]]=User_Specified_Refrigerant[[#This Row],[Index]],"OK","ERROR"))</f>
        <v/>
      </c>
    </row>
    <row r="96" spans="1:105" s="320" customFormat="1" x14ac:dyDescent="0.25">
      <c r="A96" s="297">
        <f>ROW(DeemedDashboard[[#This Row],[Index]])-ROW(DeemedDashboard[[#Headers],[Index]])</f>
        <v>87</v>
      </c>
      <c r="B96" s="298"/>
      <c r="C96" s="321"/>
      <c r="D96" s="403"/>
      <c r="E96" s="403"/>
      <c r="F96" s="403"/>
      <c r="G96" s="403"/>
      <c r="H96" s="366"/>
      <c r="I96" s="339"/>
      <c r="J96" s="339"/>
      <c r="K96" s="339"/>
      <c r="L96" s="322"/>
      <c r="M96" s="322"/>
      <c r="N96" s="322"/>
      <c r="O9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6" s="582" t="str" cm="1">
        <f t="array" ref="R96">IFERROR(IF(DeemedDashboard[[#This Row],[Msr device type]]=const_device_nonrefrig,0,INDEX(_xlfn.SWITCH($E$4,const_20_yr,GWP_Values_20_year_AR4,const_100_yr,GWP_Values_100_year_AR4),MATCH(DeemedDashboard[[#This Row],[Msr refrigerant Type]],RefrigDropdownList,0))),"")</f>
        <v/>
      </c>
      <c r="S96" s="582" t="str" cm="1">
        <f t="array" ref="S96">IFERROR(IF(DeemedDashboard[[#This Row],[Std device type]]=const_device_nonrefrig,0,INDEX(_xlfn.SWITCH($E$4,const_20_yr,GWP_Values_20_year_AR4,const_100_yr,GWP_Values_100_year_AR4),MATCH(DeemedDashboard[[#This Row],[Std refrigerant Type]],RefrigDropdownList,0))),"")</f>
        <v/>
      </c>
      <c r="T96" s="582" t="str" cm="1">
        <f t="array" ref="T96">IFERROR(IF(DeemedDashboard[[#This Row],[Pre/Ext device type]]=const_device_nonrefrig,0,INDEX(_xlfn.SWITCH($E$4,const_20_yr,GWP_Values_20_year_AR4,const_100_yr,GWP_Values_100_year_AR4),MATCH(DeemedDashboard[[#This Row],[Pre/Ext refrigerant Type]],RefrigDropdownList,0))),"")</f>
        <v/>
      </c>
      <c r="U9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6" s="326" t="str">
        <f>IFERROR(IF(DeemedDashboard[[#This Row],[Msr device type]]=const_userspec,IF(ISBLANK(User_Specified_Refrigerant[[#This Row],[Msr t_EOL]]),"",User_Specified_Refrigerant[[#This Row],[Msr t_EOL]]),INDEX(TechGroup_NormUnit_Table[t_EOL],MATCH(DeemedDashboard[[#This Row],[Msr device type]],DropdownRefrigTech,0))),"")</f>
        <v/>
      </c>
      <c r="AB96" s="326" t="str">
        <f>IFERROR(IF(DeemedDashboard[[#This Row],[Std device type]]=const_userspec,IF(ISBLANK(User_Specified_Refrigerant[[#This Row],[Std t_EOL]]),"",User_Specified_Refrigerant[[#This Row],[Std t_EOL]]),INDEX(TechGroup_NormUnit_Table[t_EOL],MATCH(DeemedDashboard[[#This Row],[Std device type]],DropdownRefrigTech,0))),"")</f>
        <v/>
      </c>
      <c r="AC9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6" s="395" t="str">
        <f>IF(ISBLANK(DeemedDashboard[[#This Row],[MeasAppType]]),"",$E$2)</f>
        <v/>
      </c>
      <c r="AE96" s="395" t="str">
        <f>IFERROR(IF(ISBLANK(DeemedDashboard[[#This Row],[MeasAppType]]),NA(),DeemedDashboard[[#This Row],[Measure Start Year]]+DeemedDashboard[[#This Row],[Msr EUL rounded]]-1),"")</f>
        <v/>
      </c>
      <c r="AF96" s="323" t="str">
        <f>IF(ISBLANK(DeemedDashboard[[#This Row],[Measure New Device EUL]]),"",ROUND(DeemedDashboard[[#This Row],[Measure New Device EUL]],0))</f>
        <v/>
      </c>
      <c r="AG96" s="323" t="str">
        <f>IF(ISBLANK(DeemedDashboard[[#This Row],[Counterfactual New Device EUL]]),"",ROUND(DeemedDashboard[[#This Row],[Counterfactual New Device EUL]],0))</f>
        <v/>
      </c>
      <c r="AH96" s="323" t="str">
        <f>IF(ISBLANK(DeemedDashboard[[#This Row],[Existing Device EUL]]),"",ROUND(DeemedDashboard[[#This Row],[Existing Device EUL]],0))</f>
        <v/>
      </c>
      <c r="AI96" s="323" t="str">
        <f>IF(ISBLANK(DeemedDashboard[[#This Row],[Existing Device RUL or AR First Baseline Life]]),"",ROUND(DeemedDashboard[[#This Row],[Existing Device RUL or AR First Baseline Life]],0))</f>
        <v/>
      </c>
      <c r="AJ96" s="327" t="str">
        <f>DeemedDashboard[[#This Row],[Measure Start Year]]</f>
        <v/>
      </c>
      <c r="AK96" s="327" t="str">
        <f>IF(DeemedDashboard[[#This Row],[MeasAppType]]&lt;&gt;const_AR,DeemedDashboard[[#This Row],[Measure Start Year]],DeemedDashboard[[#This Row],[Ext Device Retire-ment Year]]+1)</f>
        <v/>
      </c>
      <c r="AL96" s="327" t="str">
        <f>IFERROR(IF(DeemedDashboard[[#This Row],[MeasAppType]]=const_AR,DeemedDashboard[[#This Row],[Measure Start Year]]-(DeemedDashboard[[#This Row],[Existing Device EUL]]-DeemedDashboard[[#This Row],[Existing Device RUL or AR First Baseline Life]]),NA()),"")</f>
        <v/>
      </c>
      <c r="AM96" s="327" t="str">
        <f>DeemedDashboard[[#This Row],[Pre Device Install Year]]</f>
        <v/>
      </c>
      <c r="AN96" s="327" t="str">
        <f>IFERROR(IF(ISBLANK(DeemedDashboard[[#This Row],[MeasAppType]]),NA(),DeemedDashboard[[#This Row],[Measure Start Year]]+DeemedDashboard[[#This Row],[Msr EUL rounded]]-1),"")</f>
        <v/>
      </c>
      <c r="AO96" s="327" t="str">
        <f>IFERROR(DeemedDashboard[[#This Row],[Std Device Install Year]]+DeemedDashboard[[#This Row],[Counterfactual New Device EUL]]-1,"")</f>
        <v/>
      </c>
      <c r="AP96" s="327" t="str">
        <f>IFERROR(IF(AND(DeemedDashboard[[#This Row],[MeasAppType]]=const_AR,DeemedDashboard[[#This Row],[Measure Start Year]]&lt;(DeemedDashboard[[#This Row],[Pre Device Install Year]]+DeemedDashboard[[#This Row],[Existing Device EUL]]-1)),DeemedDashboard[[#This Row],[Measure Start Year]]-1,NA()),"")</f>
        <v/>
      </c>
      <c r="AQ96" s="327" t="str">
        <f>IFERROR(IF(DeemedDashboard[[#This Row],[MeasAppType]]=const_AR,DeemedDashboard[[#This Row],[Ext Device Install Year]]+DeemedDashboard[[#This Row],[Existing Device EUL]]-1,NA()),"")</f>
        <v/>
      </c>
      <c r="AR96" s="327" t="str">
        <f>IFERROR(IF(ISBLANK(DeemedDashboard[[#This Row],[MeasAppType]]),NA(),0),"")</f>
        <v/>
      </c>
      <c r="AS96" s="327" t="str">
        <f>IFERROR(IF(ISBLANK(DeemedDashboard[[#This Row],[MeasAppType]]),NA(),0),"")</f>
        <v/>
      </c>
      <c r="AT96" s="327" t="str">
        <f>IF(ISBLANK(DeemedDashboard[[#This Row],[MeasAppType]]),"",IF(DeemedDashboard[[#This Row],[MeasAppType]]&lt;&gt;const_AR,"",(DeemedDashboard[[#This Row],[Pre Device Install Year]]+DeemedDashboard[[#This Row],[Existing Device EUL]]-1)-DeemedDashboard[[#This Row],[Pre Device Retire-ment Year]]))</f>
        <v/>
      </c>
      <c r="AU96" s="327" t="str">
        <f>IF(ISBLANK(DeemedDashboard[[#This Row],[MeasAppType]]),"",IF(DeemedDashboard[[#This Row],[MeasAppType]]=const_AR,0,""))</f>
        <v/>
      </c>
      <c r="AV96" s="328" t="str">
        <f>IF(ISBLANK(DeemedDashboard[[#This Row],[MeasAppType]]),"",MAX((1+MIN(DeemedDashboard[[#This Row],[Msr Device Retire-ment Year]],DeemedDashboard[[#This Row],[Measure End 
Year]])-MAX(DeemedDashboard[[#This Row],[Msr Device Install Year]],DeemedDashboard[[#This Row],[Measure Start Year]])),0))</f>
        <v/>
      </c>
      <c r="AW96" s="328" t="str">
        <f>IF(ISBLANK(DeemedDashboard[[#This Row],[MeasAppType]]),"",MAX((1+MIN(DeemedDashboard[[#This Row],[Std Device Retire-ment Year]],DeemedDashboard[[#This Row],[Measure End 
Year]])-MAX(DeemedDashboard[[#This Row],[Std Device Install Year]],DeemedDashboard[[#This Row],[Measure Start Year]])),0))</f>
        <v/>
      </c>
      <c r="AX9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6" s="329" t="str">
        <f>IF(ISBLANK(DeemedDashboard[[#This Row],[MeasAppType]]),"",IF(DeemedDashboard[[#This Row],[Msr Device Years Over-lapping with Measure Years]]=0,0,DeemedDashboard[[#This Row],[Msr Device Years Over-lapping with Measure Years]]/DeemedDashboard[[#This Row],[Msr EUL rounded]]))</f>
        <v/>
      </c>
      <c r="BA96" s="329" t="str">
        <f>IF(ISBLANK(DeemedDashboard[[#This Row],[MeasAppType]]),"",IF(DeemedDashboard[[#This Row],[Std Device Years Over-lapping with Measure Years]]=0,0,DeemedDashboard[[#This Row],[Std Device Years Over-lapping with Measure Years]]/DeemedDashboard[[#This Row],[Counterfactual New Device EUL]]))</f>
        <v/>
      </c>
      <c r="BB96" s="329" t="str">
        <f>IF(ISBLANK(DeemedDashboard[[#This Row],[MeasAppType]]),"",IFERROR(IF(DeemedDashboard[[#This Row],[Pre Device Years Over-lapping with Measure Years]]=0,0,DeemedDashboard[[#This Row],[Pre Device Years Over-lapping with Measure Years]]/DeemedDashboard[[#This Row],[Existing Device EUL]]),""))</f>
        <v/>
      </c>
      <c r="BC96" s="329" t="str">
        <f>IFERROR(IF(DeemedDashboard[[#This Row],[Ext Device Years Over-lapping with Measure Years]]=0,0,DeemedDashboard[[#This Row],[Ext Device Years Over-lapping with Measure Years]]/DeemedDashboard[[#This Row],[Existing Device EUL]]),"")</f>
        <v/>
      </c>
      <c r="BD96" s="329" t="str">
        <f>IFERROR(IF(DeemedDashboard[[#This Row],[Msr Number of Years device retired early]]=0,0,DeemedDashboard[[#This Row],[Msr Number of Years device retired early]]/DeemedDashboard[[#This Row],[Msr EUL rounded]]),"")</f>
        <v/>
      </c>
      <c r="BE96" s="329" t="str">
        <f>IFERROR(IF(DeemedDashboard[[#This Row],[Std Number of Years device retired early]]=0,0,DeemedDashboard[[#This Row],[Std Number of Years device retired early]]/DeemedDashboard[[#This Row],[Msr EUL rounded]]),"")</f>
        <v/>
      </c>
      <c r="BF96" s="329" t="str">
        <f>IFERROR(IF(DeemedDashboard[[#This Row],[MeasAppType]]&lt;&gt;const_AR,"",IF(DeemedDashboard[[#This Row],[Pre Number of Years device retired early]]=0,0,DeemedDashboard[[#This Row],[Pre Number of Years device retired early]]/DeemedDashboard[[#This Row],[Existing Device EUL]])),"")</f>
        <v/>
      </c>
      <c r="BG96" s="329" t="str">
        <f>IFERROR(IF(DeemedDashboard[[#This Row],[Ext Number of Years device retired early]]=0,0,DeemedDashboard[[#This Row],[Ext Number of Years device retired early]]/DeemedDashboard[[#This Row],[Existing Device EUL]]),"")</f>
        <v/>
      </c>
      <c r="BH96" s="325" t="str">
        <f>IFERROR(1-DeemedDashboard[[#This Row],[Msr annual refrigerant leakage %]]*DeemedDashboard[[#This Row],[Msr t_EOL]],"")</f>
        <v/>
      </c>
      <c r="BI96" s="325" t="str">
        <f>IFERROR(1-DeemedDashboard[[#This Row],[Std annual refrigerant leakage %]]*DeemedDashboard[[#This Row],[Std t_EOL]],"")</f>
        <v/>
      </c>
      <c r="BJ96" s="325" t="str">
        <f>IFERROR(1-DeemedDashboard[[#This Row],[Pre/Ext annual refrigerant leakage %]]*DeemedDashboard[[#This Row],[Pre/Ext t_EOL]],"")</f>
        <v/>
      </c>
      <c r="BK96" s="325" t="str">
        <f>IFERROR(1-DeemedDashboard[[#This Row],[Pre/Ext annual refrigerant leakage %]]*DeemedDashboard[[#This Row],[Pre/Ext t_EOL]],"")</f>
        <v/>
      </c>
      <c r="BL96" s="325" t="str">
        <f>IFERROR(DeemedDashboard[[#This Row],[Msr charging remaining (%)]]*DeemedDashboard[[#This Row],[Msr gross EOL refrigerant leakage %]],"")</f>
        <v/>
      </c>
      <c r="BM96" s="325" t="str">
        <f>IFERROR(DeemedDashboard[[#This Row],[Std charging remaining (%)]]*DeemedDashboard[[#This Row],[Std gross EOL refrigerant leakage %]],"")</f>
        <v/>
      </c>
      <c r="BN96" s="325" t="str">
        <f>IFERROR(DeemedDashboard[[#This Row],[Pre charging remaining (%)]]*DeemedDashboard[[#This Row],[Pre/Ext gross EOL refrigerant leakage %]],"")</f>
        <v/>
      </c>
      <c r="BO96" s="325" t="str">
        <f>IFERROR(DeemedDashboard[[#This Row],[Ext charging remaining (%)]]*DeemedDashboard[[#This Row],[Pre/Ext gross EOL refrigerant leakage %]],"")</f>
        <v/>
      </c>
      <c r="BP96" s="330" t="str">
        <f>IFERROR((DeemedDashboard[[#This Row],[Msr refrigerant charge (lb) per NormUnit]]/pounds_per_metric_ton)*DeemedDashboard[[#This Row],[Msr annual refrigerant leakage %]]*DeemedDashboard[[#This Row],[Msr GWP]],"")</f>
        <v/>
      </c>
      <c r="BQ96" s="330" t="str">
        <f>IFERROR((DeemedDashboard[[#This Row],[Std refrigerant charge (lb) per NormUnit]]/pounds_per_metric_ton)*DeemedDashboard[[#This Row],[Std annual refrigerant leakage %]]*DeemedDashboard[[#This Row],[Std GWP]],"")</f>
        <v/>
      </c>
      <c r="BR96" s="330" t="str">
        <f>IF(DeemedDashboard[[#This Row],[MeasAppType]]=const_AR,(DeemedDashboard[[#This Row],[Pre/Ext refrigerant charge (lb) per NormUnit]]/pounds_per_metric_ton)*DeemedDashboard[[#This Row],[Pre/Ext annual refrigerant leakage %]]*DeemedDashboard[[#This Row],[Pre/Ext GWP]],"")</f>
        <v/>
      </c>
      <c r="BS96" s="330" t="str">
        <f>IF(DeemedDashboard[[#This Row],[MeasAppType]]=const_AR,(DeemedDashboard[[#This Row],[Pre/Ext refrigerant charge (lb) per NormUnit]]/pounds_per_metric_ton)*DeemedDashboard[[#This Row],[Pre/Ext annual refrigerant leakage %]]*DeemedDashboard[[#This Row],[Pre/Ext GWP]],"")</f>
        <v/>
      </c>
      <c r="BT96" s="330" t="str">
        <f>IFERROR((DeemedDashboard[[#This Row],[Msr refrigerant charge (lb) per NormUnit]]/pounds_per_metric_ton)*DeemedDashboard[[#This Row],[Msr net EOL refrigerant leakage (%)]]*DeemedDashboard[[#This Row],[Msr GWP]],"")</f>
        <v/>
      </c>
      <c r="BU96" s="330" t="str">
        <f>IFERROR((DeemedDashboard[[#This Row],[Std refrigerant charge (lb) per NormUnit]]/pounds_per_metric_ton)*DeemedDashboard[[#This Row],[Std net EOL refrigerant leakage (%)]]*DeemedDashboard[[#This Row],[Std GWP]],"")</f>
        <v/>
      </c>
      <c r="BV96" s="330" t="str">
        <f>IFERROR((DeemedDashboard[[#This Row],[Pre/Ext refrigerant charge (lb) per NormUnit]]/pounds_per_metric_ton)*DeemedDashboard[[#This Row],[Pre net EOL refrigerant leakage (%)]]*DeemedDashboard[[#This Row],[Pre/Ext GWP]],"")</f>
        <v/>
      </c>
      <c r="BW96" s="330" t="str">
        <f>IFERROR((DeemedDashboard[[#This Row],[Pre/Ext refrigerant charge (lb) per NormUnit]]/pounds_per_metric_ton)*DeemedDashboard[[#This Row],[Ext net EOL refrigerant leakage (%)]]*DeemedDashboard[[#This Row],[Pre/Ext GWP]],"")</f>
        <v/>
      </c>
      <c r="BX96" s="299" t="str" cm="1">
        <f t="array" aca="1" ref="BX9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6" s="305" t="str" cm="1">
        <f t="array" aca="1" ref="BY9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6" s="299" t="str">
        <f>IFERROR(IF(OR(DeemedDashboard[[#This Row],[MeasAppType]]&lt;&gt;const_AR,ISBLANK(DeemedDashboard[[#This Row],[MeasAppType]])),NA(),0),"")</f>
        <v/>
      </c>
      <c r="CA96" s="305" t="str" cm="1">
        <f t="array" aca="1" ref="CA9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6" s="299" t="str">
        <f ca="1">IFERROR((DeemedDashboard[[#This Row],[Msr EOL leakage tons CO2e]]*OFFSET(GHG_Adder_dollar_per_tonne,0,(DeemedDashboard[[#This Row],[Msr Device Retire-ment Year]]-DY+1),1,1))/(1+WACC)^(DeemedDashboard[[#This Row],[Msr Device Retire-ment Year]]-DeemedDashboard[[#This Row],[Measure Start Year]]+0.5),"")</f>
        <v/>
      </c>
      <c r="CC96" s="299" t="str">
        <f ca="1">IFERROR((DeemedDashboard[[#This Row],[Std EOL leakage tons CO2e]]*OFFSET(GHG_Adder_dollar_per_tonne,0,(DeemedDashboard[[#This Row],[Std Device Retire-ment Year]]-DY+1),1,1))/(1+WACC)^(DeemedDashboard[[#This Row],[Std Device Retire-ment Year]]-DeemedDashboard[[#This Row],[Measure Start Year]]+0.5),"")</f>
        <v/>
      </c>
      <c r="CD96" s="299" t="str">
        <f ca="1">IFERROR((DeemedDashboard[[#This Row],[Pre EOL leakage tons CO2e]]*OFFSET(GHG_Adder_dollar_per_tonne,0,(DeemedDashboard[[#This Row],[Measure Start Year]]-DY),1,1))/(1+WACC)^(-0.5),"")</f>
        <v/>
      </c>
      <c r="CE9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6" s="299" t="str">
        <f ca="1">IFERROR(DeemedDashboard[[#This Row],[Msr NPV Cost of Annual Leakage]]/(1+ACC_Inflation_Rate)^(DeemedDashboard[[#This Row],[Measure Start Year]]-DY),"")</f>
        <v/>
      </c>
      <c r="CG96" s="299" t="str">
        <f ca="1">IFERROR(DeemedDashboard[[#This Row],[Std NPV Cost of Annual Leakage]]/(1+ACC_Inflation_Rate)^(DeemedDashboard[[#This Row],[Measure Start Year]]-DY),"")</f>
        <v/>
      </c>
      <c r="CH96" s="299" t="str">
        <f>IFERROR(IF(ISBLANK(DeemedDashboard[[#This Row],[MeasAppType]]),NA(),IF(DeemedDashboard[[#This Row],[MeasAppType]]=const_AR,DeemedDashboard[[#This Row],[Pre NPV Cost of Annual Leakage]]/(1+ACC_Inflation_Rate)^(DeemedDashboard[[#This Row],[Measure Start Year]]-DY),"")),"")</f>
        <v/>
      </c>
      <c r="CI96" s="296" t="str">
        <f>IFERROR(IF(ISBLANK(DeemedDashboard[[#This Row],[MeasAppType]]),NA(),IF(DeemedDashboard[[#This Row],[MeasAppType]]=const_AR,DeemedDashboard[[#This Row],[Ext NPV Cost of Annual Leakage]]/(1+ACC_Inflation_Rate)^(DeemedDashboard[[#This Row],[Measure Start Year]]-DY),"")),"")</f>
        <v/>
      </c>
      <c r="CJ96" s="296" t="str">
        <f ca="1">IFERROR((DeemedDashboard[[#This Row],[Msr % of device lifetime during measure years]]+DeemedDashboard[[#This Row],[Msr % of device lifetime retired early]])*DeemedDashboard[[#This Row],[Msr NPV Cost of EOL Leakage]]/(1+ACC_Inflation_Rate)^(DeemedDashboard[[#This Row],[Measure Start Year]]-DY),"")</f>
        <v/>
      </c>
      <c r="CK96" s="296" t="str">
        <f ca="1">IFERROR((DeemedDashboard[[#This Row],[Std % of device lifetime during measure years]]+DeemedDashboard[[#This Row],[Std % of device lifetime retired early]])*DeemedDashboard[[#This Row],[Std NPV Cost of EOL Leakage]]/(1+ACC_Inflation_Rate)^(DeemedDashboard[[#This Row],[Measure Start Year]]-DY),"")</f>
        <v/>
      </c>
      <c r="CL9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6" s="299" t="str">
        <f ca="1">IFERROR(DeemedDashboard[[#This Row],[Counter-factual total 
NPV cost]]-DeemedDashboard[[#This Row],[Measure total 
NPV cost]],"")</f>
        <v/>
      </c>
      <c r="CQ96" s="299" t="str">
        <f>IF(ISBLANK(DeemedDashboard[[#This Row],[MeasAppType]]),"",DeemedDashboard[[#This Row],[Refrigerant
NPV costs
avoided]]&gt;0)</f>
        <v/>
      </c>
      <c r="CR96" s="299" t="str">
        <f ca="1">IFERROR(DeemedDashboard[[#This Row],[Msr Adj NPV Cost of Annual Leakage]]+DeemedDashboard[[#This Row],[Msr Adj NPV Cost of EOL Leakage]],"")</f>
        <v/>
      </c>
      <c r="CS96" s="299" t="str">
        <f ca="1">IFERROR(DeemedDashboard[[#This Row],[Std Adj NPV Cost of Annual Leakage]]+DeemedDashboard[[#This Row],[Std Adj NPV Cost of EOL Leakage]],"")</f>
        <v/>
      </c>
      <c r="CT96" s="299" t="str">
        <f>IFERROR(IF((DeemedDashboard[[#This Row],[Pre Adj NPV Cost of Annual Leakage]]+DeemedDashboard[[#This Row],[Pre Adj NPV Cost of EOL Leakage]])=0,"",DeemedDashboard[[#This Row],[Pre Adj NPV Cost of Annual Leakage]]+DeemedDashboard[[#This Row],[Pre Adj NPV Cost of EOL Leakage]]),"")</f>
        <v/>
      </c>
      <c r="CU96" s="299" t="str">
        <f>IFERROR(IF((DeemedDashboard[[#This Row],[Ext Adj NPV Cost of Annual Leakage]]+DeemedDashboard[[#This Row],[Ext Adj NPV Cost of EOL Leakage]])=0,"",DeemedDashboard[[#This Row],[Ext Adj NPV Cost of Annual Leakage]]+DeemedDashboard[[#This Row],[Ext Adj NPV Cost of EOL Leakage]]),"")</f>
        <v/>
      </c>
      <c r="CV96" s="299" t="str">
        <f>IFERROR(IF(DeemedDashboard[[#This Row],[Is Avoided Net Cost &gt;0?]],"",-DeemedDashboard[[#This Row],[Refrigerant
NPV costs
avoided]]),"")</f>
        <v/>
      </c>
      <c r="CW96" s="299" t="str">
        <f>IFERROR(IF(DeemedDashboard[[#This Row],[Is Avoided Net Cost &gt;0?]],DeemedDashboard[[#This Row],[Refrigerant
NPV costs
avoided]],""),"")</f>
        <v/>
      </c>
      <c r="CX96" s="391">
        <f ca="1">IFERROR(MATCH(DeemedDashboard[[#This Row],[TechGroup and NormUnit]],TechGroup_and_NormUnit,0),1)</f>
        <v>1</v>
      </c>
      <c r="CY96" s="391" cm="1">
        <f t="array" aca="1" ref="CY96" ca="1">IFERROR(INDEX(TGRows,DeemedDashboard[[#This Row],[TGIndex]]),"")</f>
        <v>2</v>
      </c>
      <c r="CZ96" s="391">
        <f ca="1">IF(DeemedDashboard[[#This Row],[MeasAppType]]=const_AR,DeemedDashboard[[#This Row],[TGRows]],DeemedDashboard[[#This Row],[TGRows]]+1)</f>
        <v>3</v>
      </c>
      <c r="DA96" s="391" t="str">
        <f>IF(ISBLANK(DeemedDashboard[[#This Row],[MeasAppType]]),"",IF(DeemedDashboard[[#This Row],[Index]]=User_Specified_Refrigerant[[#This Row],[Index]],"OK","ERROR"))</f>
        <v/>
      </c>
    </row>
    <row r="97" spans="1:105" s="320" customFormat="1" x14ac:dyDescent="0.25">
      <c r="A97" s="297">
        <f>ROW(DeemedDashboard[[#This Row],[Index]])-ROW(DeemedDashboard[[#Headers],[Index]])</f>
        <v>88</v>
      </c>
      <c r="B97" s="298"/>
      <c r="C97" s="321"/>
      <c r="D97" s="403"/>
      <c r="E97" s="403"/>
      <c r="F97" s="403"/>
      <c r="G97" s="403"/>
      <c r="H97" s="366"/>
      <c r="I97" s="339"/>
      <c r="J97" s="339"/>
      <c r="K97" s="339"/>
      <c r="L97" s="322"/>
      <c r="M97" s="322"/>
      <c r="N97" s="322"/>
      <c r="O9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7" s="582" t="str" cm="1">
        <f t="array" ref="R97">IFERROR(IF(DeemedDashboard[[#This Row],[Msr device type]]=const_device_nonrefrig,0,INDEX(_xlfn.SWITCH($E$4,const_20_yr,GWP_Values_20_year_AR4,const_100_yr,GWP_Values_100_year_AR4),MATCH(DeemedDashboard[[#This Row],[Msr refrigerant Type]],RefrigDropdownList,0))),"")</f>
        <v/>
      </c>
      <c r="S97" s="582" t="str" cm="1">
        <f t="array" ref="S97">IFERROR(IF(DeemedDashboard[[#This Row],[Std device type]]=const_device_nonrefrig,0,INDEX(_xlfn.SWITCH($E$4,const_20_yr,GWP_Values_20_year_AR4,const_100_yr,GWP_Values_100_year_AR4),MATCH(DeemedDashboard[[#This Row],[Std refrigerant Type]],RefrigDropdownList,0))),"")</f>
        <v/>
      </c>
      <c r="T97" s="582" t="str" cm="1">
        <f t="array" ref="T97">IFERROR(IF(DeemedDashboard[[#This Row],[Pre/Ext device type]]=const_device_nonrefrig,0,INDEX(_xlfn.SWITCH($E$4,const_20_yr,GWP_Values_20_year_AR4,const_100_yr,GWP_Values_100_year_AR4),MATCH(DeemedDashboard[[#This Row],[Pre/Ext refrigerant Type]],RefrigDropdownList,0))),"")</f>
        <v/>
      </c>
      <c r="U9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7" s="326" t="str">
        <f>IFERROR(IF(DeemedDashboard[[#This Row],[Msr device type]]=const_userspec,IF(ISBLANK(User_Specified_Refrigerant[[#This Row],[Msr t_EOL]]),"",User_Specified_Refrigerant[[#This Row],[Msr t_EOL]]),INDEX(TechGroup_NormUnit_Table[t_EOL],MATCH(DeemedDashboard[[#This Row],[Msr device type]],DropdownRefrigTech,0))),"")</f>
        <v/>
      </c>
      <c r="AB97" s="326" t="str">
        <f>IFERROR(IF(DeemedDashboard[[#This Row],[Std device type]]=const_userspec,IF(ISBLANK(User_Specified_Refrigerant[[#This Row],[Std t_EOL]]),"",User_Specified_Refrigerant[[#This Row],[Std t_EOL]]),INDEX(TechGroup_NormUnit_Table[t_EOL],MATCH(DeemedDashboard[[#This Row],[Std device type]],DropdownRefrigTech,0))),"")</f>
        <v/>
      </c>
      <c r="AC9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7" s="395" t="str">
        <f>IF(ISBLANK(DeemedDashboard[[#This Row],[MeasAppType]]),"",$E$2)</f>
        <v/>
      </c>
      <c r="AE97" s="395" t="str">
        <f>IFERROR(IF(ISBLANK(DeemedDashboard[[#This Row],[MeasAppType]]),NA(),DeemedDashboard[[#This Row],[Measure Start Year]]+DeemedDashboard[[#This Row],[Msr EUL rounded]]-1),"")</f>
        <v/>
      </c>
      <c r="AF97" s="323" t="str">
        <f>IF(ISBLANK(DeemedDashboard[[#This Row],[Measure New Device EUL]]),"",ROUND(DeemedDashboard[[#This Row],[Measure New Device EUL]],0))</f>
        <v/>
      </c>
      <c r="AG97" s="323" t="str">
        <f>IF(ISBLANK(DeemedDashboard[[#This Row],[Counterfactual New Device EUL]]),"",ROUND(DeemedDashboard[[#This Row],[Counterfactual New Device EUL]],0))</f>
        <v/>
      </c>
      <c r="AH97" s="323" t="str">
        <f>IF(ISBLANK(DeemedDashboard[[#This Row],[Existing Device EUL]]),"",ROUND(DeemedDashboard[[#This Row],[Existing Device EUL]],0))</f>
        <v/>
      </c>
      <c r="AI97" s="323" t="str">
        <f>IF(ISBLANK(DeemedDashboard[[#This Row],[Existing Device RUL or AR First Baseline Life]]),"",ROUND(DeemedDashboard[[#This Row],[Existing Device RUL or AR First Baseline Life]],0))</f>
        <v/>
      </c>
      <c r="AJ97" s="327" t="str">
        <f>DeemedDashboard[[#This Row],[Measure Start Year]]</f>
        <v/>
      </c>
      <c r="AK97" s="327" t="str">
        <f>IF(DeemedDashboard[[#This Row],[MeasAppType]]&lt;&gt;const_AR,DeemedDashboard[[#This Row],[Measure Start Year]],DeemedDashboard[[#This Row],[Ext Device Retire-ment Year]]+1)</f>
        <v/>
      </c>
      <c r="AL97" s="327" t="str">
        <f>IFERROR(IF(DeemedDashboard[[#This Row],[MeasAppType]]=const_AR,DeemedDashboard[[#This Row],[Measure Start Year]]-(DeemedDashboard[[#This Row],[Existing Device EUL]]-DeemedDashboard[[#This Row],[Existing Device RUL or AR First Baseline Life]]),NA()),"")</f>
        <v/>
      </c>
      <c r="AM97" s="327" t="str">
        <f>DeemedDashboard[[#This Row],[Pre Device Install Year]]</f>
        <v/>
      </c>
      <c r="AN97" s="327" t="str">
        <f>IFERROR(IF(ISBLANK(DeemedDashboard[[#This Row],[MeasAppType]]),NA(),DeemedDashboard[[#This Row],[Measure Start Year]]+DeemedDashboard[[#This Row],[Msr EUL rounded]]-1),"")</f>
        <v/>
      </c>
      <c r="AO97" s="327" t="str">
        <f>IFERROR(DeemedDashboard[[#This Row],[Std Device Install Year]]+DeemedDashboard[[#This Row],[Counterfactual New Device EUL]]-1,"")</f>
        <v/>
      </c>
      <c r="AP97" s="327" t="str">
        <f>IFERROR(IF(AND(DeemedDashboard[[#This Row],[MeasAppType]]=const_AR,DeemedDashboard[[#This Row],[Measure Start Year]]&lt;(DeemedDashboard[[#This Row],[Pre Device Install Year]]+DeemedDashboard[[#This Row],[Existing Device EUL]]-1)),DeemedDashboard[[#This Row],[Measure Start Year]]-1,NA()),"")</f>
        <v/>
      </c>
      <c r="AQ97" s="327" t="str">
        <f>IFERROR(IF(DeemedDashboard[[#This Row],[MeasAppType]]=const_AR,DeemedDashboard[[#This Row],[Ext Device Install Year]]+DeemedDashboard[[#This Row],[Existing Device EUL]]-1,NA()),"")</f>
        <v/>
      </c>
      <c r="AR97" s="327" t="str">
        <f>IFERROR(IF(ISBLANK(DeemedDashboard[[#This Row],[MeasAppType]]),NA(),0),"")</f>
        <v/>
      </c>
      <c r="AS97" s="327" t="str">
        <f>IFERROR(IF(ISBLANK(DeemedDashboard[[#This Row],[MeasAppType]]),NA(),0),"")</f>
        <v/>
      </c>
      <c r="AT97" s="327" t="str">
        <f>IF(ISBLANK(DeemedDashboard[[#This Row],[MeasAppType]]),"",IF(DeemedDashboard[[#This Row],[MeasAppType]]&lt;&gt;const_AR,"",(DeemedDashboard[[#This Row],[Pre Device Install Year]]+DeemedDashboard[[#This Row],[Existing Device EUL]]-1)-DeemedDashboard[[#This Row],[Pre Device Retire-ment Year]]))</f>
        <v/>
      </c>
      <c r="AU97" s="327" t="str">
        <f>IF(ISBLANK(DeemedDashboard[[#This Row],[MeasAppType]]),"",IF(DeemedDashboard[[#This Row],[MeasAppType]]=const_AR,0,""))</f>
        <v/>
      </c>
      <c r="AV97" s="328" t="str">
        <f>IF(ISBLANK(DeemedDashboard[[#This Row],[MeasAppType]]),"",MAX((1+MIN(DeemedDashboard[[#This Row],[Msr Device Retire-ment Year]],DeemedDashboard[[#This Row],[Measure End 
Year]])-MAX(DeemedDashboard[[#This Row],[Msr Device Install Year]],DeemedDashboard[[#This Row],[Measure Start Year]])),0))</f>
        <v/>
      </c>
      <c r="AW97" s="328" t="str">
        <f>IF(ISBLANK(DeemedDashboard[[#This Row],[MeasAppType]]),"",MAX((1+MIN(DeemedDashboard[[#This Row],[Std Device Retire-ment Year]],DeemedDashboard[[#This Row],[Measure End 
Year]])-MAX(DeemedDashboard[[#This Row],[Std Device Install Year]],DeemedDashboard[[#This Row],[Measure Start Year]])),0))</f>
        <v/>
      </c>
      <c r="AX9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7" s="329" t="str">
        <f>IF(ISBLANK(DeemedDashboard[[#This Row],[MeasAppType]]),"",IF(DeemedDashboard[[#This Row],[Msr Device Years Over-lapping with Measure Years]]=0,0,DeemedDashboard[[#This Row],[Msr Device Years Over-lapping with Measure Years]]/DeemedDashboard[[#This Row],[Msr EUL rounded]]))</f>
        <v/>
      </c>
      <c r="BA97" s="329" t="str">
        <f>IF(ISBLANK(DeemedDashboard[[#This Row],[MeasAppType]]),"",IF(DeemedDashboard[[#This Row],[Std Device Years Over-lapping with Measure Years]]=0,0,DeemedDashboard[[#This Row],[Std Device Years Over-lapping with Measure Years]]/DeemedDashboard[[#This Row],[Counterfactual New Device EUL]]))</f>
        <v/>
      </c>
      <c r="BB97" s="329" t="str">
        <f>IF(ISBLANK(DeemedDashboard[[#This Row],[MeasAppType]]),"",IFERROR(IF(DeemedDashboard[[#This Row],[Pre Device Years Over-lapping with Measure Years]]=0,0,DeemedDashboard[[#This Row],[Pre Device Years Over-lapping with Measure Years]]/DeemedDashboard[[#This Row],[Existing Device EUL]]),""))</f>
        <v/>
      </c>
      <c r="BC97" s="329" t="str">
        <f>IFERROR(IF(DeemedDashboard[[#This Row],[Ext Device Years Over-lapping with Measure Years]]=0,0,DeemedDashboard[[#This Row],[Ext Device Years Over-lapping with Measure Years]]/DeemedDashboard[[#This Row],[Existing Device EUL]]),"")</f>
        <v/>
      </c>
      <c r="BD97" s="329" t="str">
        <f>IFERROR(IF(DeemedDashboard[[#This Row],[Msr Number of Years device retired early]]=0,0,DeemedDashboard[[#This Row],[Msr Number of Years device retired early]]/DeemedDashboard[[#This Row],[Msr EUL rounded]]),"")</f>
        <v/>
      </c>
      <c r="BE97" s="329" t="str">
        <f>IFERROR(IF(DeemedDashboard[[#This Row],[Std Number of Years device retired early]]=0,0,DeemedDashboard[[#This Row],[Std Number of Years device retired early]]/DeemedDashboard[[#This Row],[Msr EUL rounded]]),"")</f>
        <v/>
      </c>
      <c r="BF97" s="329" t="str">
        <f>IFERROR(IF(DeemedDashboard[[#This Row],[MeasAppType]]&lt;&gt;const_AR,"",IF(DeemedDashboard[[#This Row],[Pre Number of Years device retired early]]=0,0,DeemedDashboard[[#This Row],[Pre Number of Years device retired early]]/DeemedDashboard[[#This Row],[Existing Device EUL]])),"")</f>
        <v/>
      </c>
      <c r="BG97" s="329" t="str">
        <f>IFERROR(IF(DeemedDashboard[[#This Row],[Ext Number of Years device retired early]]=0,0,DeemedDashboard[[#This Row],[Ext Number of Years device retired early]]/DeemedDashboard[[#This Row],[Existing Device EUL]]),"")</f>
        <v/>
      </c>
      <c r="BH97" s="325" t="str">
        <f>IFERROR(1-DeemedDashboard[[#This Row],[Msr annual refrigerant leakage %]]*DeemedDashboard[[#This Row],[Msr t_EOL]],"")</f>
        <v/>
      </c>
      <c r="BI97" s="325" t="str">
        <f>IFERROR(1-DeemedDashboard[[#This Row],[Std annual refrigerant leakage %]]*DeemedDashboard[[#This Row],[Std t_EOL]],"")</f>
        <v/>
      </c>
      <c r="BJ97" s="325" t="str">
        <f>IFERROR(1-DeemedDashboard[[#This Row],[Pre/Ext annual refrigerant leakage %]]*DeemedDashboard[[#This Row],[Pre/Ext t_EOL]],"")</f>
        <v/>
      </c>
      <c r="BK97" s="325" t="str">
        <f>IFERROR(1-DeemedDashboard[[#This Row],[Pre/Ext annual refrigerant leakage %]]*DeemedDashboard[[#This Row],[Pre/Ext t_EOL]],"")</f>
        <v/>
      </c>
      <c r="BL97" s="325" t="str">
        <f>IFERROR(DeemedDashboard[[#This Row],[Msr charging remaining (%)]]*DeemedDashboard[[#This Row],[Msr gross EOL refrigerant leakage %]],"")</f>
        <v/>
      </c>
      <c r="BM97" s="325" t="str">
        <f>IFERROR(DeemedDashboard[[#This Row],[Std charging remaining (%)]]*DeemedDashboard[[#This Row],[Std gross EOL refrigerant leakage %]],"")</f>
        <v/>
      </c>
      <c r="BN97" s="325" t="str">
        <f>IFERROR(DeemedDashboard[[#This Row],[Pre charging remaining (%)]]*DeemedDashboard[[#This Row],[Pre/Ext gross EOL refrigerant leakage %]],"")</f>
        <v/>
      </c>
      <c r="BO97" s="325" t="str">
        <f>IFERROR(DeemedDashboard[[#This Row],[Ext charging remaining (%)]]*DeemedDashboard[[#This Row],[Pre/Ext gross EOL refrigerant leakage %]],"")</f>
        <v/>
      </c>
      <c r="BP97" s="330" t="str">
        <f>IFERROR((DeemedDashboard[[#This Row],[Msr refrigerant charge (lb) per NormUnit]]/pounds_per_metric_ton)*DeemedDashboard[[#This Row],[Msr annual refrigerant leakage %]]*DeemedDashboard[[#This Row],[Msr GWP]],"")</f>
        <v/>
      </c>
      <c r="BQ97" s="330" t="str">
        <f>IFERROR((DeemedDashboard[[#This Row],[Std refrigerant charge (lb) per NormUnit]]/pounds_per_metric_ton)*DeemedDashboard[[#This Row],[Std annual refrigerant leakage %]]*DeemedDashboard[[#This Row],[Std GWP]],"")</f>
        <v/>
      </c>
      <c r="BR97" s="330" t="str">
        <f>IF(DeemedDashboard[[#This Row],[MeasAppType]]=const_AR,(DeemedDashboard[[#This Row],[Pre/Ext refrigerant charge (lb) per NormUnit]]/pounds_per_metric_ton)*DeemedDashboard[[#This Row],[Pre/Ext annual refrigerant leakage %]]*DeemedDashboard[[#This Row],[Pre/Ext GWP]],"")</f>
        <v/>
      </c>
      <c r="BS97" s="330" t="str">
        <f>IF(DeemedDashboard[[#This Row],[MeasAppType]]=const_AR,(DeemedDashboard[[#This Row],[Pre/Ext refrigerant charge (lb) per NormUnit]]/pounds_per_metric_ton)*DeemedDashboard[[#This Row],[Pre/Ext annual refrigerant leakage %]]*DeemedDashboard[[#This Row],[Pre/Ext GWP]],"")</f>
        <v/>
      </c>
      <c r="BT97" s="330" t="str">
        <f>IFERROR((DeemedDashboard[[#This Row],[Msr refrigerant charge (lb) per NormUnit]]/pounds_per_metric_ton)*DeemedDashboard[[#This Row],[Msr net EOL refrigerant leakage (%)]]*DeemedDashboard[[#This Row],[Msr GWP]],"")</f>
        <v/>
      </c>
      <c r="BU97" s="330" t="str">
        <f>IFERROR((DeemedDashboard[[#This Row],[Std refrigerant charge (lb) per NormUnit]]/pounds_per_metric_ton)*DeemedDashboard[[#This Row],[Std net EOL refrigerant leakage (%)]]*DeemedDashboard[[#This Row],[Std GWP]],"")</f>
        <v/>
      </c>
      <c r="BV97" s="330" t="str">
        <f>IFERROR((DeemedDashboard[[#This Row],[Pre/Ext refrigerant charge (lb) per NormUnit]]/pounds_per_metric_ton)*DeemedDashboard[[#This Row],[Pre net EOL refrigerant leakage (%)]]*DeemedDashboard[[#This Row],[Pre/Ext GWP]],"")</f>
        <v/>
      </c>
      <c r="BW97" s="330" t="str">
        <f>IFERROR((DeemedDashboard[[#This Row],[Pre/Ext refrigerant charge (lb) per NormUnit]]/pounds_per_metric_ton)*DeemedDashboard[[#This Row],[Ext net EOL refrigerant leakage (%)]]*DeemedDashboard[[#This Row],[Pre/Ext GWP]],"")</f>
        <v/>
      </c>
      <c r="BX97" s="299" t="str" cm="1">
        <f t="array" aca="1" ref="BX9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7" s="305" t="str" cm="1">
        <f t="array" aca="1" ref="BY9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7" s="299" t="str">
        <f>IFERROR(IF(OR(DeemedDashboard[[#This Row],[MeasAppType]]&lt;&gt;const_AR,ISBLANK(DeemedDashboard[[#This Row],[MeasAppType]])),NA(),0),"")</f>
        <v/>
      </c>
      <c r="CA97" s="305" t="str" cm="1">
        <f t="array" aca="1" ref="CA9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7" s="299" t="str">
        <f ca="1">IFERROR((DeemedDashboard[[#This Row],[Msr EOL leakage tons CO2e]]*OFFSET(GHG_Adder_dollar_per_tonne,0,(DeemedDashboard[[#This Row],[Msr Device Retire-ment Year]]-DY+1),1,1))/(1+WACC)^(DeemedDashboard[[#This Row],[Msr Device Retire-ment Year]]-DeemedDashboard[[#This Row],[Measure Start Year]]+0.5),"")</f>
        <v/>
      </c>
      <c r="CC97" s="299" t="str">
        <f ca="1">IFERROR((DeemedDashboard[[#This Row],[Std EOL leakage tons CO2e]]*OFFSET(GHG_Adder_dollar_per_tonne,0,(DeemedDashboard[[#This Row],[Std Device Retire-ment Year]]-DY+1),1,1))/(1+WACC)^(DeemedDashboard[[#This Row],[Std Device Retire-ment Year]]-DeemedDashboard[[#This Row],[Measure Start Year]]+0.5),"")</f>
        <v/>
      </c>
      <c r="CD97" s="299" t="str">
        <f ca="1">IFERROR((DeemedDashboard[[#This Row],[Pre EOL leakage tons CO2e]]*OFFSET(GHG_Adder_dollar_per_tonne,0,(DeemedDashboard[[#This Row],[Measure Start Year]]-DY),1,1))/(1+WACC)^(-0.5),"")</f>
        <v/>
      </c>
      <c r="CE9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7" s="296" t="str">
        <f ca="1">IFERROR(DeemedDashboard[[#This Row],[Msr NPV Cost of Annual Leakage]]/(1+ACC_Inflation_Rate)^(DeemedDashboard[[#This Row],[Measure Start Year]]-DY),"")</f>
        <v/>
      </c>
      <c r="CG97" s="296" t="str">
        <f ca="1">IFERROR(DeemedDashboard[[#This Row],[Std NPV Cost of Annual Leakage]]/(1+ACC_Inflation_Rate)^(DeemedDashboard[[#This Row],[Measure Start Year]]-DY),"")</f>
        <v/>
      </c>
      <c r="CH97" s="296" t="str">
        <f>IFERROR(IF(ISBLANK(DeemedDashboard[[#This Row],[MeasAppType]]),NA(),IF(DeemedDashboard[[#This Row],[MeasAppType]]=const_AR,DeemedDashboard[[#This Row],[Pre NPV Cost of Annual Leakage]]/(1+ACC_Inflation_Rate)^(DeemedDashboard[[#This Row],[Measure Start Year]]-DY),"")),"")</f>
        <v/>
      </c>
      <c r="CI97" s="296" t="str">
        <f>IFERROR(IF(ISBLANK(DeemedDashboard[[#This Row],[MeasAppType]]),NA(),IF(DeemedDashboard[[#This Row],[MeasAppType]]=const_AR,DeemedDashboard[[#This Row],[Ext NPV Cost of Annual Leakage]]/(1+ACC_Inflation_Rate)^(DeemedDashboard[[#This Row],[Measure Start Year]]-DY),"")),"")</f>
        <v/>
      </c>
      <c r="CJ97" s="296" t="str">
        <f ca="1">IFERROR((DeemedDashboard[[#This Row],[Msr % of device lifetime during measure years]]+DeemedDashboard[[#This Row],[Msr % of device lifetime retired early]])*DeemedDashboard[[#This Row],[Msr NPV Cost of EOL Leakage]]/(1+ACC_Inflation_Rate)^(DeemedDashboard[[#This Row],[Measure Start Year]]-DY),"")</f>
        <v/>
      </c>
      <c r="CK97" s="296" t="str">
        <f ca="1">IFERROR((DeemedDashboard[[#This Row],[Std % of device lifetime during measure years]]+DeemedDashboard[[#This Row],[Std % of device lifetime retired early]])*DeemedDashboard[[#This Row],[Std NPV Cost of EOL Leakage]]/(1+ACC_Inflation_Rate)^(DeemedDashboard[[#This Row],[Measure Start Year]]-DY),"")</f>
        <v/>
      </c>
      <c r="CL9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7" s="299" t="str">
        <f ca="1">IFERROR(DeemedDashboard[[#This Row],[Counter-factual total 
NPV cost]]-DeemedDashboard[[#This Row],[Measure total 
NPV cost]],"")</f>
        <v/>
      </c>
      <c r="CQ97" s="299" t="str">
        <f>IF(ISBLANK(DeemedDashboard[[#This Row],[MeasAppType]]),"",DeemedDashboard[[#This Row],[Refrigerant
NPV costs
avoided]]&gt;0)</f>
        <v/>
      </c>
      <c r="CR97" s="299" t="str">
        <f ca="1">IFERROR(DeemedDashboard[[#This Row],[Msr Adj NPV Cost of Annual Leakage]]+DeemedDashboard[[#This Row],[Msr Adj NPV Cost of EOL Leakage]],"")</f>
        <v/>
      </c>
      <c r="CS97" s="299" t="str">
        <f ca="1">IFERROR(DeemedDashboard[[#This Row],[Std Adj NPV Cost of Annual Leakage]]+DeemedDashboard[[#This Row],[Std Adj NPV Cost of EOL Leakage]],"")</f>
        <v/>
      </c>
      <c r="CT97" s="299" t="str">
        <f>IFERROR(IF((DeemedDashboard[[#This Row],[Pre Adj NPV Cost of Annual Leakage]]+DeemedDashboard[[#This Row],[Pre Adj NPV Cost of EOL Leakage]])=0,"",DeemedDashboard[[#This Row],[Pre Adj NPV Cost of Annual Leakage]]+DeemedDashboard[[#This Row],[Pre Adj NPV Cost of EOL Leakage]]),"")</f>
        <v/>
      </c>
      <c r="CU97" s="299" t="str">
        <f>IFERROR(IF((DeemedDashboard[[#This Row],[Ext Adj NPV Cost of Annual Leakage]]+DeemedDashboard[[#This Row],[Ext Adj NPV Cost of EOL Leakage]])=0,"",DeemedDashboard[[#This Row],[Ext Adj NPV Cost of Annual Leakage]]+DeemedDashboard[[#This Row],[Ext Adj NPV Cost of EOL Leakage]]),"")</f>
        <v/>
      </c>
      <c r="CV97" s="299" t="str">
        <f>IFERROR(IF(DeemedDashboard[[#This Row],[Is Avoided Net Cost &gt;0?]],"",-DeemedDashboard[[#This Row],[Refrigerant
NPV costs
avoided]]),"")</f>
        <v/>
      </c>
      <c r="CW97" s="299" t="str">
        <f>IFERROR(IF(DeemedDashboard[[#This Row],[Is Avoided Net Cost &gt;0?]],DeemedDashboard[[#This Row],[Refrigerant
NPV costs
avoided]],""),"")</f>
        <v/>
      </c>
      <c r="CX97" s="391">
        <f ca="1">IFERROR(MATCH(DeemedDashboard[[#This Row],[TechGroup and NormUnit]],TechGroup_and_NormUnit,0),1)</f>
        <v>1</v>
      </c>
      <c r="CY97" s="391" cm="1">
        <f t="array" aca="1" ref="CY97" ca="1">IFERROR(INDEX(TGRows,DeemedDashboard[[#This Row],[TGIndex]]),"")</f>
        <v>2</v>
      </c>
      <c r="CZ97" s="391">
        <f ca="1">IF(DeemedDashboard[[#This Row],[MeasAppType]]=const_AR,DeemedDashboard[[#This Row],[TGRows]],DeemedDashboard[[#This Row],[TGRows]]+1)</f>
        <v>3</v>
      </c>
      <c r="DA97" s="391" t="str">
        <f>IF(ISBLANK(DeemedDashboard[[#This Row],[MeasAppType]]),"",IF(DeemedDashboard[[#This Row],[Index]]=User_Specified_Refrigerant[[#This Row],[Index]],"OK","ERROR"))</f>
        <v/>
      </c>
    </row>
    <row r="98" spans="1:105" s="320" customFormat="1" x14ac:dyDescent="0.25">
      <c r="A98" s="297">
        <f>ROW(DeemedDashboard[[#This Row],[Index]])-ROW(DeemedDashboard[[#Headers],[Index]])</f>
        <v>89</v>
      </c>
      <c r="B98" s="298"/>
      <c r="C98" s="321"/>
      <c r="D98" s="403"/>
      <c r="E98" s="403"/>
      <c r="F98" s="403"/>
      <c r="G98" s="403"/>
      <c r="H98" s="366"/>
      <c r="I98" s="339"/>
      <c r="J98" s="339"/>
      <c r="K98" s="339"/>
      <c r="L98" s="322"/>
      <c r="M98" s="322"/>
      <c r="N98" s="322"/>
      <c r="O9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8" s="582" t="str" cm="1">
        <f t="array" ref="R98">IFERROR(IF(DeemedDashboard[[#This Row],[Msr device type]]=const_device_nonrefrig,0,INDEX(_xlfn.SWITCH($E$4,const_20_yr,GWP_Values_20_year_AR4,const_100_yr,GWP_Values_100_year_AR4),MATCH(DeemedDashboard[[#This Row],[Msr refrigerant Type]],RefrigDropdownList,0))),"")</f>
        <v/>
      </c>
      <c r="S98" s="582" t="str" cm="1">
        <f t="array" ref="S98">IFERROR(IF(DeemedDashboard[[#This Row],[Std device type]]=const_device_nonrefrig,0,INDEX(_xlfn.SWITCH($E$4,const_20_yr,GWP_Values_20_year_AR4,const_100_yr,GWP_Values_100_year_AR4),MATCH(DeemedDashboard[[#This Row],[Std refrigerant Type]],RefrigDropdownList,0))),"")</f>
        <v/>
      </c>
      <c r="T98" s="582" t="str" cm="1">
        <f t="array" ref="T98">IFERROR(IF(DeemedDashboard[[#This Row],[Pre/Ext device type]]=const_device_nonrefrig,0,INDEX(_xlfn.SWITCH($E$4,const_20_yr,GWP_Values_20_year_AR4,const_100_yr,GWP_Values_100_year_AR4),MATCH(DeemedDashboard[[#This Row],[Pre/Ext refrigerant Type]],RefrigDropdownList,0))),"")</f>
        <v/>
      </c>
      <c r="U9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8" s="326" t="str">
        <f>IFERROR(IF(DeemedDashboard[[#This Row],[Msr device type]]=const_userspec,IF(ISBLANK(User_Specified_Refrigerant[[#This Row],[Msr t_EOL]]),"",User_Specified_Refrigerant[[#This Row],[Msr t_EOL]]),INDEX(TechGroup_NormUnit_Table[t_EOL],MATCH(DeemedDashboard[[#This Row],[Msr device type]],DropdownRefrigTech,0))),"")</f>
        <v/>
      </c>
      <c r="AB98" s="326" t="str">
        <f>IFERROR(IF(DeemedDashboard[[#This Row],[Std device type]]=const_userspec,IF(ISBLANK(User_Specified_Refrigerant[[#This Row],[Std t_EOL]]),"",User_Specified_Refrigerant[[#This Row],[Std t_EOL]]),INDEX(TechGroup_NormUnit_Table[t_EOL],MATCH(DeemedDashboard[[#This Row],[Std device type]],DropdownRefrigTech,0))),"")</f>
        <v/>
      </c>
      <c r="AC9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8" s="395" t="str">
        <f>IF(ISBLANK(DeemedDashboard[[#This Row],[MeasAppType]]),"",$E$2)</f>
        <v/>
      </c>
      <c r="AE98" s="395" t="str">
        <f>IFERROR(IF(ISBLANK(DeemedDashboard[[#This Row],[MeasAppType]]),NA(),DeemedDashboard[[#This Row],[Measure Start Year]]+DeemedDashboard[[#This Row],[Msr EUL rounded]]-1),"")</f>
        <v/>
      </c>
      <c r="AF98" s="323" t="str">
        <f>IF(ISBLANK(DeemedDashboard[[#This Row],[Measure New Device EUL]]),"",ROUND(DeemedDashboard[[#This Row],[Measure New Device EUL]],0))</f>
        <v/>
      </c>
      <c r="AG98" s="323" t="str">
        <f>IF(ISBLANK(DeemedDashboard[[#This Row],[Counterfactual New Device EUL]]),"",ROUND(DeemedDashboard[[#This Row],[Counterfactual New Device EUL]],0))</f>
        <v/>
      </c>
      <c r="AH98" s="323" t="str">
        <f>IF(ISBLANK(DeemedDashboard[[#This Row],[Existing Device EUL]]),"",ROUND(DeemedDashboard[[#This Row],[Existing Device EUL]],0))</f>
        <v/>
      </c>
      <c r="AI98" s="323" t="str">
        <f>IF(ISBLANK(DeemedDashboard[[#This Row],[Existing Device RUL or AR First Baseline Life]]),"",ROUND(DeemedDashboard[[#This Row],[Existing Device RUL or AR First Baseline Life]],0))</f>
        <v/>
      </c>
      <c r="AJ98" s="327" t="str">
        <f>DeemedDashboard[[#This Row],[Measure Start Year]]</f>
        <v/>
      </c>
      <c r="AK98" s="327" t="str">
        <f>IF(DeemedDashboard[[#This Row],[MeasAppType]]&lt;&gt;const_AR,DeemedDashboard[[#This Row],[Measure Start Year]],DeemedDashboard[[#This Row],[Ext Device Retire-ment Year]]+1)</f>
        <v/>
      </c>
      <c r="AL98" s="327" t="str">
        <f>IFERROR(IF(DeemedDashboard[[#This Row],[MeasAppType]]=const_AR,DeemedDashboard[[#This Row],[Measure Start Year]]-(DeemedDashboard[[#This Row],[Existing Device EUL]]-DeemedDashboard[[#This Row],[Existing Device RUL or AR First Baseline Life]]),NA()),"")</f>
        <v/>
      </c>
      <c r="AM98" s="327" t="str">
        <f>DeemedDashboard[[#This Row],[Pre Device Install Year]]</f>
        <v/>
      </c>
      <c r="AN98" s="327" t="str">
        <f>IFERROR(IF(ISBLANK(DeemedDashboard[[#This Row],[MeasAppType]]),NA(),DeemedDashboard[[#This Row],[Measure Start Year]]+DeemedDashboard[[#This Row],[Msr EUL rounded]]-1),"")</f>
        <v/>
      </c>
      <c r="AO98" s="327" t="str">
        <f>IFERROR(DeemedDashboard[[#This Row],[Std Device Install Year]]+DeemedDashboard[[#This Row],[Counterfactual New Device EUL]]-1,"")</f>
        <v/>
      </c>
      <c r="AP98" s="327" t="str">
        <f>IFERROR(IF(AND(DeemedDashboard[[#This Row],[MeasAppType]]=const_AR,DeemedDashboard[[#This Row],[Measure Start Year]]&lt;(DeemedDashboard[[#This Row],[Pre Device Install Year]]+DeemedDashboard[[#This Row],[Existing Device EUL]]-1)),DeemedDashboard[[#This Row],[Measure Start Year]]-1,NA()),"")</f>
        <v/>
      </c>
      <c r="AQ98" s="327" t="str">
        <f>IFERROR(IF(DeemedDashboard[[#This Row],[MeasAppType]]=const_AR,DeemedDashboard[[#This Row],[Ext Device Install Year]]+DeemedDashboard[[#This Row],[Existing Device EUL]]-1,NA()),"")</f>
        <v/>
      </c>
      <c r="AR98" s="327" t="str">
        <f>IFERROR(IF(ISBLANK(DeemedDashboard[[#This Row],[MeasAppType]]),NA(),0),"")</f>
        <v/>
      </c>
      <c r="AS98" s="327" t="str">
        <f>IFERROR(IF(ISBLANK(DeemedDashboard[[#This Row],[MeasAppType]]),NA(),0),"")</f>
        <v/>
      </c>
      <c r="AT98" s="327" t="str">
        <f>IF(ISBLANK(DeemedDashboard[[#This Row],[MeasAppType]]),"",IF(DeemedDashboard[[#This Row],[MeasAppType]]&lt;&gt;const_AR,"",(DeemedDashboard[[#This Row],[Pre Device Install Year]]+DeemedDashboard[[#This Row],[Existing Device EUL]]-1)-DeemedDashboard[[#This Row],[Pre Device Retire-ment Year]]))</f>
        <v/>
      </c>
      <c r="AU98" s="327" t="str">
        <f>IF(ISBLANK(DeemedDashboard[[#This Row],[MeasAppType]]),"",IF(DeemedDashboard[[#This Row],[MeasAppType]]=const_AR,0,""))</f>
        <v/>
      </c>
      <c r="AV98" s="328" t="str">
        <f>IF(ISBLANK(DeemedDashboard[[#This Row],[MeasAppType]]),"",MAX((1+MIN(DeemedDashboard[[#This Row],[Msr Device Retire-ment Year]],DeemedDashboard[[#This Row],[Measure End 
Year]])-MAX(DeemedDashboard[[#This Row],[Msr Device Install Year]],DeemedDashboard[[#This Row],[Measure Start Year]])),0))</f>
        <v/>
      </c>
      <c r="AW98" s="328" t="str">
        <f>IF(ISBLANK(DeemedDashboard[[#This Row],[MeasAppType]]),"",MAX((1+MIN(DeemedDashboard[[#This Row],[Std Device Retire-ment Year]],DeemedDashboard[[#This Row],[Measure End 
Year]])-MAX(DeemedDashboard[[#This Row],[Std Device Install Year]],DeemedDashboard[[#This Row],[Measure Start Year]])),0))</f>
        <v/>
      </c>
      <c r="AX9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8" s="329" t="str">
        <f>IF(ISBLANK(DeemedDashboard[[#This Row],[MeasAppType]]),"",IF(DeemedDashboard[[#This Row],[Msr Device Years Over-lapping with Measure Years]]=0,0,DeemedDashboard[[#This Row],[Msr Device Years Over-lapping with Measure Years]]/DeemedDashboard[[#This Row],[Msr EUL rounded]]))</f>
        <v/>
      </c>
      <c r="BA98" s="329" t="str">
        <f>IF(ISBLANK(DeemedDashboard[[#This Row],[MeasAppType]]),"",IF(DeemedDashboard[[#This Row],[Std Device Years Over-lapping with Measure Years]]=0,0,DeemedDashboard[[#This Row],[Std Device Years Over-lapping with Measure Years]]/DeemedDashboard[[#This Row],[Counterfactual New Device EUL]]))</f>
        <v/>
      </c>
      <c r="BB98" s="329" t="str">
        <f>IF(ISBLANK(DeemedDashboard[[#This Row],[MeasAppType]]),"",IFERROR(IF(DeemedDashboard[[#This Row],[Pre Device Years Over-lapping with Measure Years]]=0,0,DeemedDashboard[[#This Row],[Pre Device Years Over-lapping with Measure Years]]/DeemedDashboard[[#This Row],[Existing Device EUL]]),""))</f>
        <v/>
      </c>
      <c r="BC98" s="329" t="str">
        <f>IFERROR(IF(DeemedDashboard[[#This Row],[Ext Device Years Over-lapping with Measure Years]]=0,0,DeemedDashboard[[#This Row],[Ext Device Years Over-lapping with Measure Years]]/DeemedDashboard[[#This Row],[Existing Device EUL]]),"")</f>
        <v/>
      </c>
      <c r="BD98" s="329" t="str">
        <f>IFERROR(IF(DeemedDashboard[[#This Row],[Msr Number of Years device retired early]]=0,0,DeemedDashboard[[#This Row],[Msr Number of Years device retired early]]/DeemedDashboard[[#This Row],[Msr EUL rounded]]),"")</f>
        <v/>
      </c>
      <c r="BE98" s="329" t="str">
        <f>IFERROR(IF(DeemedDashboard[[#This Row],[Std Number of Years device retired early]]=0,0,DeemedDashboard[[#This Row],[Std Number of Years device retired early]]/DeemedDashboard[[#This Row],[Msr EUL rounded]]),"")</f>
        <v/>
      </c>
      <c r="BF98" s="329" t="str">
        <f>IFERROR(IF(DeemedDashboard[[#This Row],[MeasAppType]]&lt;&gt;const_AR,"",IF(DeemedDashboard[[#This Row],[Pre Number of Years device retired early]]=0,0,DeemedDashboard[[#This Row],[Pre Number of Years device retired early]]/DeemedDashboard[[#This Row],[Existing Device EUL]])),"")</f>
        <v/>
      </c>
      <c r="BG98" s="329" t="str">
        <f>IFERROR(IF(DeemedDashboard[[#This Row],[Ext Number of Years device retired early]]=0,0,DeemedDashboard[[#This Row],[Ext Number of Years device retired early]]/DeemedDashboard[[#This Row],[Existing Device EUL]]),"")</f>
        <v/>
      </c>
      <c r="BH98" s="325" t="str">
        <f>IFERROR(1-DeemedDashboard[[#This Row],[Msr annual refrigerant leakage %]]*DeemedDashboard[[#This Row],[Msr t_EOL]],"")</f>
        <v/>
      </c>
      <c r="BI98" s="325" t="str">
        <f>IFERROR(1-DeemedDashboard[[#This Row],[Std annual refrigerant leakage %]]*DeemedDashboard[[#This Row],[Std t_EOL]],"")</f>
        <v/>
      </c>
      <c r="BJ98" s="325" t="str">
        <f>IFERROR(1-DeemedDashboard[[#This Row],[Pre/Ext annual refrigerant leakage %]]*DeemedDashboard[[#This Row],[Pre/Ext t_EOL]],"")</f>
        <v/>
      </c>
      <c r="BK98" s="325" t="str">
        <f>IFERROR(1-DeemedDashboard[[#This Row],[Pre/Ext annual refrigerant leakage %]]*DeemedDashboard[[#This Row],[Pre/Ext t_EOL]],"")</f>
        <v/>
      </c>
      <c r="BL98" s="325" t="str">
        <f>IFERROR(DeemedDashboard[[#This Row],[Msr charging remaining (%)]]*DeemedDashboard[[#This Row],[Msr gross EOL refrigerant leakage %]],"")</f>
        <v/>
      </c>
      <c r="BM98" s="325" t="str">
        <f>IFERROR(DeemedDashboard[[#This Row],[Std charging remaining (%)]]*DeemedDashboard[[#This Row],[Std gross EOL refrigerant leakage %]],"")</f>
        <v/>
      </c>
      <c r="BN98" s="325" t="str">
        <f>IFERROR(DeemedDashboard[[#This Row],[Pre charging remaining (%)]]*DeemedDashboard[[#This Row],[Pre/Ext gross EOL refrigerant leakage %]],"")</f>
        <v/>
      </c>
      <c r="BO98" s="325" t="str">
        <f>IFERROR(DeemedDashboard[[#This Row],[Ext charging remaining (%)]]*DeemedDashboard[[#This Row],[Pre/Ext gross EOL refrigerant leakage %]],"")</f>
        <v/>
      </c>
      <c r="BP98" s="330" t="str">
        <f>IFERROR((DeemedDashboard[[#This Row],[Msr refrigerant charge (lb) per NormUnit]]/pounds_per_metric_ton)*DeemedDashboard[[#This Row],[Msr annual refrigerant leakage %]]*DeemedDashboard[[#This Row],[Msr GWP]],"")</f>
        <v/>
      </c>
      <c r="BQ98" s="330" t="str">
        <f>IFERROR((DeemedDashboard[[#This Row],[Std refrigerant charge (lb) per NormUnit]]/pounds_per_metric_ton)*DeemedDashboard[[#This Row],[Std annual refrigerant leakage %]]*DeemedDashboard[[#This Row],[Std GWP]],"")</f>
        <v/>
      </c>
      <c r="BR98" s="330" t="str">
        <f>IF(DeemedDashboard[[#This Row],[MeasAppType]]=const_AR,(DeemedDashboard[[#This Row],[Pre/Ext refrigerant charge (lb) per NormUnit]]/pounds_per_metric_ton)*DeemedDashboard[[#This Row],[Pre/Ext annual refrigerant leakage %]]*DeemedDashboard[[#This Row],[Pre/Ext GWP]],"")</f>
        <v/>
      </c>
      <c r="BS98" s="330" t="str">
        <f>IF(DeemedDashboard[[#This Row],[MeasAppType]]=const_AR,(DeemedDashboard[[#This Row],[Pre/Ext refrigerant charge (lb) per NormUnit]]/pounds_per_metric_ton)*DeemedDashboard[[#This Row],[Pre/Ext annual refrigerant leakage %]]*DeemedDashboard[[#This Row],[Pre/Ext GWP]],"")</f>
        <v/>
      </c>
      <c r="BT98" s="330" t="str">
        <f>IFERROR((DeemedDashboard[[#This Row],[Msr refrigerant charge (lb) per NormUnit]]/pounds_per_metric_ton)*DeemedDashboard[[#This Row],[Msr net EOL refrigerant leakage (%)]]*DeemedDashboard[[#This Row],[Msr GWP]],"")</f>
        <v/>
      </c>
      <c r="BU98" s="330" t="str">
        <f>IFERROR((DeemedDashboard[[#This Row],[Std refrigerant charge (lb) per NormUnit]]/pounds_per_metric_ton)*DeemedDashboard[[#This Row],[Std net EOL refrigerant leakage (%)]]*DeemedDashboard[[#This Row],[Std GWP]],"")</f>
        <v/>
      </c>
      <c r="BV98" s="330" t="str">
        <f>IFERROR((DeemedDashboard[[#This Row],[Pre/Ext refrigerant charge (lb) per NormUnit]]/pounds_per_metric_ton)*DeemedDashboard[[#This Row],[Pre net EOL refrigerant leakage (%)]]*DeemedDashboard[[#This Row],[Pre/Ext GWP]],"")</f>
        <v/>
      </c>
      <c r="BW98" s="330" t="str">
        <f>IFERROR((DeemedDashboard[[#This Row],[Pre/Ext refrigerant charge (lb) per NormUnit]]/pounds_per_metric_ton)*DeemedDashboard[[#This Row],[Ext net EOL refrigerant leakage (%)]]*DeemedDashboard[[#This Row],[Pre/Ext GWP]],"")</f>
        <v/>
      </c>
      <c r="BX98" s="299" t="str" cm="1">
        <f t="array" aca="1" ref="BX9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8" s="305" t="str" cm="1">
        <f t="array" aca="1" ref="BY9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8" s="299" t="str">
        <f>IFERROR(IF(OR(DeemedDashboard[[#This Row],[MeasAppType]]&lt;&gt;const_AR,ISBLANK(DeemedDashboard[[#This Row],[MeasAppType]])),NA(),0),"")</f>
        <v/>
      </c>
      <c r="CA98" s="305" t="str" cm="1">
        <f t="array" aca="1" ref="CA9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8" s="299" t="str">
        <f ca="1">IFERROR((DeemedDashboard[[#This Row],[Msr EOL leakage tons CO2e]]*OFFSET(GHG_Adder_dollar_per_tonne,0,(DeemedDashboard[[#This Row],[Msr Device Retire-ment Year]]-DY+1),1,1))/(1+WACC)^(DeemedDashboard[[#This Row],[Msr Device Retire-ment Year]]-DeemedDashboard[[#This Row],[Measure Start Year]]+0.5),"")</f>
        <v/>
      </c>
      <c r="CC98" s="299" t="str">
        <f ca="1">IFERROR((DeemedDashboard[[#This Row],[Std EOL leakage tons CO2e]]*OFFSET(GHG_Adder_dollar_per_tonne,0,(DeemedDashboard[[#This Row],[Std Device Retire-ment Year]]-DY+1),1,1))/(1+WACC)^(DeemedDashboard[[#This Row],[Std Device Retire-ment Year]]-DeemedDashboard[[#This Row],[Measure Start Year]]+0.5),"")</f>
        <v/>
      </c>
      <c r="CD98" s="299" t="str">
        <f ca="1">IFERROR((DeemedDashboard[[#This Row],[Pre EOL leakage tons CO2e]]*OFFSET(GHG_Adder_dollar_per_tonne,0,(DeemedDashboard[[#This Row],[Measure Start Year]]-DY),1,1))/(1+WACC)^(-0.5),"")</f>
        <v/>
      </c>
      <c r="CE9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8" s="299" t="str">
        <f ca="1">IFERROR(DeemedDashboard[[#This Row],[Msr NPV Cost of Annual Leakage]]/(1+ACC_Inflation_Rate)^(DeemedDashboard[[#This Row],[Measure Start Year]]-DY),"")</f>
        <v/>
      </c>
      <c r="CG98" s="299" t="str">
        <f ca="1">IFERROR(DeemedDashboard[[#This Row],[Std NPV Cost of Annual Leakage]]/(1+ACC_Inflation_Rate)^(DeemedDashboard[[#This Row],[Measure Start Year]]-DY),"")</f>
        <v/>
      </c>
      <c r="CH98" s="299" t="str">
        <f>IFERROR(IF(ISBLANK(DeemedDashboard[[#This Row],[MeasAppType]]),NA(),IF(DeemedDashboard[[#This Row],[MeasAppType]]=const_AR,DeemedDashboard[[#This Row],[Pre NPV Cost of Annual Leakage]]/(1+ACC_Inflation_Rate)^(DeemedDashboard[[#This Row],[Measure Start Year]]-DY),"")),"")</f>
        <v/>
      </c>
      <c r="CI98" s="296" t="str">
        <f>IFERROR(IF(ISBLANK(DeemedDashboard[[#This Row],[MeasAppType]]),NA(),IF(DeemedDashboard[[#This Row],[MeasAppType]]=const_AR,DeemedDashboard[[#This Row],[Ext NPV Cost of Annual Leakage]]/(1+ACC_Inflation_Rate)^(DeemedDashboard[[#This Row],[Measure Start Year]]-DY),"")),"")</f>
        <v/>
      </c>
      <c r="CJ98" s="296" t="str">
        <f ca="1">IFERROR((DeemedDashboard[[#This Row],[Msr % of device lifetime during measure years]]+DeemedDashboard[[#This Row],[Msr % of device lifetime retired early]])*DeemedDashboard[[#This Row],[Msr NPV Cost of EOL Leakage]]/(1+ACC_Inflation_Rate)^(DeemedDashboard[[#This Row],[Measure Start Year]]-DY),"")</f>
        <v/>
      </c>
      <c r="CK98" s="296" t="str">
        <f ca="1">IFERROR((DeemedDashboard[[#This Row],[Std % of device lifetime during measure years]]+DeemedDashboard[[#This Row],[Std % of device lifetime retired early]])*DeemedDashboard[[#This Row],[Std NPV Cost of EOL Leakage]]/(1+ACC_Inflation_Rate)^(DeemedDashboard[[#This Row],[Measure Start Year]]-DY),"")</f>
        <v/>
      </c>
      <c r="CL9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8" s="299" t="str">
        <f ca="1">IFERROR(DeemedDashboard[[#This Row],[Counter-factual total 
NPV cost]]-DeemedDashboard[[#This Row],[Measure total 
NPV cost]],"")</f>
        <v/>
      </c>
      <c r="CQ98" s="299" t="str">
        <f>IF(ISBLANK(DeemedDashboard[[#This Row],[MeasAppType]]),"",DeemedDashboard[[#This Row],[Refrigerant
NPV costs
avoided]]&gt;0)</f>
        <v/>
      </c>
      <c r="CR98" s="299" t="str">
        <f ca="1">IFERROR(DeemedDashboard[[#This Row],[Msr Adj NPV Cost of Annual Leakage]]+DeemedDashboard[[#This Row],[Msr Adj NPV Cost of EOL Leakage]],"")</f>
        <v/>
      </c>
      <c r="CS98" s="299" t="str">
        <f ca="1">IFERROR(DeemedDashboard[[#This Row],[Std Adj NPV Cost of Annual Leakage]]+DeemedDashboard[[#This Row],[Std Adj NPV Cost of EOL Leakage]],"")</f>
        <v/>
      </c>
      <c r="CT98" s="299" t="str">
        <f>IFERROR(IF((DeemedDashboard[[#This Row],[Pre Adj NPV Cost of Annual Leakage]]+DeemedDashboard[[#This Row],[Pre Adj NPV Cost of EOL Leakage]])=0,"",DeemedDashboard[[#This Row],[Pre Adj NPV Cost of Annual Leakage]]+DeemedDashboard[[#This Row],[Pre Adj NPV Cost of EOL Leakage]]),"")</f>
        <v/>
      </c>
      <c r="CU98" s="299" t="str">
        <f>IFERROR(IF((DeemedDashboard[[#This Row],[Ext Adj NPV Cost of Annual Leakage]]+DeemedDashboard[[#This Row],[Ext Adj NPV Cost of EOL Leakage]])=0,"",DeemedDashboard[[#This Row],[Ext Adj NPV Cost of Annual Leakage]]+DeemedDashboard[[#This Row],[Ext Adj NPV Cost of EOL Leakage]]),"")</f>
        <v/>
      </c>
      <c r="CV98" s="299" t="str">
        <f>IFERROR(IF(DeemedDashboard[[#This Row],[Is Avoided Net Cost &gt;0?]],"",-DeemedDashboard[[#This Row],[Refrigerant
NPV costs
avoided]]),"")</f>
        <v/>
      </c>
      <c r="CW98" s="299" t="str">
        <f>IFERROR(IF(DeemedDashboard[[#This Row],[Is Avoided Net Cost &gt;0?]],DeemedDashboard[[#This Row],[Refrigerant
NPV costs
avoided]],""),"")</f>
        <v/>
      </c>
      <c r="CX98" s="391">
        <f ca="1">IFERROR(MATCH(DeemedDashboard[[#This Row],[TechGroup and NormUnit]],TechGroup_and_NormUnit,0),1)</f>
        <v>1</v>
      </c>
      <c r="CY98" s="391" cm="1">
        <f t="array" aca="1" ref="CY98" ca="1">IFERROR(INDEX(TGRows,DeemedDashboard[[#This Row],[TGIndex]]),"")</f>
        <v>2</v>
      </c>
      <c r="CZ98" s="391">
        <f ca="1">IF(DeemedDashboard[[#This Row],[MeasAppType]]=const_AR,DeemedDashboard[[#This Row],[TGRows]],DeemedDashboard[[#This Row],[TGRows]]+1)</f>
        <v>3</v>
      </c>
      <c r="DA98" s="391" t="str">
        <f>IF(ISBLANK(DeemedDashboard[[#This Row],[MeasAppType]]),"",IF(DeemedDashboard[[#This Row],[Index]]=User_Specified_Refrigerant[[#This Row],[Index]],"OK","ERROR"))</f>
        <v/>
      </c>
    </row>
    <row r="99" spans="1:105" s="320" customFormat="1" x14ac:dyDescent="0.25">
      <c r="A99" s="297">
        <f>ROW(DeemedDashboard[[#This Row],[Index]])-ROW(DeemedDashboard[[#Headers],[Index]])</f>
        <v>90</v>
      </c>
      <c r="B99" s="298"/>
      <c r="C99" s="321"/>
      <c r="D99" s="403"/>
      <c r="E99" s="403"/>
      <c r="F99" s="403"/>
      <c r="G99" s="403"/>
      <c r="H99" s="366"/>
      <c r="I99" s="339"/>
      <c r="J99" s="339"/>
      <c r="K99" s="339"/>
      <c r="L99" s="322"/>
      <c r="M99" s="322"/>
      <c r="N99" s="322"/>
      <c r="O9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9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9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99" s="582" t="str" cm="1">
        <f t="array" ref="R99">IFERROR(IF(DeemedDashboard[[#This Row],[Msr device type]]=const_device_nonrefrig,0,INDEX(_xlfn.SWITCH($E$4,const_20_yr,GWP_Values_20_year_AR4,const_100_yr,GWP_Values_100_year_AR4),MATCH(DeemedDashboard[[#This Row],[Msr refrigerant Type]],RefrigDropdownList,0))),"")</f>
        <v/>
      </c>
      <c r="S99" s="582" t="str" cm="1">
        <f t="array" ref="S99">IFERROR(IF(DeemedDashboard[[#This Row],[Std device type]]=const_device_nonrefrig,0,INDEX(_xlfn.SWITCH($E$4,const_20_yr,GWP_Values_20_year_AR4,const_100_yr,GWP_Values_100_year_AR4),MATCH(DeemedDashboard[[#This Row],[Std refrigerant Type]],RefrigDropdownList,0))),"")</f>
        <v/>
      </c>
      <c r="T99" s="582" t="str" cm="1">
        <f t="array" ref="T99">IFERROR(IF(DeemedDashboard[[#This Row],[Pre/Ext device type]]=const_device_nonrefrig,0,INDEX(_xlfn.SWITCH($E$4,const_20_yr,GWP_Values_20_year_AR4,const_100_yr,GWP_Values_100_year_AR4),MATCH(DeemedDashboard[[#This Row],[Pre/Ext refrigerant Type]],RefrigDropdownList,0))),"")</f>
        <v/>
      </c>
      <c r="U9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9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9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9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9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9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99" s="326" t="str">
        <f>IFERROR(IF(DeemedDashboard[[#This Row],[Msr device type]]=const_userspec,IF(ISBLANK(User_Specified_Refrigerant[[#This Row],[Msr t_EOL]]),"",User_Specified_Refrigerant[[#This Row],[Msr t_EOL]]),INDEX(TechGroup_NormUnit_Table[t_EOL],MATCH(DeemedDashboard[[#This Row],[Msr device type]],DropdownRefrigTech,0))),"")</f>
        <v/>
      </c>
      <c r="AB99" s="326" t="str">
        <f>IFERROR(IF(DeemedDashboard[[#This Row],[Std device type]]=const_userspec,IF(ISBLANK(User_Specified_Refrigerant[[#This Row],[Std t_EOL]]),"",User_Specified_Refrigerant[[#This Row],[Std t_EOL]]),INDEX(TechGroup_NormUnit_Table[t_EOL],MATCH(DeemedDashboard[[#This Row],[Std device type]],DropdownRefrigTech,0))),"")</f>
        <v/>
      </c>
      <c r="AC9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99" s="395" t="str">
        <f>IF(ISBLANK(DeemedDashboard[[#This Row],[MeasAppType]]),"",$E$2)</f>
        <v/>
      </c>
      <c r="AE99" s="395" t="str">
        <f>IFERROR(IF(ISBLANK(DeemedDashboard[[#This Row],[MeasAppType]]),NA(),DeemedDashboard[[#This Row],[Measure Start Year]]+DeemedDashboard[[#This Row],[Msr EUL rounded]]-1),"")</f>
        <v/>
      </c>
      <c r="AF99" s="323" t="str">
        <f>IF(ISBLANK(DeemedDashboard[[#This Row],[Measure New Device EUL]]),"",ROUND(DeemedDashboard[[#This Row],[Measure New Device EUL]],0))</f>
        <v/>
      </c>
      <c r="AG99" s="323" t="str">
        <f>IF(ISBLANK(DeemedDashboard[[#This Row],[Counterfactual New Device EUL]]),"",ROUND(DeemedDashboard[[#This Row],[Counterfactual New Device EUL]],0))</f>
        <v/>
      </c>
      <c r="AH99" s="323" t="str">
        <f>IF(ISBLANK(DeemedDashboard[[#This Row],[Existing Device EUL]]),"",ROUND(DeemedDashboard[[#This Row],[Existing Device EUL]],0))</f>
        <v/>
      </c>
      <c r="AI99" s="323" t="str">
        <f>IF(ISBLANK(DeemedDashboard[[#This Row],[Existing Device RUL or AR First Baseline Life]]),"",ROUND(DeemedDashboard[[#This Row],[Existing Device RUL or AR First Baseline Life]],0))</f>
        <v/>
      </c>
      <c r="AJ99" s="327" t="str">
        <f>DeemedDashboard[[#This Row],[Measure Start Year]]</f>
        <v/>
      </c>
      <c r="AK99" s="327" t="str">
        <f>IF(DeemedDashboard[[#This Row],[MeasAppType]]&lt;&gt;const_AR,DeemedDashboard[[#This Row],[Measure Start Year]],DeemedDashboard[[#This Row],[Ext Device Retire-ment Year]]+1)</f>
        <v/>
      </c>
      <c r="AL99" s="327" t="str">
        <f>IFERROR(IF(DeemedDashboard[[#This Row],[MeasAppType]]=const_AR,DeemedDashboard[[#This Row],[Measure Start Year]]-(DeemedDashboard[[#This Row],[Existing Device EUL]]-DeemedDashboard[[#This Row],[Existing Device RUL or AR First Baseline Life]]),NA()),"")</f>
        <v/>
      </c>
      <c r="AM99" s="327" t="str">
        <f>DeemedDashboard[[#This Row],[Pre Device Install Year]]</f>
        <v/>
      </c>
      <c r="AN99" s="327" t="str">
        <f>IFERROR(IF(ISBLANK(DeemedDashboard[[#This Row],[MeasAppType]]),NA(),DeemedDashboard[[#This Row],[Measure Start Year]]+DeemedDashboard[[#This Row],[Msr EUL rounded]]-1),"")</f>
        <v/>
      </c>
      <c r="AO99" s="327" t="str">
        <f>IFERROR(DeemedDashboard[[#This Row],[Std Device Install Year]]+DeemedDashboard[[#This Row],[Counterfactual New Device EUL]]-1,"")</f>
        <v/>
      </c>
      <c r="AP99" s="327" t="str">
        <f>IFERROR(IF(AND(DeemedDashboard[[#This Row],[MeasAppType]]=const_AR,DeemedDashboard[[#This Row],[Measure Start Year]]&lt;(DeemedDashboard[[#This Row],[Pre Device Install Year]]+DeemedDashboard[[#This Row],[Existing Device EUL]]-1)),DeemedDashboard[[#This Row],[Measure Start Year]]-1,NA()),"")</f>
        <v/>
      </c>
      <c r="AQ99" s="327" t="str">
        <f>IFERROR(IF(DeemedDashboard[[#This Row],[MeasAppType]]=const_AR,DeemedDashboard[[#This Row],[Ext Device Install Year]]+DeemedDashboard[[#This Row],[Existing Device EUL]]-1,NA()),"")</f>
        <v/>
      </c>
      <c r="AR99" s="327" t="str">
        <f>IFERROR(IF(ISBLANK(DeemedDashboard[[#This Row],[MeasAppType]]),NA(),0),"")</f>
        <v/>
      </c>
      <c r="AS99" s="327" t="str">
        <f>IFERROR(IF(ISBLANK(DeemedDashboard[[#This Row],[MeasAppType]]),NA(),0),"")</f>
        <v/>
      </c>
      <c r="AT99" s="327" t="str">
        <f>IF(ISBLANK(DeemedDashboard[[#This Row],[MeasAppType]]),"",IF(DeemedDashboard[[#This Row],[MeasAppType]]&lt;&gt;const_AR,"",(DeemedDashboard[[#This Row],[Pre Device Install Year]]+DeemedDashboard[[#This Row],[Existing Device EUL]]-1)-DeemedDashboard[[#This Row],[Pre Device Retire-ment Year]]))</f>
        <v/>
      </c>
      <c r="AU99" s="327" t="str">
        <f>IF(ISBLANK(DeemedDashboard[[#This Row],[MeasAppType]]),"",IF(DeemedDashboard[[#This Row],[MeasAppType]]=const_AR,0,""))</f>
        <v/>
      </c>
      <c r="AV99" s="328" t="str">
        <f>IF(ISBLANK(DeemedDashboard[[#This Row],[MeasAppType]]),"",MAX((1+MIN(DeemedDashboard[[#This Row],[Msr Device Retire-ment Year]],DeemedDashboard[[#This Row],[Measure End 
Year]])-MAX(DeemedDashboard[[#This Row],[Msr Device Install Year]],DeemedDashboard[[#This Row],[Measure Start Year]])),0))</f>
        <v/>
      </c>
      <c r="AW99" s="328" t="str">
        <f>IF(ISBLANK(DeemedDashboard[[#This Row],[MeasAppType]]),"",MAX((1+MIN(DeemedDashboard[[#This Row],[Std Device Retire-ment Year]],DeemedDashboard[[#This Row],[Measure End 
Year]])-MAX(DeemedDashboard[[#This Row],[Std Device Install Year]],DeemedDashboard[[#This Row],[Measure Start Year]])),0))</f>
        <v/>
      </c>
      <c r="AX9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9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99" s="329" t="str">
        <f>IF(ISBLANK(DeemedDashboard[[#This Row],[MeasAppType]]),"",IF(DeemedDashboard[[#This Row],[Msr Device Years Over-lapping with Measure Years]]=0,0,DeemedDashboard[[#This Row],[Msr Device Years Over-lapping with Measure Years]]/DeemedDashboard[[#This Row],[Msr EUL rounded]]))</f>
        <v/>
      </c>
      <c r="BA99" s="329" t="str">
        <f>IF(ISBLANK(DeemedDashboard[[#This Row],[MeasAppType]]),"",IF(DeemedDashboard[[#This Row],[Std Device Years Over-lapping with Measure Years]]=0,0,DeemedDashboard[[#This Row],[Std Device Years Over-lapping with Measure Years]]/DeemedDashboard[[#This Row],[Counterfactual New Device EUL]]))</f>
        <v/>
      </c>
      <c r="BB99" s="329" t="str">
        <f>IF(ISBLANK(DeemedDashboard[[#This Row],[MeasAppType]]),"",IFERROR(IF(DeemedDashboard[[#This Row],[Pre Device Years Over-lapping with Measure Years]]=0,0,DeemedDashboard[[#This Row],[Pre Device Years Over-lapping with Measure Years]]/DeemedDashboard[[#This Row],[Existing Device EUL]]),""))</f>
        <v/>
      </c>
      <c r="BC99" s="329" t="str">
        <f>IFERROR(IF(DeemedDashboard[[#This Row],[Ext Device Years Over-lapping with Measure Years]]=0,0,DeemedDashboard[[#This Row],[Ext Device Years Over-lapping with Measure Years]]/DeemedDashboard[[#This Row],[Existing Device EUL]]),"")</f>
        <v/>
      </c>
      <c r="BD99" s="329" t="str">
        <f>IFERROR(IF(DeemedDashboard[[#This Row],[Msr Number of Years device retired early]]=0,0,DeemedDashboard[[#This Row],[Msr Number of Years device retired early]]/DeemedDashboard[[#This Row],[Msr EUL rounded]]),"")</f>
        <v/>
      </c>
      <c r="BE99" s="329" t="str">
        <f>IFERROR(IF(DeemedDashboard[[#This Row],[Std Number of Years device retired early]]=0,0,DeemedDashboard[[#This Row],[Std Number of Years device retired early]]/DeemedDashboard[[#This Row],[Msr EUL rounded]]),"")</f>
        <v/>
      </c>
      <c r="BF99" s="329" t="str">
        <f>IFERROR(IF(DeemedDashboard[[#This Row],[MeasAppType]]&lt;&gt;const_AR,"",IF(DeemedDashboard[[#This Row],[Pre Number of Years device retired early]]=0,0,DeemedDashboard[[#This Row],[Pre Number of Years device retired early]]/DeemedDashboard[[#This Row],[Existing Device EUL]])),"")</f>
        <v/>
      </c>
      <c r="BG99" s="329" t="str">
        <f>IFERROR(IF(DeemedDashboard[[#This Row],[Ext Number of Years device retired early]]=0,0,DeemedDashboard[[#This Row],[Ext Number of Years device retired early]]/DeemedDashboard[[#This Row],[Existing Device EUL]]),"")</f>
        <v/>
      </c>
      <c r="BH99" s="325" t="str">
        <f>IFERROR(1-DeemedDashboard[[#This Row],[Msr annual refrigerant leakage %]]*DeemedDashboard[[#This Row],[Msr t_EOL]],"")</f>
        <v/>
      </c>
      <c r="BI99" s="325" t="str">
        <f>IFERROR(1-DeemedDashboard[[#This Row],[Std annual refrigerant leakage %]]*DeemedDashboard[[#This Row],[Std t_EOL]],"")</f>
        <v/>
      </c>
      <c r="BJ99" s="325" t="str">
        <f>IFERROR(1-DeemedDashboard[[#This Row],[Pre/Ext annual refrigerant leakage %]]*DeemedDashboard[[#This Row],[Pre/Ext t_EOL]],"")</f>
        <v/>
      </c>
      <c r="BK99" s="325" t="str">
        <f>IFERROR(1-DeemedDashboard[[#This Row],[Pre/Ext annual refrigerant leakage %]]*DeemedDashboard[[#This Row],[Pre/Ext t_EOL]],"")</f>
        <v/>
      </c>
      <c r="BL99" s="325" t="str">
        <f>IFERROR(DeemedDashboard[[#This Row],[Msr charging remaining (%)]]*DeemedDashboard[[#This Row],[Msr gross EOL refrigerant leakage %]],"")</f>
        <v/>
      </c>
      <c r="BM99" s="325" t="str">
        <f>IFERROR(DeemedDashboard[[#This Row],[Std charging remaining (%)]]*DeemedDashboard[[#This Row],[Std gross EOL refrigerant leakage %]],"")</f>
        <v/>
      </c>
      <c r="BN99" s="325" t="str">
        <f>IFERROR(DeemedDashboard[[#This Row],[Pre charging remaining (%)]]*DeemedDashboard[[#This Row],[Pre/Ext gross EOL refrigerant leakage %]],"")</f>
        <v/>
      </c>
      <c r="BO99" s="325" t="str">
        <f>IFERROR(DeemedDashboard[[#This Row],[Ext charging remaining (%)]]*DeemedDashboard[[#This Row],[Pre/Ext gross EOL refrigerant leakage %]],"")</f>
        <v/>
      </c>
      <c r="BP99" s="330" t="str">
        <f>IFERROR((DeemedDashboard[[#This Row],[Msr refrigerant charge (lb) per NormUnit]]/pounds_per_metric_ton)*DeemedDashboard[[#This Row],[Msr annual refrigerant leakage %]]*DeemedDashboard[[#This Row],[Msr GWP]],"")</f>
        <v/>
      </c>
      <c r="BQ99" s="330" t="str">
        <f>IFERROR((DeemedDashboard[[#This Row],[Std refrigerant charge (lb) per NormUnit]]/pounds_per_metric_ton)*DeemedDashboard[[#This Row],[Std annual refrigerant leakage %]]*DeemedDashboard[[#This Row],[Std GWP]],"")</f>
        <v/>
      </c>
      <c r="BR99" s="330" t="str">
        <f>IF(DeemedDashboard[[#This Row],[MeasAppType]]=const_AR,(DeemedDashboard[[#This Row],[Pre/Ext refrigerant charge (lb) per NormUnit]]/pounds_per_metric_ton)*DeemedDashboard[[#This Row],[Pre/Ext annual refrigerant leakage %]]*DeemedDashboard[[#This Row],[Pre/Ext GWP]],"")</f>
        <v/>
      </c>
      <c r="BS99" s="330" t="str">
        <f>IF(DeemedDashboard[[#This Row],[MeasAppType]]=const_AR,(DeemedDashboard[[#This Row],[Pre/Ext refrigerant charge (lb) per NormUnit]]/pounds_per_metric_ton)*DeemedDashboard[[#This Row],[Pre/Ext annual refrigerant leakage %]]*DeemedDashboard[[#This Row],[Pre/Ext GWP]],"")</f>
        <v/>
      </c>
      <c r="BT99" s="330" t="str">
        <f>IFERROR((DeemedDashboard[[#This Row],[Msr refrigerant charge (lb) per NormUnit]]/pounds_per_metric_ton)*DeemedDashboard[[#This Row],[Msr net EOL refrigerant leakage (%)]]*DeemedDashboard[[#This Row],[Msr GWP]],"")</f>
        <v/>
      </c>
      <c r="BU99" s="330" t="str">
        <f>IFERROR((DeemedDashboard[[#This Row],[Std refrigerant charge (lb) per NormUnit]]/pounds_per_metric_ton)*DeemedDashboard[[#This Row],[Std net EOL refrigerant leakage (%)]]*DeemedDashboard[[#This Row],[Std GWP]],"")</f>
        <v/>
      </c>
      <c r="BV99" s="330" t="str">
        <f>IFERROR((DeemedDashboard[[#This Row],[Pre/Ext refrigerant charge (lb) per NormUnit]]/pounds_per_metric_ton)*DeemedDashboard[[#This Row],[Pre net EOL refrigerant leakage (%)]]*DeemedDashboard[[#This Row],[Pre/Ext GWP]],"")</f>
        <v/>
      </c>
      <c r="BW99" s="330" t="str">
        <f>IFERROR((DeemedDashboard[[#This Row],[Pre/Ext refrigerant charge (lb) per NormUnit]]/pounds_per_metric_ton)*DeemedDashboard[[#This Row],[Ext net EOL refrigerant leakage (%)]]*DeemedDashboard[[#This Row],[Pre/Ext GWP]],"")</f>
        <v/>
      </c>
      <c r="BX99" s="299" t="str" cm="1">
        <f t="array" aca="1" ref="BX9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99" s="305" t="str" cm="1">
        <f t="array" aca="1" ref="BY9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99" s="299" t="str">
        <f>IFERROR(IF(OR(DeemedDashboard[[#This Row],[MeasAppType]]&lt;&gt;const_AR,ISBLANK(DeemedDashboard[[#This Row],[MeasAppType]])),NA(),0),"")</f>
        <v/>
      </c>
      <c r="CA99" s="305" t="str" cm="1">
        <f t="array" aca="1" ref="CA9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99" s="299" t="str">
        <f ca="1">IFERROR((DeemedDashboard[[#This Row],[Msr EOL leakage tons CO2e]]*OFFSET(GHG_Adder_dollar_per_tonne,0,(DeemedDashboard[[#This Row],[Msr Device Retire-ment Year]]-DY+1),1,1))/(1+WACC)^(DeemedDashboard[[#This Row],[Msr Device Retire-ment Year]]-DeemedDashboard[[#This Row],[Measure Start Year]]+0.5),"")</f>
        <v/>
      </c>
      <c r="CC99" s="299" t="str">
        <f ca="1">IFERROR((DeemedDashboard[[#This Row],[Std EOL leakage tons CO2e]]*OFFSET(GHG_Adder_dollar_per_tonne,0,(DeemedDashboard[[#This Row],[Std Device Retire-ment Year]]-DY+1),1,1))/(1+WACC)^(DeemedDashboard[[#This Row],[Std Device Retire-ment Year]]-DeemedDashboard[[#This Row],[Measure Start Year]]+0.5),"")</f>
        <v/>
      </c>
      <c r="CD99" s="299" t="str">
        <f ca="1">IFERROR((DeemedDashboard[[#This Row],[Pre EOL leakage tons CO2e]]*OFFSET(GHG_Adder_dollar_per_tonne,0,(DeemedDashboard[[#This Row],[Measure Start Year]]-DY),1,1))/(1+WACC)^(-0.5),"")</f>
        <v/>
      </c>
      <c r="CE9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99" s="299" t="str">
        <f ca="1">IFERROR(DeemedDashboard[[#This Row],[Msr NPV Cost of Annual Leakage]]/(1+ACC_Inflation_Rate)^(DeemedDashboard[[#This Row],[Measure Start Year]]-DY),"")</f>
        <v/>
      </c>
      <c r="CG99" s="299" t="str">
        <f ca="1">IFERROR(DeemedDashboard[[#This Row],[Std NPV Cost of Annual Leakage]]/(1+ACC_Inflation_Rate)^(DeemedDashboard[[#This Row],[Measure Start Year]]-DY),"")</f>
        <v/>
      </c>
      <c r="CH99" s="299" t="str">
        <f>IFERROR(IF(ISBLANK(DeemedDashboard[[#This Row],[MeasAppType]]),NA(),IF(DeemedDashboard[[#This Row],[MeasAppType]]=const_AR,DeemedDashboard[[#This Row],[Pre NPV Cost of Annual Leakage]]/(1+ACC_Inflation_Rate)^(DeemedDashboard[[#This Row],[Measure Start Year]]-DY),"")),"")</f>
        <v/>
      </c>
      <c r="CI99" s="296" t="str">
        <f>IFERROR(IF(ISBLANK(DeemedDashboard[[#This Row],[MeasAppType]]),NA(),IF(DeemedDashboard[[#This Row],[MeasAppType]]=const_AR,DeemedDashboard[[#This Row],[Ext NPV Cost of Annual Leakage]]/(1+ACC_Inflation_Rate)^(DeemedDashboard[[#This Row],[Measure Start Year]]-DY),"")),"")</f>
        <v/>
      </c>
      <c r="CJ99" s="296" t="str">
        <f ca="1">IFERROR((DeemedDashboard[[#This Row],[Msr % of device lifetime during measure years]]+DeemedDashboard[[#This Row],[Msr % of device lifetime retired early]])*DeemedDashboard[[#This Row],[Msr NPV Cost of EOL Leakage]]/(1+ACC_Inflation_Rate)^(DeemedDashboard[[#This Row],[Measure Start Year]]-DY),"")</f>
        <v/>
      </c>
      <c r="CK99" s="296" t="str">
        <f ca="1">IFERROR((DeemedDashboard[[#This Row],[Std % of device lifetime during measure years]]+DeemedDashboard[[#This Row],[Std % of device lifetime retired early]])*DeemedDashboard[[#This Row],[Std NPV Cost of EOL Leakage]]/(1+ACC_Inflation_Rate)^(DeemedDashboard[[#This Row],[Measure Start Year]]-DY),"")</f>
        <v/>
      </c>
      <c r="CL9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9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9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9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99" s="299" t="str">
        <f ca="1">IFERROR(DeemedDashboard[[#This Row],[Counter-factual total 
NPV cost]]-DeemedDashboard[[#This Row],[Measure total 
NPV cost]],"")</f>
        <v/>
      </c>
      <c r="CQ99" s="299" t="str">
        <f>IF(ISBLANK(DeemedDashboard[[#This Row],[MeasAppType]]),"",DeemedDashboard[[#This Row],[Refrigerant
NPV costs
avoided]]&gt;0)</f>
        <v/>
      </c>
      <c r="CR99" s="299" t="str">
        <f ca="1">IFERROR(DeemedDashboard[[#This Row],[Msr Adj NPV Cost of Annual Leakage]]+DeemedDashboard[[#This Row],[Msr Adj NPV Cost of EOL Leakage]],"")</f>
        <v/>
      </c>
      <c r="CS99" s="299" t="str">
        <f ca="1">IFERROR(DeemedDashboard[[#This Row],[Std Adj NPV Cost of Annual Leakage]]+DeemedDashboard[[#This Row],[Std Adj NPV Cost of EOL Leakage]],"")</f>
        <v/>
      </c>
      <c r="CT99" s="299" t="str">
        <f>IFERROR(IF((DeemedDashboard[[#This Row],[Pre Adj NPV Cost of Annual Leakage]]+DeemedDashboard[[#This Row],[Pre Adj NPV Cost of EOL Leakage]])=0,"",DeemedDashboard[[#This Row],[Pre Adj NPV Cost of Annual Leakage]]+DeemedDashboard[[#This Row],[Pre Adj NPV Cost of EOL Leakage]]),"")</f>
        <v/>
      </c>
      <c r="CU99" s="299" t="str">
        <f>IFERROR(IF((DeemedDashboard[[#This Row],[Ext Adj NPV Cost of Annual Leakage]]+DeemedDashboard[[#This Row],[Ext Adj NPV Cost of EOL Leakage]])=0,"",DeemedDashboard[[#This Row],[Ext Adj NPV Cost of Annual Leakage]]+DeemedDashboard[[#This Row],[Ext Adj NPV Cost of EOL Leakage]]),"")</f>
        <v/>
      </c>
      <c r="CV99" s="299" t="str">
        <f>IFERROR(IF(DeemedDashboard[[#This Row],[Is Avoided Net Cost &gt;0?]],"",-DeemedDashboard[[#This Row],[Refrigerant
NPV costs
avoided]]),"")</f>
        <v/>
      </c>
      <c r="CW99" s="299" t="str">
        <f>IFERROR(IF(DeemedDashboard[[#This Row],[Is Avoided Net Cost &gt;0?]],DeemedDashboard[[#This Row],[Refrigerant
NPV costs
avoided]],""),"")</f>
        <v/>
      </c>
      <c r="CX99" s="391">
        <f ca="1">IFERROR(MATCH(DeemedDashboard[[#This Row],[TechGroup and NormUnit]],TechGroup_and_NormUnit,0),1)</f>
        <v>1</v>
      </c>
      <c r="CY99" s="391" cm="1">
        <f t="array" aca="1" ref="CY99" ca="1">IFERROR(INDEX(TGRows,DeemedDashboard[[#This Row],[TGIndex]]),"")</f>
        <v>2</v>
      </c>
      <c r="CZ99" s="391">
        <f ca="1">IF(DeemedDashboard[[#This Row],[MeasAppType]]=const_AR,DeemedDashboard[[#This Row],[TGRows]],DeemedDashboard[[#This Row],[TGRows]]+1)</f>
        <v>3</v>
      </c>
      <c r="DA99" s="391" t="str">
        <f>IF(ISBLANK(DeemedDashboard[[#This Row],[MeasAppType]]),"",IF(DeemedDashboard[[#This Row],[Index]]=User_Specified_Refrigerant[[#This Row],[Index]],"OK","ERROR"))</f>
        <v/>
      </c>
    </row>
    <row r="100" spans="1:105" s="320" customFormat="1" x14ac:dyDescent="0.25">
      <c r="A100" s="297">
        <f>ROW(DeemedDashboard[[#This Row],[Index]])-ROW(DeemedDashboard[[#Headers],[Index]])</f>
        <v>91</v>
      </c>
      <c r="B100" s="298"/>
      <c r="C100" s="321"/>
      <c r="D100" s="403"/>
      <c r="E100" s="403"/>
      <c r="F100" s="403"/>
      <c r="G100" s="403"/>
      <c r="H100" s="366"/>
      <c r="I100" s="339"/>
      <c r="J100" s="339"/>
      <c r="K100" s="339"/>
      <c r="L100" s="322"/>
      <c r="M100" s="322"/>
      <c r="N100" s="322"/>
      <c r="O100"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0"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0"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0" s="582" t="str" cm="1">
        <f t="array" ref="R100">IFERROR(IF(DeemedDashboard[[#This Row],[Msr device type]]=const_device_nonrefrig,0,INDEX(_xlfn.SWITCH($E$4,const_20_yr,GWP_Values_20_year_AR4,const_100_yr,GWP_Values_100_year_AR4),MATCH(DeemedDashboard[[#This Row],[Msr refrigerant Type]],RefrigDropdownList,0))),"")</f>
        <v/>
      </c>
      <c r="S100" s="582" t="str" cm="1">
        <f t="array" ref="S100">IFERROR(IF(DeemedDashboard[[#This Row],[Std device type]]=const_device_nonrefrig,0,INDEX(_xlfn.SWITCH($E$4,const_20_yr,GWP_Values_20_year_AR4,const_100_yr,GWP_Values_100_year_AR4),MATCH(DeemedDashboard[[#This Row],[Std refrigerant Type]],RefrigDropdownList,0))),"")</f>
        <v/>
      </c>
      <c r="T100" s="582" t="str" cm="1">
        <f t="array" ref="T100">IFERROR(IF(DeemedDashboard[[#This Row],[Pre/Ext device type]]=const_device_nonrefrig,0,INDEX(_xlfn.SWITCH($E$4,const_20_yr,GWP_Values_20_year_AR4,const_100_yr,GWP_Values_100_year_AR4),MATCH(DeemedDashboard[[#This Row],[Pre/Ext refrigerant Type]],RefrigDropdownList,0))),"")</f>
        <v/>
      </c>
      <c r="U100"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0"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0"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0"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0"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0"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0" s="326" t="str">
        <f>IFERROR(IF(DeemedDashboard[[#This Row],[Msr device type]]=const_userspec,IF(ISBLANK(User_Specified_Refrigerant[[#This Row],[Msr t_EOL]]),"",User_Specified_Refrigerant[[#This Row],[Msr t_EOL]]),INDEX(TechGroup_NormUnit_Table[t_EOL],MATCH(DeemedDashboard[[#This Row],[Msr device type]],DropdownRefrigTech,0))),"")</f>
        <v/>
      </c>
      <c r="AB100" s="326" t="str">
        <f>IFERROR(IF(DeemedDashboard[[#This Row],[Std device type]]=const_userspec,IF(ISBLANK(User_Specified_Refrigerant[[#This Row],[Std t_EOL]]),"",User_Specified_Refrigerant[[#This Row],[Std t_EOL]]),INDEX(TechGroup_NormUnit_Table[t_EOL],MATCH(DeemedDashboard[[#This Row],[Std device type]],DropdownRefrigTech,0))),"")</f>
        <v/>
      </c>
      <c r="AC100"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0" s="395" t="str">
        <f>IF(ISBLANK(DeemedDashboard[[#This Row],[MeasAppType]]),"",$E$2)</f>
        <v/>
      </c>
      <c r="AE100" s="395" t="str">
        <f>IFERROR(IF(ISBLANK(DeemedDashboard[[#This Row],[MeasAppType]]),NA(),DeemedDashboard[[#This Row],[Measure Start Year]]+DeemedDashboard[[#This Row],[Msr EUL rounded]]-1),"")</f>
        <v/>
      </c>
      <c r="AF100" s="323" t="str">
        <f>IF(ISBLANK(DeemedDashboard[[#This Row],[Measure New Device EUL]]),"",ROUND(DeemedDashboard[[#This Row],[Measure New Device EUL]],0))</f>
        <v/>
      </c>
      <c r="AG100" s="323" t="str">
        <f>IF(ISBLANK(DeemedDashboard[[#This Row],[Counterfactual New Device EUL]]),"",ROUND(DeemedDashboard[[#This Row],[Counterfactual New Device EUL]],0))</f>
        <v/>
      </c>
      <c r="AH100" s="323" t="str">
        <f>IF(ISBLANK(DeemedDashboard[[#This Row],[Existing Device EUL]]),"",ROUND(DeemedDashboard[[#This Row],[Existing Device EUL]],0))</f>
        <v/>
      </c>
      <c r="AI100" s="323" t="str">
        <f>IF(ISBLANK(DeemedDashboard[[#This Row],[Existing Device RUL or AR First Baseline Life]]),"",ROUND(DeemedDashboard[[#This Row],[Existing Device RUL or AR First Baseline Life]],0))</f>
        <v/>
      </c>
      <c r="AJ100" s="327" t="str">
        <f>DeemedDashboard[[#This Row],[Measure Start Year]]</f>
        <v/>
      </c>
      <c r="AK100" s="327" t="str">
        <f>IF(DeemedDashboard[[#This Row],[MeasAppType]]&lt;&gt;const_AR,DeemedDashboard[[#This Row],[Measure Start Year]],DeemedDashboard[[#This Row],[Ext Device Retire-ment Year]]+1)</f>
        <v/>
      </c>
      <c r="AL100" s="327" t="str">
        <f>IFERROR(IF(DeemedDashboard[[#This Row],[MeasAppType]]=const_AR,DeemedDashboard[[#This Row],[Measure Start Year]]-(DeemedDashboard[[#This Row],[Existing Device EUL]]-DeemedDashboard[[#This Row],[Existing Device RUL or AR First Baseline Life]]),NA()),"")</f>
        <v/>
      </c>
      <c r="AM100" s="327" t="str">
        <f>DeemedDashboard[[#This Row],[Pre Device Install Year]]</f>
        <v/>
      </c>
      <c r="AN100" s="327" t="str">
        <f>IFERROR(IF(ISBLANK(DeemedDashboard[[#This Row],[MeasAppType]]),NA(),DeemedDashboard[[#This Row],[Measure Start Year]]+DeemedDashboard[[#This Row],[Msr EUL rounded]]-1),"")</f>
        <v/>
      </c>
      <c r="AO100" s="327" t="str">
        <f>IFERROR(DeemedDashboard[[#This Row],[Std Device Install Year]]+DeemedDashboard[[#This Row],[Counterfactual New Device EUL]]-1,"")</f>
        <v/>
      </c>
      <c r="AP100" s="327" t="str">
        <f>IFERROR(IF(AND(DeemedDashboard[[#This Row],[MeasAppType]]=const_AR,DeemedDashboard[[#This Row],[Measure Start Year]]&lt;(DeemedDashboard[[#This Row],[Pre Device Install Year]]+DeemedDashboard[[#This Row],[Existing Device EUL]]-1)),DeemedDashboard[[#This Row],[Measure Start Year]]-1,NA()),"")</f>
        <v/>
      </c>
      <c r="AQ100" s="327" t="str">
        <f>IFERROR(IF(DeemedDashboard[[#This Row],[MeasAppType]]=const_AR,DeemedDashboard[[#This Row],[Ext Device Install Year]]+DeemedDashboard[[#This Row],[Existing Device EUL]]-1,NA()),"")</f>
        <v/>
      </c>
      <c r="AR100" s="327" t="str">
        <f>IFERROR(IF(ISBLANK(DeemedDashboard[[#This Row],[MeasAppType]]),NA(),0),"")</f>
        <v/>
      </c>
      <c r="AS100" s="327" t="str">
        <f>IFERROR(IF(ISBLANK(DeemedDashboard[[#This Row],[MeasAppType]]),NA(),0),"")</f>
        <v/>
      </c>
      <c r="AT100" s="327" t="str">
        <f>IF(ISBLANK(DeemedDashboard[[#This Row],[MeasAppType]]),"",IF(DeemedDashboard[[#This Row],[MeasAppType]]&lt;&gt;const_AR,"",(DeemedDashboard[[#This Row],[Pre Device Install Year]]+DeemedDashboard[[#This Row],[Existing Device EUL]]-1)-DeemedDashboard[[#This Row],[Pre Device Retire-ment Year]]))</f>
        <v/>
      </c>
      <c r="AU100" s="327" t="str">
        <f>IF(ISBLANK(DeemedDashboard[[#This Row],[MeasAppType]]),"",IF(DeemedDashboard[[#This Row],[MeasAppType]]=const_AR,0,""))</f>
        <v/>
      </c>
      <c r="AV100" s="328" t="str">
        <f>IF(ISBLANK(DeemedDashboard[[#This Row],[MeasAppType]]),"",MAX((1+MIN(DeemedDashboard[[#This Row],[Msr Device Retire-ment Year]],DeemedDashboard[[#This Row],[Measure End 
Year]])-MAX(DeemedDashboard[[#This Row],[Msr Device Install Year]],DeemedDashboard[[#This Row],[Measure Start Year]])),0))</f>
        <v/>
      </c>
      <c r="AW100" s="328" t="str">
        <f>IF(ISBLANK(DeemedDashboard[[#This Row],[MeasAppType]]),"",MAX((1+MIN(DeemedDashboard[[#This Row],[Std Device Retire-ment Year]],DeemedDashboard[[#This Row],[Measure End 
Year]])-MAX(DeemedDashboard[[#This Row],[Std Device Install Year]],DeemedDashboard[[#This Row],[Measure Start Year]])),0))</f>
        <v/>
      </c>
      <c r="AX100"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0"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0" s="329" t="str">
        <f>IF(ISBLANK(DeemedDashboard[[#This Row],[MeasAppType]]),"",IF(DeemedDashboard[[#This Row],[Msr Device Years Over-lapping with Measure Years]]=0,0,DeemedDashboard[[#This Row],[Msr Device Years Over-lapping with Measure Years]]/DeemedDashboard[[#This Row],[Msr EUL rounded]]))</f>
        <v/>
      </c>
      <c r="BA100" s="329" t="str">
        <f>IF(ISBLANK(DeemedDashboard[[#This Row],[MeasAppType]]),"",IF(DeemedDashboard[[#This Row],[Std Device Years Over-lapping with Measure Years]]=0,0,DeemedDashboard[[#This Row],[Std Device Years Over-lapping with Measure Years]]/DeemedDashboard[[#This Row],[Counterfactual New Device EUL]]))</f>
        <v/>
      </c>
      <c r="BB100" s="329" t="str">
        <f>IF(ISBLANK(DeemedDashboard[[#This Row],[MeasAppType]]),"",IFERROR(IF(DeemedDashboard[[#This Row],[Pre Device Years Over-lapping with Measure Years]]=0,0,DeemedDashboard[[#This Row],[Pre Device Years Over-lapping with Measure Years]]/DeemedDashboard[[#This Row],[Existing Device EUL]]),""))</f>
        <v/>
      </c>
      <c r="BC100" s="329" t="str">
        <f>IFERROR(IF(DeemedDashboard[[#This Row],[Ext Device Years Over-lapping with Measure Years]]=0,0,DeemedDashboard[[#This Row],[Ext Device Years Over-lapping with Measure Years]]/DeemedDashboard[[#This Row],[Existing Device EUL]]),"")</f>
        <v/>
      </c>
      <c r="BD100" s="329" t="str">
        <f>IFERROR(IF(DeemedDashboard[[#This Row],[Msr Number of Years device retired early]]=0,0,DeemedDashboard[[#This Row],[Msr Number of Years device retired early]]/DeemedDashboard[[#This Row],[Msr EUL rounded]]),"")</f>
        <v/>
      </c>
      <c r="BE100" s="329" t="str">
        <f>IFERROR(IF(DeemedDashboard[[#This Row],[Std Number of Years device retired early]]=0,0,DeemedDashboard[[#This Row],[Std Number of Years device retired early]]/DeemedDashboard[[#This Row],[Msr EUL rounded]]),"")</f>
        <v/>
      </c>
      <c r="BF100" s="329" t="str">
        <f>IFERROR(IF(DeemedDashboard[[#This Row],[MeasAppType]]&lt;&gt;const_AR,"",IF(DeemedDashboard[[#This Row],[Pre Number of Years device retired early]]=0,0,DeemedDashboard[[#This Row],[Pre Number of Years device retired early]]/DeemedDashboard[[#This Row],[Existing Device EUL]])),"")</f>
        <v/>
      </c>
      <c r="BG100" s="329" t="str">
        <f>IFERROR(IF(DeemedDashboard[[#This Row],[Ext Number of Years device retired early]]=0,0,DeemedDashboard[[#This Row],[Ext Number of Years device retired early]]/DeemedDashboard[[#This Row],[Existing Device EUL]]),"")</f>
        <v/>
      </c>
      <c r="BH100" s="325" t="str">
        <f>IFERROR(1-DeemedDashboard[[#This Row],[Msr annual refrigerant leakage %]]*DeemedDashboard[[#This Row],[Msr t_EOL]],"")</f>
        <v/>
      </c>
      <c r="BI100" s="325" t="str">
        <f>IFERROR(1-DeemedDashboard[[#This Row],[Std annual refrigerant leakage %]]*DeemedDashboard[[#This Row],[Std t_EOL]],"")</f>
        <v/>
      </c>
      <c r="BJ100" s="325" t="str">
        <f>IFERROR(1-DeemedDashboard[[#This Row],[Pre/Ext annual refrigerant leakage %]]*DeemedDashboard[[#This Row],[Pre/Ext t_EOL]],"")</f>
        <v/>
      </c>
      <c r="BK100" s="325" t="str">
        <f>IFERROR(1-DeemedDashboard[[#This Row],[Pre/Ext annual refrigerant leakage %]]*DeemedDashboard[[#This Row],[Pre/Ext t_EOL]],"")</f>
        <v/>
      </c>
      <c r="BL100" s="325" t="str">
        <f>IFERROR(DeemedDashboard[[#This Row],[Msr charging remaining (%)]]*DeemedDashboard[[#This Row],[Msr gross EOL refrigerant leakage %]],"")</f>
        <v/>
      </c>
      <c r="BM100" s="325" t="str">
        <f>IFERROR(DeemedDashboard[[#This Row],[Std charging remaining (%)]]*DeemedDashboard[[#This Row],[Std gross EOL refrigerant leakage %]],"")</f>
        <v/>
      </c>
      <c r="BN100" s="325" t="str">
        <f>IFERROR(DeemedDashboard[[#This Row],[Pre charging remaining (%)]]*DeemedDashboard[[#This Row],[Pre/Ext gross EOL refrigerant leakage %]],"")</f>
        <v/>
      </c>
      <c r="BO100" s="325" t="str">
        <f>IFERROR(DeemedDashboard[[#This Row],[Ext charging remaining (%)]]*DeemedDashboard[[#This Row],[Pre/Ext gross EOL refrigerant leakage %]],"")</f>
        <v/>
      </c>
      <c r="BP100" s="330" t="str">
        <f>IFERROR((DeemedDashboard[[#This Row],[Msr refrigerant charge (lb) per NormUnit]]/pounds_per_metric_ton)*DeemedDashboard[[#This Row],[Msr annual refrigerant leakage %]]*DeemedDashboard[[#This Row],[Msr GWP]],"")</f>
        <v/>
      </c>
      <c r="BQ100" s="330" t="str">
        <f>IFERROR((DeemedDashboard[[#This Row],[Std refrigerant charge (lb) per NormUnit]]/pounds_per_metric_ton)*DeemedDashboard[[#This Row],[Std annual refrigerant leakage %]]*DeemedDashboard[[#This Row],[Std GWP]],"")</f>
        <v/>
      </c>
      <c r="BR100" s="330" t="str">
        <f>IF(DeemedDashboard[[#This Row],[MeasAppType]]=const_AR,(DeemedDashboard[[#This Row],[Pre/Ext refrigerant charge (lb) per NormUnit]]/pounds_per_metric_ton)*DeemedDashboard[[#This Row],[Pre/Ext annual refrigerant leakage %]]*DeemedDashboard[[#This Row],[Pre/Ext GWP]],"")</f>
        <v/>
      </c>
      <c r="BS100" s="330" t="str">
        <f>IF(DeemedDashboard[[#This Row],[MeasAppType]]=const_AR,(DeemedDashboard[[#This Row],[Pre/Ext refrigerant charge (lb) per NormUnit]]/pounds_per_metric_ton)*DeemedDashboard[[#This Row],[Pre/Ext annual refrigerant leakage %]]*DeemedDashboard[[#This Row],[Pre/Ext GWP]],"")</f>
        <v/>
      </c>
      <c r="BT100" s="330" t="str">
        <f>IFERROR((DeemedDashboard[[#This Row],[Msr refrigerant charge (lb) per NormUnit]]/pounds_per_metric_ton)*DeemedDashboard[[#This Row],[Msr net EOL refrigerant leakage (%)]]*DeemedDashboard[[#This Row],[Msr GWP]],"")</f>
        <v/>
      </c>
      <c r="BU100" s="330" t="str">
        <f>IFERROR((DeemedDashboard[[#This Row],[Std refrigerant charge (lb) per NormUnit]]/pounds_per_metric_ton)*DeemedDashboard[[#This Row],[Std net EOL refrigerant leakage (%)]]*DeemedDashboard[[#This Row],[Std GWP]],"")</f>
        <v/>
      </c>
      <c r="BV100" s="330" t="str">
        <f>IFERROR((DeemedDashboard[[#This Row],[Pre/Ext refrigerant charge (lb) per NormUnit]]/pounds_per_metric_ton)*DeemedDashboard[[#This Row],[Pre net EOL refrigerant leakage (%)]]*DeemedDashboard[[#This Row],[Pre/Ext GWP]],"")</f>
        <v/>
      </c>
      <c r="BW100" s="330" t="str">
        <f>IFERROR((DeemedDashboard[[#This Row],[Pre/Ext refrigerant charge (lb) per NormUnit]]/pounds_per_metric_ton)*DeemedDashboard[[#This Row],[Ext net EOL refrigerant leakage (%)]]*DeemedDashboard[[#This Row],[Pre/Ext GWP]],"")</f>
        <v/>
      </c>
      <c r="BX100" s="299" t="str" cm="1">
        <f t="array" aca="1" ref="BX100"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0" s="305" t="str" cm="1">
        <f t="array" aca="1" ref="BY100"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0" s="299" t="str">
        <f>IFERROR(IF(OR(DeemedDashboard[[#This Row],[MeasAppType]]&lt;&gt;const_AR,ISBLANK(DeemedDashboard[[#This Row],[MeasAppType]])),NA(),0),"")</f>
        <v/>
      </c>
      <c r="CA100" s="305" t="str" cm="1">
        <f t="array" aca="1" ref="CA100"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0" s="299" t="str">
        <f ca="1">IFERROR((DeemedDashboard[[#This Row],[Msr EOL leakage tons CO2e]]*OFFSET(GHG_Adder_dollar_per_tonne,0,(DeemedDashboard[[#This Row],[Msr Device Retire-ment Year]]-DY+1),1,1))/(1+WACC)^(DeemedDashboard[[#This Row],[Msr Device Retire-ment Year]]-DeemedDashboard[[#This Row],[Measure Start Year]]+0.5),"")</f>
        <v/>
      </c>
      <c r="CC100" s="299" t="str">
        <f ca="1">IFERROR((DeemedDashboard[[#This Row],[Std EOL leakage tons CO2e]]*OFFSET(GHG_Adder_dollar_per_tonne,0,(DeemedDashboard[[#This Row],[Std Device Retire-ment Year]]-DY+1),1,1))/(1+WACC)^(DeemedDashboard[[#This Row],[Std Device Retire-ment Year]]-DeemedDashboard[[#This Row],[Measure Start Year]]+0.5),"")</f>
        <v/>
      </c>
      <c r="CD100" s="299" t="str">
        <f ca="1">IFERROR((DeemedDashboard[[#This Row],[Pre EOL leakage tons CO2e]]*OFFSET(GHG_Adder_dollar_per_tonne,0,(DeemedDashboard[[#This Row],[Measure Start Year]]-DY),1,1))/(1+WACC)^(-0.5),"")</f>
        <v/>
      </c>
      <c r="CE100"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0" s="299" t="str">
        <f ca="1">IFERROR(DeemedDashboard[[#This Row],[Msr NPV Cost of Annual Leakage]]/(1+ACC_Inflation_Rate)^(DeemedDashboard[[#This Row],[Measure Start Year]]-DY),"")</f>
        <v/>
      </c>
      <c r="CG100" s="299" t="str">
        <f ca="1">IFERROR(DeemedDashboard[[#This Row],[Std NPV Cost of Annual Leakage]]/(1+ACC_Inflation_Rate)^(DeemedDashboard[[#This Row],[Measure Start Year]]-DY),"")</f>
        <v/>
      </c>
      <c r="CH100" s="299" t="str">
        <f>IFERROR(IF(ISBLANK(DeemedDashboard[[#This Row],[MeasAppType]]),NA(),IF(DeemedDashboard[[#This Row],[MeasAppType]]=const_AR,DeemedDashboard[[#This Row],[Pre NPV Cost of Annual Leakage]]/(1+ACC_Inflation_Rate)^(DeemedDashboard[[#This Row],[Measure Start Year]]-DY),"")),"")</f>
        <v/>
      </c>
      <c r="CI100" s="296" t="str">
        <f>IFERROR(IF(ISBLANK(DeemedDashboard[[#This Row],[MeasAppType]]),NA(),IF(DeemedDashboard[[#This Row],[MeasAppType]]=const_AR,DeemedDashboard[[#This Row],[Ext NPV Cost of Annual Leakage]]/(1+ACC_Inflation_Rate)^(DeemedDashboard[[#This Row],[Measure Start Year]]-DY),"")),"")</f>
        <v/>
      </c>
      <c r="CJ100" s="296" t="str">
        <f ca="1">IFERROR((DeemedDashboard[[#This Row],[Msr % of device lifetime during measure years]]+DeemedDashboard[[#This Row],[Msr % of device lifetime retired early]])*DeemedDashboard[[#This Row],[Msr NPV Cost of EOL Leakage]]/(1+ACC_Inflation_Rate)^(DeemedDashboard[[#This Row],[Measure Start Year]]-DY),"")</f>
        <v/>
      </c>
      <c r="CK100" s="296" t="str">
        <f ca="1">IFERROR((DeemedDashboard[[#This Row],[Std % of device lifetime during measure years]]+DeemedDashboard[[#This Row],[Std % of device lifetime retired early]])*DeemedDashboard[[#This Row],[Std NPV Cost of EOL Leakage]]/(1+ACC_Inflation_Rate)^(DeemedDashboard[[#This Row],[Measure Start Year]]-DY),"")</f>
        <v/>
      </c>
      <c r="CL100"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0"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0"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0"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0" s="299" t="str">
        <f ca="1">IFERROR(DeemedDashboard[[#This Row],[Counter-factual total 
NPV cost]]-DeemedDashboard[[#This Row],[Measure total 
NPV cost]],"")</f>
        <v/>
      </c>
      <c r="CQ100" s="299" t="str">
        <f>IF(ISBLANK(DeemedDashboard[[#This Row],[MeasAppType]]),"",DeemedDashboard[[#This Row],[Refrigerant
NPV costs
avoided]]&gt;0)</f>
        <v/>
      </c>
      <c r="CR100" s="299" t="str">
        <f ca="1">IFERROR(DeemedDashboard[[#This Row],[Msr Adj NPV Cost of Annual Leakage]]+DeemedDashboard[[#This Row],[Msr Adj NPV Cost of EOL Leakage]],"")</f>
        <v/>
      </c>
      <c r="CS100" s="299" t="str">
        <f ca="1">IFERROR(DeemedDashboard[[#This Row],[Std Adj NPV Cost of Annual Leakage]]+DeemedDashboard[[#This Row],[Std Adj NPV Cost of EOL Leakage]],"")</f>
        <v/>
      </c>
      <c r="CT100" s="299" t="str">
        <f>IFERROR(IF((DeemedDashboard[[#This Row],[Pre Adj NPV Cost of Annual Leakage]]+DeemedDashboard[[#This Row],[Pre Adj NPV Cost of EOL Leakage]])=0,"",DeemedDashboard[[#This Row],[Pre Adj NPV Cost of Annual Leakage]]+DeemedDashboard[[#This Row],[Pre Adj NPV Cost of EOL Leakage]]),"")</f>
        <v/>
      </c>
      <c r="CU100" s="299" t="str">
        <f>IFERROR(IF((DeemedDashboard[[#This Row],[Ext Adj NPV Cost of Annual Leakage]]+DeemedDashboard[[#This Row],[Ext Adj NPV Cost of EOL Leakage]])=0,"",DeemedDashboard[[#This Row],[Ext Adj NPV Cost of Annual Leakage]]+DeemedDashboard[[#This Row],[Ext Adj NPV Cost of EOL Leakage]]),"")</f>
        <v/>
      </c>
      <c r="CV100" s="299" t="str">
        <f>IFERROR(IF(DeemedDashboard[[#This Row],[Is Avoided Net Cost &gt;0?]],"",-DeemedDashboard[[#This Row],[Refrigerant
NPV costs
avoided]]),"")</f>
        <v/>
      </c>
      <c r="CW100" s="299" t="str">
        <f>IFERROR(IF(DeemedDashboard[[#This Row],[Is Avoided Net Cost &gt;0?]],DeemedDashboard[[#This Row],[Refrigerant
NPV costs
avoided]],""),"")</f>
        <v/>
      </c>
      <c r="CX100" s="391">
        <f ca="1">IFERROR(MATCH(DeemedDashboard[[#This Row],[TechGroup and NormUnit]],TechGroup_and_NormUnit,0),1)</f>
        <v>1</v>
      </c>
      <c r="CY100" s="391" cm="1">
        <f t="array" aca="1" ref="CY100" ca="1">IFERROR(INDEX(TGRows,DeemedDashboard[[#This Row],[TGIndex]]),"")</f>
        <v>2</v>
      </c>
      <c r="CZ100" s="391">
        <f ca="1">IF(DeemedDashboard[[#This Row],[MeasAppType]]=const_AR,DeemedDashboard[[#This Row],[TGRows]],DeemedDashboard[[#This Row],[TGRows]]+1)</f>
        <v>3</v>
      </c>
      <c r="DA100" s="391" t="str">
        <f>IF(ISBLANK(DeemedDashboard[[#This Row],[MeasAppType]]),"",IF(DeemedDashboard[[#This Row],[Index]]=User_Specified_Refrigerant[[#This Row],[Index]],"OK","ERROR"))</f>
        <v/>
      </c>
    </row>
    <row r="101" spans="1:105" s="320" customFormat="1" x14ac:dyDescent="0.25">
      <c r="A101" s="297">
        <f>ROW(DeemedDashboard[[#This Row],[Index]])-ROW(DeemedDashboard[[#Headers],[Index]])</f>
        <v>92</v>
      </c>
      <c r="B101" s="298"/>
      <c r="C101" s="321"/>
      <c r="D101" s="403"/>
      <c r="E101" s="403"/>
      <c r="F101" s="403"/>
      <c r="G101" s="403"/>
      <c r="H101" s="366"/>
      <c r="I101" s="339"/>
      <c r="J101" s="339"/>
      <c r="K101" s="339"/>
      <c r="L101" s="322"/>
      <c r="M101" s="322"/>
      <c r="N101" s="322"/>
      <c r="O101"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1"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1"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1" s="582" t="str" cm="1">
        <f t="array" ref="R101">IFERROR(IF(DeemedDashboard[[#This Row],[Msr device type]]=const_device_nonrefrig,0,INDEX(_xlfn.SWITCH($E$4,const_20_yr,GWP_Values_20_year_AR4,const_100_yr,GWP_Values_100_year_AR4),MATCH(DeemedDashboard[[#This Row],[Msr refrigerant Type]],RefrigDropdownList,0))),"")</f>
        <v/>
      </c>
      <c r="S101" s="582" t="str" cm="1">
        <f t="array" ref="S101">IFERROR(IF(DeemedDashboard[[#This Row],[Std device type]]=const_device_nonrefrig,0,INDEX(_xlfn.SWITCH($E$4,const_20_yr,GWP_Values_20_year_AR4,const_100_yr,GWP_Values_100_year_AR4),MATCH(DeemedDashboard[[#This Row],[Std refrigerant Type]],RefrigDropdownList,0))),"")</f>
        <v/>
      </c>
      <c r="T101" s="582" t="str" cm="1">
        <f t="array" ref="T101">IFERROR(IF(DeemedDashboard[[#This Row],[Pre/Ext device type]]=const_device_nonrefrig,0,INDEX(_xlfn.SWITCH($E$4,const_20_yr,GWP_Values_20_year_AR4,const_100_yr,GWP_Values_100_year_AR4),MATCH(DeemedDashboard[[#This Row],[Pre/Ext refrigerant Type]],RefrigDropdownList,0))),"")</f>
        <v/>
      </c>
      <c r="U101"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1"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1"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1"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1"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1"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1" s="326" t="str">
        <f>IFERROR(IF(DeemedDashboard[[#This Row],[Msr device type]]=const_userspec,IF(ISBLANK(User_Specified_Refrigerant[[#This Row],[Msr t_EOL]]),"",User_Specified_Refrigerant[[#This Row],[Msr t_EOL]]),INDEX(TechGroup_NormUnit_Table[t_EOL],MATCH(DeemedDashboard[[#This Row],[Msr device type]],DropdownRefrigTech,0))),"")</f>
        <v/>
      </c>
      <c r="AB101" s="326" t="str">
        <f>IFERROR(IF(DeemedDashboard[[#This Row],[Std device type]]=const_userspec,IF(ISBLANK(User_Specified_Refrigerant[[#This Row],[Std t_EOL]]),"",User_Specified_Refrigerant[[#This Row],[Std t_EOL]]),INDEX(TechGroup_NormUnit_Table[t_EOL],MATCH(DeemedDashboard[[#This Row],[Std device type]],DropdownRefrigTech,0))),"")</f>
        <v/>
      </c>
      <c r="AC101"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1" s="395" t="str">
        <f>IF(ISBLANK(DeemedDashboard[[#This Row],[MeasAppType]]),"",$E$2)</f>
        <v/>
      </c>
      <c r="AE101" s="395" t="str">
        <f>IFERROR(IF(ISBLANK(DeemedDashboard[[#This Row],[MeasAppType]]),NA(),DeemedDashboard[[#This Row],[Measure Start Year]]+DeemedDashboard[[#This Row],[Msr EUL rounded]]-1),"")</f>
        <v/>
      </c>
      <c r="AF101" s="323" t="str">
        <f>IF(ISBLANK(DeemedDashboard[[#This Row],[Measure New Device EUL]]),"",ROUND(DeemedDashboard[[#This Row],[Measure New Device EUL]],0))</f>
        <v/>
      </c>
      <c r="AG101" s="323" t="str">
        <f>IF(ISBLANK(DeemedDashboard[[#This Row],[Counterfactual New Device EUL]]),"",ROUND(DeemedDashboard[[#This Row],[Counterfactual New Device EUL]],0))</f>
        <v/>
      </c>
      <c r="AH101" s="323" t="str">
        <f>IF(ISBLANK(DeemedDashboard[[#This Row],[Existing Device EUL]]),"",ROUND(DeemedDashboard[[#This Row],[Existing Device EUL]],0))</f>
        <v/>
      </c>
      <c r="AI101" s="323" t="str">
        <f>IF(ISBLANK(DeemedDashboard[[#This Row],[Existing Device RUL or AR First Baseline Life]]),"",ROUND(DeemedDashboard[[#This Row],[Existing Device RUL or AR First Baseline Life]],0))</f>
        <v/>
      </c>
      <c r="AJ101" s="327" t="str">
        <f>DeemedDashboard[[#This Row],[Measure Start Year]]</f>
        <v/>
      </c>
      <c r="AK101" s="327" t="str">
        <f>IF(DeemedDashboard[[#This Row],[MeasAppType]]&lt;&gt;const_AR,DeemedDashboard[[#This Row],[Measure Start Year]],DeemedDashboard[[#This Row],[Ext Device Retire-ment Year]]+1)</f>
        <v/>
      </c>
      <c r="AL101" s="327" t="str">
        <f>IFERROR(IF(DeemedDashboard[[#This Row],[MeasAppType]]=const_AR,DeemedDashboard[[#This Row],[Measure Start Year]]-(DeemedDashboard[[#This Row],[Existing Device EUL]]-DeemedDashboard[[#This Row],[Existing Device RUL or AR First Baseline Life]]),NA()),"")</f>
        <v/>
      </c>
      <c r="AM101" s="327" t="str">
        <f>DeemedDashboard[[#This Row],[Pre Device Install Year]]</f>
        <v/>
      </c>
      <c r="AN101" s="327" t="str">
        <f>IFERROR(IF(ISBLANK(DeemedDashboard[[#This Row],[MeasAppType]]),NA(),DeemedDashboard[[#This Row],[Measure Start Year]]+DeemedDashboard[[#This Row],[Msr EUL rounded]]-1),"")</f>
        <v/>
      </c>
      <c r="AO101" s="327" t="str">
        <f>IFERROR(DeemedDashboard[[#This Row],[Std Device Install Year]]+DeemedDashboard[[#This Row],[Counterfactual New Device EUL]]-1,"")</f>
        <v/>
      </c>
      <c r="AP101" s="327" t="str">
        <f>IFERROR(IF(AND(DeemedDashboard[[#This Row],[MeasAppType]]=const_AR,DeemedDashboard[[#This Row],[Measure Start Year]]&lt;(DeemedDashboard[[#This Row],[Pre Device Install Year]]+DeemedDashboard[[#This Row],[Existing Device EUL]]-1)),DeemedDashboard[[#This Row],[Measure Start Year]]-1,NA()),"")</f>
        <v/>
      </c>
      <c r="AQ101" s="327" t="str">
        <f>IFERROR(IF(DeemedDashboard[[#This Row],[MeasAppType]]=const_AR,DeemedDashboard[[#This Row],[Ext Device Install Year]]+DeemedDashboard[[#This Row],[Existing Device EUL]]-1,NA()),"")</f>
        <v/>
      </c>
      <c r="AR101" s="327" t="str">
        <f>IFERROR(IF(ISBLANK(DeemedDashboard[[#This Row],[MeasAppType]]),NA(),0),"")</f>
        <v/>
      </c>
      <c r="AS101" s="327" t="str">
        <f>IFERROR(IF(ISBLANK(DeemedDashboard[[#This Row],[MeasAppType]]),NA(),0),"")</f>
        <v/>
      </c>
      <c r="AT101" s="327" t="str">
        <f>IF(ISBLANK(DeemedDashboard[[#This Row],[MeasAppType]]),"",IF(DeemedDashboard[[#This Row],[MeasAppType]]&lt;&gt;const_AR,"",(DeemedDashboard[[#This Row],[Pre Device Install Year]]+DeemedDashboard[[#This Row],[Existing Device EUL]]-1)-DeemedDashboard[[#This Row],[Pre Device Retire-ment Year]]))</f>
        <v/>
      </c>
      <c r="AU101" s="327" t="str">
        <f>IF(ISBLANK(DeemedDashboard[[#This Row],[MeasAppType]]),"",IF(DeemedDashboard[[#This Row],[MeasAppType]]=const_AR,0,""))</f>
        <v/>
      </c>
      <c r="AV101" s="328" t="str">
        <f>IF(ISBLANK(DeemedDashboard[[#This Row],[MeasAppType]]),"",MAX((1+MIN(DeemedDashboard[[#This Row],[Msr Device Retire-ment Year]],DeemedDashboard[[#This Row],[Measure End 
Year]])-MAX(DeemedDashboard[[#This Row],[Msr Device Install Year]],DeemedDashboard[[#This Row],[Measure Start Year]])),0))</f>
        <v/>
      </c>
      <c r="AW101" s="328" t="str">
        <f>IF(ISBLANK(DeemedDashboard[[#This Row],[MeasAppType]]),"",MAX((1+MIN(DeemedDashboard[[#This Row],[Std Device Retire-ment Year]],DeemedDashboard[[#This Row],[Measure End 
Year]])-MAX(DeemedDashboard[[#This Row],[Std Device Install Year]],DeemedDashboard[[#This Row],[Measure Start Year]])),0))</f>
        <v/>
      </c>
      <c r="AX101"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1"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1" s="329" t="str">
        <f>IF(ISBLANK(DeemedDashboard[[#This Row],[MeasAppType]]),"",IF(DeemedDashboard[[#This Row],[Msr Device Years Over-lapping with Measure Years]]=0,0,DeemedDashboard[[#This Row],[Msr Device Years Over-lapping with Measure Years]]/DeemedDashboard[[#This Row],[Msr EUL rounded]]))</f>
        <v/>
      </c>
      <c r="BA101" s="329" t="str">
        <f>IF(ISBLANK(DeemedDashboard[[#This Row],[MeasAppType]]),"",IF(DeemedDashboard[[#This Row],[Std Device Years Over-lapping with Measure Years]]=0,0,DeemedDashboard[[#This Row],[Std Device Years Over-lapping with Measure Years]]/DeemedDashboard[[#This Row],[Counterfactual New Device EUL]]))</f>
        <v/>
      </c>
      <c r="BB101" s="329" t="str">
        <f>IF(ISBLANK(DeemedDashboard[[#This Row],[MeasAppType]]),"",IFERROR(IF(DeemedDashboard[[#This Row],[Pre Device Years Over-lapping with Measure Years]]=0,0,DeemedDashboard[[#This Row],[Pre Device Years Over-lapping with Measure Years]]/DeemedDashboard[[#This Row],[Existing Device EUL]]),""))</f>
        <v/>
      </c>
      <c r="BC101" s="329" t="str">
        <f>IFERROR(IF(DeemedDashboard[[#This Row],[Ext Device Years Over-lapping with Measure Years]]=0,0,DeemedDashboard[[#This Row],[Ext Device Years Over-lapping with Measure Years]]/DeemedDashboard[[#This Row],[Existing Device EUL]]),"")</f>
        <v/>
      </c>
      <c r="BD101" s="329" t="str">
        <f>IFERROR(IF(DeemedDashboard[[#This Row],[Msr Number of Years device retired early]]=0,0,DeemedDashboard[[#This Row],[Msr Number of Years device retired early]]/DeemedDashboard[[#This Row],[Msr EUL rounded]]),"")</f>
        <v/>
      </c>
      <c r="BE101" s="329" t="str">
        <f>IFERROR(IF(DeemedDashboard[[#This Row],[Std Number of Years device retired early]]=0,0,DeemedDashboard[[#This Row],[Std Number of Years device retired early]]/DeemedDashboard[[#This Row],[Msr EUL rounded]]),"")</f>
        <v/>
      </c>
      <c r="BF101" s="329" t="str">
        <f>IFERROR(IF(DeemedDashboard[[#This Row],[MeasAppType]]&lt;&gt;const_AR,"",IF(DeemedDashboard[[#This Row],[Pre Number of Years device retired early]]=0,0,DeemedDashboard[[#This Row],[Pre Number of Years device retired early]]/DeemedDashboard[[#This Row],[Existing Device EUL]])),"")</f>
        <v/>
      </c>
      <c r="BG101" s="329" t="str">
        <f>IFERROR(IF(DeemedDashboard[[#This Row],[Ext Number of Years device retired early]]=0,0,DeemedDashboard[[#This Row],[Ext Number of Years device retired early]]/DeemedDashboard[[#This Row],[Existing Device EUL]]),"")</f>
        <v/>
      </c>
      <c r="BH101" s="325" t="str">
        <f>IFERROR(1-DeemedDashboard[[#This Row],[Msr annual refrigerant leakage %]]*DeemedDashboard[[#This Row],[Msr t_EOL]],"")</f>
        <v/>
      </c>
      <c r="BI101" s="325" t="str">
        <f>IFERROR(1-DeemedDashboard[[#This Row],[Std annual refrigerant leakage %]]*DeemedDashboard[[#This Row],[Std t_EOL]],"")</f>
        <v/>
      </c>
      <c r="BJ101" s="325" t="str">
        <f>IFERROR(1-DeemedDashboard[[#This Row],[Pre/Ext annual refrigerant leakage %]]*DeemedDashboard[[#This Row],[Pre/Ext t_EOL]],"")</f>
        <v/>
      </c>
      <c r="BK101" s="325" t="str">
        <f>IFERROR(1-DeemedDashboard[[#This Row],[Pre/Ext annual refrigerant leakage %]]*DeemedDashboard[[#This Row],[Pre/Ext t_EOL]],"")</f>
        <v/>
      </c>
      <c r="BL101" s="325" t="str">
        <f>IFERROR(DeemedDashboard[[#This Row],[Msr charging remaining (%)]]*DeemedDashboard[[#This Row],[Msr gross EOL refrigerant leakage %]],"")</f>
        <v/>
      </c>
      <c r="BM101" s="325" t="str">
        <f>IFERROR(DeemedDashboard[[#This Row],[Std charging remaining (%)]]*DeemedDashboard[[#This Row],[Std gross EOL refrigerant leakage %]],"")</f>
        <v/>
      </c>
      <c r="BN101" s="325" t="str">
        <f>IFERROR(DeemedDashboard[[#This Row],[Pre charging remaining (%)]]*DeemedDashboard[[#This Row],[Pre/Ext gross EOL refrigerant leakage %]],"")</f>
        <v/>
      </c>
      <c r="BO101" s="325" t="str">
        <f>IFERROR(DeemedDashboard[[#This Row],[Ext charging remaining (%)]]*DeemedDashboard[[#This Row],[Pre/Ext gross EOL refrigerant leakage %]],"")</f>
        <v/>
      </c>
      <c r="BP101" s="330" t="str">
        <f>IFERROR((DeemedDashboard[[#This Row],[Msr refrigerant charge (lb) per NormUnit]]/pounds_per_metric_ton)*DeemedDashboard[[#This Row],[Msr annual refrigerant leakage %]]*DeemedDashboard[[#This Row],[Msr GWP]],"")</f>
        <v/>
      </c>
      <c r="BQ101" s="330" t="str">
        <f>IFERROR((DeemedDashboard[[#This Row],[Std refrigerant charge (lb) per NormUnit]]/pounds_per_metric_ton)*DeemedDashboard[[#This Row],[Std annual refrigerant leakage %]]*DeemedDashboard[[#This Row],[Std GWP]],"")</f>
        <v/>
      </c>
      <c r="BR101" s="330" t="str">
        <f>IF(DeemedDashboard[[#This Row],[MeasAppType]]=const_AR,(DeemedDashboard[[#This Row],[Pre/Ext refrigerant charge (lb) per NormUnit]]/pounds_per_metric_ton)*DeemedDashboard[[#This Row],[Pre/Ext annual refrigerant leakage %]]*DeemedDashboard[[#This Row],[Pre/Ext GWP]],"")</f>
        <v/>
      </c>
      <c r="BS101" s="330" t="str">
        <f>IF(DeemedDashboard[[#This Row],[MeasAppType]]=const_AR,(DeemedDashboard[[#This Row],[Pre/Ext refrigerant charge (lb) per NormUnit]]/pounds_per_metric_ton)*DeemedDashboard[[#This Row],[Pre/Ext annual refrigerant leakage %]]*DeemedDashboard[[#This Row],[Pre/Ext GWP]],"")</f>
        <v/>
      </c>
      <c r="BT101" s="330" t="str">
        <f>IFERROR((DeemedDashboard[[#This Row],[Msr refrigerant charge (lb) per NormUnit]]/pounds_per_metric_ton)*DeemedDashboard[[#This Row],[Msr net EOL refrigerant leakage (%)]]*DeemedDashboard[[#This Row],[Msr GWP]],"")</f>
        <v/>
      </c>
      <c r="BU101" s="330" t="str">
        <f>IFERROR((DeemedDashboard[[#This Row],[Std refrigerant charge (lb) per NormUnit]]/pounds_per_metric_ton)*DeemedDashboard[[#This Row],[Std net EOL refrigerant leakage (%)]]*DeemedDashboard[[#This Row],[Std GWP]],"")</f>
        <v/>
      </c>
      <c r="BV101" s="330" t="str">
        <f>IFERROR((DeemedDashboard[[#This Row],[Pre/Ext refrigerant charge (lb) per NormUnit]]/pounds_per_metric_ton)*DeemedDashboard[[#This Row],[Pre net EOL refrigerant leakage (%)]]*DeemedDashboard[[#This Row],[Pre/Ext GWP]],"")</f>
        <v/>
      </c>
      <c r="BW101" s="330" t="str">
        <f>IFERROR((DeemedDashboard[[#This Row],[Pre/Ext refrigerant charge (lb) per NormUnit]]/pounds_per_metric_ton)*DeemedDashboard[[#This Row],[Ext net EOL refrigerant leakage (%)]]*DeemedDashboard[[#This Row],[Pre/Ext GWP]],"")</f>
        <v/>
      </c>
      <c r="BX101" s="299" t="str" cm="1">
        <f t="array" aca="1" ref="BX101"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1" s="305" t="str" cm="1">
        <f t="array" aca="1" ref="BY101"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1" s="299" t="str">
        <f>IFERROR(IF(OR(DeemedDashboard[[#This Row],[MeasAppType]]&lt;&gt;const_AR,ISBLANK(DeemedDashboard[[#This Row],[MeasAppType]])),NA(),0),"")</f>
        <v/>
      </c>
      <c r="CA101" s="305" t="str" cm="1">
        <f t="array" aca="1" ref="CA101"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1" s="299" t="str">
        <f ca="1">IFERROR((DeemedDashboard[[#This Row],[Msr EOL leakage tons CO2e]]*OFFSET(GHG_Adder_dollar_per_tonne,0,(DeemedDashboard[[#This Row],[Msr Device Retire-ment Year]]-DY+1),1,1))/(1+WACC)^(DeemedDashboard[[#This Row],[Msr Device Retire-ment Year]]-DeemedDashboard[[#This Row],[Measure Start Year]]+0.5),"")</f>
        <v/>
      </c>
      <c r="CC101" s="299" t="str">
        <f ca="1">IFERROR((DeemedDashboard[[#This Row],[Std EOL leakage tons CO2e]]*OFFSET(GHG_Adder_dollar_per_tonne,0,(DeemedDashboard[[#This Row],[Std Device Retire-ment Year]]-DY+1),1,1))/(1+WACC)^(DeemedDashboard[[#This Row],[Std Device Retire-ment Year]]-DeemedDashboard[[#This Row],[Measure Start Year]]+0.5),"")</f>
        <v/>
      </c>
      <c r="CD101" s="299" t="str">
        <f ca="1">IFERROR((DeemedDashboard[[#This Row],[Pre EOL leakage tons CO2e]]*OFFSET(GHG_Adder_dollar_per_tonne,0,(DeemedDashboard[[#This Row],[Measure Start Year]]-DY),1,1))/(1+WACC)^(-0.5),"")</f>
        <v/>
      </c>
      <c r="CE101"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1" s="299" t="str">
        <f ca="1">IFERROR(DeemedDashboard[[#This Row],[Msr NPV Cost of Annual Leakage]]/(1+ACC_Inflation_Rate)^(DeemedDashboard[[#This Row],[Measure Start Year]]-DY),"")</f>
        <v/>
      </c>
      <c r="CG101" s="299" t="str">
        <f ca="1">IFERROR(DeemedDashboard[[#This Row],[Std NPV Cost of Annual Leakage]]/(1+ACC_Inflation_Rate)^(DeemedDashboard[[#This Row],[Measure Start Year]]-DY),"")</f>
        <v/>
      </c>
      <c r="CH101" s="299" t="str">
        <f>IFERROR(IF(ISBLANK(DeemedDashboard[[#This Row],[MeasAppType]]),NA(),IF(DeemedDashboard[[#This Row],[MeasAppType]]=const_AR,DeemedDashboard[[#This Row],[Pre NPV Cost of Annual Leakage]]/(1+ACC_Inflation_Rate)^(DeemedDashboard[[#This Row],[Measure Start Year]]-DY),"")),"")</f>
        <v/>
      </c>
      <c r="CI101" s="296" t="str">
        <f>IFERROR(IF(ISBLANK(DeemedDashboard[[#This Row],[MeasAppType]]),NA(),IF(DeemedDashboard[[#This Row],[MeasAppType]]=const_AR,DeemedDashboard[[#This Row],[Ext NPV Cost of Annual Leakage]]/(1+ACC_Inflation_Rate)^(DeemedDashboard[[#This Row],[Measure Start Year]]-DY),"")),"")</f>
        <v/>
      </c>
      <c r="CJ101" s="296" t="str">
        <f ca="1">IFERROR((DeemedDashboard[[#This Row],[Msr % of device lifetime during measure years]]+DeemedDashboard[[#This Row],[Msr % of device lifetime retired early]])*DeemedDashboard[[#This Row],[Msr NPV Cost of EOL Leakage]]/(1+ACC_Inflation_Rate)^(DeemedDashboard[[#This Row],[Measure Start Year]]-DY),"")</f>
        <v/>
      </c>
      <c r="CK101" s="296" t="str">
        <f ca="1">IFERROR((DeemedDashboard[[#This Row],[Std % of device lifetime during measure years]]+DeemedDashboard[[#This Row],[Std % of device lifetime retired early]])*DeemedDashboard[[#This Row],[Std NPV Cost of EOL Leakage]]/(1+ACC_Inflation_Rate)^(DeemedDashboard[[#This Row],[Measure Start Year]]-DY),"")</f>
        <v/>
      </c>
      <c r="CL101"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1"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1"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1"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1" s="299" t="str">
        <f ca="1">IFERROR(DeemedDashboard[[#This Row],[Counter-factual total 
NPV cost]]-DeemedDashboard[[#This Row],[Measure total 
NPV cost]],"")</f>
        <v/>
      </c>
      <c r="CQ101" s="299" t="str">
        <f>IF(ISBLANK(DeemedDashboard[[#This Row],[MeasAppType]]),"",DeemedDashboard[[#This Row],[Refrigerant
NPV costs
avoided]]&gt;0)</f>
        <v/>
      </c>
      <c r="CR101" s="299" t="str">
        <f ca="1">IFERROR(DeemedDashboard[[#This Row],[Msr Adj NPV Cost of Annual Leakage]]+DeemedDashboard[[#This Row],[Msr Adj NPV Cost of EOL Leakage]],"")</f>
        <v/>
      </c>
      <c r="CS101" s="299" t="str">
        <f ca="1">IFERROR(DeemedDashboard[[#This Row],[Std Adj NPV Cost of Annual Leakage]]+DeemedDashboard[[#This Row],[Std Adj NPV Cost of EOL Leakage]],"")</f>
        <v/>
      </c>
      <c r="CT101" s="299" t="str">
        <f>IFERROR(IF((DeemedDashboard[[#This Row],[Pre Adj NPV Cost of Annual Leakage]]+DeemedDashboard[[#This Row],[Pre Adj NPV Cost of EOL Leakage]])=0,"",DeemedDashboard[[#This Row],[Pre Adj NPV Cost of Annual Leakage]]+DeemedDashboard[[#This Row],[Pre Adj NPV Cost of EOL Leakage]]),"")</f>
        <v/>
      </c>
      <c r="CU101" s="299" t="str">
        <f>IFERROR(IF((DeemedDashboard[[#This Row],[Ext Adj NPV Cost of Annual Leakage]]+DeemedDashboard[[#This Row],[Ext Adj NPV Cost of EOL Leakage]])=0,"",DeemedDashboard[[#This Row],[Ext Adj NPV Cost of Annual Leakage]]+DeemedDashboard[[#This Row],[Ext Adj NPV Cost of EOL Leakage]]),"")</f>
        <v/>
      </c>
      <c r="CV101" s="299" t="str">
        <f>IFERROR(IF(DeemedDashboard[[#This Row],[Is Avoided Net Cost &gt;0?]],"",-DeemedDashboard[[#This Row],[Refrigerant
NPV costs
avoided]]),"")</f>
        <v/>
      </c>
      <c r="CW101" s="299" t="str">
        <f>IFERROR(IF(DeemedDashboard[[#This Row],[Is Avoided Net Cost &gt;0?]],DeemedDashboard[[#This Row],[Refrigerant
NPV costs
avoided]],""),"")</f>
        <v/>
      </c>
      <c r="CX101" s="391">
        <f ca="1">IFERROR(MATCH(DeemedDashboard[[#This Row],[TechGroup and NormUnit]],TechGroup_and_NormUnit,0),1)</f>
        <v>1</v>
      </c>
      <c r="CY101" s="391" cm="1">
        <f t="array" aca="1" ref="CY101" ca="1">IFERROR(INDEX(TGRows,DeemedDashboard[[#This Row],[TGIndex]]),"")</f>
        <v>2</v>
      </c>
      <c r="CZ101" s="391">
        <f ca="1">IF(DeemedDashboard[[#This Row],[MeasAppType]]=const_AR,DeemedDashboard[[#This Row],[TGRows]],DeemedDashboard[[#This Row],[TGRows]]+1)</f>
        <v>3</v>
      </c>
      <c r="DA101" s="391" t="str">
        <f>IF(ISBLANK(DeemedDashboard[[#This Row],[MeasAppType]]),"",IF(DeemedDashboard[[#This Row],[Index]]=User_Specified_Refrigerant[[#This Row],[Index]],"OK","ERROR"))</f>
        <v/>
      </c>
    </row>
    <row r="102" spans="1:105" s="320" customFormat="1" x14ac:dyDescent="0.25">
      <c r="A102" s="297">
        <f>ROW(DeemedDashboard[[#This Row],[Index]])-ROW(DeemedDashboard[[#Headers],[Index]])</f>
        <v>93</v>
      </c>
      <c r="B102" s="298"/>
      <c r="C102" s="321"/>
      <c r="D102" s="403"/>
      <c r="E102" s="403"/>
      <c r="F102" s="403"/>
      <c r="G102" s="403"/>
      <c r="H102" s="366"/>
      <c r="I102" s="339"/>
      <c r="J102" s="339"/>
      <c r="K102" s="339"/>
      <c r="L102" s="322"/>
      <c r="M102" s="322"/>
      <c r="N102" s="322"/>
      <c r="O102"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2"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2"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2" s="582" t="str" cm="1">
        <f t="array" ref="R102">IFERROR(IF(DeemedDashboard[[#This Row],[Msr device type]]=const_device_nonrefrig,0,INDEX(_xlfn.SWITCH($E$4,const_20_yr,GWP_Values_20_year_AR4,const_100_yr,GWP_Values_100_year_AR4),MATCH(DeemedDashboard[[#This Row],[Msr refrigerant Type]],RefrigDropdownList,0))),"")</f>
        <v/>
      </c>
      <c r="S102" s="582" t="str" cm="1">
        <f t="array" ref="S102">IFERROR(IF(DeemedDashboard[[#This Row],[Std device type]]=const_device_nonrefrig,0,INDEX(_xlfn.SWITCH($E$4,const_20_yr,GWP_Values_20_year_AR4,const_100_yr,GWP_Values_100_year_AR4),MATCH(DeemedDashboard[[#This Row],[Std refrigerant Type]],RefrigDropdownList,0))),"")</f>
        <v/>
      </c>
      <c r="T102" s="582" t="str" cm="1">
        <f t="array" ref="T102">IFERROR(IF(DeemedDashboard[[#This Row],[Pre/Ext device type]]=const_device_nonrefrig,0,INDEX(_xlfn.SWITCH($E$4,const_20_yr,GWP_Values_20_year_AR4,const_100_yr,GWP_Values_100_year_AR4),MATCH(DeemedDashboard[[#This Row],[Pre/Ext refrigerant Type]],RefrigDropdownList,0))),"")</f>
        <v/>
      </c>
      <c r="U102"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2"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2"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2"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2"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2"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2" s="326" t="str">
        <f>IFERROR(IF(DeemedDashboard[[#This Row],[Msr device type]]=const_userspec,IF(ISBLANK(User_Specified_Refrigerant[[#This Row],[Msr t_EOL]]),"",User_Specified_Refrigerant[[#This Row],[Msr t_EOL]]),INDEX(TechGroup_NormUnit_Table[t_EOL],MATCH(DeemedDashboard[[#This Row],[Msr device type]],DropdownRefrigTech,0))),"")</f>
        <v/>
      </c>
      <c r="AB102" s="326" t="str">
        <f>IFERROR(IF(DeemedDashboard[[#This Row],[Std device type]]=const_userspec,IF(ISBLANK(User_Specified_Refrigerant[[#This Row],[Std t_EOL]]),"",User_Specified_Refrigerant[[#This Row],[Std t_EOL]]),INDEX(TechGroup_NormUnit_Table[t_EOL],MATCH(DeemedDashboard[[#This Row],[Std device type]],DropdownRefrigTech,0))),"")</f>
        <v/>
      </c>
      <c r="AC102"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2" s="395" t="str">
        <f>IF(ISBLANK(DeemedDashboard[[#This Row],[MeasAppType]]),"",$E$2)</f>
        <v/>
      </c>
      <c r="AE102" s="395" t="str">
        <f>IFERROR(IF(ISBLANK(DeemedDashboard[[#This Row],[MeasAppType]]),NA(),DeemedDashboard[[#This Row],[Measure Start Year]]+DeemedDashboard[[#This Row],[Msr EUL rounded]]-1),"")</f>
        <v/>
      </c>
      <c r="AF102" s="323" t="str">
        <f>IF(ISBLANK(DeemedDashboard[[#This Row],[Measure New Device EUL]]),"",ROUND(DeemedDashboard[[#This Row],[Measure New Device EUL]],0))</f>
        <v/>
      </c>
      <c r="AG102" s="323" t="str">
        <f>IF(ISBLANK(DeemedDashboard[[#This Row],[Counterfactual New Device EUL]]),"",ROUND(DeemedDashboard[[#This Row],[Counterfactual New Device EUL]],0))</f>
        <v/>
      </c>
      <c r="AH102" s="323" t="str">
        <f>IF(ISBLANK(DeemedDashboard[[#This Row],[Existing Device EUL]]),"",ROUND(DeemedDashboard[[#This Row],[Existing Device EUL]],0))</f>
        <v/>
      </c>
      <c r="AI102" s="323" t="str">
        <f>IF(ISBLANK(DeemedDashboard[[#This Row],[Existing Device RUL or AR First Baseline Life]]),"",ROUND(DeemedDashboard[[#This Row],[Existing Device RUL or AR First Baseline Life]],0))</f>
        <v/>
      </c>
      <c r="AJ102" s="327" t="str">
        <f>DeemedDashboard[[#This Row],[Measure Start Year]]</f>
        <v/>
      </c>
      <c r="AK102" s="327" t="str">
        <f>IF(DeemedDashboard[[#This Row],[MeasAppType]]&lt;&gt;const_AR,DeemedDashboard[[#This Row],[Measure Start Year]],DeemedDashboard[[#This Row],[Ext Device Retire-ment Year]]+1)</f>
        <v/>
      </c>
      <c r="AL102" s="327" t="str">
        <f>IFERROR(IF(DeemedDashboard[[#This Row],[MeasAppType]]=const_AR,DeemedDashboard[[#This Row],[Measure Start Year]]-(DeemedDashboard[[#This Row],[Existing Device EUL]]-DeemedDashboard[[#This Row],[Existing Device RUL or AR First Baseline Life]]),NA()),"")</f>
        <v/>
      </c>
      <c r="AM102" s="327" t="str">
        <f>DeemedDashboard[[#This Row],[Pre Device Install Year]]</f>
        <v/>
      </c>
      <c r="AN102" s="327" t="str">
        <f>IFERROR(IF(ISBLANK(DeemedDashboard[[#This Row],[MeasAppType]]),NA(),DeemedDashboard[[#This Row],[Measure Start Year]]+DeemedDashboard[[#This Row],[Msr EUL rounded]]-1),"")</f>
        <v/>
      </c>
      <c r="AO102" s="327" t="str">
        <f>IFERROR(DeemedDashboard[[#This Row],[Std Device Install Year]]+DeemedDashboard[[#This Row],[Counterfactual New Device EUL]]-1,"")</f>
        <v/>
      </c>
      <c r="AP102" s="327" t="str">
        <f>IFERROR(IF(AND(DeemedDashboard[[#This Row],[MeasAppType]]=const_AR,DeemedDashboard[[#This Row],[Measure Start Year]]&lt;(DeemedDashboard[[#This Row],[Pre Device Install Year]]+DeemedDashboard[[#This Row],[Existing Device EUL]]-1)),DeemedDashboard[[#This Row],[Measure Start Year]]-1,NA()),"")</f>
        <v/>
      </c>
      <c r="AQ102" s="327" t="str">
        <f>IFERROR(IF(DeemedDashboard[[#This Row],[MeasAppType]]=const_AR,DeemedDashboard[[#This Row],[Ext Device Install Year]]+DeemedDashboard[[#This Row],[Existing Device EUL]]-1,NA()),"")</f>
        <v/>
      </c>
      <c r="AR102" s="327" t="str">
        <f>IFERROR(IF(ISBLANK(DeemedDashboard[[#This Row],[MeasAppType]]),NA(),0),"")</f>
        <v/>
      </c>
      <c r="AS102" s="327" t="str">
        <f>IFERROR(IF(ISBLANK(DeemedDashboard[[#This Row],[MeasAppType]]),NA(),0),"")</f>
        <v/>
      </c>
      <c r="AT102" s="327" t="str">
        <f>IF(ISBLANK(DeemedDashboard[[#This Row],[MeasAppType]]),"",IF(DeemedDashboard[[#This Row],[MeasAppType]]&lt;&gt;const_AR,"",(DeemedDashboard[[#This Row],[Pre Device Install Year]]+DeemedDashboard[[#This Row],[Existing Device EUL]]-1)-DeemedDashboard[[#This Row],[Pre Device Retire-ment Year]]))</f>
        <v/>
      </c>
      <c r="AU102" s="327" t="str">
        <f>IF(ISBLANK(DeemedDashboard[[#This Row],[MeasAppType]]),"",IF(DeemedDashboard[[#This Row],[MeasAppType]]=const_AR,0,""))</f>
        <v/>
      </c>
      <c r="AV102" s="328" t="str">
        <f>IF(ISBLANK(DeemedDashboard[[#This Row],[MeasAppType]]),"",MAX((1+MIN(DeemedDashboard[[#This Row],[Msr Device Retire-ment Year]],DeemedDashboard[[#This Row],[Measure End 
Year]])-MAX(DeemedDashboard[[#This Row],[Msr Device Install Year]],DeemedDashboard[[#This Row],[Measure Start Year]])),0))</f>
        <v/>
      </c>
      <c r="AW102" s="328" t="str">
        <f>IF(ISBLANK(DeemedDashboard[[#This Row],[MeasAppType]]),"",MAX((1+MIN(DeemedDashboard[[#This Row],[Std Device Retire-ment Year]],DeemedDashboard[[#This Row],[Measure End 
Year]])-MAX(DeemedDashboard[[#This Row],[Std Device Install Year]],DeemedDashboard[[#This Row],[Measure Start Year]])),0))</f>
        <v/>
      </c>
      <c r="AX102"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2"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2" s="329" t="str">
        <f>IF(ISBLANK(DeemedDashboard[[#This Row],[MeasAppType]]),"",IF(DeemedDashboard[[#This Row],[Msr Device Years Over-lapping with Measure Years]]=0,0,DeemedDashboard[[#This Row],[Msr Device Years Over-lapping with Measure Years]]/DeemedDashboard[[#This Row],[Msr EUL rounded]]))</f>
        <v/>
      </c>
      <c r="BA102" s="329" t="str">
        <f>IF(ISBLANK(DeemedDashboard[[#This Row],[MeasAppType]]),"",IF(DeemedDashboard[[#This Row],[Std Device Years Over-lapping with Measure Years]]=0,0,DeemedDashboard[[#This Row],[Std Device Years Over-lapping with Measure Years]]/DeemedDashboard[[#This Row],[Counterfactual New Device EUL]]))</f>
        <v/>
      </c>
      <c r="BB102" s="329" t="str">
        <f>IF(ISBLANK(DeemedDashboard[[#This Row],[MeasAppType]]),"",IFERROR(IF(DeemedDashboard[[#This Row],[Pre Device Years Over-lapping with Measure Years]]=0,0,DeemedDashboard[[#This Row],[Pre Device Years Over-lapping with Measure Years]]/DeemedDashboard[[#This Row],[Existing Device EUL]]),""))</f>
        <v/>
      </c>
      <c r="BC102" s="329" t="str">
        <f>IFERROR(IF(DeemedDashboard[[#This Row],[Ext Device Years Over-lapping with Measure Years]]=0,0,DeemedDashboard[[#This Row],[Ext Device Years Over-lapping with Measure Years]]/DeemedDashboard[[#This Row],[Existing Device EUL]]),"")</f>
        <v/>
      </c>
      <c r="BD102" s="329" t="str">
        <f>IFERROR(IF(DeemedDashboard[[#This Row],[Msr Number of Years device retired early]]=0,0,DeemedDashboard[[#This Row],[Msr Number of Years device retired early]]/DeemedDashboard[[#This Row],[Msr EUL rounded]]),"")</f>
        <v/>
      </c>
      <c r="BE102" s="329" t="str">
        <f>IFERROR(IF(DeemedDashboard[[#This Row],[Std Number of Years device retired early]]=0,0,DeemedDashboard[[#This Row],[Std Number of Years device retired early]]/DeemedDashboard[[#This Row],[Msr EUL rounded]]),"")</f>
        <v/>
      </c>
      <c r="BF102" s="329" t="str">
        <f>IFERROR(IF(DeemedDashboard[[#This Row],[MeasAppType]]&lt;&gt;const_AR,"",IF(DeemedDashboard[[#This Row],[Pre Number of Years device retired early]]=0,0,DeemedDashboard[[#This Row],[Pre Number of Years device retired early]]/DeemedDashboard[[#This Row],[Existing Device EUL]])),"")</f>
        <v/>
      </c>
      <c r="BG102" s="329" t="str">
        <f>IFERROR(IF(DeemedDashboard[[#This Row],[Ext Number of Years device retired early]]=0,0,DeemedDashboard[[#This Row],[Ext Number of Years device retired early]]/DeemedDashboard[[#This Row],[Existing Device EUL]]),"")</f>
        <v/>
      </c>
      <c r="BH102" s="325" t="str">
        <f>IFERROR(1-DeemedDashboard[[#This Row],[Msr annual refrigerant leakage %]]*DeemedDashboard[[#This Row],[Msr t_EOL]],"")</f>
        <v/>
      </c>
      <c r="BI102" s="325" t="str">
        <f>IFERROR(1-DeemedDashboard[[#This Row],[Std annual refrigerant leakage %]]*DeemedDashboard[[#This Row],[Std t_EOL]],"")</f>
        <v/>
      </c>
      <c r="BJ102" s="325" t="str">
        <f>IFERROR(1-DeemedDashboard[[#This Row],[Pre/Ext annual refrigerant leakage %]]*DeemedDashboard[[#This Row],[Pre/Ext t_EOL]],"")</f>
        <v/>
      </c>
      <c r="BK102" s="325" t="str">
        <f>IFERROR(1-DeemedDashboard[[#This Row],[Pre/Ext annual refrigerant leakage %]]*DeemedDashboard[[#This Row],[Pre/Ext t_EOL]],"")</f>
        <v/>
      </c>
      <c r="BL102" s="325" t="str">
        <f>IFERROR(DeemedDashboard[[#This Row],[Msr charging remaining (%)]]*DeemedDashboard[[#This Row],[Msr gross EOL refrigerant leakage %]],"")</f>
        <v/>
      </c>
      <c r="BM102" s="325" t="str">
        <f>IFERROR(DeemedDashboard[[#This Row],[Std charging remaining (%)]]*DeemedDashboard[[#This Row],[Std gross EOL refrigerant leakage %]],"")</f>
        <v/>
      </c>
      <c r="BN102" s="325" t="str">
        <f>IFERROR(DeemedDashboard[[#This Row],[Pre charging remaining (%)]]*DeemedDashboard[[#This Row],[Pre/Ext gross EOL refrigerant leakage %]],"")</f>
        <v/>
      </c>
      <c r="BO102" s="325" t="str">
        <f>IFERROR(DeemedDashboard[[#This Row],[Ext charging remaining (%)]]*DeemedDashboard[[#This Row],[Pre/Ext gross EOL refrigerant leakage %]],"")</f>
        <v/>
      </c>
      <c r="BP102" s="330" t="str">
        <f>IFERROR((DeemedDashboard[[#This Row],[Msr refrigerant charge (lb) per NormUnit]]/pounds_per_metric_ton)*DeemedDashboard[[#This Row],[Msr annual refrigerant leakage %]]*DeemedDashboard[[#This Row],[Msr GWP]],"")</f>
        <v/>
      </c>
      <c r="BQ102" s="330" t="str">
        <f>IFERROR((DeemedDashboard[[#This Row],[Std refrigerant charge (lb) per NormUnit]]/pounds_per_metric_ton)*DeemedDashboard[[#This Row],[Std annual refrigerant leakage %]]*DeemedDashboard[[#This Row],[Std GWP]],"")</f>
        <v/>
      </c>
      <c r="BR102" s="330" t="str">
        <f>IF(DeemedDashboard[[#This Row],[MeasAppType]]=const_AR,(DeemedDashboard[[#This Row],[Pre/Ext refrigerant charge (lb) per NormUnit]]/pounds_per_metric_ton)*DeemedDashboard[[#This Row],[Pre/Ext annual refrigerant leakage %]]*DeemedDashboard[[#This Row],[Pre/Ext GWP]],"")</f>
        <v/>
      </c>
      <c r="BS102" s="330" t="str">
        <f>IF(DeemedDashboard[[#This Row],[MeasAppType]]=const_AR,(DeemedDashboard[[#This Row],[Pre/Ext refrigerant charge (lb) per NormUnit]]/pounds_per_metric_ton)*DeemedDashboard[[#This Row],[Pre/Ext annual refrigerant leakage %]]*DeemedDashboard[[#This Row],[Pre/Ext GWP]],"")</f>
        <v/>
      </c>
      <c r="BT102" s="330" t="str">
        <f>IFERROR((DeemedDashboard[[#This Row],[Msr refrigerant charge (lb) per NormUnit]]/pounds_per_metric_ton)*DeemedDashboard[[#This Row],[Msr net EOL refrigerant leakage (%)]]*DeemedDashboard[[#This Row],[Msr GWP]],"")</f>
        <v/>
      </c>
      <c r="BU102" s="330" t="str">
        <f>IFERROR((DeemedDashboard[[#This Row],[Std refrigerant charge (lb) per NormUnit]]/pounds_per_metric_ton)*DeemedDashboard[[#This Row],[Std net EOL refrigerant leakage (%)]]*DeemedDashboard[[#This Row],[Std GWP]],"")</f>
        <v/>
      </c>
      <c r="BV102" s="330" t="str">
        <f>IFERROR((DeemedDashboard[[#This Row],[Pre/Ext refrigerant charge (lb) per NormUnit]]/pounds_per_metric_ton)*DeemedDashboard[[#This Row],[Pre net EOL refrigerant leakage (%)]]*DeemedDashboard[[#This Row],[Pre/Ext GWP]],"")</f>
        <v/>
      </c>
      <c r="BW102" s="330" t="str">
        <f>IFERROR((DeemedDashboard[[#This Row],[Pre/Ext refrigerant charge (lb) per NormUnit]]/pounds_per_metric_ton)*DeemedDashboard[[#This Row],[Ext net EOL refrigerant leakage (%)]]*DeemedDashboard[[#This Row],[Pre/Ext GWP]],"")</f>
        <v/>
      </c>
      <c r="BX102" s="299" t="str" cm="1">
        <f t="array" aca="1" ref="BX102"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2" s="305" t="str" cm="1">
        <f t="array" aca="1" ref="BY102"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2" s="299" t="str">
        <f>IFERROR(IF(OR(DeemedDashboard[[#This Row],[MeasAppType]]&lt;&gt;const_AR,ISBLANK(DeemedDashboard[[#This Row],[MeasAppType]])),NA(),0),"")</f>
        <v/>
      </c>
      <c r="CA102" s="305" t="str" cm="1">
        <f t="array" aca="1" ref="CA102"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2" s="299" t="str">
        <f ca="1">IFERROR((DeemedDashboard[[#This Row],[Msr EOL leakage tons CO2e]]*OFFSET(GHG_Adder_dollar_per_tonne,0,(DeemedDashboard[[#This Row],[Msr Device Retire-ment Year]]-DY+1),1,1))/(1+WACC)^(DeemedDashboard[[#This Row],[Msr Device Retire-ment Year]]-DeemedDashboard[[#This Row],[Measure Start Year]]+0.5),"")</f>
        <v/>
      </c>
      <c r="CC102" s="299" t="str">
        <f ca="1">IFERROR((DeemedDashboard[[#This Row],[Std EOL leakage tons CO2e]]*OFFSET(GHG_Adder_dollar_per_tonne,0,(DeemedDashboard[[#This Row],[Std Device Retire-ment Year]]-DY+1),1,1))/(1+WACC)^(DeemedDashboard[[#This Row],[Std Device Retire-ment Year]]-DeemedDashboard[[#This Row],[Measure Start Year]]+0.5),"")</f>
        <v/>
      </c>
      <c r="CD102" s="299" t="str">
        <f ca="1">IFERROR((DeemedDashboard[[#This Row],[Pre EOL leakage tons CO2e]]*OFFSET(GHG_Adder_dollar_per_tonne,0,(DeemedDashboard[[#This Row],[Measure Start Year]]-DY),1,1))/(1+WACC)^(-0.5),"")</f>
        <v/>
      </c>
      <c r="CE102"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2" s="299" t="str">
        <f ca="1">IFERROR(DeemedDashboard[[#This Row],[Msr NPV Cost of Annual Leakage]]/(1+ACC_Inflation_Rate)^(DeemedDashboard[[#This Row],[Measure Start Year]]-DY),"")</f>
        <v/>
      </c>
      <c r="CG102" s="299" t="str">
        <f ca="1">IFERROR(DeemedDashboard[[#This Row],[Std NPV Cost of Annual Leakage]]/(1+ACC_Inflation_Rate)^(DeemedDashboard[[#This Row],[Measure Start Year]]-DY),"")</f>
        <v/>
      </c>
      <c r="CH102" s="299" t="str">
        <f>IFERROR(IF(ISBLANK(DeemedDashboard[[#This Row],[MeasAppType]]),NA(),IF(DeemedDashboard[[#This Row],[MeasAppType]]=const_AR,DeemedDashboard[[#This Row],[Pre NPV Cost of Annual Leakage]]/(1+ACC_Inflation_Rate)^(DeemedDashboard[[#This Row],[Measure Start Year]]-DY),"")),"")</f>
        <v/>
      </c>
      <c r="CI102" s="296" t="str">
        <f>IFERROR(IF(ISBLANK(DeemedDashboard[[#This Row],[MeasAppType]]),NA(),IF(DeemedDashboard[[#This Row],[MeasAppType]]=const_AR,DeemedDashboard[[#This Row],[Ext NPV Cost of Annual Leakage]]/(1+ACC_Inflation_Rate)^(DeemedDashboard[[#This Row],[Measure Start Year]]-DY),"")),"")</f>
        <v/>
      </c>
      <c r="CJ102" s="296" t="str">
        <f ca="1">IFERROR((DeemedDashboard[[#This Row],[Msr % of device lifetime during measure years]]+DeemedDashboard[[#This Row],[Msr % of device lifetime retired early]])*DeemedDashboard[[#This Row],[Msr NPV Cost of EOL Leakage]]/(1+ACC_Inflation_Rate)^(DeemedDashboard[[#This Row],[Measure Start Year]]-DY),"")</f>
        <v/>
      </c>
      <c r="CK102" s="296" t="str">
        <f ca="1">IFERROR((DeemedDashboard[[#This Row],[Std % of device lifetime during measure years]]+DeemedDashboard[[#This Row],[Std % of device lifetime retired early]])*DeemedDashboard[[#This Row],[Std NPV Cost of EOL Leakage]]/(1+ACC_Inflation_Rate)^(DeemedDashboard[[#This Row],[Measure Start Year]]-DY),"")</f>
        <v/>
      </c>
      <c r="CL102"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2"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2"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2"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2" s="299" t="str">
        <f ca="1">IFERROR(DeemedDashboard[[#This Row],[Counter-factual total 
NPV cost]]-DeemedDashboard[[#This Row],[Measure total 
NPV cost]],"")</f>
        <v/>
      </c>
      <c r="CQ102" s="299" t="str">
        <f>IF(ISBLANK(DeemedDashboard[[#This Row],[MeasAppType]]),"",DeemedDashboard[[#This Row],[Refrigerant
NPV costs
avoided]]&gt;0)</f>
        <v/>
      </c>
      <c r="CR102" s="299" t="str">
        <f ca="1">IFERROR(DeemedDashboard[[#This Row],[Msr Adj NPV Cost of Annual Leakage]]+DeemedDashboard[[#This Row],[Msr Adj NPV Cost of EOL Leakage]],"")</f>
        <v/>
      </c>
      <c r="CS102" s="299" t="str">
        <f ca="1">IFERROR(DeemedDashboard[[#This Row],[Std Adj NPV Cost of Annual Leakage]]+DeemedDashboard[[#This Row],[Std Adj NPV Cost of EOL Leakage]],"")</f>
        <v/>
      </c>
      <c r="CT102" s="299" t="str">
        <f>IFERROR(IF((DeemedDashboard[[#This Row],[Pre Adj NPV Cost of Annual Leakage]]+DeemedDashboard[[#This Row],[Pre Adj NPV Cost of EOL Leakage]])=0,"",DeemedDashboard[[#This Row],[Pre Adj NPV Cost of Annual Leakage]]+DeemedDashboard[[#This Row],[Pre Adj NPV Cost of EOL Leakage]]),"")</f>
        <v/>
      </c>
      <c r="CU102" s="299" t="str">
        <f>IFERROR(IF((DeemedDashboard[[#This Row],[Ext Adj NPV Cost of Annual Leakage]]+DeemedDashboard[[#This Row],[Ext Adj NPV Cost of EOL Leakage]])=0,"",DeemedDashboard[[#This Row],[Ext Adj NPV Cost of Annual Leakage]]+DeemedDashboard[[#This Row],[Ext Adj NPV Cost of EOL Leakage]]),"")</f>
        <v/>
      </c>
      <c r="CV102" s="299" t="str">
        <f>IFERROR(IF(DeemedDashboard[[#This Row],[Is Avoided Net Cost &gt;0?]],"",-DeemedDashboard[[#This Row],[Refrigerant
NPV costs
avoided]]),"")</f>
        <v/>
      </c>
      <c r="CW102" s="299" t="str">
        <f>IFERROR(IF(DeemedDashboard[[#This Row],[Is Avoided Net Cost &gt;0?]],DeemedDashboard[[#This Row],[Refrigerant
NPV costs
avoided]],""),"")</f>
        <v/>
      </c>
      <c r="CX102" s="391">
        <f ca="1">IFERROR(MATCH(DeemedDashboard[[#This Row],[TechGroup and NormUnit]],TechGroup_and_NormUnit,0),1)</f>
        <v>1</v>
      </c>
      <c r="CY102" s="391" cm="1">
        <f t="array" aca="1" ref="CY102" ca="1">IFERROR(INDEX(TGRows,DeemedDashboard[[#This Row],[TGIndex]]),"")</f>
        <v>2</v>
      </c>
      <c r="CZ102" s="391">
        <f ca="1">IF(DeemedDashboard[[#This Row],[MeasAppType]]=const_AR,DeemedDashboard[[#This Row],[TGRows]],DeemedDashboard[[#This Row],[TGRows]]+1)</f>
        <v>3</v>
      </c>
      <c r="DA102" s="391" t="str">
        <f>IF(ISBLANK(DeemedDashboard[[#This Row],[MeasAppType]]),"",IF(DeemedDashboard[[#This Row],[Index]]=User_Specified_Refrigerant[[#This Row],[Index]],"OK","ERROR"))</f>
        <v/>
      </c>
    </row>
    <row r="103" spans="1:105" s="320" customFormat="1" x14ac:dyDescent="0.25">
      <c r="A103" s="297">
        <f>ROW(DeemedDashboard[[#This Row],[Index]])-ROW(DeemedDashboard[[#Headers],[Index]])</f>
        <v>94</v>
      </c>
      <c r="B103" s="298"/>
      <c r="C103" s="321"/>
      <c r="D103" s="403"/>
      <c r="E103" s="403"/>
      <c r="F103" s="403"/>
      <c r="G103" s="403"/>
      <c r="H103" s="366"/>
      <c r="I103" s="339"/>
      <c r="J103" s="339"/>
      <c r="K103" s="339"/>
      <c r="L103" s="322"/>
      <c r="M103" s="322"/>
      <c r="N103" s="322"/>
      <c r="O103"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3"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3"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3" s="582" t="str" cm="1">
        <f t="array" ref="R103">IFERROR(IF(DeemedDashboard[[#This Row],[Msr device type]]=const_device_nonrefrig,0,INDEX(_xlfn.SWITCH($E$4,const_20_yr,GWP_Values_20_year_AR4,const_100_yr,GWP_Values_100_year_AR4),MATCH(DeemedDashboard[[#This Row],[Msr refrigerant Type]],RefrigDropdownList,0))),"")</f>
        <v/>
      </c>
      <c r="S103" s="582" t="str" cm="1">
        <f t="array" ref="S103">IFERROR(IF(DeemedDashboard[[#This Row],[Std device type]]=const_device_nonrefrig,0,INDEX(_xlfn.SWITCH($E$4,const_20_yr,GWP_Values_20_year_AR4,const_100_yr,GWP_Values_100_year_AR4),MATCH(DeemedDashboard[[#This Row],[Std refrigerant Type]],RefrigDropdownList,0))),"")</f>
        <v/>
      </c>
      <c r="T103" s="582" t="str" cm="1">
        <f t="array" ref="T103">IFERROR(IF(DeemedDashboard[[#This Row],[Pre/Ext device type]]=const_device_nonrefrig,0,INDEX(_xlfn.SWITCH($E$4,const_20_yr,GWP_Values_20_year_AR4,const_100_yr,GWP_Values_100_year_AR4),MATCH(DeemedDashboard[[#This Row],[Pre/Ext refrigerant Type]],RefrigDropdownList,0))),"")</f>
        <v/>
      </c>
      <c r="U103"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3"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3"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3"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3"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3"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3" s="326" t="str">
        <f>IFERROR(IF(DeemedDashboard[[#This Row],[Msr device type]]=const_userspec,IF(ISBLANK(User_Specified_Refrigerant[[#This Row],[Msr t_EOL]]),"",User_Specified_Refrigerant[[#This Row],[Msr t_EOL]]),INDEX(TechGroup_NormUnit_Table[t_EOL],MATCH(DeemedDashboard[[#This Row],[Msr device type]],DropdownRefrigTech,0))),"")</f>
        <v/>
      </c>
      <c r="AB103" s="326" t="str">
        <f>IFERROR(IF(DeemedDashboard[[#This Row],[Std device type]]=const_userspec,IF(ISBLANK(User_Specified_Refrigerant[[#This Row],[Std t_EOL]]),"",User_Specified_Refrigerant[[#This Row],[Std t_EOL]]),INDEX(TechGroup_NormUnit_Table[t_EOL],MATCH(DeemedDashboard[[#This Row],[Std device type]],DropdownRefrigTech,0))),"")</f>
        <v/>
      </c>
      <c r="AC103"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3" s="395" t="str">
        <f>IF(ISBLANK(DeemedDashboard[[#This Row],[MeasAppType]]),"",$E$2)</f>
        <v/>
      </c>
      <c r="AE103" s="395" t="str">
        <f>IFERROR(IF(ISBLANK(DeemedDashboard[[#This Row],[MeasAppType]]),NA(),DeemedDashboard[[#This Row],[Measure Start Year]]+DeemedDashboard[[#This Row],[Msr EUL rounded]]-1),"")</f>
        <v/>
      </c>
      <c r="AF103" s="323" t="str">
        <f>IF(ISBLANK(DeemedDashboard[[#This Row],[Measure New Device EUL]]),"",ROUND(DeemedDashboard[[#This Row],[Measure New Device EUL]],0))</f>
        <v/>
      </c>
      <c r="AG103" s="323" t="str">
        <f>IF(ISBLANK(DeemedDashboard[[#This Row],[Counterfactual New Device EUL]]),"",ROUND(DeemedDashboard[[#This Row],[Counterfactual New Device EUL]],0))</f>
        <v/>
      </c>
      <c r="AH103" s="323" t="str">
        <f>IF(ISBLANK(DeemedDashboard[[#This Row],[Existing Device EUL]]),"",ROUND(DeemedDashboard[[#This Row],[Existing Device EUL]],0))</f>
        <v/>
      </c>
      <c r="AI103" s="323" t="str">
        <f>IF(ISBLANK(DeemedDashboard[[#This Row],[Existing Device RUL or AR First Baseline Life]]),"",ROUND(DeemedDashboard[[#This Row],[Existing Device RUL or AR First Baseline Life]],0))</f>
        <v/>
      </c>
      <c r="AJ103" s="327" t="str">
        <f>DeemedDashboard[[#This Row],[Measure Start Year]]</f>
        <v/>
      </c>
      <c r="AK103" s="327" t="str">
        <f>IF(DeemedDashboard[[#This Row],[MeasAppType]]&lt;&gt;const_AR,DeemedDashboard[[#This Row],[Measure Start Year]],DeemedDashboard[[#This Row],[Ext Device Retire-ment Year]]+1)</f>
        <v/>
      </c>
      <c r="AL103" s="327" t="str">
        <f>IFERROR(IF(DeemedDashboard[[#This Row],[MeasAppType]]=const_AR,DeemedDashboard[[#This Row],[Measure Start Year]]-(DeemedDashboard[[#This Row],[Existing Device EUL]]-DeemedDashboard[[#This Row],[Existing Device RUL or AR First Baseline Life]]),NA()),"")</f>
        <v/>
      </c>
      <c r="AM103" s="327" t="str">
        <f>DeemedDashboard[[#This Row],[Pre Device Install Year]]</f>
        <v/>
      </c>
      <c r="AN103" s="327" t="str">
        <f>IFERROR(IF(ISBLANK(DeemedDashboard[[#This Row],[MeasAppType]]),NA(),DeemedDashboard[[#This Row],[Measure Start Year]]+DeemedDashboard[[#This Row],[Msr EUL rounded]]-1),"")</f>
        <v/>
      </c>
      <c r="AO103" s="327" t="str">
        <f>IFERROR(DeemedDashboard[[#This Row],[Std Device Install Year]]+DeemedDashboard[[#This Row],[Counterfactual New Device EUL]]-1,"")</f>
        <v/>
      </c>
      <c r="AP103" s="327" t="str">
        <f>IFERROR(IF(AND(DeemedDashboard[[#This Row],[MeasAppType]]=const_AR,DeemedDashboard[[#This Row],[Measure Start Year]]&lt;(DeemedDashboard[[#This Row],[Pre Device Install Year]]+DeemedDashboard[[#This Row],[Existing Device EUL]]-1)),DeemedDashboard[[#This Row],[Measure Start Year]]-1,NA()),"")</f>
        <v/>
      </c>
      <c r="AQ103" s="327" t="str">
        <f>IFERROR(IF(DeemedDashboard[[#This Row],[MeasAppType]]=const_AR,DeemedDashboard[[#This Row],[Ext Device Install Year]]+DeemedDashboard[[#This Row],[Existing Device EUL]]-1,NA()),"")</f>
        <v/>
      </c>
      <c r="AR103" s="327" t="str">
        <f>IFERROR(IF(ISBLANK(DeemedDashboard[[#This Row],[MeasAppType]]),NA(),0),"")</f>
        <v/>
      </c>
      <c r="AS103" s="327" t="str">
        <f>IFERROR(IF(ISBLANK(DeemedDashboard[[#This Row],[MeasAppType]]),NA(),0),"")</f>
        <v/>
      </c>
      <c r="AT103" s="327" t="str">
        <f>IF(ISBLANK(DeemedDashboard[[#This Row],[MeasAppType]]),"",IF(DeemedDashboard[[#This Row],[MeasAppType]]&lt;&gt;const_AR,"",(DeemedDashboard[[#This Row],[Pre Device Install Year]]+DeemedDashboard[[#This Row],[Existing Device EUL]]-1)-DeemedDashboard[[#This Row],[Pre Device Retire-ment Year]]))</f>
        <v/>
      </c>
      <c r="AU103" s="327" t="str">
        <f>IF(ISBLANK(DeemedDashboard[[#This Row],[MeasAppType]]),"",IF(DeemedDashboard[[#This Row],[MeasAppType]]=const_AR,0,""))</f>
        <v/>
      </c>
      <c r="AV103" s="328" t="str">
        <f>IF(ISBLANK(DeemedDashboard[[#This Row],[MeasAppType]]),"",MAX((1+MIN(DeemedDashboard[[#This Row],[Msr Device Retire-ment Year]],DeemedDashboard[[#This Row],[Measure End 
Year]])-MAX(DeemedDashboard[[#This Row],[Msr Device Install Year]],DeemedDashboard[[#This Row],[Measure Start Year]])),0))</f>
        <v/>
      </c>
      <c r="AW103" s="328" t="str">
        <f>IF(ISBLANK(DeemedDashboard[[#This Row],[MeasAppType]]),"",MAX((1+MIN(DeemedDashboard[[#This Row],[Std Device Retire-ment Year]],DeemedDashboard[[#This Row],[Measure End 
Year]])-MAX(DeemedDashboard[[#This Row],[Std Device Install Year]],DeemedDashboard[[#This Row],[Measure Start Year]])),0))</f>
        <v/>
      </c>
      <c r="AX103"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3"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3" s="329" t="str">
        <f>IF(ISBLANK(DeemedDashboard[[#This Row],[MeasAppType]]),"",IF(DeemedDashboard[[#This Row],[Msr Device Years Over-lapping with Measure Years]]=0,0,DeemedDashboard[[#This Row],[Msr Device Years Over-lapping with Measure Years]]/DeemedDashboard[[#This Row],[Msr EUL rounded]]))</f>
        <v/>
      </c>
      <c r="BA103" s="329" t="str">
        <f>IF(ISBLANK(DeemedDashboard[[#This Row],[MeasAppType]]),"",IF(DeemedDashboard[[#This Row],[Std Device Years Over-lapping with Measure Years]]=0,0,DeemedDashboard[[#This Row],[Std Device Years Over-lapping with Measure Years]]/DeemedDashboard[[#This Row],[Counterfactual New Device EUL]]))</f>
        <v/>
      </c>
      <c r="BB103" s="329" t="str">
        <f>IF(ISBLANK(DeemedDashboard[[#This Row],[MeasAppType]]),"",IFERROR(IF(DeemedDashboard[[#This Row],[Pre Device Years Over-lapping with Measure Years]]=0,0,DeemedDashboard[[#This Row],[Pre Device Years Over-lapping with Measure Years]]/DeemedDashboard[[#This Row],[Existing Device EUL]]),""))</f>
        <v/>
      </c>
      <c r="BC103" s="329" t="str">
        <f>IFERROR(IF(DeemedDashboard[[#This Row],[Ext Device Years Over-lapping with Measure Years]]=0,0,DeemedDashboard[[#This Row],[Ext Device Years Over-lapping with Measure Years]]/DeemedDashboard[[#This Row],[Existing Device EUL]]),"")</f>
        <v/>
      </c>
      <c r="BD103" s="329" t="str">
        <f>IFERROR(IF(DeemedDashboard[[#This Row],[Msr Number of Years device retired early]]=0,0,DeemedDashboard[[#This Row],[Msr Number of Years device retired early]]/DeemedDashboard[[#This Row],[Msr EUL rounded]]),"")</f>
        <v/>
      </c>
      <c r="BE103" s="329" t="str">
        <f>IFERROR(IF(DeemedDashboard[[#This Row],[Std Number of Years device retired early]]=0,0,DeemedDashboard[[#This Row],[Std Number of Years device retired early]]/DeemedDashboard[[#This Row],[Msr EUL rounded]]),"")</f>
        <v/>
      </c>
      <c r="BF103" s="329" t="str">
        <f>IFERROR(IF(DeemedDashboard[[#This Row],[MeasAppType]]&lt;&gt;const_AR,"",IF(DeemedDashboard[[#This Row],[Pre Number of Years device retired early]]=0,0,DeemedDashboard[[#This Row],[Pre Number of Years device retired early]]/DeemedDashboard[[#This Row],[Existing Device EUL]])),"")</f>
        <v/>
      </c>
      <c r="BG103" s="329" t="str">
        <f>IFERROR(IF(DeemedDashboard[[#This Row],[Ext Number of Years device retired early]]=0,0,DeemedDashboard[[#This Row],[Ext Number of Years device retired early]]/DeemedDashboard[[#This Row],[Existing Device EUL]]),"")</f>
        <v/>
      </c>
      <c r="BH103" s="325" t="str">
        <f>IFERROR(1-DeemedDashboard[[#This Row],[Msr annual refrigerant leakage %]]*DeemedDashboard[[#This Row],[Msr t_EOL]],"")</f>
        <v/>
      </c>
      <c r="BI103" s="325" t="str">
        <f>IFERROR(1-DeemedDashboard[[#This Row],[Std annual refrigerant leakage %]]*DeemedDashboard[[#This Row],[Std t_EOL]],"")</f>
        <v/>
      </c>
      <c r="BJ103" s="325" t="str">
        <f>IFERROR(1-DeemedDashboard[[#This Row],[Pre/Ext annual refrigerant leakage %]]*DeemedDashboard[[#This Row],[Pre/Ext t_EOL]],"")</f>
        <v/>
      </c>
      <c r="BK103" s="325" t="str">
        <f>IFERROR(1-DeemedDashboard[[#This Row],[Pre/Ext annual refrigerant leakage %]]*DeemedDashboard[[#This Row],[Pre/Ext t_EOL]],"")</f>
        <v/>
      </c>
      <c r="BL103" s="325" t="str">
        <f>IFERROR(DeemedDashboard[[#This Row],[Msr charging remaining (%)]]*DeemedDashboard[[#This Row],[Msr gross EOL refrigerant leakage %]],"")</f>
        <v/>
      </c>
      <c r="BM103" s="325" t="str">
        <f>IFERROR(DeemedDashboard[[#This Row],[Std charging remaining (%)]]*DeemedDashboard[[#This Row],[Std gross EOL refrigerant leakage %]],"")</f>
        <v/>
      </c>
      <c r="BN103" s="325" t="str">
        <f>IFERROR(DeemedDashboard[[#This Row],[Pre charging remaining (%)]]*DeemedDashboard[[#This Row],[Pre/Ext gross EOL refrigerant leakage %]],"")</f>
        <v/>
      </c>
      <c r="BO103" s="325" t="str">
        <f>IFERROR(DeemedDashboard[[#This Row],[Ext charging remaining (%)]]*DeemedDashboard[[#This Row],[Pre/Ext gross EOL refrigerant leakage %]],"")</f>
        <v/>
      </c>
      <c r="BP103" s="330" t="str">
        <f>IFERROR((DeemedDashboard[[#This Row],[Msr refrigerant charge (lb) per NormUnit]]/pounds_per_metric_ton)*DeemedDashboard[[#This Row],[Msr annual refrigerant leakage %]]*DeemedDashboard[[#This Row],[Msr GWP]],"")</f>
        <v/>
      </c>
      <c r="BQ103" s="330" t="str">
        <f>IFERROR((DeemedDashboard[[#This Row],[Std refrigerant charge (lb) per NormUnit]]/pounds_per_metric_ton)*DeemedDashboard[[#This Row],[Std annual refrigerant leakage %]]*DeemedDashboard[[#This Row],[Std GWP]],"")</f>
        <v/>
      </c>
      <c r="BR103" s="330" t="str">
        <f>IF(DeemedDashboard[[#This Row],[MeasAppType]]=const_AR,(DeemedDashboard[[#This Row],[Pre/Ext refrigerant charge (lb) per NormUnit]]/pounds_per_metric_ton)*DeemedDashboard[[#This Row],[Pre/Ext annual refrigerant leakage %]]*DeemedDashboard[[#This Row],[Pre/Ext GWP]],"")</f>
        <v/>
      </c>
      <c r="BS103" s="330" t="str">
        <f>IF(DeemedDashboard[[#This Row],[MeasAppType]]=const_AR,(DeemedDashboard[[#This Row],[Pre/Ext refrigerant charge (lb) per NormUnit]]/pounds_per_metric_ton)*DeemedDashboard[[#This Row],[Pre/Ext annual refrigerant leakage %]]*DeemedDashboard[[#This Row],[Pre/Ext GWP]],"")</f>
        <v/>
      </c>
      <c r="BT103" s="330" t="str">
        <f>IFERROR((DeemedDashboard[[#This Row],[Msr refrigerant charge (lb) per NormUnit]]/pounds_per_metric_ton)*DeemedDashboard[[#This Row],[Msr net EOL refrigerant leakage (%)]]*DeemedDashboard[[#This Row],[Msr GWP]],"")</f>
        <v/>
      </c>
      <c r="BU103" s="330" t="str">
        <f>IFERROR((DeemedDashboard[[#This Row],[Std refrigerant charge (lb) per NormUnit]]/pounds_per_metric_ton)*DeemedDashboard[[#This Row],[Std net EOL refrigerant leakage (%)]]*DeemedDashboard[[#This Row],[Std GWP]],"")</f>
        <v/>
      </c>
      <c r="BV103" s="330" t="str">
        <f>IFERROR((DeemedDashboard[[#This Row],[Pre/Ext refrigerant charge (lb) per NormUnit]]/pounds_per_metric_ton)*DeemedDashboard[[#This Row],[Pre net EOL refrigerant leakage (%)]]*DeemedDashboard[[#This Row],[Pre/Ext GWP]],"")</f>
        <v/>
      </c>
      <c r="BW103" s="330" t="str">
        <f>IFERROR((DeemedDashboard[[#This Row],[Pre/Ext refrigerant charge (lb) per NormUnit]]/pounds_per_metric_ton)*DeemedDashboard[[#This Row],[Ext net EOL refrigerant leakage (%)]]*DeemedDashboard[[#This Row],[Pre/Ext GWP]],"")</f>
        <v/>
      </c>
      <c r="BX103" s="299" t="str" cm="1">
        <f t="array" aca="1" ref="BX103"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3" s="305" t="str" cm="1">
        <f t="array" aca="1" ref="BY103"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3" s="299" t="str">
        <f>IFERROR(IF(OR(DeemedDashboard[[#This Row],[MeasAppType]]&lt;&gt;const_AR,ISBLANK(DeemedDashboard[[#This Row],[MeasAppType]])),NA(),0),"")</f>
        <v/>
      </c>
      <c r="CA103" s="305" t="str" cm="1">
        <f t="array" aca="1" ref="CA103"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3" s="299" t="str">
        <f ca="1">IFERROR((DeemedDashboard[[#This Row],[Msr EOL leakage tons CO2e]]*OFFSET(GHG_Adder_dollar_per_tonne,0,(DeemedDashboard[[#This Row],[Msr Device Retire-ment Year]]-DY+1),1,1))/(1+WACC)^(DeemedDashboard[[#This Row],[Msr Device Retire-ment Year]]-DeemedDashboard[[#This Row],[Measure Start Year]]+0.5),"")</f>
        <v/>
      </c>
      <c r="CC103" s="299" t="str">
        <f ca="1">IFERROR((DeemedDashboard[[#This Row],[Std EOL leakage tons CO2e]]*OFFSET(GHG_Adder_dollar_per_tonne,0,(DeemedDashboard[[#This Row],[Std Device Retire-ment Year]]-DY+1),1,1))/(1+WACC)^(DeemedDashboard[[#This Row],[Std Device Retire-ment Year]]-DeemedDashboard[[#This Row],[Measure Start Year]]+0.5),"")</f>
        <v/>
      </c>
      <c r="CD103" s="299" t="str">
        <f ca="1">IFERROR((DeemedDashboard[[#This Row],[Pre EOL leakage tons CO2e]]*OFFSET(GHG_Adder_dollar_per_tonne,0,(DeemedDashboard[[#This Row],[Measure Start Year]]-DY),1,1))/(1+WACC)^(-0.5),"")</f>
        <v/>
      </c>
      <c r="CE103"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3" s="299" t="str">
        <f ca="1">IFERROR(DeemedDashboard[[#This Row],[Msr NPV Cost of Annual Leakage]]/(1+ACC_Inflation_Rate)^(DeemedDashboard[[#This Row],[Measure Start Year]]-DY),"")</f>
        <v/>
      </c>
      <c r="CG103" s="299" t="str">
        <f ca="1">IFERROR(DeemedDashboard[[#This Row],[Std NPV Cost of Annual Leakage]]/(1+ACC_Inflation_Rate)^(DeemedDashboard[[#This Row],[Measure Start Year]]-DY),"")</f>
        <v/>
      </c>
      <c r="CH103" s="299" t="str">
        <f>IFERROR(IF(ISBLANK(DeemedDashboard[[#This Row],[MeasAppType]]),NA(),IF(DeemedDashboard[[#This Row],[MeasAppType]]=const_AR,DeemedDashboard[[#This Row],[Pre NPV Cost of Annual Leakage]]/(1+ACC_Inflation_Rate)^(DeemedDashboard[[#This Row],[Measure Start Year]]-DY),"")),"")</f>
        <v/>
      </c>
      <c r="CI103" s="296" t="str">
        <f>IFERROR(IF(ISBLANK(DeemedDashboard[[#This Row],[MeasAppType]]),NA(),IF(DeemedDashboard[[#This Row],[MeasAppType]]=const_AR,DeemedDashboard[[#This Row],[Ext NPV Cost of Annual Leakage]]/(1+ACC_Inflation_Rate)^(DeemedDashboard[[#This Row],[Measure Start Year]]-DY),"")),"")</f>
        <v/>
      </c>
      <c r="CJ103" s="296" t="str">
        <f ca="1">IFERROR((DeemedDashboard[[#This Row],[Msr % of device lifetime during measure years]]+DeemedDashboard[[#This Row],[Msr % of device lifetime retired early]])*DeemedDashboard[[#This Row],[Msr NPV Cost of EOL Leakage]]/(1+ACC_Inflation_Rate)^(DeemedDashboard[[#This Row],[Measure Start Year]]-DY),"")</f>
        <v/>
      </c>
      <c r="CK103" s="296" t="str">
        <f ca="1">IFERROR((DeemedDashboard[[#This Row],[Std % of device lifetime during measure years]]+DeemedDashboard[[#This Row],[Std % of device lifetime retired early]])*DeemedDashboard[[#This Row],[Std NPV Cost of EOL Leakage]]/(1+ACC_Inflation_Rate)^(DeemedDashboard[[#This Row],[Measure Start Year]]-DY),"")</f>
        <v/>
      </c>
      <c r="CL103"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3"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3"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3"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3" s="299" t="str">
        <f ca="1">IFERROR(DeemedDashboard[[#This Row],[Counter-factual total 
NPV cost]]-DeemedDashboard[[#This Row],[Measure total 
NPV cost]],"")</f>
        <v/>
      </c>
      <c r="CQ103" s="299" t="str">
        <f>IF(ISBLANK(DeemedDashboard[[#This Row],[MeasAppType]]),"",DeemedDashboard[[#This Row],[Refrigerant
NPV costs
avoided]]&gt;0)</f>
        <v/>
      </c>
      <c r="CR103" s="299" t="str">
        <f ca="1">IFERROR(DeemedDashboard[[#This Row],[Msr Adj NPV Cost of Annual Leakage]]+DeemedDashboard[[#This Row],[Msr Adj NPV Cost of EOL Leakage]],"")</f>
        <v/>
      </c>
      <c r="CS103" s="299" t="str">
        <f ca="1">IFERROR(DeemedDashboard[[#This Row],[Std Adj NPV Cost of Annual Leakage]]+DeemedDashboard[[#This Row],[Std Adj NPV Cost of EOL Leakage]],"")</f>
        <v/>
      </c>
      <c r="CT103" s="299" t="str">
        <f>IFERROR(IF((DeemedDashboard[[#This Row],[Pre Adj NPV Cost of Annual Leakage]]+DeemedDashboard[[#This Row],[Pre Adj NPV Cost of EOL Leakage]])=0,"",DeemedDashboard[[#This Row],[Pre Adj NPV Cost of Annual Leakage]]+DeemedDashboard[[#This Row],[Pre Adj NPV Cost of EOL Leakage]]),"")</f>
        <v/>
      </c>
      <c r="CU103" s="299" t="str">
        <f>IFERROR(IF((DeemedDashboard[[#This Row],[Ext Adj NPV Cost of Annual Leakage]]+DeemedDashboard[[#This Row],[Ext Adj NPV Cost of EOL Leakage]])=0,"",DeemedDashboard[[#This Row],[Ext Adj NPV Cost of Annual Leakage]]+DeemedDashboard[[#This Row],[Ext Adj NPV Cost of EOL Leakage]]),"")</f>
        <v/>
      </c>
      <c r="CV103" s="299" t="str">
        <f>IFERROR(IF(DeemedDashboard[[#This Row],[Is Avoided Net Cost &gt;0?]],"",-DeemedDashboard[[#This Row],[Refrigerant
NPV costs
avoided]]),"")</f>
        <v/>
      </c>
      <c r="CW103" s="299" t="str">
        <f>IFERROR(IF(DeemedDashboard[[#This Row],[Is Avoided Net Cost &gt;0?]],DeemedDashboard[[#This Row],[Refrigerant
NPV costs
avoided]],""),"")</f>
        <v/>
      </c>
      <c r="CX103" s="391">
        <f ca="1">IFERROR(MATCH(DeemedDashboard[[#This Row],[TechGroup and NormUnit]],TechGroup_and_NormUnit,0),1)</f>
        <v>1</v>
      </c>
      <c r="CY103" s="391" cm="1">
        <f t="array" aca="1" ref="CY103" ca="1">IFERROR(INDEX(TGRows,DeemedDashboard[[#This Row],[TGIndex]]),"")</f>
        <v>2</v>
      </c>
      <c r="CZ103" s="391">
        <f ca="1">IF(DeemedDashboard[[#This Row],[MeasAppType]]=const_AR,DeemedDashboard[[#This Row],[TGRows]],DeemedDashboard[[#This Row],[TGRows]]+1)</f>
        <v>3</v>
      </c>
      <c r="DA103" s="391" t="str">
        <f>IF(ISBLANK(DeemedDashboard[[#This Row],[MeasAppType]]),"",IF(DeemedDashboard[[#This Row],[Index]]=User_Specified_Refrigerant[[#This Row],[Index]],"OK","ERROR"))</f>
        <v/>
      </c>
    </row>
    <row r="104" spans="1:105" s="320" customFormat="1" x14ac:dyDescent="0.25">
      <c r="A104" s="297">
        <f>ROW(DeemedDashboard[[#This Row],[Index]])-ROW(DeemedDashboard[[#Headers],[Index]])</f>
        <v>95</v>
      </c>
      <c r="B104" s="298"/>
      <c r="C104" s="321"/>
      <c r="D104" s="403"/>
      <c r="E104" s="403"/>
      <c r="F104" s="403"/>
      <c r="G104" s="403"/>
      <c r="H104" s="366"/>
      <c r="I104" s="339"/>
      <c r="J104" s="339"/>
      <c r="K104" s="339"/>
      <c r="L104" s="322"/>
      <c r="M104" s="322"/>
      <c r="N104" s="322"/>
      <c r="O104"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4"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4"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4" s="582" t="str" cm="1">
        <f t="array" ref="R104">IFERROR(IF(DeemedDashboard[[#This Row],[Msr device type]]=const_device_nonrefrig,0,INDEX(_xlfn.SWITCH($E$4,const_20_yr,GWP_Values_20_year_AR4,const_100_yr,GWP_Values_100_year_AR4),MATCH(DeemedDashboard[[#This Row],[Msr refrigerant Type]],RefrigDropdownList,0))),"")</f>
        <v/>
      </c>
      <c r="S104" s="582" t="str" cm="1">
        <f t="array" ref="S104">IFERROR(IF(DeemedDashboard[[#This Row],[Std device type]]=const_device_nonrefrig,0,INDEX(_xlfn.SWITCH($E$4,const_20_yr,GWP_Values_20_year_AR4,const_100_yr,GWP_Values_100_year_AR4),MATCH(DeemedDashboard[[#This Row],[Std refrigerant Type]],RefrigDropdownList,0))),"")</f>
        <v/>
      </c>
      <c r="T104" s="582" t="str" cm="1">
        <f t="array" ref="T104">IFERROR(IF(DeemedDashboard[[#This Row],[Pre/Ext device type]]=const_device_nonrefrig,0,INDEX(_xlfn.SWITCH($E$4,const_20_yr,GWP_Values_20_year_AR4,const_100_yr,GWP_Values_100_year_AR4),MATCH(DeemedDashboard[[#This Row],[Pre/Ext refrigerant Type]],RefrigDropdownList,0))),"")</f>
        <v/>
      </c>
      <c r="U104"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4"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4"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4"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4"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4"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4" s="326" t="str">
        <f>IFERROR(IF(DeemedDashboard[[#This Row],[Msr device type]]=const_userspec,IF(ISBLANK(User_Specified_Refrigerant[[#This Row],[Msr t_EOL]]),"",User_Specified_Refrigerant[[#This Row],[Msr t_EOL]]),INDEX(TechGroup_NormUnit_Table[t_EOL],MATCH(DeemedDashboard[[#This Row],[Msr device type]],DropdownRefrigTech,0))),"")</f>
        <v/>
      </c>
      <c r="AB104" s="326" t="str">
        <f>IFERROR(IF(DeemedDashboard[[#This Row],[Std device type]]=const_userspec,IF(ISBLANK(User_Specified_Refrigerant[[#This Row],[Std t_EOL]]),"",User_Specified_Refrigerant[[#This Row],[Std t_EOL]]),INDEX(TechGroup_NormUnit_Table[t_EOL],MATCH(DeemedDashboard[[#This Row],[Std device type]],DropdownRefrigTech,0))),"")</f>
        <v/>
      </c>
      <c r="AC104"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4" s="395" t="str">
        <f>IF(ISBLANK(DeemedDashboard[[#This Row],[MeasAppType]]),"",$E$2)</f>
        <v/>
      </c>
      <c r="AE104" s="395" t="str">
        <f>IFERROR(IF(ISBLANK(DeemedDashboard[[#This Row],[MeasAppType]]),NA(),DeemedDashboard[[#This Row],[Measure Start Year]]+DeemedDashboard[[#This Row],[Msr EUL rounded]]-1),"")</f>
        <v/>
      </c>
      <c r="AF104" s="323" t="str">
        <f>IF(ISBLANK(DeemedDashboard[[#This Row],[Measure New Device EUL]]),"",ROUND(DeemedDashboard[[#This Row],[Measure New Device EUL]],0))</f>
        <v/>
      </c>
      <c r="AG104" s="323" t="str">
        <f>IF(ISBLANK(DeemedDashboard[[#This Row],[Counterfactual New Device EUL]]),"",ROUND(DeemedDashboard[[#This Row],[Counterfactual New Device EUL]],0))</f>
        <v/>
      </c>
      <c r="AH104" s="323" t="str">
        <f>IF(ISBLANK(DeemedDashboard[[#This Row],[Existing Device EUL]]),"",ROUND(DeemedDashboard[[#This Row],[Existing Device EUL]],0))</f>
        <v/>
      </c>
      <c r="AI104" s="323" t="str">
        <f>IF(ISBLANK(DeemedDashboard[[#This Row],[Existing Device RUL or AR First Baseline Life]]),"",ROUND(DeemedDashboard[[#This Row],[Existing Device RUL or AR First Baseline Life]],0))</f>
        <v/>
      </c>
      <c r="AJ104" s="327" t="str">
        <f>DeemedDashboard[[#This Row],[Measure Start Year]]</f>
        <v/>
      </c>
      <c r="AK104" s="327" t="str">
        <f>IF(DeemedDashboard[[#This Row],[MeasAppType]]&lt;&gt;const_AR,DeemedDashboard[[#This Row],[Measure Start Year]],DeemedDashboard[[#This Row],[Ext Device Retire-ment Year]]+1)</f>
        <v/>
      </c>
      <c r="AL104" s="327" t="str">
        <f>IFERROR(IF(DeemedDashboard[[#This Row],[MeasAppType]]=const_AR,DeemedDashboard[[#This Row],[Measure Start Year]]-(DeemedDashboard[[#This Row],[Existing Device EUL]]-DeemedDashboard[[#This Row],[Existing Device RUL or AR First Baseline Life]]),NA()),"")</f>
        <v/>
      </c>
      <c r="AM104" s="327" t="str">
        <f>DeemedDashboard[[#This Row],[Pre Device Install Year]]</f>
        <v/>
      </c>
      <c r="AN104" s="327" t="str">
        <f>IFERROR(IF(ISBLANK(DeemedDashboard[[#This Row],[MeasAppType]]),NA(),DeemedDashboard[[#This Row],[Measure Start Year]]+DeemedDashboard[[#This Row],[Msr EUL rounded]]-1),"")</f>
        <v/>
      </c>
      <c r="AO104" s="327" t="str">
        <f>IFERROR(DeemedDashboard[[#This Row],[Std Device Install Year]]+DeemedDashboard[[#This Row],[Counterfactual New Device EUL]]-1,"")</f>
        <v/>
      </c>
      <c r="AP104" s="327" t="str">
        <f>IFERROR(IF(AND(DeemedDashboard[[#This Row],[MeasAppType]]=const_AR,DeemedDashboard[[#This Row],[Measure Start Year]]&lt;(DeemedDashboard[[#This Row],[Pre Device Install Year]]+DeemedDashboard[[#This Row],[Existing Device EUL]]-1)),DeemedDashboard[[#This Row],[Measure Start Year]]-1,NA()),"")</f>
        <v/>
      </c>
      <c r="AQ104" s="327" t="str">
        <f>IFERROR(IF(DeemedDashboard[[#This Row],[MeasAppType]]=const_AR,DeemedDashboard[[#This Row],[Ext Device Install Year]]+DeemedDashboard[[#This Row],[Existing Device EUL]]-1,NA()),"")</f>
        <v/>
      </c>
      <c r="AR104" s="327" t="str">
        <f>IFERROR(IF(ISBLANK(DeemedDashboard[[#This Row],[MeasAppType]]),NA(),0),"")</f>
        <v/>
      </c>
      <c r="AS104" s="327" t="str">
        <f>IFERROR(IF(ISBLANK(DeemedDashboard[[#This Row],[MeasAppType]]),NA(),0),"")</f>
        <v/>
      </c>
      <c r="AT104" s="327" t="str">
        <f>IF(ISBLANK(DeemedDashboard[[#This Row],[MeasAppType]]),"",IF(DeemedDashboard[[#This Row],[MeasAppType]]&lt;&gt;const_AR,"",(DeemedDashboard[[#This Row],[Pre Device Install Year]]+DeemedDashboard[[#This Row],[Existing Device EUL]]-1)-DeemedDashboard[[#This Row],[Pre Device Retire-ment Year]]))</f>
        <v/>
      </c>
      <c r="AU104" s="327" t="str">
        <f>IF(ISBLANK(DeemedDashboard[[#This Row],[MeasAppType]]),"",IF(DeemedDashboard[[#This Row],[MeasAppType]]=const_AR,0,""))</f>
        <v/>
      </c>
      <c r="AV104" s="328" t="str">
        <f>IF(ISBLANK(DeemedDashboard[[#This Row],[MeasAppType]]),"",MAX((1+MIN(DeemedDashboard[[#This Row],[Msr Device Retire-ment Year]],DeemedDashboard[[#This Row],[Measure End 
Year]])-MAX(DeemedDashboard[[#This Row],[Msr Device Install Year]],DeemedDashboard[[#This Row],[Measure Start Year]])),0))</f>
        <v/>
      </c>
      <c r="AW104" s="328" t="str">
        <f>IF(ISBLANK(DeemedDashboard[[#This Row],[MeasAppType]]),"",MAX((1+MIN(DeemedDashboard[[#This Row],[Std Device Retire-ment Year]],DeemedDashboard[[#This Row],[Measure End 
Year]])-MAX(DeemedDashboard[[#This Row],[Std Device Install Year]],DeemedDashboard[[#This Row],[Measure Start Year]])),0))</f>
        <v/>
      </c>
      <c r="AX104"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4"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4" s="329" t="str">
        <f>IF(ISBLANK(DeemedDashboard[[#This Row],[MeasAppType]]),"",IF(DeemedDashboard[[#This Row],[Msr Device Years Over-lapping with Measure Years]]=0,0,DeemedDashboard[[#This Row],[Msr Device Years Over-lapping with Measure Years]]/DeemedDashboard[[#This Row],[Msr EUL rounded]]))</f>
        <v/>
      </c>
      <c r="BA104" s="329" t="str">
        <f>IF(ISBLANK(DeemedDashboard[[#This Row],[MeasAppType]]),"",IF(DeemedDashboard[[#This Row],[Std Device Years Over-lapping with Measure Years]]=0,0,DeemedDashboard[[#This Row],[Std Device Years Over-lapping with Measure Years]]/DeemedDashboard[[#This Row],[Counterfactual New Device EUL]]))</f>
        <v/>
      </c>
      <c r="BB104" s="329" t="str">
        <f>IF(ISBLANK(DeemedDashboard[[#This Row],[MeasAppType]]),"",IFERROR(IF(DeemedDashboard[[#This Row],[Pre Device Years Over-lapping with Measure Years]]=0,0,DeemedDashboard[[#This Row],[Pre Device Years Over-lapping with Measure Years]]/DeemedDashboard[[#This Row],[Existing Device EUL]]),""))</f>
        <v/>
      </c>
      <c r="BC104" s="329" t="str">
        <f>IFERROR(IF(DeemedDashboard[[#This Row],[Ext Device Years Over-lapping with Measure Years]]=0,0,DeemedDashboard[[#This Row],[Ext Device Years Over-lapping with Measure Years]]/DeemedDashboard[[#This Row],[Existing Device EUL]]),"")</f>
        <v/>
      </c>
      <c r="BD104" s="329" t="str">
        <f>IFERROR(IF(DeemedDashboard[[#This Row],[Msr Number of Years device retired early]]=0,0,DeemedDashboard[[#This Row],[Msr Number of Years device retired early]]/DeemedDashboard[[#This Row],[Msr EUL rounded]]),"")</f>
        <v/>
      </c>
      <c r="BE104" s="329" t="str">
        <f>IFERROR(IF(DeemedDashboard[[#This Row],[Std Number of Years device retired early]]=0,0,DeemedDashboard[[#This Row],[Std Number of Years device retired early]]/DeemedDashboard[[#This Row],[Msr EUL rounded]]),"")</f>
        <v/>
      </c>
      <c r="BF104" s="329" t="str">
        <f>IFERROR(IF(DeemedDashboard[[#This Row],[MeasAppType]]&lt;&gt;const_AR,"",IF(DeemedDashboard[[#This Row],[Pre Number of Years device retired early]]=0,0,DeemedDashboard[[#This Row],[Pre Number of Years device retired early]]/DeemedDashboard[[#This Row],[Existing Device EUL]])),"")</f>
        <v/>
      </c>
      <c r="BG104" s="329" t="str">
        <f>IFERROR(IF(DeemedDashboard[[#This Row],[Ext Number of Years device retired early]]=0,0,DeemedDashboard[[#This Row],[Ext Number of Years device retired early]]/DeemedDashboard[[#This Row],[Existing Device EUL]]),"")</f>
        <v/>
      </c>
      <c r="BH104" s="325" t="str">
        <f>IFERROR(1-DeemedDashboard[[#This Row],[Msr annual refrigerant leakage %]]*DeemedDashboard[[#This Row],[Msr t_EOL]],"")</f>
        <v/>
      </c>
      <c r="BI104" s="325" t="str">
        <f>IFERROR(1-DeemedDashboard[[#This Row],[Std annual refrigerant leakage %]]*DeemedDashboard[[#This Row],[Std t_EOL]],"")</f>
        <v/>
      </c>
      <c r="BJ104" s="325" t="str">
        <f>IFERROR(1-DeemedDashboard[[#This Row],[Pre/Ext annual refrigerant leakage %]]*DeemedDashboard[[#This Row],[Pre/Ext t_EOL]],"")</f>
        <v/>
      </c>
      <c r="BK104" s="325" t="str">
        <f>IFERROR(1-DeemedDashboard[[#This Row],[Pre/Ext annual refrigerant leakage %]]*DeemedDashboard[[#This Row],[Pre/Ext t_EOL]],"")</f>
        <v/>
      </c>
      <c r="BL104" s="325" t="str">
        <f>IFERROR(DeemedDashboard[[#This Row],[Msr charging remaining (%)]]*DeemedDashboard[[#This Row],[Msr gross EOL refrigerant leakage %]],"")</f>
        <v/>
      </c>
      <c r="BM104" s="325" t="str">
        <f>IFERROR(DeemedDashboard[[#This Row],[Std charging remaining (%)]]*DeemedDashboard[[#This Row],[Std gross EOL refrigerant leakage %]],"")</f>
        <v/>
      </c>
      <c r="BN104" s="325" t="str">
        <f>IFERROR(DeemedDashboard[[#This Row],[Pre charging remaining (%)]]*DeemedDashboard[[#This Row],[Pre/Ext gross EOL refrigerant leakage %]],"")</f>
        <v/>
      </c>
      <c r="BO104" s="325" t="str">
        <f>IFERROR(DeemedDashboard[[#This Row],[Ext charging remaining (%)]]*DeemedDashboard[[#This Row],[Pre/Ext gross EOL refrigerant leakage %]],"")</f>
        <v/>
      </c>
      <c r="BP104" s="330" t="str">
        <f>IFERROR((DeemedDashboard[[#This Row],[Msr refrigerant charge (lb) per NormUnit]]/pounds_per_metric_ton)*DeemedDashboard[[#This Row],[Msr annual refrigerant leakage %]]*DeemedDashboard[[#This Row],[Msr GWP]],"")</f>
        <v/>
      </c>
      <c r="BQ104" s="330" t="str">
        <f>IFERROR((DeemedDashboard[[#This Row],[Std refrigerant charge (lb) per NormUnit]]/pounds_per_metric_ton)*DeemedDashboard[[#This Row],[Std annual refrigerant leakage %]]*DeemedDashboard[[#This Row],[Std GWP]],"")</f>
        <v/>
      </c>
      <c r="BR104" s="330" t="str">
        <f>IF(DeemedDashboard[[#This Row],[MeasAppType]]=const_AR,(DeemedDashboard[[#This Row],[Pre/Ext refrigerant charge (lb) per NormUnit]]/pounds_per_metric_ton)*DeemedDashboard[[#This Row],[Pre/Ext annual refrigerant leakage %]]*DeemedDashboard[[#This Row],[Pre/Ext GWP]],"")</f>
        <v/>
      </c>
      <c r="BS104" s="330" t="str">
        <f>IF(DeemedDashboard[[#This Row],[MeasAppType]]=const_AR,(DeemedDashboard[[#This Row],[Pre/Ext refrigerant charge (lb) per NormUnit]]/pounds_per_metric_ton)*DeemedDashboard[[#This Row],[Pre/Ext annual refrigerant leakage %]]*DeemedDashboard[[#This Row],[Pre/Ext GWP]],"")</f>
        <v/>
      </c>
      <c r="BT104" s="330" t="str">
        <f>IFERROR((DeemedDashboard[[#This Row],[Msr refrigerant charge (lb) per NormUnit]]/pounds_per_metric_ton)*DeemedDashboard[[#This Row],[Msr net EOL refrigerant leakage (%)]]*DeemedDashboard[[#This Row],[Msr GWP]],"")</f>
        <v/>
      </c>
      <c r="BU104" s="330" t="str">
        <f>IFERROR((DeemedDashboard[[#This Row],[Std refrigerant charge (lb) per NormUnit]]/pounds_per_metric_ton)*DeemedDashboard[[#This Row],[Std net EOL refrigerant leakage (%)]]*DeemedDashboard[[#This Row],[Std GWP]],"")</f>
        <v/>
      </c>
      <c r="BV104" s="330" t="str">
        <f>IFERROR((DeemedDashboard[[#This Row],[Pre/Ext refrigerant charge (lb) per NormUnit]]/pounds_per_metric_ton)*DeemedDashboard[[#This Row],[Pre net EOL refrigerant leakage (%)]]*DeemedDashboard[[#This Row],[Pre/Ext GWP]],"")</f>
        <v/>
      </c>
      <c r="BW104" s="330" t="str">
        <f>IFERROR((DeemedDashboard[[#This Row],[Pre/Ext refrigerant charge (lb) per NormUnit]]/pounds_per_metric_ton)*DeemedDashboard[[#This Row],[Ext net EOL refrigerant leakage (%)]]*DeemedDashboard[[#This Row],[Pre/Ext GWP]],"")</f>
        <v/>
      </c>
      <c r="BX104" s="299" t="str" cm="1">
        <f t="array" aca="1" ref="BX104"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4" s="305" t="str" cm="1">
        <f t="array" aca="1" ref="BY104"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4" s="299" t="str">
        <f>IFERROR(IF(OR(DeemedDashboard[[#This Row],[MeasAppType]]&lt;&gt;const_AR,ISBLANK(DeemedDashboard[[#This Row],[MeasAppType]])),NA(),0),"")</f>
        <v/>
      </c>
      <c r="CA104" s="305" t="str" cm="1">
        <f t="array" aca="1" ref="CA104"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4" s="299" t="str">
        <f ca="1">IFERROR((DeemedDashboard[[#This Row],[Msr EOL leakage tons CO2e]]*OFFSET(GHG_Adder_dollar_per_tonne,0,(DeemedDashboard[[#This Row],[Msr Device Retire-ment Year]]-DY+1),1,1))/(1+WACC)^(DeemedDashboard[[#This Row],[Msr Device Retire-ment Year]]-DeemedDashboard[[#This Row],[Measure Start Year]]+0.5),"")</f>
        <v/>
      </c>
      <c r="CC104" s="299" t="str">
        <f ca="1">IFERROR((DeemedDashboard[[#This Row],[Std EOL leakage tons CO2e]]*OFFSET(GHG_Adder_dollar_per_tonne,0,(DeemedDashboard[[#This Row],[Std Device Retire-ment Year]]-DY+1),1,1))/(1+WACC)^(DeemedDashboard[[#This Row],[Std Device Retire-ment Year]]-DeemedDashboard[[#This Row],[Measure Start Year]]+0.5),"")</f>
        <v/>
      </c>
      <c r="CD104" s="299" t="str">
        <f ca="1">IFERROR((DeemedDashboard[[#This Row],[Pre EOL leakage tons CO2e]]*OFFSET(GHG_Adder_dollar_per_tonne,0,(DeemedDashboard[[#This Row],[Measure Start Year]]-DY),1,1))/(1+WACC)^(-0.5),"")</f>
        <v/>
      </c>
      <c r="CE104"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4" s="299" t="str">
        <f ca="1">IFERROR(DeemedDashboard[[#This Row],[Msr NPV Cost of Annual Leakage]]/(1+ACC_Inflation_Rate)^(DeemedDashboard[[#This Row],[Measure Start Year]]-DY),"")</f>
        <v/>
      </c>
      <c r="CG104" s="299" t="str">
        <f ca="1">IFERROR(DeemedDashboard[[#This Row],[Std NPV Cost of Annual Leakage]]/(1+ACC_Inflation_Rate)^(DeemedDashboard[[#This Row],[Measure Start Year]]-DY),"")</f>
        <v/>
      </c>
      <c r="CH104" s="299" t="str">
        <f>IFERROR(IF(ISBLANK(DeemedDashboard[[#This Row],[MeasAppType]]),NA(),IF(DeemedDashboard[[#This Row],[MeasAppType]]=const_AR,DeemedDashboard[[#This Row],[Pre NPV Cost of Annual Leakage]]/(1+ACC_Inflation_Rate)^(DeemedDashboard[[#This Row],[Measure Start Year]]-DY),"")),"")</f>
        <v/>
      </c>
      <c r="CI104" s="296" t="str">
        <f>IFERROR(IF(ISBLANK(DeemedDashboard[[#This Row],[MeasAppType]]),NA(),IF(DeemedDashboard[[#This Row],[MeasAppType]]=const_AR,DeemedDashboard[[#This Row],[Ext NPV Cost of Annual Leakage]]/(1+ACC_Inflation_Rate)^(DeemedDashboard[[#This Row],[Measure Start Year]]-DY),"")),"")</f>
        <v/>
      </c>
      <c r="CJ104" s="296" t="str">
        <f ca="1">IFERROR((DeemedDashboard[[#This Row],[Msr % of device lifetime during measure years]]+DeemedDashboard[[#This Row],[Msr % of device lifetime retired early]])*DeemedDashboard[[#This Row],[Msr NPV Cost of EOL Leakage]]/(1+ACC_Inflation_Rate)^(DeemedDashboard[[#This Row],[Measure Start Year]]-DY),"")</f>
        <v/>
      </c>
      <c r="CK104" s="296" t="str">
        <f ca="1">IFERROR((DeemedDashboard[[#This Row],[Std % of device lifetime during measure years]]+DeemedDashboard[[#This Row],[Std % of device lifetime retired early]])*DeemedDashboard[[#This Row],[Std NPV Cost of EOL Leakage]]/(1+ACC_Inflation_Rate)^(DeemedDashboard[[#This Row],[Measure Start Year]]-DY),"")</f>
        <v/>
      </c>
      <c r="CL104"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4"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4"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4"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4" s="299" t="str">
        <f ca="1">IFERROR(DeemedDashboard[[#This Row],[Counter-factual total 
NPV cost]]-DeemedDashboard[[#This Row],[Measure total 
NPV cost]],"")</f>
        <v/>
      </c>
      <c r="CQ104" s="299" t="str">
        <f>IF(ISBLANK(DeemedDashboard[[#This Row],[MeasAppType]]),"",DeemedDashboard[[#This Row],[Refrigerant
NPV costs
avoided]]&gt;0)</f>
        <v/>
      </c>
      <c r="CR104" s="299" t="str">
        <f ca="1">IFERROR(DeemedDashboard[[#This Row],[Msr Adj NPV Cost of Annual Leakage]]+DeemedDashboard[[#This Row],[Msr Adj NPV Cost of EOL Leakage]],"")</f>
        <v/>
      </c>
      <c r="CS104" s="299" t="str">
        <f ca="1">IFERROR(DeemedDashboard[[#This Row],[Std Adj NPV Cost of Annual Leakage]]+DeemedDashboard[[#This Row],[Std Adj NPV Cost of EOL Leakage]],"")</f>
        <v/>
      </c>
      <c r="CT104" s="299" t="str">
        <f>IFERROR(IF((DeemedDashboard[[#This Row],[Pre Adj NPV Cost of Annual Leakage]]+DeemedDashboard[[#This Row],[Pre Adj NPV Cost of EOL Leakage]])=0,"",DeemedDashboard[[#This Row],[Pre Adj NPV Cost of Annual Leakage]]+DeemedDashboard[[#This Row],[Pre Adj NPV Cost of EOL Leakage]]),"")</f>
        <v/>
      </c>
      <c r="CU104" s="299" t="str">
        <f>IFERROR(IF((DeemedDashboard[[#This Row],[Ext Adj NPV Cost of Annual Leakage]]+DeemedDashboard[[#This Row],[Ext Adj NPV Cost of EOL Leakage]])=0,"",DeemedDashboard[[#This Row],[Ext Adj NPV Cost of Annual Leakage]]+DeemedDashboard[[#This Row],[Ext Adj NPV Cost of EOL Leakage]]),"")</f>
        <v/>
      </c>
      <c r="CV104" s="299" t="str">
        <f>IFERROR(IF(DeemedDashboard[[#This Row],[Is Avoided Net Cost &gt;0?]],"",-DeemedDashboard[[#This Row],[Refrigerant
NPV costs
avoided]]),"")</f>
        <v/>
      </c>
      <c r="CW104" s="299" t="str">
        <f>IFERROR(IF(DeemedDashboard[[#This Row],[Is Avoided Net Cost &gt;0?]],DeemedDashboard[[#This Row],[Refrigerant
NPV costs
avoided]],""),"")</f>
        <v/>
      </c>
      <c r="CX104" s="391">
        <f ca="1">IFERROR(MATCH(DeemedDashboard[[#This Row],[TechGroup and NormUnit]],TechGroup_and_NormUnit,0),1)</f>
        <v>1</v>
      </c>
      <c r="CY104" s="391" cm="1">
        <f t="array" aca="1" ref="CY104" ca="1">IFERROR(INDEX(TGRows,DeemedDashboard[[#This Row],[TGIndex]]),"")</f>
        <v>2</v>
      </c>
      <c r="CZ104" s="391">
        <f ca="1">IF(DeemedDashboard[[#This Row],[MeasAppType]]=const_AR,DeemedDashboard[[#This Row],[TGRows]],DeemedDashboard[[#This Row],[TGRows]]+1)</f>
        <v>3</v>
      </c>
      <c r="DA104" s="391" t="str">
        <f>IF(ISBLANK(DeemedDashboard[[#This Row],[MeasAppType]]),"",IF(DeemedDashboard[[#This Row],[Index]]=User_Specified_Refrigerant[[#This Row],[Index]],"OK","ERROR"))</f>
        <v/>
      </c>
    </row>
    <row r="105" spans="1:105" s="320" customFormat="1" x14ac:dyDescent="0.25">
      <c r="A105" s="297">
        <f>ROW(DeemedDashboard[[#This Row],[Index]])-ROW(DeemedDashboard[[#Headers],[Index]])</f>
        <v>96</v>
      </c>
      <c r="B105" s="298"/>
      <c r="C105" s="321"/>
      <c r="D105" s="403"/>
      <c r="E105" s="403"/>
      <c r="F105" s="403"/>
      <c r="G105" s="403"/>
      <c r="H105" s="366"/>
      <c r="I105" s="339"/>
      <c r="J105" s="339"/>
      <c r="K105" s="339"/>
      <c r="L105" s="322"/>
      <c r="M105" s="322"/>
      <c r="N105" s="322"/>
      <c r="O105"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5"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5"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5" s="582" t="str" cm="1">
        <f t="array" ref="R105">IFERROR(IF(DeemedDashboard[[#This Row],[Msr device type]]=const_device_nonrefrig,0,INDEX(_xlfn.SWITCH($E$4,const_20_yr,GWP_Values_20_year_AR4,const_100_yr,GWP_Values_100_year_AR4),MATCH(DeemedDashboard[[#This Row],[Msr refrigerant Type]],RefrigDropdownList,0))),"")</f>
        <v/>
      </c>
      <c r="S105" s="582" t="str" cm="1">
        <f t="array" ref="S105">IFERROR(IF(DeemedDashboard[[#This Row],[Std device type]]=const_device_nonrefrig,0,INDEX(_xlfn.SWITCH($E$4,const_20_yr,GWP_Values_20_year_AR4,const_100_yr,GWP_Values_100_year_AR4),MATCH(DeemedDashboard[[#This Row],[Std refrigerant Type]],RefrigDropdownList,0))),"")</f>
        <v/>
      </c>
      <c r="T105" s="582" t="str" cm="1">
        <f t="array" ref="T105">IFERROR(IF(DeemedDashboard[[#This Row],[Pre/Ext device type]]=const_device_nonrefrig,0,INDEX(_xlfn.SWITCH($E$4,const_20_yr,GWP_Values_20_year_AR4,const_100_yr,GWP_Values_100_year_AR4),MATCH(DeemedDashboard[[#This Row],[Pre/Ext refrigerant Type]],RefrigDropdownList,0))),"")</f>
        <v/>
      </c>
      <c r="U105"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5"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5"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5"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5"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5"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5" s="326" t="str">
        <f>IFERROR(IF(DeemedDashboard[[#This Row],[Msr device type]]=const_userspec,IF(ISBLANK(User_Specified_Refrigerant[[#This Row],[Msr t_EOL]]),"",User_Specified_Refrigerant[[#This Row],[Msr t_EOL]]),INDEX(TechGroup_NormUnit_Table[t_EOL],MATCH(DeemedDashboard[[#This Row],[Msr device type]],DropdownRefrigTech,0))),"")</f>
        <v/>
      </c>
      <c r="AB105" s="326" t="str">
        <f>IFERROR(IF(DeemedDashboard[[#This Row],[Std device type]]=const_userspec,IF(ISBLANK(User_Specified_Refrigerant[[#This Row],[Std t_EOL]]),"",User_Specified_Refrigerant[[#This Row],[Std t_EOL]]),INDEX(TechGroup_NormUnit_Table[t_EOL],MATCH(DeemedDashboard[[#This Row],[Std device type]],DropdownRefrigTech,0))),"")</f>
        <v/>
      </c>
      <c r="AC105"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5" s="395" t="str">
        <f>IF(ISBLANK(DeemedDashboard[[#This Row],[MeasAppType]]),"",$E$2)</f>
        <v/>
      </c>
      <c r="AE105" s="395" t="str">
        <f>IFERROR(IF(ISBLANK(DeemedDashboard[[#This Row],[MeasAppType]]),NA(),DeemedDashboard[[#This Row],[Measure Start Year]]+DeemedDashboard[[#This Row],[Msr EUL rounded]]-1),"")</f>
        <v/>
      </c>
      <c r="AF105" s="323" t="str">
        <f>IF(ISBLANK(DeemedDashboard[[#This Row],[Measure New Device EUL]]),"",ROUND(DeemedDashboard[[#This Row],[Measure New Device EUL]],0))</f>
        <v/>
      </c>
      <c r="AG105" s="323" t="str">
        <f>IF(ISBLANK(DeemedDashboard[[#This Row],[Counterfactual New Device EUL]]),"",ROUND(DeemedDashboard[[#This Row],[Counterfactual New Device EUL]],0))</f>
        <v/>
      </c>
      <c r="AH105" s="323" t="str">
        <f>IF(ISBLANK(DeemedDashboard[[#This Row],[Existing Device EUL]]),"",ROUND(DeemedDashboard[[#This Row],[Existing Device EUL]],0))</f>
        <v/>
      </c>
      <c r="AI105" s="323" t="str">
        <f>IF(ISBLANK(DeemedDashboard[[#This Row],[Existing Device RUL or AR First Baseline Life]]),"",ROUND(DeemedDashboard[[#This Row],[Existing Device RUL or AR First Baseline Life]],0))</f>
        <v/>
      </c>
      <c r="AJ105" s="327" t="str">
        <f>DeemedDashboard[[#This Row],[Measure Start Year]]</f>
        <v/>
      </c>
      <c r="AK105" s="327" t="str">
        <f>IF(DeemedDashboard[[#This Row],[MeasAppType]]&lt;&gt;const_AR,DeemedDashboard[[#This Row],[Measure Start Year]],DeemedDashboard[[#This Row],[Ext Device Retire-ment Year]]+1)</f>
        <v/>
      </c>
      <c r="AL105" s="327" t="str">
        <f>IFERROR(IF(DeemedDashboard[[#This Row],[MeasAppType]]=const_AR,DeemedDashboard[[#This Row],[Measure Start Year]]-(DeemedDashboard[[#This Row],[Existing Device EUL]]-DeemedDashboard[[#This Row],[Existing Device RUL or AR First Baseline Life]]),NA()),"")</f>
        <v/>
      </c>
      <c r="AM105" s="327" t="str">
        <f>DeemedDashboard[[#This Row],[Pre Device Install Year]]</f>
        <v/>
      </c>
      <c r="AN105" s="327" t="str">
        <f>IFERROR(IF(ISBLANK(DeemedDashboard[[#This Row],[MeasAppType]]),NA(),DeemedDashboard[[#This Row],[Measure Start Year]]+DeemedDashboard[[#This Row],[Msr EUL rounded]]-1),"")</f>
        <v/>
      </c>
      <c r="AO105" s="327" t="str">
        <f>IFERROR(DeemedDashboard[[#This Row],[Std Device Install Year]]+DeemedDashboard[[#This Row],[Counterfactual New Device EUL]]-1,"")</f>
        <v/>
      </c>
      <c r="AP105" s="327" t="str">
        <f>IFERROR(IF(AND(DeemedDashboard[[#This Row],[MeasAppType]]=const_AR,DeemedDashboard[[#This Row],[Measure Start Year]]&lt;(DeemedDashboard[[#This Row],[Pre Device Install Year]]+DeemedDashboard[[#This Row],[Existing Device EUL]]-1)),DeemedDashboard[[#This Row],[Measure Start Year]]-1,NA()),"")</f>
        <v/>
      </c>
      <c r="AQ105" s="327" t="str">
        <f>IFERROR(IF(DeemedDashboard[[#This Row],[MeasAppType]]=const_AR,DeemedDashboard[[#This Row],[Ext Device Install Year]]+DeemedDashboard[[#This Row],[Existing Device EUL]]-1,NA()),"")</f>
        <v/>
      </c>
      <c r="AR105" s="327" t="str">
        <f>IFERROR(IF(ISBLANK(DeemedDashboard[[#This Row],[MeasAppType]]),NA(),0),"")</f>
        <v/>
      </c>
      <c r="AS105" s="327" t="str">
        <f>IFERROR(IF(ISBLANK(DeemedDashboard[[#This Row],[MeasAppType]]),NA(),0),"")</f>
        <v/>
      </c>
      <c r="AT105" s="327" t="str">
        <f>IF(ISBLANK(DeemedDashboard[[#This Row],[MeasAppType]]),"",IF(DeemedDashboard[[#This Row],[MeasAppType]]&lt;&gt;const_AR,"",(DeemedDashboard[[#This Row],[Pre Device Install Year]]+DeemedDashboard[[#This Row],[Existing Device EUL]]-1)-DeemedDashboard[[#This Row],[Pre Device Retire-ment Year]]))</f>
        <v/>
      </c>
      <c r="AU105" s="327" t="str">
        <f>IF(ISBLANK(DeemedDashboard[[#This Row],[MeasAppType]]),"",IF(DeemedDashboard[[#This Row],[MeasAppType]]=const_AR,0,""))</f>
        <v/>
      </c>
      <c r="AV105" s="328" t="str">
        <f>IF(ISBLANK(DeemedDashboard[[#This Row],[MeasAppType]]),"",MAX((1+MIN(DeemedDashboard[[#This Row],[Msr Device Retire-ment Year]],DeemedDashboard[[#This Row],[Measure End 
Year]])-MAX(DeemedDashboard[[#This Row],[Msr Device Install Year]],DeemedDashboard[[#This Row],[Measure Start Year]])),0))</f>
        <v/>
      </c>
      <c r="AW105" s="328" t="str">
        <f>IF(ISBLANK(DeemedDashboard[[#This Row],[MeasAppType]]),"",MAX((1+MIN(DeemedDashboard[[#This Row],[Std Device Retire-ment Year]],DeemedDashboard[[#This Row],[Measure End 
Year]])-MAX(DeemedDashboard[[#This Row],[Std Device Install Year]],DeemedDashboard[[#This Row],[Measure Start Year]])),0))</f>
        <v/>
      </c>
      <c r="AX105"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5"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5" s="329" t="str">
        <f>IF(ISBLANK(DeemedDashboard[[#This Row],[MeasAppType]]),"",IF(DeemedDashboard[[#This Row],[Msr Device Years Over-lapping with Measure Years]]=0,0,DeemedDashboard[[#This Row],[Msr Device Years Over-lapping with Measure Years]]/DeemedDashboard[[#This Row],[Msr EUL rounded]]))</f>
        <v/>
      </c>
      <c r="BA105" s="329" t="str">
        <f>IF(ISBLANK(DeemedDashboard[[#This Row],[MeasAppType]]),"",IF(DeemedDashboard[[#This Row],[Std Device Years Over-lapping with Measure Years]]=0,0,DeemedDashboard[[#This Row],[Std Device Years Over-lapping with Measure Years]]/DeemedDashboard[[#This Row],[Counterfactual New Device EUL]]))</f>
        <v/>
      </c>
      <c r="BB105" s="329" t="str">
        <f>IF(ISBLANK(DeemedDashboard[[#This Row],[MeasAppType]]),"",IFERROR(IF(DeemedDashboard[[#This Row],[Pre Device Years Over-lapping with Measure Years]]=0,0,DeemedDashboard[[#This Row],[Pre Device Years Over-lapping with Measure Years]]/DeemedDashboard[[#This Row],[Existing Device EUL]]),""))</f>
        <v/>
      </c>
      <c r="BC105" s="329" t="str">
        <f>IFERROR(IF(DeemedDashboard[[#This Row],[Ext Device Years Over-lapping with Measure Years]]=0,0,DeemedDashboard[[#This Row],[Ext Device Years Over-lapping with Measure Years]]/DeemedDashboard[[#This Row],[Existing Device EUL]]),"")</f>
        <v/>
      </c>
      <c r="BD105" s="329" t="str">
        <f>IFERROR(IF(DeemedDashboard[[#This Row],[Msr Number of Years device retired early]]=0,0,DeemedDashboard[[#This Row],[Msr Number of Years device retired early]]/DeemedDashboard[[#This Row],[Msr EUL rounded]]),"")</f>
        <v/>
      </c>
      <c r="BE105" s="329" t="str">
        <f>IFERROR(IF(DeemedDashboard[[#This Row],[Std Number of Years device retired early]]=0,0,DeemedDashboard[[#This Row],[Std Number of Years device retired early]]/DeemedDashboard[[#This Row],[Msr EUL rounded]]),"")</f>
        <v/>
      </c>
      <c r="BF105" s="329" t="str">
        <f>IFERROR(IF(DeemedDashboard[[#This Row],[MeasAppType]]&lt;&gt;const_AR,"",IF(DeemedDashboard[[#This Row],[Pre Number of Years device retired early]]=0,0,DeemedDashboard[[#This Row],[Pre Number of Years device retired early]]/DeemedDashboard[[#This Row],[Existing Device EUL]])),"")</f>
        <v/>
      </c>
      <c r="BG105" s="329" t="str">
        <f>IFERROR(IF(DeemedDashboard[[#This Row],[Ext Number of Years device retired early]]=0,0,DeemedDashboard[[#This Row],[Ext Number of Years device retired early]]/DeemedDashboard[[#This Row],[Existing Device EUL]]),"")</f>
        <v/>
      </c>
      <c r="BH105" s="325" t="str">
        <f>IFERROR(1-DeemedDashboard[[#This Row],[Msr annual refrigerant leakage %]]*DeemedDashboard[[#This Row],[Msr t_EOL]],"")</f>
        <v/>
      </c>
      <c r="BI105" s="325" t="str">
        <f>IFERROR(1-DeemedDashboard[[#This Row],[Std annual refrigerant leakage %]]*DeemedDashboard[[#This Row],[Std t_EOL]],"")</f>
        <v/>
      </c>
      <c r="BJ105" s="325" t="str">
        <f>IFERROR(1-DeemedDashboard[[#This Row],[Pre/Ext annual refrigerant leakage %]]*DeemedDashboard[[#This Row],[Pre/Ext t_EOL]],"")</f>
        <v/>
      </c>
      <c r="BK105" s="325" t="str">
        <f>IFERROR(1-DeemedDashboard[[#This Row],[Pre/Ext annual refrigerant leakage %]]*DeemedDashboard[[#This Row],[Pre/Ext t_EOL]],"")</f>
        <v/>
      </c>
      <c r="BL105" s="325" t="str">
        <f>IFERROR(DeemedDashboard[[#This Row],[Msr charging remaining (%)]]*DeemedDashboard[[#This Row],[Msr gross EOL refrigerant leakage %]],"")</f>
        <v/>
      </c>
      <c r="BM105" s="325" t="str">
        <f>IFERROR(DeemedDashboard[[#This Row],[Std charging remaining (%)]]*DeemedDashboard[[#This Row],[Std gross EOL refrigerant leakage %]],"")</f>
        <v/>
      </c>
      <c r="BN105" s="325" t="str">
        <f>IFERROR(DeemedDashboard[[#This Row],[Pre charging remaining (%)]]*DeemedDashboard[[#This Row],[Pre/Ext gross EOL refrigerant leakage %]],"")</f>
        <v/>
      </c>
      <c r="BO105" s="325" t="str">
        <f>IFERROR(DeemedDashboard[[#This Row],[Ext charging remaining (%)]]*DeemedDashboard[[#This Row],[Pre/Ext gross EOL refrigerant leakage %]],"")</f>
        <v/>
      </c>
      <c r="BP105" s="330" t="str">
        <f>IFERROR((DeemedDashboard[[#This Row],[Msr refrigerant charge (lb) per NormUnit]]/pounds_per_metric_ton)*DeemedDashboard[[#This Row],[Msr annual refrigerant leakage %]]*DeemedDashboard[[#This Row],[Msr GWP]],"")</f>
        <v/>
      </c>
      <c r="BQ105" s="330" t="str">
        <f>IFERROR((DeemedDashboard[[#This Row],[Std refrigerant charge (lb) per NormUnit]]/pounds_per_metric_ton)*DeemedDashboard[[#This Row],[Std annual refrigerant leakage %]]*DeemedDashboard[[#This Row],[Std GWP]],"")</f>
        <v/>
      </c>
      <c r="BR105" s="330" t="str">
        <f>IF(DeemedDashboard[[#This Row],[MeasAppType]]=const_AR,(DeemedDashboard[[#This Row],[Pre/Ext refrigerant charge (lb) per NormUnit]]/pounds_per_metric_ton)*DeemedDashboard[[#This Row],[Pre/Ext annual refrigerant leakage %]]*DeemedDashboard[[#This Row],[Pre/Ext GWP]],"")</f>
        <v/>
      </c>
      <c r="BS105" s="330" t="str">
        <f>IF(DeemedDashboard[[#This Row],[MeasAppType]]=const_AR,(DeemedDashboard[[#This Row],[Pre/Ext refrigerant charge (lb) per NormUnit]]/pounds_per_metric_ton)*DeemedDashboard[[#This Row],[Pre/Ext annual refrigerant leakage %]]*DeemedDashboard[[#This Row],[Pre/Ext GWP]],"")</f>
        <v/>
      </c>
      <c r="BT105" s="330" t="str">
        <f>IFERROR((DeemedDashboard[[#This Row],[Msr refrigerant charge (lb) per NormUnit]]/pounds_per_metric_ton)*DeemedDashboard[[#This Row],[Msr net EOL refrigerant leakage (%)]]*DeemedDashboard[[#This Row],[Msr GWP]],"")</f>
        <v/>
      </c>
      <c r="BU105" s="330" t="str">
        <f>IFERROR((DeemedDashboard[[#This Row],[Std refrigerant charge (lb) per NormUnit]]/pounds_per_metric_ton)*DeemedDashboard[[#This Row],[Std net EOL refrigerant leakage (%)]]*DeemedDashboard[[#This Row],[Std GWP]],"")</f>
        <v/>
      </c>
      <c r="BV105" s="330" t="str">
        <f>IFERROR((DeemedDashboard[[#This Row],[Pre/Ext refrigerant charge (lb) per NormUnit]]/pounds_per_metric_ton)*DeemedDashboard[[#This Row],[Pre net EOL refrigerant leakage (%)]]*DeemedDashboard[[#This Row],[Pre/Ext GWP]],"")</f>
        <v/>
      </c>
      <c r="BW105" s="330" t="str">
        <f>IFERROR((DeemedDashboard[[#This Row],[Pre/Ext refrigerant charge (lb) per NormUnit]]/pounds_per_metric_ton)*DeemedDashboard[[#This Row],[Ext net EOL refrigerant leakage (%)]]*DeemedDashboard[[#This Row],[Pre/Ext GWP]],"")</f>
        <v/>
      </c>
      <c r="BX105" s="299" t="str" cm="1">
        <f t="array" aca="1" ref="BX105"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5" s="305" t="str" cm="1">
        <f t="array" aca="1" ref="BY105"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5" s="299" t="str">
        <f>IFERROR(IF(OR(DeemedDashboard[[#This Row],[MeasAppType]]&lt;&gt;const_AR,ISBLANK(DeemedDashboard[[#This Row],[MeasAppType]])),NA(),0),"")</f>
        <v/>
      </c>
      <c r="CA105" s="305" t="str" cm="1">
        <f t="array" aca="1" ref="CA105"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5" s="299" t="str">
        <f ca="1">IFERROR((DeemedDashboard[[#This Row],[Msr EOL leakage tons CO2e]]*OFFSET(GHG_Adder_dollar_per_tonne,0,(DeemedDashboard[[#This Row],[Msr Device Retire-ment Year]]-DY+1),1,1))/(1+WACC)^(DeemedDashboard[[#This Row],[Msr Device Retire-ment Year]]-DeemedDashboard[[#This Row],[Measure Start Year]]+0.5),"")</f>
        <v/>
      </c>
      <c r="CC105" s="299" t="str">
        <f ca="1">IFERROR((DeemedDashboard[[#This Row],[Std EOL leakage tons CO2e]]*OFFSET(GHG_Adder_dollar_per_tonne,0,(DeemedDashboard[[#This Row],[Std Device Retire-ment Year]]-DY+1),1,1))/(1+WACC)^(DeemedDashboard[[#This Row],[Std Device Retire-ment Year]]-DeemedDashboard[[#This Row],[Measure Start Year]]+0.5),"")</f>
        <v/>
      </c>
      <c r="CD105" s="299" t="str">
        <f ca="1">IFERROR((DeemedDashboard[[#This Row],[Pre EOL leakage tons CO2e]]*OFFSET(GHG_Adder_dollar_per_tonne,0,(DeemedDashboard[[#This Row],[Measure Start Year]]-DY),1,1))/(1+WACC)^(-0.5),"")</f>
        <v/>
      </c>
      <c r="CE105"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5" s="296" t="str">
        <f ca="1">IFERROR(DeemedDashboard[[#This Row],[Msr NPV Cost of Annual Leakage]]/(1+ACC_Inflation_Rate)^(DeemedDashboard[[#This Row],[Measure Start Year]]-DY),"")</f>
        <v/>
      </c>
      <c r="CG105" s="296" t="str">
        <f ca="1">IFERROR(DeemedDashboard[[#This Row],[Std NPV Cost of Annual Leakage]]/(1+ACC_Inflation_Rate)^(DeemedDashboard[[#This Row],[Measure Start Year]]-DY),"")</f>
        <v/>
      </c>
      <c r="CH105" s="296" t="str">
        <f>IFERROR(IF(ISBLANK(DeemedDashboard[[#This Row],[MeasAppType]]),NA(),IF(DeemedDashboard[[#This Row],[MeasAppType]]=const_AR,DeemedDashboard[[#This Row],[Pre NPV Cost of Annual Leakage]]/(1+ACC_Inflation_Rate)^(DeemedDashboard[[#This Row],[Measure Start Year]]-DY),"")),"")</f>
        <v/>
      </c>
      <c r="CI105" s="296" t="str">
        <f>IFERROR(IF(ISBLANK(DeemedDashboard[[#This Row],[MeasAppType]]),NA(),IF(DeemedDashboard[[#This Row],[MeasAppType]]=const_AR,DeemedDashboard[[#This Row],[Ext NPV Cost of Annual Leakage]]/(1+ACC_Inflation_Rate)^(DeemedDashboard[[#This Row],[Measure Start Year]]-DY),"")),"")</f>
        <v/>
      </c>
      <c r="CJ105" s="296" t="str">
        <f ca="1">IFERROR((DeemedDashboard[[#This Row],[Msr % of device lifetime during measure years]]+DeemedDashboard[[#This Row],[Msr % of device lifetime retired early]])*DeemedDashboard[[#This Row],[Msr NPV Cost of EOL Leakage]]/(1+ACC_Inflation_Rate)^(DeemedDashboard[[#This Row],[Measure Start Year]]-DY),"")</f>
        <v/>
      </c>
      <c r="CK105" s="296" t="str">
        <f ca="1">IFERROR((DeemedDashboard[[#This Row],[Std % of device lifetime during measure years]]+DeemedDashboard[[#This Row],[Std % of device lifetime retired early]])*DeemedDashboard[[#This Row],[Std NPV Cost of EOL Leakage]]/(1+ACC_Inflation_Rate)^(DeemedDashboard[[#This Row],[Measure Start Year]]-DY),"")</f>
        <v/>
      </c>
      <c r="CL105"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5"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5"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5"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5" s="299" t="str">
        <f ca="1">IFERROR(DeemedDashboard[[#This Row],[Counter-factual total 
NPV cost]]-DeemedDashboard[[#This Row],[Measure total 
NPV cost]],"")</f>
        <v/>
      </c>
      <c r="CQ105" s="299" t="str">
        <f>IF(ISBLANK(DeemedDashboard[[#This Row],[MeasAppType]]),"",DeemedDashboard[[#This Row],[Refrigerant
NPV costs
avoided]]&gt;0)</f>
        <v/>
      </c>
      <c r="CR105" s="299" t="str">
        <f ca="1">IFERROR(DeemedDashboard[[#This Row],[Msr Adj NPV Cost of Annual Leakage]]+DeemedDashboard[[#This Row],[Msr Adj NPV Cost of EOL Leakage]],"")</f>
        <v/>
      </c>
      <c r="CS105" s="299" t="str">
        <f ca="1">IFERROR(DeemedDashboard[[#This Row],[Std Adj NPV Cost of Annual Leakage]]+DeemedDashboard[[#This Row],[Std Adj NPV Cost of EOL Leakage]],"")</f>
        <v/>
      </c>
      <c r="CT105" s="299" t="str">
        <f>IFERROR(IF((DeemedDashboard[[#This Row],[Pre Adj NPV Cost of Annual Leakage]]+DeemedDashboard[[#This Row],[Pre Adj NPV Cost of EOL Leakage]])=0,"",DeemedDashboard[[#This Row],[Pre Adj NPV Cost of Annual Leakage]]+DeemedDashboard[[#This Row],[Pre Adj NPV Cost of EOL Leakage]]),"")</f>
        <v/>
      </c>
      <c r="CU105" s="299" t="str">
        <f>IFERROR(IF((DeemedDashboard[[#This Row],[Ext Adj NPV Cost of Annual Leakage]]+DeemedDashboard[[#This Row],[Ext Adj NPV Cost of EOL Leakage]])=0,"",DeemedDashboard[[#This Row],[Ext Adj NPV Cost of Annual Leakage]]+DeemedDashboard[[#This Row],[Ext Adj NPV Cost of EOL Leakage]]),"")</f>
        <v/>
      </c>
      <c r="CV105" s="299" t="str">
        <f>IFERROR(IF(DeemedDashboard[[#This Row],[Is Avoided Net Cost &gt;0?]],"",-DeemedDashboard[[#This Row],[Refrigerant
NPV costs
avoided]]),"")</f>
        <v/>
      </c>
      <c r="CW105" s="299" t="str">
        <f>IFERROR(IF(DeemedDashboard[[#This Row],[Is Avoided Net Cost &gt;0?]],DeemedDashboard[[#This Row],[Refrigerant
NPV costs
avoided]],""),"")</f>
        <v/>
      </c>
      <c r="CX105" s="391">
        <f ca="1">IFERROR(MATCH(DeemedDashboard[[#This Row],[TechGroup and NormUnit]],TechGroup_and_NormUnit,0),1)</f>
        <v>1</v>
      </c>
      <c r="CY105" s="391" cm="1">
        <f t="array" aca="1" ref="CY105" ca="1">IFERROR(INDEX(TGRows,DeemedDashboard[[#This Row],[TGIndex]]),"")</f>
        <v>2</v>
      </c>
      <c r="CZ105" s="391">
        <f ca="1">IF(DeemedDashboard[[#This Row],[MeasAppType]]=const_AR,DeemedDashboard[[#This Row],[TGRows]],DeemedDashboard[[#This Row],[TGRows]]+1)</f>
        <v>3</v>
      </c>
      <c r="DA105" s="391" t="str">
        <f>IF(ISBLANK(DeemedDashboard[[#This Row],[MeasAppType]]),"",IF(DeemedDashboard[[#This Row],[Index]]=User_Specified_Refrigerant[[#This Row],[Index]],"OK","ERROR"))</f>
        <v/>
      </c>
    </row>
    <row r="106" spans="1:105" s="320" customFormat="1" x14ac:dyDescent="0.25">
      <c r="A106" s="297">
        <f>ROW(DeemedDashboard[[#This Row],[Index]])-ROW(DeemedDashboard[[#Headers],[Index]])</f>
        <v>97</v>
      </c>
      <c r="B106" s="298"/>
      <c r="C106" s="321"/>
      <c r="D106" s="403"/>
      <c r="E106" s="403"/>
      <c r="F106" s="403"/>
      <c r="G106" s="403"/>
      <c r="H106" s="366"/>
      <c r="I106" s="339"/>
      <c r="J106" s="339"/>
      <c r="K106" s="339"/>
      <c r="L106" s="322"/>
      <c r="M106" s="322"/>
      <c r="N106" s="322"/>
      <c r="O106"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6"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6"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6" s="582" t="str" cm="1">
        <f t="array" ref="R106">IFERROR(IF(DeemedDashboard[[#This Row],[Msr device type]]=const_device_nonrefrig,0,INDEX(_xlfn.SWITCH($E$4,const_20_yr,GWP_Values_20_year_AR4,const_100_yr,GWP_Values_100_year_AR4),MATCH(DeemedDashboard[[#This Row],[Msr refrigerant Type]],RefrigDropdownList,0))),"")</f>
        <v/>
      </c>
      <c r="S106" s="582" t="str" cm="1">
        <f t="array" ref="S106">IFERROR(IF(DeemedDashboard[[#This Row],[Std device type]]=const_device_nonrefrig,0,INDEX(_xlfn.SWITCH($E$4,const_20_yr,GWP_Values_20_year_AR4,const_100_yr,GWP_Values_100_year_AR4),MATCH(DeemedDashboard[[#This Row],[Std refrigerant Type]],RefrigDropdownList,0))),"")</f>
        <v/>
      </c>
      <c r="T106" s="582" t="str" cm="1">
        <f t="array" ref="T106">IFERROR(IF(DeemedDashboard[[#This Row],[Pre/Ext device type]]=const_device_nonrefrig,0,INDEX(_xlfn.SWITCH($E$4,const_20_yr,GWP_Values_20_year_AR4,const_100_yr,GWP_Values_100_year_AR4),MATCH(DeemedDashboard[[#This Row],[Pre/Ext refrigerant Type]],RefrigDropdownList,0))),"")</f>
        <v/>
      </c>
      <c r="U106"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6"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6"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6"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6"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6"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6" s="326" t="str">
        <f>IFERROR(IF(DeemedDashboard[[#This Row],[Msr device type]]=const_userspec,IF(ISBLANK(User_Specified_Refrigerant[[#This Row],[Msr t_EOL]]),"",User_Specified_Refrigerant[[#This Row],[Msr t_EOL]]),INDEX(TechGroup_NormUnit_Table[t_EOL],MATCH(DeemedDashboard[[#This Row],[Msr device type]],DropdownRefrigTech,0))),"")</f>
        <v/>
      </c>
      <c r="AB106" s="326" t="str">
        <f>IFERROR(IF(DeemedDashboard[[#This Row],[Std device type]]=const_userspec,IF(ISBLANK(User_Specified_Refrigerant[[#This Row],[Std t_EOL]]),"",User_Specified_Refrigerant[[#This Row],[Std t_EOL]]),INDEX(TechGroup_NormUnit_Table[t_EOL],MATCH(DeemedDashboard[[#This Row],[Std device type]],DropdownRefrigTech,0))),"")</f>
        <v/>
      </c>
      <c r="AC106"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6" s="395" t="str">
        <f>IF(ISBLANK(DeemedDashboard[[#This Row],[MeasAppType]]),"",$E$2)</f>
        <v/>
      </c>
      <c r="AE106" s="395" t="str">
        <f>IFERROR(IF(ISBLANK(DeemedDashboard[[#This Row],[MeasAppType]]),NA(),DeemedDashboard[[#This Row],[Measure Start Year]]+DeemedDashboard[[#This Row],[Msr EUL rounded]]-1),"")</f>
        <v/>
      </c>
      <c r="AF106" s="323" t="str">
        <f>IF(ISBLANK(DeemedDashboard[[#This Row],[Measure New Device EUL]]),"",ROUND(DeemedDashboard[[#This Row],[Measure New Device EUL]],0))</f>
        <v/>
      </c>
      <c r="AG106" s="323" t="str">
        <f>IF(ISBLANK(DeemedDashboard[[#This Row],[Counterfactual New Device EUL]]),"",ROUND(DeemedDashboard[[#This Row],[Counterfactual New Device EUL]],0))</f>
        <v/>
      </c>
      <c r="AH106" s="323" t="str">
        <f>IF(ISBLANK(DeemedDashboard[[#This Row],[Existing Device EUL]]),"",ROUND(DeemedDashboard[[#This Row],[Existing Device EUL]],0))</f>
        <v/>
      </c>
      <c r="AI106" s="323" t="str">
        <f>IF(ISBLANK(DeemedDashboard[[#This Row],[Existing Device RUL or AR First Baseline Life]]),"",ROUND(DeemedDashboard[[#This Row],[Existing Device RUL or AR First Baseline Life]],0))</f>
        <v/>
      </c>
      <c r="AJ106" s="327" t="str">
        <f>DeemedDashboard[[#This Row],[Measure Start Year]]</f>
        <v/>
      </c>
      <c r="AK106" s="327" t="str">
        <f>IF(DeemedDashboard[[#This Row],[MeasAppType]]&lt;&gt;const_AR,DeemedDashboard[[#This Row],[Measure Start Year]],DeemedDashboard[[#This Row],[Ext Device Retire-ment Year]]+1)</f>
        <v/>
      </c>
      <c r="AL106" s="327" t="str">
        <f>IFERROR(IF(DeemedDashboard[[#This Row],[MeasAppType]]=const_AR,DeemedDashboard[[#This Row],[Measure Start Year]]-(DeemedDashboard[[#This Row],[Existing Device EUL]]-DeemedDashboard[[#This Row],[Existing Device RUL or AR First Baseline Life]]),NA()),"")</f>
        <v/>
      </c>
      <c r="AM106" s="327" t="str">
        <f>DeemedDashboard[[#This Row],[Pre Device Install Year]]</f>
        <v/>
      </c>
      <c r="AN106" s="327" t="str">
        <f>IFERROR(IF(ISBLANK(DeemedDashboard[[#This Row],[MeasAppType]]),NA(),DeemedDashboard[[#This Row],[Measure Start Year]]+DeemedDashboard[[#This Row],[Msr EUL rounded]]-1),"")</f>
        <v/>
      </c>
      <c r="AO106" s="327" t="str">
        <f>IFERROR(DeemedDashboard[[#This Row],[Std Device Install Year]]+DeemedDashboard[[#This Row],[Counterfactual New Device EUL]]-1,"")</f>
        <v/>
      </c>
      <c r="AP106" s="327" t="str">
        <f>IFERROR(IF(AND(DeemedDashboard[[#This Row],[MeasAppType]]=const_AR,DeemedDashboard[[#This Row],[Measure Start Year]]&lt;(DeemedDashboard[[#This Row],[Pre Device Install Year]]+DeemedDashboard[[#This Row],[Existing Device EUL]]-1)),DeemedDashboard[[#This Row],[Measure Start Year]]-1,NA()),"")</f>
        <v/>
      </c>
      <c r="AQ106" s="327" t="str">
        <f>IFERROR(IF(DeemedDashboard[[#This Row],[MeasAppType]]=const_AR,DeemedDashboard[[#This Row],[Ext Device Install Year]]+DeemedDashboard[[#This Row],[Existing Device EUL]]-1,NA()),"")</f>
        <v/>
      </c>
      <c r="AR106" s="327" t="str">
        <f>IFERROR(IF(ISBLANK(DeemedDashboard[[#This Row],[MeasAppType]]),NA(),0),"")</f>
        <v/>
      </c>
      <c r="AS106" s="327" t="str">
        <f>IFERROR(IF(ISBLANK(DeemedDashboard[[#This Row],[MeasAppType]]),NA(),0),"")</f>
        <v/>
      </c>
      <c r="AT106" s="327" t="str">
        <f>IF(ISBLANK(DeemedDashboard[[#This Row],[MeasAppType]]),"",IF(DeemedDashboard[[#This Row],[MeasAppType]]&lt;&gt;const_AR,"",(DeemedDashboard[[#This Row],[Pre Device Install Year]]+DeemedDashboard[[#This Row],[Existing Device EUL]]-1)-DeemedDashboard[[#This Row],[Pre Device Retire-ment Year]]))</f>
        <v/>
      </c>
      <c r="AU106" s="327" t="str">
        <f>IF(ISBLANK(DeemedDashboard[[#This Row],[MeasAppType]]),"",IF(DeemedDashboard[[#This Row],[MeasAppType]]=const_AR,0,""))</f>
        <v/>
      </c>
      <c r="AV106" s="328" t="str">
        <f>IF(ISBLANK(DeemedDashboard[[#This Row],[MeasAppType]]),"",MAX((1+MIN(DeemedDashboard[[#This Row],[Msr Device Retire-ment Year]],DeemedDashboard[[#This Row],[Measure End 
Year]])-MAX(DeemedDashboard[[#This Row],[Msr Device Install Year]],DeemedDashboard[[#This Row],[Measure Start Year]])),0))</f>
        <v/>
      </c>
      <c r="AW106" s="328" t="str">
        <f>IF(ISBLANK(DeemedDashboard[[#This Row],[MeasAppType]]),"",MAX((1+MIN(DeemedDashboard[[#This Row],[Std Device Retire-ment Year]],DeemedDashboard[[#This Row],[Measure End 
Year]])-MAX(DeemedDashboard[[#This Row],[Std Device Install Year]],DeemedDashboard[[#This Row],[Measure Start Year]])),0))</f>
        <v/>
      </c>
      <c r="AX106"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6"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6" s="329" t="str">
        <f>IF(ISBLANK(DeemedDashboard[[#This Row],[MeasAppType]]),"",IF(DeemedDashboard[[#This Row],[Msr Device Years Over-lapping with Measure Years]]=0,0,DeemedDashboard[[#This Row],[Msr Device Years Over-lapping with Measure Years]]/DeemedDashboard[[#This Row],[Msr EUL rounded]]))</f>
        <v/>
      </c>
      <c r="BA106" s="329" t="str">
        <f>IF(ISBLANK(DeemedDashboard[[#This Row],[MeasAppType]]),"",IF(DeemedDashboard[[#This Row],[Std Device Years Over-lapping with Measure Years]]=0,0,DeemedDashboard[[#This Row],[Std Device Years Over-lapping with Measure Years]]/DeemedDashboard[[#This Row],[Counterfactual New Device EUL]]))</f>
        <v/>
      </c>
      <c r="BB106" s="329" t="str">
        <f>IF(ISBLANK(DeemedDashboard[[#This Row],[MeasAppType]]),"",IFERROR(IF(DeemedDashboard[[#This Row],[Pre Device Years Over-lapping with Measure Years]]=0,0,DeemedDashboard[[#This Row],[Pre Device Years Over-lapping with Measure Years]]/DeemedDashboard[[#This Row],[Existing Device EUL]]),""))</f>
        <v/>
      </c>
      <c r="BC106" s="329" t="str">
        <f>IFERROR(IF(DeemedDashboard[[#This Row],[Ext Device Years Over-lapping with Measure Years]]=0,0,DeemedDashboard[[#This Row],[Ext Device Years Over-lapping with Measure Years]]/DeemedDashboard[[#This Row],[Existing Device EUL]]),"")</f>
        <v/>
      </c>
      <c r="BD106" s="329" t="str">
        <f>IFERROR(IF(DeemedDashboard[[#This Row],[Msr Number of Years device retired early]]=0,0,DeemedDashboard[[#This Row],[Msr Number of Years device retired early]]/DeemedDashboard[[#This Row],[Msr EUL rounded]]),"")</f>
        <v/>
      </c>
      <c r="BE106" s="329" t="str">
        <f>IFERROR(IF(DeemedDashboard[[#This Row],[Std Number of Years device retired early]]=0,0,DeemedDashboard[[#This Row],[Std Number of Years device retired early]]/DeemedDashboard[[#This Row],[Msr EUL rounded]]),"")</f>
        <v/>
      </c>
      <c r="BF106" s="329" t="str">
        <f>IFERROR(IF(DeemedDashboard[[#This Row],[MeasAppType]]&lt;&gt;const_AR,"",IF(DeemedDashboard[[#This Row],[Pre Number of Years device retired early]]=0,0,DeemedDashboard[[#This Row],[Pre Number of Years device retired early]]/DeemedDashboard[[#This Row],[Existing Device EUL]])),"")</f>
        <v/>
      </c>
      <c r="BG106" s="329" t="str">
        <f>IFERROR(IF(DeemedDashboard[[#This Row],[Ext Number of Years device retired early]]=0,0,DeemedDashboard[[#This Row],[Ext Number of Years device retired early]]/DeemedDashboard[[#This Row],[Existing Device EUL]]),"")</f>
        <v/>
      </c>
      <c r="BH106" s="325" t="str">
        <f>IFERROR(1-DeemedDashboard[[#This Row],[Msr annual refrigerant leakage %]]*DeemedDashboard[[#This Row],[Msr t_EOL]],"")</f>
        <v/>
      </c>
      <c r="BI106" s="325" t="str">
        <f>IFERROR(1-DeemedDashboard[[#This Row],[Std annual refrigerant leakage %]]*DeemedDashboard[[#This Row],[Std t_EOL]],"")</f>
        <v/>
      </c>
      <c r="BJ106" s="325" t="str">
        <f>IFERROR(1-DeemedDashboard[[#This Row],[Pre/Ext annual refrigerant leakage %]]*DeemedDashboard[[#This Row],[Pre/Ext t_EOL]],"")</f>
        <v/>
      </c>
      <c r="BK106" s="325" t="str">
        <f>IFERROR(1-DeemedDashboard[[#This Row],[Pre/Ext annual refrigerant leakage %]]*DeemedDashboard[[#This Row],[Pre/Ext t_EOL]],"")</f>
        <v/>
      </c>
      <c r="BL106" s="325" t="str">
        <f>IFERROR(DeemedDashboard[[#This Row],[Msr charging remaining (%)]]*DeemedDashboard[[#This Row],[Msr gross EOL refrigerant leakage %]],"")</f>
        <v/>
      </c>
      <c r="BM106" s="325" t="str">
        <f>IFERROR(DeemedDashboard[[#This Row],[Std charging remaining (%)]]*DeemedDashboard[[#This Row],[Std gross EOL refrigerant leakage %]],"")</f>
        <v/>
      </c>
      <c r="BN106" s="325" t="str">
        <f>IFERROR(DeemedDashboard[[#This Row],[Pre charging remaining (%)]]*DeemedDashboard[[#This Row],[Pre/Ext gross EOL refrigerant leakage %]],"")</f>
        <v/>
      </c>
      <c r="BO106" s="325" t="str">
        <f>IFERROR(DeemedDashboard[[#This Row],[Ext charging remaining (%)]]*DeemedDashboard[[#This Row],[Pre/Ext gross EOL refrigerant leakage %]],"")</f>
        <v/>
      </c>
      <c r="BP106" s="330" t="str">
        <f>IFERROR((DeemedDashboard[[#This Row],[Msr refrigerant charge (lb) per NormUnit]]/pounds_per_metric_ton)*DeemedDashboard[[#This Row],[Msr annual refrigerant leakage %]]*DeemedDashboard[[#This Row],[Msr GWP]],"")</f>
        <v/>
      </c>
      <c r="BQ106" s="330" t="str">
        <f>IFERROR((DeemedDashboard[[#This Row],[Std refrigerant charge (lb) per NormUnit]]/pounds_per_metric_ton)*DeemedDashboard[[#This Row],[Std annual refrigerant leakage %]]*DeemedDashboard[[#This Row],[Std GWP]],"")</f>
        <v/>
      </c>
      <c r="BR106" s="330" t="str">
        <f>IF(DeemedDashboard[[#This Row],[MeasAppType]]=const_AR,(DeemedDashboard[[#This Row],[Pre/Ext refrigerant charge (lb) per NormUnit]]/pounds_per_metric_ton)*DeemedDashboard[[#This Row],[Pre/Ext annual refrigerant leakage %]]*DeemedDashboard[[#This Row],[Pre/Ext GWP]],"")</f>
        <v/>
      </c>
      <c r="BS106" s="330" t="str">
        <f>IF(DeemedDashboard[[#This Row],[MeasAppType]]=const_AR,(DeemedDashboard[[#This Row],[Pre/Ext refrigerant charge (lb) per NormUnit]]/pounds_per_metric_ton)*DeemedDashboard[[#This Row],[Pre/Ext annual refrigerant leakage %]]*DeemedDashboard[[#This Row],[Pre/Ext GWP]],"")</f>
        <v/>
      </c>
      <c r="BT106" s="330" t="str">
        <f>IFERROR((DeemedDashboard[[#This Row],[Msr refrigerant charge (lb) per NormUnit]]/pounds_per_metric_ton)*DeemedDashboard[[#This Row],[Msr net EOL refrigerant leakage (%)]]*DeemedDashboard[[#This Row],[Msr GWP]],"")</f>
        <v/>
      </c>
      <c r="BU106" s="330" t="str">
        <f>IFERROR((DeemedDashboard[[#This Row],[Std refrigerant charge (lb) per NormUnit]]/pounds_per_metric_ton)*DeemedDashboard[[#This Row],[Std net EOL refrigerant leakage (%)]]*DeemedDashboard[[#This Row],[Std GWP]],"")</f>
        <v/>
      </c>
      <c r="BV106" s="330" t="str">
        <f>IFERROR((DeemedDashboard[[#This Row],[Pre/Ext refrigerant charge (lb) per NormUnit]]/pounds_per_metric_ton)*DeemedDashboard[[#This Row],[Pre net EOL refrigerant leakage (%)]]*DeemedDashboard[[#This Row],[Pre/Ext GWP]],"")</f>
        <v/>
      </c>
      <c r="BW106" s="330" t="str">
        <f>IFERROR((DeemedDashboard[[#This Row],[Pre/Ext refrigerant charge (lb) per NormUnit]]/pounds_per_metric_ton)*DeemedDashboard[[#This Row],[Ext net EOL refrigerant leakage (%)]]*DeemedDashboard[[#This Row],[Pre/Ext GWP]],"")</f>
        <v/>
      </c>
      <c r="BX106" s="299" t="str" cm="1">
        <f t="array" aca="1" ref="BX106"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6" s="305" t="str" cm="1">
        <f t="array" aca="1" ref="BY106"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6" s="299" t="str">
        <f>IFERROR(IF(OR(DeemedDashboard[[#This Row],[MeasAppType]]&lt;&gt;const_AR,ISBLANK(DeemedDashboard[[#This Row],[MeasAppType]])),NA(),0),"")</f>
        <v/>
      </c>
      <c r="CA106" s="305" t="str" cm="1">
        <f t="array" aca="1" ref="CA106"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6" s="299" t="str">
        <f ca="1">IFERROR((DeemedDashboard[[#This Row],[Msr EOL leakage tons CO2e]]*OFFSET(GHG_Adder_dollar_per_tonne,0,(DeemedDashboard[[#This Row],[Msr Device Retire-ment Year]]-DY+1),1,1))/(1+WACC)^(DeemedDashboard[[#This Row],[Msr Device Retire-ment Year]]-DeemedDashboard[[#This Row],[Measure Start Year]]+0.5),"")</f>
        <v/>
      </c>
      <c r="CC106" s="299" t="str">
        <f ca="1">IFERROR((DeemedDashboard[[#This Row],[Std EOL leakage tons CO2e]]*OFFSET(GHG_Adder_dollar_per_tonne,0,(DeemedDashboard[[#This Row],[Std Device Retire-ment Year]]-DY+1),1,1))/(1+WACC)^(DeemedDashboard[[#This Row],[Std Device Retire-ment Year]]-DeemedDashboard[[#This Row],[Measure Start Year]]+0.5),"")</f>
        <v/>
      </c>
      <c r="CD106" s="299" t="str">
        <f ca="1">IFERROR((DeemedDashboard[[#This Row],[Pre EOL leakage tons CO2e]]*OFFSET(GHG_Adder_dollar_per_tonne,0,(DeemedDashboard[[#This Row],[Measure Start Year]]-DY),1,1))/(1+WACC)^(-0.5),"")</f>
        <v/>
      </c>
      <c r="CE106"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6" s="299" t="str">
        <f ca="1">IFERROR(DeemedDashboard[[#This Row],[Msr NPV Cost of Annual Leakage]]/(1+ACC_Inflation_Rate)^(DeemedDashboard[[#This Row],[Measure Start Year]]-DY),"")</f>
        <v/>
      </c>
      <c r="CG106" s="299" t="str">
        <f ca="1">IFERROR(DeemedDashboard[[#This Row],[Std NPV Cost of Annual Leakage]]/(1+ACC_Inflation_Rate)^(DeemedDashboard[[#This Row],[Measure Start Year]]-DY),"")</f>
        <v/>
      </c>
      <c r="CH106" s="299" t="str">
        <f>IFERROR(IF(ISBLANK(DeemedDashboard[[#This Row],[MeasAppType]]),NA(),IF(DeemedDashboard[[#This Row],[MeasAppType]]=const_AR,DeemedDashboard[[#This Row],[Pre NPV Cost of Annual Leakage]]/(1+ACC_Inflation_Rate)^(DeemedDashboard[[#This Row],[Measure Start Year]]-DY),"")),"")</f>
        <v/>
      </c>
      <c r="CI106" s="296" t="str">
        <f>IFERROR(IF(ISBLANK(DeemedDashboard[[#This Row],[MeasAppType]]),NA(),IF(DeemedDashboard[[#This Row],[MeasAppType]]=const_AR,DeemedDashboard[[#This Row],[Ext NPV Cost of Annual Leakage]]/(1+ACC_Inflation_Rate)^(DeemedDashboard[[#This Row],[Measure Start Year]]-DY),"")),"")</f>
        <v/>
      </c>
      <c r="CJ106" s="296" t="str">
        <f ca="1">IFERROR((DeemedDashboard[[#This Row],[Msr % of device lifetime during measure years]]+DeemedDashboard[[#This Row],[Msr % of device lifetime retired early]])*DeemedDashboard[[#This Row],[Msr NPV Cost of EOL Leakage]]/(1+ACC_Inflation_Rate)^(DeemedDashboard[[#This Row],[Measure Start Year]]-DY),"")</f>
        <v/>
      </c>
      <c r="CK106" s="296" t="str">
        <f ca="1">IFERROR((DeemedDashboard[[#This Row],[Std % of device lifetime during measure years]]+DeemedDashboard[[#This Row],[Std % of device lifetime retired early]])*DeemedDashboard[[#This Row],[Std NPV Cost of EOL Leakage]]/(1+ACC_Inflation_Rate)^(DeemedDashboard[[#This Row],[Measure Start Year]]-DY),"")</f>
        <v/>
      </c>
      <c r="CL106"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6"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6"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6"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6" s="299" t="str">
        <f ca="1">IFERROR(DeemedDashboard[[#This Row],[Counter-factual total 
NPV cost]]-DeemedDashboard[[#This Row],[Measure total 
NPV cost]],"")</f>
        <v/>
      </c>
      <c r="CQ106" s="299" t="str">
        <f>IF(ISBLANK(DeemedDashboard[[#This Row],[MeasAppType]]),"",DeemedDashboard[[#This Row],[Refrigerant
NPV costs
avoided]]&gt;0)</f>
        <v/>
      </c>
      <c r="CR106" s="299" t="str">
        <f ca="1">IFERROR(DeemedDashboard[[#This Row],[Msr Adj NPV Cost of Annual Leakage]]+DeemedDashboard[[#This Row],[Msr Adj NPV Cost of EOL Leakage]],"")</f>
        <v/>
      </c>
      <c r="CS106" s="299" t="str">
        <f ca="1">IFERROR(DeemedDashboard[[#This Row],[Std Adj NPV Cost of Annual Leakage]]+DeemedDashboard[[#This Row],[Std Adj NPV Cost of EOL Leakage]],"")</f>
        <v/>
      </c>
      <c r="CT106" s="299" t="str">
        <f>IFERROR(IF((DeemedDashboard[[#This Row],[Pre Adj NPV Cost of Annual Leakage]]+DeemedDashboard[[#This Row],[Pre Adj NPV Cost of EOL Leakage]])=0,"",DeemedDashboard[[#This Row],[Pre Adj NPV Cost of Annual Leakage]]+DeemedDashboard[[#This Row],[Pre Adj NPV Cost of EOL Leakage]]),"")</f>
        <v/>
      </c>
      <c r="CU106" s="299" t="str">
        <f>IFERROR(IF((DeemedDashboard[[#This Row],[Ext Adj NPV Cost of Annual Leakage]]+DeemedDashboard[[#This Row],[Ext Adj NPV Cost of EOL Leakage]])=0,"",DeemedDashboard[[#This Row],[Ext Adj NPV Cost of Annual Leakage]]+DeemedDashboard[[#This Row],[Ext Adj NPV Cost of EOL Leakage]]),"")</f>
        <v/>
      </c>
      <c r="CV106" s="299" t="str">
        <f>IFERROR(IF(DeemedDashboard[[#This Row],[Is Avoided Net Cost &gt;0?]],"",-DeemedDashboard[[#This Row],[Refrigerant
NPV costs
avoided]]),"")</f>
        <v/>
      </c>
      <c r="CW106" s="299" t="str">
        <f>IFERROR(IF(DeemedDashboard[[#This Row],[Is Avoided Net Cost &gt;0?]],DeemedDashboard[[#This Row],[Refrigerant
NPV costs
avoided]],""),"")</f>
        <v/>
      </c>
      <c r="CX106" s="391">
        <f ca="1">IFERROR(MATCH(DeemedDashboard[[#This Row],[TechGroup and NormUnit]],TechGroup_and_NormUnit,0),1)</f>
        <v>1</v>
      </c>
      <c r="CY106" s="391" cm="1">
        <f t="array" aca="1" ref="CY106" ca="1">IFERROR(INDEX(TGRows,DeemedDashboard[[#This Row],[TGIndex]]),"")</f>
        <v>2</v>
      </c>
      <c r="CZ106" s="391">
        <f ca="1">IF(DeemedDashboard[[#This Row],[MeasAppType]]=const_AR,DeemedDashboard[[#This Row],[TGRows]],DeemedDashboard[[#This Row],[TGRows]]+1)</f>
        <v>3</v>
      </c>
      <c r="DA106" s="391" t="str">
        <f>IF(ISBLANK(DeemedDashboard[[#This Row],[MeasAppType]]),"",IF(DeemedDashboard[[#This Row],[Index]]=User_Specified_Refrigerant[[#This Row],[Index]],"OK","ERROR"))</f>
        <v/>
      </c>
    </row>
    <row r="107" spans="1:105" s="320" customFormat="1" x14ac:dyDescent="0.25">
      <c r="A107" s="297">
        <f>ROW(DeemedDashboard[[#This Row],[Index]])-ROW(DeemedDashboard[[#Headers],[Index]])</f>
        <v>98</v>
      </c>
      <c r="B107" s="298"/>
      <c r="C107" s="321"/>
      <c r="D107" s="403"/>
      <c r="E107" s="403"/>
      <c r="F107" s="403"/>
      <c r="G107" s="403"/>
      <c r="H107" s="366"/>
      <c r="I107" s="339"/>
      <c r="J107" s="339"/>
      <c r="K107" s="339"/>
      <c r="L107" s="322"/>
      <c r="M107" s="322"/>
      <c r="N107" s="322"/>
      <c r="O107"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7"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7"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7" s="582" t="str" cm="1">
        <f t="array" ref="R107">IFERROR(IF(DeemedDashboard[[#This Row],[Msr device type]]=const_device_nonrefrig,0,INDEX(_xlfn.SWITCH($E$4,const_20_yr,GWP_Values_20_year_AR4,const_100_yr,GWP_Values_100_year_AR4),MATCH(DeemedDashboard[[#This Row],[Msr refrigerant Type]],RefrigDropdownList,0))),"")</f>
        <v/>
      </c>
      <c r="S107" s="582" t="str" cm="1">
        <f t="array" ref="S107">IFERROR(IF(DeemedDashboard[[#This Row],[Std device type]]=const_device_nonrefrig,0,INDEX(_xlfn.SWITCH($E$4,const_20_yr,GWP_Values_20_year_AR4,const_100_yr,GWP_Values_100_year_AR4),MATCH(DeemedDashboard[[#This Row],[Std refrigerant Type]],RefrigDropdownList,0))),"")</f>
        <v/>
      </c>
      <c r="T107" s="582" t="str" cm="1">
        <f t="array" ref="T107">IFERROR(IF(DeemedDashboard[[#This Row],[Pre/Ext device type]]=const_device_nonrefrig,0,INDEX(_xlfn.SWITCH($E$4,const_20_yr,GWP_Values_20_year_AR4,const_100_yr,GWP_Values_100_year_AR4),MATCH(DeemedDashboard[[#This Row],[Pre/Ext refrigerant Type]],RefrigDropdownList,0))),"")</f>
        <v/>
      </c>
      <c r="U107"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7"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7"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7"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7"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7"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7" s="326" t="str">
        <f>IFERROR(IF(DeemedDashboard[[#This Row],[Msr device type]]=const_userspec,IF(ISBLANK(User_Specified_Refrigerant[[#This Row],[Msr t_EOL]]),"",User_Specified_Refrigerant[[#This Row],[Msr t_EOL]]),INDEX(TechGroup_NormUnit_Table[t_EOL],MATCH(DeemedDashboard[[#This Row],[Msr device type]],DropdownRefrigTech,0))),"")</f>
        <v/>
      </c>
      <c r="AB107" s="326" t="str">
        <f>IFERROR(IF(DeemedDashboard[[#This Row],[Std device type]]=const_userspec,IF(ISBLANK(User_Specified_Refrigerant[[#This Row],[Std t_EOL]]),"",User_Specified_Refrigerant[[#This Row],[Std t_EOL]]),INDEX(TechGroup_NormUnit_Table[t_EOL],MATCH(DeemedDashboard[[#This Row],[Std device type]],DropdownRefrigTech,0))),"")</f>
        <v/>
      </c>
      <c r="AC107"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7" s="395" t="str">
        <f>IF(ISBLANK(DeemedDashboard[[#This Row],[MeasAppType]]),"",$E$2)</f>
        <v/>
      </c>
      <c r="AE107" s="395" t="str">
        <f>IFERROR(IF(ISBLANK(DeemedDashboard[[#This Row],[MeasAppType]]),NA(),DeemedDashboard[[#This Row],[Measure Start Year]]+DeemedDashboard[[#This Row],[Msr EUL rounded]]-1),"")</f>
        <v/>
      </c>
      <c r="AF107" s="323" t="str">
        <f>IF(ISBLANK(DeemedDashboard[[#This Row],[Measure New Device EUL]]),"",ROUND(DeemedDashboard[[#This Row],[Measure New Device EUL]],0))</f>
        <v/>
      </c>
      <c r="AG107" s="323" t="str">
        <f>IF(ISBLANK(DeemedDashboard[[#This Row],[Counterfactual New Device EUL]]),"",ROUND(DeemedDashboard[[#This Row],[Counterfactual New Device EUL]],0))</f>
        <v/>
      </c>
      <c r="AH107" s="323" t="str">
        <f>IF(ISBLANK(DeemedDashboard[[#This Row],[Existing Device EUL]]),"",ROUND(DeemedDashboard[[#This Row],[Existing Device EUL]],0))</f>
        <v/>
      </c>
      <c r="AI107" s="323" t="str">
        <f>IF(ISBLANK(DeemedDashboard[[#This Row],[Existing Device RUL or AR First Baseline Life]]),"",ROUND(DeemedDashboard[[#This Row],[Existing Device RUL or AR First Baseline Life]],0))</f>
        <v/>
      </c>
      <c r="AJ107" s="327" t="str">
        <f>DeemedDashboard[[#This Row],[Measure Start Year]]</f>
        <v/>
      </c>
      <c r="AK107" s="327" t="str">
        <f>IF(DeemedDashboard[[#This Row],[MeasAppType]]&lt;&gt;const_AR,DeemedDashboard[[#This Row],[Measure Start Year]],DeemedDashboard[[#This Row],[Ext Device Retire-ment Year]]+1)</f>
        <v/>
      </c>
      <c r="AL107" s="327" t="str">
        <f>IFERROR(IF(DeemedDashboard[[#This Row],[MeasAppType]]=const_AR,DeemedDashboard[[#This Row],[Measure Start Year]]-(DeemedDashboard[[#This Row],[Existing Device EUL]]-DeemedDashboard[[#This Row],[Existing Device RUL or AR First Baseline Life]]),NA()),"")</f>
        <v/>
      </c>
      <c r="AM107" s="327" t="str">
        <f>DeemedDashboard[[#This Row],[Pre Device Install Year]]</f>
        <v/>
      </c>
      <c r="AN107" s="327" t="str">
        <f>IFERROR(IF(ISBLANK(DeemedDashboard[[#This Row],[MeasAppType]]),NA(),DeemedDashboard[[#This Row],[Measure Start Year]]+DeemedDashboard[[#This Row],[Msr EUL rounded]]-1),"")</f>
        <v/>
      </c>
      <c r="AO107" s="327" t="str">
        <f>IFERROR(DeemedDashboard[[#This Row],[Std Device Install Year]]+DeemedDashboard[[#This Row],[Counterfactual New Device EUL]]-1,"")</f>
        <v/>
      </c>
      <c r="AP107" s="327" t="str">
        <f>IFERROR(IF(AND(DeemedDashboard[[#This Row],[MeasAppType]]=const_AR,DeemedDashboard[[#This Row],[Measure Start Year]]&lt;(DeemedDashboard[[#This Row],[Pre Device Install Year]]+DeemedDashboard[[#This Row],[Existing Device EUL]]-1)),DeemedDashboard[[#This Row],[Measure Start Year]]-1,NA()),"")</f>
        <v/>
      </c>
      <c r="AQ107" s="327" t="str">
        <f>IFERROR(IF(DeemedDashboard[[#This Row],[MeasAppType]]=const_AR,DeemedDashboard[[#This Row],[Ext Device Install Year]]+DeemedDashboard[[#This Row],[Existing Device EUL]]-1,NA()),"")</f>
        <v/>
      </c>
      <c r="AR107" s="327" t="str">
        <f>IFERROR(IF(ISBLANK(DeemedDashboard[[#This Row],[MeasAppType]]),NA(),0),"")</f>
        <v/>
      </c>
      <c r="AS107" s="327" t="str">
        <f>IFERROR(IF(ISBLANK(DeemedDashboard[[#This Row],[MeasAppType]]),NA(),0),"")</f>
        <v/>
      </c>
      <c r="AT107" s="327" t="str">
        <f>IF(ISBLANK(DeemedDashboard[[#This Row],[MeasAppType]]),"",IF(DeemedDashboard[[#This Row],[MeasAppType]]&lt;&gt;const_AR,"",(DeemedDashboard[[#This Row],[Pre Device Install Year]]+DeemedDashboard[[#This Row],[Existing Device EUL]]-1)-DeemedDashboard[[#This Row],[Pre Device Retire-ment Year]]))</f>
        <v/>
      </c>
      <c r="AU107" s="327" t="str">
        <f>IF(ISBLANK(DeemedDashboard[[#This Row],[MeasAppType]]),"",IF(DeemedDashboard[[#This Row],[MeasAppType]]=const_AR,0,""))</f>
        <v/>
      </c>
      <c r="AV107" s="328" t="str">
        <f>IF(ISBLANK(DeemedDashboard[[#This Row],[MeasAppType]]),"",MAX((1+MIN(DeemedDashboard[[#This Row],[Msr Device Retire-ment Year]],DeemedDashboard[[#This Row],[Measure End 
Year]])-MAX(DeemedDashboard[[#This Row],[Msr Device Install Year]],DeemedDashboard[[#This Row],[Measure Start Year]])),0))</f>
        <v/>
      </c>
      <c r="AW107" s="328" t="str">
        <f>IF(ISBLANK(DeemedDashboard[[#This Row],[MeasAppType]]),"",MAX((1+MIN(DeemedDashboard[[#This Row],[Std Device Retire-ment Year]],DeemedDashboard[[#This Row],[Measure End 
Year]])-MAX(DeemedDashboard[[#This Row],[Std Device Install Year]],DeemedDashboard[[#This Row],[Measure Start Year]])),0))</f>
        <v/>
      </c>
      <c r="AX107"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7"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7" s="329" t="str">
        <f>IF(ISBLANK(DeemedDashboard[[#This Row],[MeasAppType]]),"",IF(DeemedDashboard[[#This Row],[Msr Device Years Over-lapping with Measure Years]]=0,0,DeemedDashboard[[#This Row],[Msr Device Years Over-lapping with Measure Years]]/DeemedDashboard[[#This Row],[Msr EUL rounded]]))</f>
        <v/>
      </c>
      <c r="BA107" s="329" t="str">
        <f>IF(ISBLANK(DeemedDashboard[[#This Row],[MeasAppType]]),"",IF(DeemedDashboard[[#This Row],[Std Device Years Over-lapping with Measure Years]]=0,0,DeemedDashboard[[#This Row],[Std Device Years Over-lapping with Measure Years]]/DeemedDashboard[[#This Row],[Counterfactual New Device EUL]]))</f>
        <v/>
      </c>
      <c r="BB107" s="329" t="str">
        <f>IF(ISBLANK(DeemedDashboard[[#This Row],[MeasAppType]]),"",IFERROR(IF(DeemedDashboard[[#This Row],[Pre Device Years Over-lapping with Measure Years]]=0,0,DeemedDashboard[[#This Row],[Pre Device Years Over-lapping with Measure Years]]/DeemedDashboard[[#This Row],[Existing Device EUL]]),""))</f>
        <v/>
      </c>
      <c r="BC107" s="329" t="str">
        <f>IFERROR(IF(DeemedDashboard[[#This Row],[Ext Device Years Over-lapping with Measure Years]]=0,0,DeemedDashboard[[#This Row],[Ext Device Years Over-lapping with Measure Years]]/DeemedDashboard[[#This Row],[Existing Device EUL]]),"")</f>
        <v/>
      </c>
      <c r="BD107" s="329" t="str">
        <f>IFERROR(IF(DeemedDashboard[[#This Row],[Msr Number of Years device retired early]]=0,0,DeemedDashboard[[#This Row],[Msr Number of Years device retired early]]/DeemedDashboard[[#This Row],[Msr EUL rounded]]),"")</f>
        <v/>
      </c>
      <c r="BE107" s="329" t="str">
        <f>IFERROR(IF(DeemedDashboard[[#This Row],[Std Number of Years device retired early]]=0,0,DeemedDashboard[[#This Row],[Std Number of Years device retired early]]/DeemedDashboard[[#This Row],[Msr EUL rounded]]),"")</f>
        <v/>
      </c>
      <c r="BF107" s="329" t="str">
        <f>IFERROR(IF(DeemedDashboard[[#This Row],[MeasAppType]]&lt;&gt;const_AR,"",IF(DeemedDashboard[[#This Row],[Pre Number of Years device retired early]]=0,0,DeemedDashboard[[#This Row],[Pre Number of Years device retired early]]/DeemedDashboard[[#This Row],[Existing Device EUL]])),"")</f>
        <v/>
      </c>
      <c r="BG107" s="329" t="str">
        <f>IFERROR(IF(DeemedDashboard[[#This Row],[Ext Number of Years device retired early]]=0,0,DeemedDashboard[[#This Row],[Ext Number of Years device retired early]]/DeemedDashboard[[#This Row],[Existing Device EUL]]),"")</f>
        <v/>
      </c>
      <c r="BH107" s="325" t="str">
        <f>IFERROR(1-DeemedDashboard[[#This Row],[Msr annual refrigerant leakage %]]*DeemedDashboard[[#This Row],[Msr t_EOL]],"")</f>
        <v/>
      </c>
      <c r="BI107" s="325" t="str">
        <f>IFERROR(1-DeemedDashboard[[#This Row],[Std annual refrigerant leakage %]]*DeemedDashboard[[#This Row],[Std t_EOL]],"")</f>
        <v/>
      </c>
      <c r="BJ107" s="325" t="str">
        <f>IFERROR(1-DeemedDashboard[[#This Row],[Pre/Ext annual refrigerant leakage %]]*DeemedDashboard[[#This Row],[Pre/Ext t_EOL]],"")</f>
        <v/>
      </c>
      <c r="BK107" s="325" t="str">
        <f>IFERROR(1-DeemedDashboard[[#This Row],[Pre/Ext annual refrigerant leakage %]]*DeemedDashboard[[#This Row],[Pre/Ext t_EOL]],"")</f>
        <v/>
      </c>
      <c r="BL107" s="325" t="str">
        <f>IFERROR(DeemedDashboard[[#This Row],[Msr charging remaining (%)]]*DeemedDashboard[[#This Row],[Msr gross EOL refrigerant leakage %]],"")</f>
        <v/>
      </c>
      <c r="BM107" s="325" t="str">
        <f>IFERROR(DeemedDashboard[[#This Row],[Std charging remaining (%)]]*DeemedDashboard[[#This Row],[Std gross EOL refrigerant leakage %]],"")</f>
        <v/>
      </c>
      <c r="BN107" s="325" t="str">
        <f>IFERROR(DeemedDashboard[[#This Row],[Pre charging remaining (%)]]*DeemedDashboard[[#This Row],[Pre/Ext gross EOL refrigerant leakage %]],"")</f>
        <v/>
      </c>
      <c r="BO107" s="325" t="str">
        <f>IFERROR(DeemedDashboard[[#This Row],[Ext charging remaining (%)]]*DeemedDashboard[[#This Row],[Pre/Ext gross EOL refrigerant leakage %]],"")</f>
        <v/>
      </c>
      <c r="BP107" s="330" t="str">
        <f>IFERROR((DeemedDashboard[[#This Row],[Msr refrigerant charge (lb) per NormUnit]]/pounds_per_metric_ton)*DeemedDashboard[[#This Row],[Msr annual refrigerant leakage %]]*DeemedDashboard[[#This Row],[Msr GWP]],"")</f>
        <v/>
      </c>
      <c r="BQ107" s="330" t="str">
        <f>IFERROR((DeemedDashboard[[#This Row],[Std refrigerant charge (lb) per NormUnit]]/pounds_per_metric_ton)*DeemedDashboard[[#This Row],[Std annual refrigerant leakage %]]*DeemedDashboard[[#This Row],[Std GWP]],"")</f>
        <v/>
      </c>
      <c r="BR107" s="330" t="str">
        <f>IF(DeemedDashboard[[#This Row],[MeasAppType]]=const_AR,(DeemedDashboard[[#This Row],[Pre/Ext refrigerant charge (lb) per NormUnit]]/pounds_per_metric_ton)*DeemedDashboard[[#This Row],[Pre/Ext annual refrigerant leakage %]]*DeemedDashboard[[#This Row],[Pre/Ext GWP]],"")</f>
        <v/>
      </c>
      <c r="BS107" s="330" t="str">
        <f>IF(DeemedDashboard[[#This Row],[MeasAppType]]=const_AR,(DeemedDashboard[[#This Row],[Pre/Ext refrigerant charge (lb) per NormUnit]]/pounds_per_metric_ton)*DeemedDashboard[[#This Row],[Pre/Ext annual refrigerant leakage %]]*DeemedDashboard[[#This Row],[Pre/Ext GWP]],"")</f>
        <v/>
      </c>
      <c r="BT107" s="330" t="str">
        <f>IFERROR((DeemedDashboard[[#This Row],[Msr refrigerant charge (lb) per NormUnit]]/pounds_per_metric_ton)*DeemedDashboard[[#This Row],[Msr net EOL refrigerant leakage (%)]]*DeemedDashboard[[#This Row],[Msr GWP]],"")</f>
        <v/>
      </c>
      <c r="BU107" s="330" t="str">
        <f>IFERROR((DeemedDashboard[[#This Row],[Std refrigerant charge (lb) per NormUnit]]/pounds_per_metric_ton)*DeemedDashboard[[#This Row],[Std net EOL refrigerant leakage (%)]]*DeemedDashboard[[#This Row],[Std GWP]],"")</f>
        <v/>
      </c>
      <c r="BV107" s="330" t="str">
        <f>IFERROR((DeemedDashboard[[#This Row],[Pre/Ext refrigerant charge (lb) per NormUnit]]/pounds_per_metric_ton)*DeemedDashboard[[#This Row],[Pre net EOL refrigerant leakage (%)]]*DeemedDashboard[[#This Row],[Pre/Ext GWP]],"")</f>
        <v/>
      </c>
      <c r="BW107" s="330" t="str">
        <f>IFERROR((DeemedDashboard[[#This Row],[Pre/Ext refrigerant charge (lb) per NormUnit]]/pounds_per_metric_ton)*DeemedDashboard[[#This Row],[Ext net EOL refrigerant leakage (%)]]*DeemedDashboard[[#This Row],[Pre/Ext GWP]],"")</f>
        <v/>
      </c>
      <c r="BX107" s="299" t="str" cm="1">
        <f t="array" aca="1" ref="BX107"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7" s="305" t="str" cm="1">
        <f t="array" aca="1" ref="BY107"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7" s="299" t="str">
        <f>IFERROR(IF(OR(DeemedDashboard[[#This Row],[MeasAppType]]&lt;&gt;const_AR,ISBLANK(DeemedDashboard[[#This Row],[MeasAppType]])),NA(),0),"")</f>
        <v/>
      </c>
      <c r="CA107" s="305" t="str" cm="1">
        <f t="array" aca="1" ref="CA107"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7" s="299" t="str">
        <f ca="1">IFERROR((DeemedDashboard[[#This Row],[Msr EOL leakage tons CO2e]]*OFFSET(GHG_Adder_dollar_per_tonne,0,(DeemedDashboard[[#This Row],[Msr Device Retire-ment Year]]-DY+1),1,1))/(1+WACC)^(DeemedDashboard[[#This Row],[Msr Device Retire-ment Year]]-DeemedDashboard[[#This Row],[Measure Start Year]]+0.5),"")</f>
        <v/>
      </c>
      <c r="CC107" s="299" t="str">
        <f ca="1">IFERROR((DeemedDashboard[[#This Row],[Std EOL leakage tons CO2e]]*OFFSET(GHG_Adder_dollar_per_tonne,0,(DeemedDashboard[[#This Row],[Std Device Retire-ment Year]]-DY+1),1,1))/(1+WACC)^(DeemedDashboard[[#This Row],[Std Device Retire-ment Year]]-DeemedDashboard[[#This Row],[Measure Start Year]]+0.5),"")</f>
        <v/>
      </c>
      <c r="CD107" s="299" t="str">
        <f ca="1">IFERROR((DeemedDashboard[[#This Row],[Pre EOL leakage tons CO2e]]*OFFSET(GHG_Adder_dollar_per_tonne,0,(DeemedDashboard[[#This Row],[Measure Start Year]]-DY),1,1))/(1+WACC)^(-0.5),"")</f>
        <v/>
      </c>
      <c r="CE107"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7" s="299" t="str">
        <f ca="1">IFERROR(DeemedDashboard[[#This Row],[Msr NPV Cost of Annual Leakage]]/(1+ACC_Inflation_Rate)^(DeemedDashboard[[#This Row],[Measure Start Year]]-DY),"")</f>
        <v/>
      </c>
      <c r="CG107" s="299" t="str">
        <f ca="1">IFERROR(DeemedDashboard[[#This Row],[Std NPV Cost of Annual Leakage]]/(1+ACC_Inflation_Rate)^(DeemedDashboard[[#This Row],[Measure Start Year]]-DY),"")</f>
        <v/>
      </c>
      <c r="CH107" s="299" t="str">
        <f>IFERROR(IF(ISBLANK(DeemedDashboard[[#This Row],[MeasAppType]]),NA(),IF(DeemedDashboard[[#This Row],[MeasAppType]]=const_AR,DeemedDashboard[[#This Row],[Pre NPV Cost of Annual Leakage]]/(1+ACC_Inflation_Rate)^(DeemedDashboard[[#This Row],[Measure Start Year]]-DY),"")),"")</f>
        <v/>
      </c>
      <c r="CI107" s="296" t="str">
        <f>IFERROR(IF(ISBLANK(DeemedDashboard[[#This Row],[MeasAppType]]),NA(),IF(DeemedDashboard[[#This Row],[MeasAppType]]=const_AR,DeemedDashboard[[#This Row],[Ext NPV Cost of Annual Leakage]]/(1+ACC_Inflation_Rate)^(DeemedDashboard[[#This Row],[Measure Start Year]]-DY),"")),"")</f>
        <v/>
      </c>
      <c r="CJ107" s="296" t="str">
        <f ca="1">IFERROR((DeemedDashboard[[#This Row],[Msr % of device lifetime during measure years]]+DeemedDashboard[[#This Row],[Msr % of device lifetime retired early]])*DeemedDashboard[[#This Row],[Msr NPV Cost of EOL Leakage]]/(1+ACC_Inflation_Rate)^(DeemedDashboard[[#This Row],[Measure Start Year]]-DY),"")</f>
        <v/>
      </c>
      <c r="CK107" s="296" t="str">
        <f ca="1">IFERROR((DeemedDashboard[[#This Row],[Std % of device lifetime during measure years]]+DeemedDashboard[[#This Row],[Std % of device lifetime retired early]])*DeemedDashboard[[#This Row],[Std NPV Cost of EOL Leakage]]/(1+ACC_Inflation_Rate)^(DeemedDashboard[[#This Row],[Measure Start Year]]-DY),"")</f>
        <v/>
      </c>
      <c r="CL107"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7"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7"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7"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7" s="299" t="str">
        <f ca="1">IFERROR(DeemedDashboard[[#This Row],[Counter-factual total 
NPV cost]]-DeemedDashboard[[#This Row],[Measure total 
NPV cost]],"")</f>
        <v/>
      </c>
      <c r="CQ107" s="299" t="str">
        <f>IF(ISBLANK(DeemedDashboard[[#This Row],[MeasAppType]]),"",DeemedDashboard[[#This Row],[Refrigerant
NPV costs
avoided]]&gt;0)</f>
        <v/>
      </c>
      <c r="CR107" s="299" t="str">
        <f ca="1">IFERROR(DeemedDashboard[[#This Row],[Msr Adj NPV Cost of Annual Leakage]]+DeemedDashboard[[#This Row],[Msr Adj NPV Cost of EOL Leakage]],"")</f>
        <v/>
      </c>
      <c r="CS107" s="299" t="str">
        <f ca="1">IFERROR(DeemedDashboard[[#This Row],[Std Adj NPV Cost of Annual Leakage]]+DeemedDashboard[[#This Row],[Std Adj NPV Cost of EOL Leakage]],"")</f>
        <v/>
      </c>
      <c r="CT107" s="299" t="str">
        <f>IFERROR(IF((DeemedDashboard[[#This Row],[Pre Adj NPV Cost of Annual Leakage]]+DeemedDashboard[[#This Row],[Pre Adj NPV Cost of EOL Leakage]])=0,"",DeemedDashboard[[#This Row],[Pre Adj NPV Cost of Annual Leakage]]+DeemedDashboard[[#This Row],[Pre Adj NPV Cost of EOL Leakage]]),"")</f>
        <v/>
      </c>
      <c r="CU107" s="299" t="str">
        <f>IFERROR(IF((DeemedDashboard[[#This Row],[Ext Adj NPV Cost of Annual Leakage]]+DeemedDashboard[[#This Row],[Ext Adj NPV Cost of EOL Leakage]])=0,"",DeemedDashboard[[#This Row],[Ext Adj NPV Cost of Annual Leakage]]+DeemedDashboard[[#This Row],[Ext Adj NPV Cost of EOL Leakage]]),"")</f>
        <v/>
      </c>
      <c r="CV107" s="299" t="str">
        <f>IFERROR(IF(DeemedDashboard[[#This Row],[Is Avoided Net Cost &gt;0?]],"",-DeemedDashboard[[#This Row],[Refrigerant
NPV costs
avoided]]),"")</f>
        <v/>
      </c>
      <c r="CW107" s="299" t="str">
        <f>IFERROR(IF(DeemedDashboard[[#This Row],[Is Avoided Net Cost &gt;0?]],DeemedDashboard[[#This Row],[Refrigerant
NPV costs
avoided]],""),"")</f>
        <v/>
      </c>
      <c r="CX107" s="391">
        <f ca="1">IFERROR(MATCH(DeemedDashboard[[#This Row],[TechGroup and NormUnit]],TechGroup_and_NormUnit,0),1)</f>
        <v>1</v>
      </c>
      <c r="CY107" s="391" cm="1">
        <f t="array" aca="1" ref="CY107" ca="1">IFERROR(INDEX(TGRows,DeemedDashboard[[#This Row],[TGIndex]]),"")</f>
        <v>2</v>
      </c>
      <c r="CZ107" s="391">
        <f ca="1">IF(DeemedDashboard[[#This Row],[MeasAppType]]=const_AR,DeemedDashboard[[#This Row],[TGRows]],DeemedDashboard[[#This Row],[TGRows]]+1)</f>
        <v>3</v>
      </c>
      <c r="DA107" s="391" t="str">
        <f>IF(ISBLANK(DeemedDashboard[[#This Row],[MeasAppType]]),"",IF(DeemedDashboard[[#This Row],[Index]]=User_Specified_Refrigerant[[#This Row],[Index]],"OK","ERROR"))</f>
        <v/>
      </c>
    </row>
    <row r="108" spans="1:105" s="320" customFormat="1" x14ac:dyDescent="0.25">
      <c r="A108" s="297">
        <f>ROW(DeemedDashboard[[#This Row],[Index]])-ROW(DeemedDashboard[[#Headers],[Index]])</f>
        <v>99</v>
      </c>
      <c r="B108" s="298"/>
      <c r="C108" s="321"/>
      <c r="D108" s="403"/>
      <c r="E108" s="403"/>
      <c r="F108" s="403"/>
      <c r="G108" s="403"/>
      <c r="H108" s="366"/>
      <c r="I108" s="339"/>
      <c r="J108" s="339"/>
      <c r="K108" s="339"/>
      <c r="L108" s="322"/>
      <c r="M108" s="322"/>
      <c r="N108" s="322"/>
      <c r="O108"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8"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8"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8" s="582" t="str" cm="1">
        <f t="array" ref="R108">IFERROR(IF(DeemedDashboard[[#This Row],[Msr device type]]=const_device_nonrefrig,0,INDEX(_xlfn.SWITCH($E$4,const_20_yr,GWP_Values_20_year_AR4,const_100_yr,GWP_Values_100_year_AR4),MATCH(DeemedDashboard[[#This Row],[Msr refrigerant Type]],RefrigDropdownList,0))),"")</f>
        <v/>
      </c>
      <c r="S108" s="582" t="str" cm="1">
        <f t="array" ref="S108">IFERROR(IF(DeemedDashboard[[#This Row],[Std device type]]=const_device_nonrefrig,0,INDEX(_xlfn.SWITCH($E$4,const_20_yr,GWP_Values_20_year_AR4,const_100_yr,GWP_Values_100_year_AR4),MATCH(DeemedDashboard[[#This Row],[Std refrigerant Type]],RefrigDropdownList,0))),"")</f>
        <v/>
      </c>
      <c r="T108" s="582" t="str" cm="1">
        <f t="array" ref="T108">IFERROR(IF(DeemedDashboard[[#This Row],[Pre/Ext device type]]=const_device_nonrefrig,0,INDEX(_xlfn.SWITCH($E$4,const_20_yr,GWP_Values_20_year_AR4,const_100_yr,GWP_Values_100_year_AR4),MATCH(DeemedDashboard[[#This Row],[Pre/Ext refrigerant Type]],RefrigDropdownList,0))),"")</f>
        <v/>
      </c>
      <c r="U108"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8"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8"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8"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8"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8"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8" s="326" t="str">
        <f>IFERROR(IF(DeemedDashboard[[#This Row],[Msr device type]]=const_userspec,IF(ISBLANK(User_Specified_Refrigerant[[#This Row],[Msr t_EOL]]),"",User_Specified_Refrigerant[[#This Row],[Msr t_EOL]]),INDEX(TechGroup_NormUnit_Table[t_EOL],MATCH(DeemedDashboard[[#This Row],[Msr device type]],DropdownRefrigTech,0))),"")</f>
        <v/>
      </c>
      <c r="AB108" s="326" t="str">
        <f>IFERROR(IF(DeemedDashboard[[#This Row],[Std device type]]=const_userspec,IF(ISBLANK(User_Specified_Refrigerant[[#This Row],[Std t_EOL]]),"",User_Specified_Refrigerant[[#This Row],[Std t_EOL]]),INDEX(TechGroup_NormUnit_Table[t_EOL],MATCH(DeemedDashboard[[#This Row],[Std device type]],DropdownRefrigTech,0))),"")</f>
        <v/>
      </c>
      <c r="AC108"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8" s="395" t="str">
        <f>IF(ISBLANK(DeemedDashboard[[#This Row],[MeasAppType]]),"",$E$2)</f>
        <v/>
      </c>
      <c r="AE108" s="395" t="str">
        <f>IFERROR(IF(ISBLANK(DeemedDashboard[[#This Row],[MeasAppType]]),NA(),DeemedDashboard[[#This Row],[Measure Start Year]]+DeemedDashboard[[#This Row],[Msr EUL rounded]]-1),"")</f>
        <v/>
      </c>
      <c r="AF108" s="323" t="str">
        <f>IF(ISBLANK(DeemedDashboard[[#This Row],[Measure New Device EUL]]),"",ROUND(DeemedDashboard[[#This Row],[Measure New Device EUL]],0))</f>
        <v/>
      </c>
      <c r="AG108" s="323" t="str">
        <f>IF(ISBLANK(DeemedDashboard[[#This Row],[Counterfactual New Device EUL]]),"",ROUND(DeemedDashboard[[#This Row],[Counterfactual New Device EUL]],0))</f>
        <v/>
      </c>
      <c r="AH108" s="323" t="str">
        <f>IF(ISBLANK(DeemedDashboard[[#This Row],[Existing Device EUL]]),"",ROUND(DeemedDashboard[[#This Row],[Existing Device EUL]],0))</f>
        <v/>
      </c>
      <c r="AI108" s="323" t="str">
        <f>IF(ISBLANK(DeemedDashboard[[#This Row],[Existing Device RUL or AR First Baseline Life]]),"",ROUND(DeemedDashboard[[#This Row],[Existing Device RUL or AR First Baseline Life]],0))</f>
        <v/>
      </c>
      <c r="AJ108" s="327" t="str">
        <f>DeemedDashboard[[#This Row],[Measure Start Year]]</f>
        <v/>
      </c>
      <c r="AK108" s="327" t="str">
        <f>IF(DeemedDashboard[[#This Row],[MeasAppType]]&lt;&gt;const_AR,DeemedDashboard[[#This Row],[Measure Start Year]],DeemedDashboard[[#This Row],[Ext Device Retire-ment Year]]+1)</f>
        <v/>
      </c>
      <c r="AL108" s="327" t="str">
        <f>IFERROR(IF(DeemedDashboard[[#This Row],[MeasAppType]]=const_AR,DeemedDashboard[[#This Row],[Measure Start Year]]-(DeemedDashboard[[#This Row],[Existing Device EUL]]-DeemedDashboard[[#This Row],[Existing Device RUL or AR First Baseline Life]]),NA()),"")</f>
        <v/>
      </c>
      <c r="AM108" s="327" t="str">
        <f>DeemedDashboard[[#This Row],[Pre Device Install Year]]</f>
        <v/>
      </c>
      <c r="AN108" s="327" t="str">
        <f>IFERROR(IF(ISBLANK(DeemedDashboard[[#This Row],[MeasAppType]]),NA(),DeemedDashboard[[#This Row],[Measure Start Year]]+DeemedDashboard[[#This Row],[Msr EUL rounded]]-1),"")</f>
        <v/>
      </c>
      <c r="AO108" s="327" t="str">
        <f>IFERROR(DeemedDashboard[[#This Row],[Std Device Install Year]]+DeemedDashboard[[#This Row],[Counterfactual New Device EUL]]-1,"")</f>
        <v/>
      </c>
      <c r="AP108" s="327" t="str">
        <f>IFERROR(IF(AND(DeemedDashboard[[#This Row],[MeasAppType]]=const_AR,DeemedDashboard[[#This Row],[Measure Start Year]]&lt;(DeemedDashboard[[#This Row],[Pre Device Install Year]]+DeemedDashboard[[#This Row],[Existing Device EUL]]-1)),DeemedDashboard[[#This Row],[Measure Start Year]]-1,NA()),"")</f>
        <v/>
      </c>
      <c r="AQ108" s="327" t="str">
        <f>IFERROR(IF(DeemedDashboard[[#This Row],[MeasAppType]]=const_AR,DeemedDashboard[[#This Row],[Ext Device Install Year]]+DeemedDashboard[[#This Row],[Existing Device EUL]]-1,NA()),"")</f>
        <v/>
      </c>
      <c r="AR108" s="327" t="str">
        <f>IFERROR(IF(ISBLANK(DeemedDashboard[[#This Row],[MeasAppType]]),NA(),0),"")</f>
        <v/>
      </c>
      <c r="AS108" s="327" t="str">
        <f>IFERROR(IF(ISBLANK(DeemedDashboard[[#This Row],[MeasAppType]]),NA(),0),"")</f>
        <v/>
      </c>
      <c r="AT108" s="327" t="str">
        <f>IF(ISBLANK(DeemedDashboard[[#This Row],[MeasAppType]]),"",IF(DeemedDashboard[[#This Row],[MeasAppType]]&lt;&gt;const_AR,"",(DeemedDashboard[[#This Row],[Pre Device Install Year]]+DeemedDashboard[[#This Row],[Existing Device EUL]]-1)-DeemedDashboard[[#This Row],[Pre Device Retire-ment Year]]))</f>
        <v/>
      </c>
      <c r="AU108" s="327" t="str">
        <f>IF(ISBLANK(DeemedDashboard[[#This Row],[MeasAppType]]),"",IF(DeemedDashboard[[#This Row],[MeasAppType]]=const_AR,0,""))</f>
        <v/>
      </c>
      <c r="AV108" s="328" t="str">
        <f>IF(ISBLANK(DeemedDashboard[[#This Row],[MeasAppType]]),"",MAX((1+MIN(DeemedDashboard[[#This Row],[Msr Device Retire-ment Year]],DeemedDashboard[[#This Row],[Measure End 
Year]])-MAX(DeemedDashboard[[#This Row],[Msr Device Install Year]],DeemedDashboard[[#This Row],[Measure Start Year]])),0))</f>
        <v/>
      </c>
      <c r="AW108" s="328" t="str">
        <f>IF(ISBLANK(DeemedDashboard[[#This Row],[MeasAppType]]),"",MAX((1+MIN(DeemedDashboard[[#This Row],[Std Device Retire-ment Year]],DeemedDashboard[[#This Row],[Measure End 
Year]])-MAX(DeemedDashboard[[#This Row],[Std Device Install Year]],DeemedDashboard[[#This Row],[Measure Start Year]])),0))</f>
        <v/>
      </c>
      <c r="AX108"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8"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8" s="329" t="str">
        <f>IF(ISBLANK(DeemedDashboard[[#This Row],[MeasAppType]]),"",IF(DeemedDashboard[[#This Row],[Msr Device Years Over-lapping with Measure Years]]=0,0,DeemedDashboard[[#This Row],[Msr Device Years Over-lapping with Measure Years]]/DeemedDashboard[[#This Row],[Msr EUL rounded]]))</f>
        <v/>
      </c>
      <c r="BA108" s="329" t="str">
        <f>IF(ISBLANK(DeemedDashboard[[#This Row],[MeasAppType]]),"",IF(DeemedDashboard[[#This Row],[Std Device Years Over-lapping with Measure Years]]=0,0,DeemedDashboard[[#This Row],[Std Device Years Over-lapping with Measure Years]]/DeemedDashboard[[#This Row],[Counterfactual New Device EUL]]))</f>
        <v/>
      </c>
      <c r="BB108" s="329" t="str">
        <f>IF(ISBLANK(DeemedDashboard[[#This Row],[MeasAppType]]),"",IFERROR(IF(DeemedDashboard[[#This Row],[Pre Device Years Over-lapping with Measure Years]]=0,0,DeemedDashboard[[#This Row],[Pre Device Years Over-lapping with Measure Years]]/DeemedDashboard[[#This Row],[Existing Device EUL]]),""))</f>
        <v/>
      </c>
      <c r="BC108" s="329" t="str">
        <f>IFERROR(IF(DeemedDashboard[[#This Row],[Ext Device Years Over-lapping with Measure Years]]=0,0,DeemedDashboard[[#This Row],[Ext Device Years Over-lapping with Measure Years]]/DeemedDashboard[[#This Row],[Existing Device EUL]]),"")</f>
        <v/>
      </c>
      <c r="BD108" s="329" t="str">
        <f>IFERROR(IF(DeemedDashboard[[#This Row],[Msr Number of Years device retired early]]=0,0,DeemedDashboard[[#This Row],[Msr Number of Years device retired early]]/DeemedDashboard[[#This Row],[Msr EUL rounded]]),"")</f>
        <v/>
      </c>
      <c r="BE108" s="329" t="str">
        <f>IFERROR(IF(DeemedDashboard[[#This Row],[Std Number of Years device retired early]]=0,0,DeemedDashboard[[#This Row],[Std Number of Years device retired early]]/DeemedDashboard[[#This Row],[Msr EUL rounded]]),"")</f>
        <v/>
      </c>
      <c r="BF108" s="329" t="str">
        <f>IFERROR(IF(DeemedDashboard[[#This Row],[MeasAppType]]&lt;&gt;const_AR,"",IF(DeemedDashboard[[#This Row],[Pre Number of Years device retired early]]=0,0,DeemedDashboard[[#This Row],[Pre Number of Years device retired early]]/DeemedDashboard[[#This Row],[Existing Device EUL]])),"")</f>
        <v/>
      </c>
      <c r="BG108" s="329" t="str">
        <f>IFERROR(IF(DeemedDashboard[[#This Row],[Ext Number of Years device retired early]]=0,0,DeemedDashboard[[#This Row],[Ext Number of Years device retired early]]/DeemedDashboard[[#This Row],[Existing Device EUL]]),"")</f>
        <v/>
      </c>
      <c r="BH108" s="325" t="str">
        <f>IFERROR(1-DeemedDashboard[[#This Row],[Msr annual refrigerant leakage %]]*DeemedDashboard[[#This Row],[Msr t_EOL]],"")</f>
        <v/>
      </c>
      <c r="BI108" s="325" t="str">
        <f>IFERROR(1-DeemedDashboard[[#This Row],[Std annual refrigerant leakage %]]*DeemedDashboard[[#This Row],[Std t_EOL]],"")</f>
        <v/>
      </c>
      <c r="BJ108" s="325" t="str">
        <f>IFERROR(1-DeemedDashboard[[#This Row],[Pre/Ext annual refrigerant leakage %]]*DeemedDashboard[[#This Row],[Pre/Ext t_EOL]],"")</f>
        <v/>
      </c>
      <c r="BK108" s="325" t="str">
        <f>IFERROR(1-DeemedDashboard[[#This Row],[Pre/Ext annual refrigerant leakage %]]*DeemedDashboard[[#This Row],[Pre/Ext t_EOL]],"")</f>
        <v/>
      </c>
      <c r="BL108" s="325" t="str">
        <f>IFERROR(DeemedDashboard[[#This Row],[Msr charging remaining (%)]]*DeemedDashboard[[#This Row],[Msr gross EOL refrigerant leakage %]],"")</f>
        <v/>
      </c>
      <c r="BM108" s="325" t="str">
        <f>IFERROR(DeemedDashboard[[#This Row],[Std charging remaining (%)]]*DeemedDashboard[[#This Row],[Std gross EOL refrigerant leakage %]],"")</f>
        <v/>
      </c>
      <c r="BN108" s="325" t="str">
        <f>IFERROR(DeemedDashboard[[#This Row],[Pre charging remaining (%)]]*DeemedDashboard[[#This Row],[Pre/Ext gross EOL refrigerant leakage %]],"")</f>
        <v/>
      </c>
      <c r="BO108" s="325" t="str">
        <f>IFERROR(DeemedDashboard[[#This Row],[Ext charging remaining (%)]]*DeemedDashboard[[#This Row],[Pre/Ext gross EOL refrigerant leakage %]],"")</f>
        <v/>
      </c>
      <c r="BP108" s="330" t="str">
        <f>IFERROR((DeemedDashboard[[#This Row],[Msr refrigerant charge (lb) per NormUnit]]/pounds_per_metric_ton)*DeemedDashboard[[#This Row],[Msr annual refrigerant leakage %]]*DeemedDashboard[[#This Row],[Msr GWP]],"")</f>
        <v/>
      </c>
      <c r="BQ108" s="330" t="str">
        <f>IFERROR((DeemedDashboard[[#This Row],[Std refrigerant charge (lb) per NormUnit]]/pounds_per_metric_ton)*DeemedDashboard[[#This Row],[Std annual refrigerant leakage %]]*DeemedDashboard[[#This Row],[Std GWP]],"")</f>
        <v/>
      </c>
      <c r="BR108" s="330" t="str">
        <f>IF(DeemedDashboard[[#This Row],[MeasAppType]]=const_AR,(DeemedDashboard[[#This Row],[Pre/Ext refrigerant charge (lb) per NormUnit]]/pounds_per_metric_ton)*DeemedDashboard[[#This Row],[Pre/Ext annual refrigerant leakage %]]*DeemedDashboard[[#This Row],[Pre/Ext GWP]],"")</f>
        <v/>
      </c>
      <c r="BS108" s="330" t="str">
        <f>IF(DeemedDashboard[[#This Row],[MeasAppType]]=const_AR,(DeemedDashboard[[#This Row],[Pre/Ext refrigerant charge (lb) per NormUnit]]/pounds_per_metric_ton)*DeemedDashboard[[#This Row],[Pre/Ext annual refrigerant leakage %]]*DeemedDashboard[[#This Row],[Pre/Ext GWP]],"")</f>
        <v/>
      </c>
      <c r="BT108" s="330" t="str">
        <f>IFERROR((DeemedDashboard[[#This Row],[Msr refrigerant charge (lb) per NormUnit]]/pounds_per_metric_ton)*DeemedDashboard[[#This Row],[Msr net EOL refrigerant leakage (%)]]*DeemedDashboard[[#This Row],[Msr GWP]],"")</f>
        <v/>
      </c>
      <c r="BU108" s="330" t="str">
        <f>IFERROR((DeemedDashboard[[#This Row],[Std refrigerant charge (lb) per NormUnit]]/pounds_per_metric_ton)*DeemedDashboard[[#This Row],[Std net EOL refrigerant leakage (%)]]*DeemedDashboard[[#This Row],[Std GWP]],"")</f>
        <v/>
      </c>
      <c r="BV108" s="330" t="str">
        <f>IFERROR((DeemedDashboard[[#This Row],[Pre/Ext refrigerant charge (lb) per NormUnit]]/pounds_per_metric_ton)*DeemedDashboard[[#This Row],[Pre net EOL refrigerant leakage (%)]]*DeemedDashboard[[#This Row],[Pre/Ext GWP]],"")</f>
        <v/>
      </c>
      <c r="BW108" s="330" t="str">
        <f>IFERROR((DeemedDashboard[[#This Row],[Pre/Ext refrigerant charge (lb) per NormUnit]]/pounds_per_metric_ton)*DeemedDashboard[[#This Row],[Ext net EOL refrigerant leakage (%)]]*DeemedDashboard[[#This Row],[Pre/Ext GWP]],"")</f>
        <v/>
      </c>
      <c r="BX108" s="299" t="str" cm="1">
        <f t="array" aca="1" ref="BX108"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8" s="305" t="str" cm="1">
        <f t="array" aca="1" ref="BY108"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8" s="299" t="str">
        <f>IFERROR(IF(OR(DeemedDashboard[[#This Row],[MeasAppType]]&lt;&gt;const_AR,ISBLANK(DeemedDashboard[[#This Row],[MeasAppType]])),NA(),0),"")</f>
        <v/>
      </c>
      <c r="CA108" s="305" t="str" cm="1">
        <f t="array" aca="1" ref="CA108"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8" s="299" t="str">
        <f ca="1">IFERROR((DeemedDashboard[[#This Row],[Msr EOL leakage tons CO2e]]*OFFSET(GHG_Adder_dollar_per_tonne,0,(DeemedDashboard[[#This Row],[Msr Device Retire-ment Year]]-DY+1),1,1))/(1+WACC)^(DeemedDashboard[[#This Row],[Msr Device Retire-ment Year]]-DeemedDashboard[[#This Row],[Measure Start Year]]+0.5),"")</f>
        <v/>
      </c>
      <c r="CC108" s="299" t="str">
        <f ca="1">IFERROR((DeemedDashboard[[#This Row],[Std EOL leakage tons CO2e]]*OFFSET(GHG_Adder_dollar_per_tonne,0,(DeemedDashboard[[#This Row],[Std Device Retire-ment Year]]-DY+1),1,1))/(1+WACC)^(DeemedDashboard[[#This Row],[Std Device Retire-ment Year]]-DeemedDashboard[[#This Row],[Measure Start Year]]+0.5),"")</f>
        <v/>
      </c>
      <c r="CD108" s="299" t="str">
        <f ca="1">IFERROR((DeemedDashboard[[#This Row],[Pre EOL leakage tons CO2e]]*OFFSET(GHG_Adder_dollar_per_tonne,0,(DeemedDashboard[[#This Row],[Measure Start Year]]-DY),1,1))/(1+WACC)^(-0.5),"")</f>
        <v/>
      </c>
      <c r="CE108"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8" s="299" t="str">
        <f ca="1">IFERROR(DeemedDashboard[[#This Row],[Msr NPV Cost of Annual Leakage]]/(1+ACC_Inflation_Rate)^(DeemedDashboard[[#This Row],[Measure Start Year]]-DY),"")</f>
        <v/>
      </c>
      <c r="CG108" s="299" t="str">
        <f ca="1">IFERROR(DeemedDashboard[[#This Row],[Std NPV Cost of Annual Leakage]]/(1+ACC_Inflation_Rate)^(DeemedDashboard[[#This Row],[Measure Start Year]]-DY),"")</f>
        <v/>
      </c>
      <c r="CH108" s="299" t="str">
        <f>IFERROR(IF(ISBLANK(DeemedDashboard[[#This Row],[MeasAppType]]),NA(),IF(DeemedDashboard[[#This Row],[MeasAppType]]=const_AR,DeemedDashboard[[#This Row],[Pre NPV Cost of Annual Leakage]]/(1+ACC_Inflation_Rate)^(DeemedDashboard[[#This Row],[Measure Start Year]]-DY),"")),"")</f>
        <v/>
      </c>
      <c r="CI108" s="296" t="str">
        <f>IFERROR(IF(ISBLANK(DeemedDashboard[[#This Row],[MeasAppType]]),NA(),IF(DeemedDashboard[[#This Row],[MeasAppType]]=const_AR,DeemedDashboard[[#This Row],[Ext NPV Cost of Annual Leakage]]/(1+ACC_Inflation_Rate)^(DeemedDashboard[[#This Row],[Measure Start Year]]-DY),"")),"")</f>
        <v/>
      </c>
      <c r="CJ108" s="296" t="str">
        <f ca="1">IFERROR((DeemedDashboard[[#This Row],[Msr % of device lifetime during measure years]]+DeemedDashboard[[#This Row],[Msr % of device lifetime retired early]])*DeemedDashboard[[#This Row],[Msr NPV Cost of EOL Leakage]]/(1+ACC_Inflation_Rate)^(DeemedDashboard[[#This Row],[Measure Start Year]]-DY),"")</f>
        <v/>
      </c>
      <c r="CK108" s="296" t="str">
        <f ca="1">IFERROR((DeemedDashboard[[#This Row],[Std % of device lifetime during measure years]]+DeemedDashboard[[#This Row],[Std % of device lifetime retired early]])*DeemedDashboard[[#This Row],[Std NPV Cost of EOL Leakage]]/(1+ACC_Inflation_Rate)^(DeemedDashboard[[#This Row],[Measure Start Year]]-DY),"")</f>
        <v/>
      </c>
      <c r="CL108"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8"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8"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8"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8" s="299" t="str">
        <f ca="1">IFERROR(DeemedDashboard[[#This Row],[Counter-factual total 
NPV cost]]-DeemedDashboard[[#This Row],[Measure total 
NPV cost]],"")</f>
        <v/>
      </c>
      <c r="CQ108" s="299" t="str">
        <f>IF(ISBLANK(DeemedDashboard[[#This Row],[MeasAppType]]),"",DeemedDashboard[[#This Row],[Refrigerant
NPV costs
avoided]]&gt;0)</f>
        <v/>
      </c>
      <c r="CR108" s="299" t="str">
        <f ca="1">IFERROR(DeemedDashboard[[#This Row],[Msr Adj NPV Cost of Annual Leakage]]+DeemedDashboard[[#This Row],[Msr Adj NPV Cost of EOL Leakage]],"")</f>
        <v/>
      </c>
      <c r="CS108" s="299" t="str">
        <f ca="1">IFERROR(DeemedDashboard[[#This Row],[Std Adj NPV Cost of Annual Leakage]]+DeemedDashboard[[#This Row],[Std Adj NPV Cost of EOL Leakage]],"")</f>
        <v/>
      </c>
      <c r="CT108" s="299" t="str">
        <f>IFERROR(IF((DeemedDashboard[[#This Row],[Pre Adj NPV Cost of Annual Leakage]]+DeemedDashboard[[#This Row],[Pre Adj NPV Cost of EOL Leakage]])=0,"",DeemedDashboard[[#This Row],[Pre Adj NPV Cost of Annual Leakage]]+DeemedDashboard[[#This Row],[Pre Adj NPV Cost of EOL Leakage]]),"")</f>
        <v/>
      </c>
      <c r="CU108" s="299" t="str">
        <f>IFERROR(IF((DeemedDashboard[[#This Row],[Ext Adj NPV Cost of Annual Leakage]]+DeemedDashboard[[#This Row],[Ext Adj NPV Cost of EOL Leakage]])=0,"",DeemedDashboard[[#This Row],[Ext Adj NPV Cost of Annual Leakage]]+DeemedDashboard[[#This Row],[Ext Adj NPV Cost of EOL Leakage]]),"")</f>
        <v/>
      </c>
      <c r="CV108" s="299" t="str">
        <f>IFERROR(IF(DeemedDashboard[[#This Row],[Is Avoided Net Cost &gt;0?]],"",-DeemedDashboard[[#This Row],[Refrigerant
NPV costs
avoided]]),"")</f>
        <v/>
      </c>
      <c r="CW108" s="299" t="str">
        <f>IFERROR(IF(DeemedDashboard[[#This Row],[Is Avoided Net Cost &gt;0?]],DeemedDashboard[[#This Row],[Refrigerant
NPV costs
avoided]],""),"")</f>
        <v/>
      </c>
      <c r="CX108" s="391">
        <f ca="1">IFERROR(MATCH(DeemedDashboard[[#This Row],[TechGroup and NormUnit]],TechGroup_and_NormUnit,0),1)</f>
        <v>1</v>
      </c>
      <c r="CY108" s="391" cm="1">
        <f t="array" aca="1" ref="CY108" ca="1">IFERROR(INDEX(TGRows,DeemedDashboard[[#This Row],[TGIndex]]),"")</f>
        <v>2</v>
      </c>
      <c r="CZ108" s="391">
        <f ca="1">IF(DeemedDashboard[[#This Row],[MeasAppType]]=const_AR,DeemedDashboard[[#This Row],[TGRows]],DeemedDashboard[[#This Row],[TGRows]]+1)</f>
        <v>3</v>
      </c>
      <c r="DA108" s="391" t="str">
        <f>IF(ISBLANK(DeemedDashboard[[#This Row],[MeasAppType]]),"",IF(DeemedDashboard[[#This Row],[Index]]=User_Specified_Refrigerant[[#This Row],[Index]],"OK","ERROR"))</f>
        <v/>
      </c>
    </row>
    <row r="109" spans="1:105" s="320" customFormat="1" x14ac:dyDescent="0.25">
      <c r="A109" s="297">
        <f>ROW(DeemedDashboard[[#This Row],[Index]])-ROW(DeemedDashboard[[#Headers],[Index]])</f>
        <v>100</v>
      </c>
      <c r="B109" s="298"/>
      <c r="C109" s="321"/>
      <c r="D109" s="403"/>
      <c r="E109" s="403"/>
      <c r="F109" s="403"/>
      <c r="G109" s="403"/>
      <c r="H109" s="366"/>
      <c r="I109" s="339"/>
      <c r="J109" s="339"/>
      <c r="K109" s="339"/>
      <c r="L109" s="322"/>
      <c r="M109" s="322"/>
      <c r="N109" s="322"/>
      <c r="O109" s="581" t="str">
        <f>IFERROR(IF(DeemedDashboard[[#This Row],[Msr device type]]=const_userspec,IF(ISBLANK(User_Specified_Refrigerant[[#This Row],[Msr Refrigerant charge (lbs) per NormUnit]]),"",User_Specified_Refrigerant[[#This Row],[Msr Refrigerant charge (lbs) per NormUnit]]),INDEX(TechGroup_NormUnit_Table[RefrigChargePoundsPerNormUnit],MATCH(DeemedDashboard[[#This Row],[Msr device type]],DropdownRefrigTech,0))),"")</f>
        <v/>
      </c>
      <c r="P109" s="581" t="str">
        <f>IFERROR(IF(DeemedDashboard[[#This Row],[Std device type]]=const_userspec,IF(ISBLANK(User_Specified_Refrigerant[[#This Row],[Std Refrigerant charge (lbs) per NormUnit]]),"",User_Specified_Refrigerant[[#This Row],[Std Refrigerant charge (lbs) per NormUnit]]),INDEX(TechGroup_NormUnit_Table[RefrigChargePoundsPerNormUnit],MATCH(DeemedDashboard[[#This Row],[Std device type]],DropdownRefrigTech,0))),"")</f>
        <v/>
      </c>
      <c r="Q109" s="581" t="str">
        <f>IFERROR(IF(DeemedDashboard[[#This Row],[Pre/Ext device type]]=const_userspec,IF(ISBLANK(User_Specified_Refrigerant[[#This Row],[Pre Refrigerant charge (lbs) per NormUnit]]),"",User_Specified_Refrigerant[[#This Row],[Pre Refrigerant charge (lbs) per NormUnit]]),INDEX(TechGroup_NormUnit_Table[RefrigChargePoundsPerNormUnit],MATCH(DeemedDashboard[[#This Row],[Pre/Ext device type]],DropdownRefrigTech,0))),"")</f>
        <v/>
      </c>
      <c r="R109" s="324" t="str" cm="1">
        <f t="array" ref="R109">IFERROR(IF(DeemedDashboard[[#This Row],[Msr device type]]=const_device_nonrefrig,0,INDEX(_xlfn.SWITCH($E$4,const_20_yr,GWP_Values_20_year_AR4,const_100_yr,GWP_Values_100_year_AR4),MATCH(DeemedDashboard[[#This Row],[Msr refrigerant Type]],RefrigDropdownList,0))),"")</f>
        <v/>
      </c>
      <c r="S109" s="324" t="str" cm="1">
        <f t="array" ref="S109">IFERROR(IF(DeemedDashboard[[#This Row],[Std device type]]=const_device_nonrefrig,0,INDEX(_xlfn.SWITCH($E$4,const_20_yr,GWP_Values_20_year_AR4,const_100_yr,GWP_Values_100_year_AR4),MATCH(DeemedDashboard[[#This Row],[Std refrigerant Type]],RefrigDropdownList,0))),"")</f>
        <v/>
      </c>
      <c r="T109" s="324" t="str" cm="1">
        <f t="array" ref="T109">IFERROR(IF(DeemedDashboard[[#This Row],[Pre/Ext device type]]=const_device_nonrefrig,0,INDEX(_xlfn.SWITCH($E$4,const_20_yr,GWP_Values_20_year_AR4,const_100_yr,GWP_Values_100_year_AR4),MATCH(DeemedDashboard[[#This Row],[Pre/Ext refrigerant Type]],RefrigDropdownList,0))),"")</f>
        <v/>
      </c>
      <c r="U109" s="325" t="str">
        <f>IFERROR(IF(DeemedDashboard[[#This Row],[Msr device type]]=const_userspec,IF(ISBLANK(User_Specified_Refrigerant[[#This Row],[Msr annual refrigerant leakage %]]),"",User_Specified_Refrigerant[[#This Row],[Msr annual refrigerant leakage %]]),INDEX(TechGroup_NormUnit_Table[AnnualLeakageRate],MATCH(DeemedDashboard[[#This Row],[Msr device type]],DropdownRefrigTech,0))),"")</f>
        <v/>
      </c>
      <c r="V109" s="325" t="str">
        <f>IFERROR(IF(DeemedDashboard[[#This Row],[Std device type]]=const_userspec,IF(ISBLANK(User_Specified_Refrigerant[[#This Row],[Std annual refrigerant leakage %]]),"",User_Specified_Refrigerant[[#This Row],[Std annual refrigerant leakage %]]),INDEX(TechGroup_NormUnit_Table[AnnualLeakageRate],MATCH(DeemedDashboard[[#This Row],[Std device type]],DropdownRefrigTech,0))),"")</f>
        <v/>
      </c>
      <c r="W109" s="325" t="str">
        <f>IFERROR(IF(DeemedDashboard[[#This Row],[Pre/Ext device type]]=const_userspec,IF(ISBLANK(User_Specified_Refrigerant[[#This Row],[Pre annual refrigerant leakage %]]),"",User_Specified_Refrigerant[[#This Row],[Pre annual refrigerant leakage %]]),INDEX(TechGroup_NormUnit_Table[AnnualLeakageRate],MATCH(DeemedDashboard[[#This Row],[Pre/Ext device type]],DropdownRefrigTech,0))),"")</f>
        <v/>
      </c>
      <c r="X109" s="325" t="str">
        <f>IFERROR(IF(DeemedDashboard[[#This Row],[Msr device type]]=const_userspec,IF(ISBLANK(User_Specified_Refrigerant[[#This Row],[Msr gross EOL refrigerant leakage %]]),"",User_Specified_Refrigerant[[#This Row],[Msr gross EOL refrigerant leakage %]]),INDEX(TechGroup_NormUnit_Table[q_EOL],MATCH(DeemedDashboard[[#This Row],[Msr device type]],DropdownRefrigTech,0))),"")</f>
        <v/>
      </c>
      <c r="Y109" s="325" t="str">
        <f>IFERROR(IF(DeemedDashboard[[#This Row],[Std device type]]=const_userspec,IF(ISBLANK(User_Specified_Refrigerant[[#This Row],[Std gross EOL refrigerant leakage %]]),"",User_Specified_Refrigerant[[#This Row],[Std gross EOL refrigerant leakage %]]),INDEX(TechGroup_NormUnit_Table[q_EOL],MATCH(DeemedDashboard[[#This Row],[Std device type]],DropdownRefrigTech,0))),"")</f>
        <v/>
      </c>
      <c r="Z109" s="325" t="str">
        <f>IFERROR(IF(DeemedDashboard[[#This Row],[Pre/Ext device type]]=const_userspec,IF(ISBLANK(User_Specified_Refrigerant[[#This Row],[Pre gross EOL refrigerant leakage %]]),"",User_Specified_Refrigerant[[#This Row],[Pre gross EOL refrigerant leakage %]]),INDEX(TechGroup_NormUnit_Table[q_EOL],MATCH(DeemedDashboard[[#This Row],[Pre/Ext device type]],DropdownRefrigTech,0))),"")</f>
        <v/>
      </c>
      <c r="AA109" s="326" t="str">
        <f>IFERROR(IF(DeemedDashboard[[#This Row],[Msr device type]]=const_userspec,IF(ISBLANK(User_Specified_Refrigerant[[#This Row],[Msr t_EOL]]),"",User_Specified_Refrigerant[[#This Row],[Msr t_EOL]]),INDEX(TechGroup_NormUnit_Table[t_EOL],MATCH(DeemedDashboard[[#This Row],[Msr device type]],DropdownRefrigTech,0))),"")</f>
        <v/>
      </c>
      <c r="AB109" s="326" t="str">
        <f>IFERROR(IF(DeemedDashboard[[#This Row],[Std device type]]=const_userspec,IF(ISBLANK(User_Specified_Refrigerant[[#This Row],[Std t_EOL]]),"",User_Specified_Refrigerant[[#This Row],[Std t_EOL]]),INDEX(TechGroup_NormUnit_Table[t_EOL],MATCH(DeemedDashboard[[#This Row],[Std device type]],DropdownRefrigTech,0))),"")</f>
        <v/>
      </c>
      <c r="AC109" s="326" t="str">
        <f>IFERROR(IF(DeemedDashboard[[#This Row],[Pre/Ext device type]]=const_userspec,IF(ISBLANK(User_Specified_Refrigerant[[#This Row],[Pre t_EOL]]),"",User_Specified_Refrigerant[[#This Row],[Pre t_EOL]]),INDEX(TechGroup_NormUnit_Table[t_EOL],MATCH(DeemedDashboard[[#This Row],[Pre/Ext device type]],DropdownRefrigTech,0))),"")</f>
        <v/>
      </c>
      <c r="AD109" s="395" t="str">
        <f>IF(ISBLANK(DeemedDashboard[[#This Row],[MeasAppType]]),"",$E$2)</f>
        <v/>
      </c>
      <c r="AE109" s="395" t="str">
        <f>IFERROR(IF(ISBLANK(DeemedDashboard[[#This Row],[MeasAppType]]),NA(),DeemedDashboard[[#This Row],[Measure Start Year]]+DeemedDashboard[[#This Row],[Msr EUL rounded]]-1),"")</f>
        <v/>
      </c>
      <c r="AF109" s="323" t="str">
        <f>IF(ISBLANK(DeemedDashboard[[#This Row],[Measure New Device EUL]]),"",ROUND(DeemedDashboard[[#This Row],[Measure New Device EUL]],0))</f>
        <v/>
      </c>
      <c r="AG109" s="323" t="str">
        <f>IF(ISBLANK(DeemedDashboard[[#This Row],[Counterfactual New Device EUL]]),"",ROUND(DeemedDashboard[[#This Row],[Counterfactual New Device EUL]],0))</f>
        <v/>
      </c>
      <c r="AH109" s="323" t="str">
        <f>IF(ISBLANK(DeemedDashboard[[#This Row],[Existing Device EUL]]),"",ROUND(DeemedDashboard[[#This Row],[Existing Device EUL]],0))</f>
        <v/>
      </c>
      <c r="AI109" s="323" t="str">
        <f>IF(ISBLANK(DeemedDashboard[[#This Row],[Existing Device RUL or AR First Baseline Life]]),"",ROUND(DeemedDashboard[[#This Row],[Existing Device RUL or AR First Baseline Life]],0))</f>
        <v/>
      </c>
      <c r="AJ109" s="327" t="str">
        <f>DeemedDashboard[[#This Row],[Measure Start Year]]</f>
        <v/>
      </c>
      <c r="AK109" s="327" t="str">
        <f>IF(DeemedDashboard[[#This Row],[MeasAppType]]&lt;&gt;const_AR,DeemedDashboard[[#This Row],[Measure Start Year]],DeemedDashboard[[#This Row],[Ext Device Retire-ment Year]]+1)</f>
        <v/>
      </c>
      <c r="AL109" s="327" t="str">
        <f>IFERROR(IF(DeemedDashboard[[#This Row],[MeasAppType]]=const_AR,DeemedDashboard[[#This Row],[Measure Start Year]]-(DeemedDashboard[[#This Row],[Existing Device EUL]]-DeemedDashboard[[#This Row],[Existing Device RUL or AR First Baseline Life]]),NA()),"")</f>
        <v/>
      </c>
      <c r="AM109" s="327" t="str">
        <f>DeemedDashboard[[#This Row],[Pre Device Install Year]]</f>
        <v/>
      </c>
      <c r="AN109" s="327" t="str">
        <f>IFERROR(IF(ISBLANK(DeemedDashboard[[#This Row],[MeasAppType]]),NA(),DeemedDashboard[[#This Row],[Measure Start Year]]+DeemedDashboard[[#This Row],[Msr EUL rounded]]-1),"")</f>
        <v/>
      </c>
      <c r="AO109" s="327" t="str">
        <f>IFERROR(DeemedDashboard[[#This Row],[Std Device Install Year]]+DeemedDashboard[[#This Row],[Counterfactual New Device EUL]]-1,"")</f>
        <v/>
      </c>
      <c r="AP109" s="327" t="str">
        <f>IFERROR(IF(AND(DeemedDashboard[[#This Row],[MeasAppType]]=const_AR,DeemedDashboard[[#This Row],[Measure Start Year]]&lt;(DeemedDashboard[[#This Row],[Pre Device Install Year]]+DeemedDashboard[[#This Row],[Existing Device EUL]]-1)),DeemedDashboard[[#This Row],[Measure Start Year]]-1,NA()),"")</f>
        <v/>
      </c>
      <c r="AQ109" s="327" t="str">
        <f>IFERROR(IF(DeemedDashboard[[#This Row],[MeasAppType]]=const_AR,DeemedDashboard[[#This Row],[Ext Device Install Year]]+DeemedDashboard[[#This Row],[Existing Device EUL]]-1,NA()),"")</f>
        <v/>
      </c>
      <c r="AR109" s="327" t="str">
        <f>IFERROR(IF(ISBLANK(DeemedDashboard[[#This Row],[MeasAppType]]),NA(),0),"")</f>
        <v/>
      </c>
      <c r="AS109" s="327" t="str">
        <f>IFERROR(IF(ISBLANK(DeemedDashboard[[#This Row],[MeasAppType]]),NA(),0),"")</f>
        <v/>
      </c>
      <c r="AT109" s="327" t="str">
        <f>IF(ISBLANK(DeemedDashboard[[#This Row],[MeasAppType]]),"",IF(DeemedDashboard[[#This Row],[MeasAppType]]&lt;&gt;const_AR,"",(DeemedDashboard[[#This Row],[Pre Device Install Year]]+DeemedDashboard[[#This Row],[Existing Device EUL]]-1)-DeemedDashboard[[#This Row],[Pre Device Retire-ment Year]]))</f>
        <v/>
      </c>
      <c r="AU109" s="327" t="str">
        <f>IF(ISBLANK(DeemedDashboard[[#This Row],[MeasAppType]]),"",IF(DeemedDashboard[[#This Row],[MeasAppType]]=const_AR,0,""))</f>
        <v/>
      </c>
      <c r="AV109" s="328" t="str">
        <f>IF(ISBLANK(DeemedDashboard[[#This Row],[MeasAppType]]),"",MAX((1+MIN(DeemedDashboard[[#This Row],[Msr Device Retire-ment Year]],DeemedDashboard[[#This Row],[Measure End 
Year]])-MAX(DeemedDashboard[[#This Row],[Msr Device Install Year]],DeemedDashboard[[#This Row],[Measure Start Year]])),0))</f>
        <v/>
      </c>
      <c r="AW109" s="328" t="str">
        <f>IF(ISBLANK(DeemedDashboard[[#This Row],[MeasAppType]]),"",MAX((1+MIN(DeemedDashboard[[#This Row],[Std Device Retire-ment Year]],DeemedDashboard[[#This Row],[Measure End 
Year]])-MAX(DeemedDashboard[[#This Row],[Std Device Install Year]],DeemedDashboard[[#This Row],[Measure Start Year]])),0))</f>
        <v/>
      </c>
      <c r="AX109" s="328" t="str">
        <f>IF(ISBLANK(DeemedDashboard[[#This Row],[MeasAppType]]),"",IF(DeemedDashboard[[#This Row],[MeasAppType]]=const_NR,"",MAX((1+MIN(DeemedDashboard[[#This Row],[Pre Device Retire-ment Year]],DeemedDashboard[[#This Row],[Measure End 
Year]])-MAX(DeemedDashboard[[#This Row],[Pre Device Install Year]],DeemedDashboard[[#This Row],[Measure Start Year]])),0)))</f>
        <v/>
      </c>
      <c r="AY109" s="328" t="str">
        <f>IF(ISBLANK(DeemedDashboard[[#This Row],[MeasAppType]]),"",IF(DeemedDashboard[[#This Row],[MeasAppType]]=const_NR,"",MAX((1+MIN(DeemedDashboard[[#This Row],[Ext Device Retire-ment Year]],DeemedDashboard[[#This Row],[Measure End 
Year]])-MAX(DeemedDashboard[[#This Row],[Ext Device Install Year]],DeemedDashboard[[#This Row],[Measure Start Year]])),0)))</f>
        <v/>
      </c>
      <c r="AZ109" s="329" t="str">
        <f>IF(ISBLANK(DeemedDashboard[[#This Row],[MeasAppType]]),"",IF(DeemedDashboard[[#This Row],[Msr Device Years Over-lapping with Measure Years]]=0,0,DeemedDashboard[[#This Row],[Msr Device Years Over-lapping with Measure Years]]/DeemedDashboard[[#This Row],[Msr EUL rounded]]))</f>
        <v/>
      </c>
      <c r="BA109" s="329" t="str">
        <f>IF(ISBLANK(DeemedDashboard[[#This Row],[MeasAppType]]),"",IF(DeemedDashboard[[#This Row],[Std Device Years Over-lapping with Measure Years]]=0,0,DeemedDashboard[[#This Row],[Std Device Years Over-lapping with Measure Years]]/DeemedDashboard[[#This Row],[Counterfactual New Device EUL]]))</f>
        <v/>
      </c>
      <c r="BB109" s="329" t="str">
        <f>IF(ISBLANK(DeemedDashboard[[#This Row],[MeasAppType]]),"",IFERROR(IF(DeemedDashboard[[#This Row],[Pre Device Years Over-lapping with Measure Years]]=0,0,DeemedDashboard[[#This Row],[Pre Device Years Over-lapping with Measure Years]]/DeemedDashboard[[#This Row],[Existing Device EUL]]),""))</f>
        <v/>
      </c>
      <c r="BC109" s="329" t="str">
        <f>IFERROR(IF(DeemedDashboard[[#This Row],[Ext Device Years Over-lapping with Measure Years]]=0,0,DeemedDashboard[[#This Row],[Ext Device Years Over-lapping with Measure Years]]/DeemedDashboard[[#This Row],[Existing Device EUL]]),"")</f>
        <v/>
      </c>
      <c r="BD109" s="329" t="str">
        <f>IFERROR(IF(DeemedDashboard[[#This Row],[Msr Number of Years device retired early]]=0,0,DeemedDashboard[[#This Row],[Msr Number of Years device retired early]]/DeemedDashboard[[#This Row],[Msr EUL rounded]]),"")</f>
        <v/>
      </c>
      <c r="BE109" s="329" t="str">
        <f>IFERROR(IF(DeemedDashboard[[#This Row],[Std Number of Years device retired early]]=0,0,DeemedDashboard[[#This Row],[Std Number of Years device retired early]]/DeemedDashboard[[#This Row],[Msr EUL rounded]]),"")</f>
        <v/>
      </c>
      <c r="BF109" s="329" t="str">
        <f>IFERROR(IF(DeemedDashboard[[#This Row],[MeasAppType]]&lt;&gt;const_AR,"",IF(DeemedDashboard[[#This Row],[Pre Number of Years device retired early]]=0,0,DeemedDashboard[[#This Row],[Pre Number of Years device retired early]]/DeemedDashboard[[#This Row],[Existing Device EUL]])),"")</f>
        <v/>
      </c>
      <c r="BG109" s="329" t="str">
        <f>IFERROR(IF(DeemedDashboard[[#This Row],[Ext Number of Years device retired early]]=0,0,DeemedDashboard[[#This Row],[Ext Number of Years device retired early]]/DeemedDashboard[[#This Row],[Existing Device EUL]]),"")</f>
        <v/>
      </c>
      <c r="BH109" s="325" t="str">
        <f>IFERROR(1-DeemedDashboard[[#This Row],[Msr annual refrigerant leakage %]]*DeemedDashboard[[#This Row],[Msr t_EOL]],"")</f>
        <v/>
      </c>
      <c r="BI109" s="325" t="str">
        <f>IFERROR(1-DeemedDashboard[[#This Row],[Std annual refrigerant leakage %]]*DeemedDashboard[[#This Row],[Std t_EOL]],"")</f>
        <v/>
      </c>
      <c r="BJ109" s="325" t="str">
        <f>IFERROR(1-DeemedDashboard[[#This Row],[Pre/Ext annual refrigerant leakage %]]*DeemedDashboard[[#This Row],[Pre/Ext t_EOL]],"")</f>
        <v/>
      </c>
      <c r="BK109" s="325" t="str">
        <f>IFERROR(1-DeemedDashboard[[#This Row],[Pre/Ext annual refrigerant leakage %]]*DeemedDashboard[[#This Row],[Pre/Ext t_EOL]],"")</f>
        <v/>
      </c>
      <c r="BL109" s="325" t="str">
        <f>IFERROR(DeemedDashboard[[#This Row],[Msr charging remaining (%)]]*DeemedDashboard[[#This Row],[Msr gross EOL refrigerant leakage %]],"")</f>
        <v/>
      </c>
      <c r="BM109" s="325" t="str">
        <f>IFERROR(DeemedDashboard[[#This Row],[Std charging remaining (%)]]*DeemedDashboard[[#This Row],[Std gross EOL refrigerant leakage %]],"")</f>
        <v/>
      </c>
      <c r="BN109" s="325" t="str">
        <f>IFERROR(DeemedDashboard[[#This Row],[Pre charging remaining (%)]]*DeemedDashboard[[#This Row],[Pre/Ext gross EOL refrigerant leakage %]],"")</f>
        <v/>
      </c>
      <c r="BO109" s="325" t="str">
        <f>IFERROR(DeemedDashboard[[#This Row],[Ext charging remaining (%)]]*DeemedDashboard[[#This Row],[Pre/Ext gross EOL refrigerant leakage %]],"")</f>
        <v/>
      </c>
      <c r="BP109" s="330" t="str">
        <f>IFERROR((DeemedDashboard[[#This Row],[Msr refrigerant charge (lb) per NormUnit]]/pounds_per_metric_ton)*DeemedDashboard[[#This Row],[Msr annual refrigerant leakage %]]*DeemedDashboard[[#This Row],[Msr GWP]],"")</f>
        <v/>
      </c>
      <c r="BQ109" s="330" t="str">
        <f>IFERROR((DeemedDashboard[[#This Row],[Std refrigerant charge (lb) per NormUnit]]/pounds_per_metric_ton)*DeemedDashboard[[#This Row],[Std annual refrigerant leakage %]]*DeemedDashboard[[#This Row],[Std GWP]],"")</f>
        <v/>
      </c>
      <c r="BR109" s="330" t="str">
        <f>IF(DeemedDashboard[[#This Row],[MeasAppType]]=const_AR,(DeemedDashboard[[#This Row],[Pre/Ext refrigerant charge (lb) per NormUnit]]/pounds_per_metric_ton)*DeemedDashboard[[#This Row],[Pre/Ext annual refrigerant leakage %]]*DeemedDashboard[[#This Row],[Pre/Ext GWP]],"")</f>
        <v/>
      </c>
      <c r="BS109" s="330" t="str">
        <f>IF(DeemedDashboard[[#This Row],[MeasAppType]]=const_AR,(DeemedDashboard[[#This Row],[Pre/Ext refrigerant charge (lb) per NormUnit]]/pounds_per_metric_ton)*DeemedDashboard[[#This Row],[Pre/Ext annual refrigerant leakage %]]*DeemedDashboard[[#This Row],[Pre/Ext GWP]],"")</f>
        <v/>
      </c>
      <c r="BT109" s="330" t="str">
        <f>IFERROR((DeemedDashboard[[#This Row],[Msr refrigerant charge (lb) per NormUnit]]/pounds_per_metric_ton)*DeemedDashboard[[#This Row],[Msr net EOL refrigerant leakage (%)]]*DeemedDashboard[[#This Row],[Msr GWP]],"")</f>
        <v/>
      </c>
      <c r="BU109" s="330" t="str">
        <f>IFERROR((DeemedDashboard[[#This Row],[Std refrigerant charge (lb) per NormUnit]]/pounds_per_metric_ton)*DeemedDashboard[[#This Row],[Std net EOL refrigerant leakage (%)]]*DeemedDashboard[[#This Row],[Std GWP]],"")</f>
        <v/>
      </c>
      <c r="BV109" s="330" t="str">
        <f>IFERROR((DeemedDashboard[[#This Row],[Pre/Ext refrigerant charge (lb) per NormUnit]]/pounds_per_metric_ton)*DeemedDashboard[[#This Row],[Pre net EOL refrigerant leakage (%)]]*DeemedDashboard[[#This Row],[Pre/Ext GWP]],"")</f>
        <v/>
      </c>
      <c r="BW109" s="330" t="str">
        <f>IFERROR((DeemedDashboard[[#This Row],[Pre/Ext refrigerant charge (lb) per NormUnit]]/pounds_per_metric_ton)*DeemedDashboard[[#This Row],[Ext net EOL refrigerant leakage (%)]]*DeemedDashboard[[#This Row],[Pre/Ext GWP]],"")</f>
        <v/>
      </c>
      <c r="BX109" s="299" t="str" cm="1">
        <f t="array" aca="1" ref="BX109" ca="1">IFERROR(SUM(OFFSET(GHG_Adder_dollar_per_tonne,0,DeemedDashboard[[#This Row],[Measure Start Year]]-GHG_Adder_Yr1,1,DeemedDashboard[[#This Row],[Msr Device Years Over-lapping with Measure Years]])/(1+WACC)^((OFFSET(GHG_Adder_Yr1,0,DeemedDashboard[[#This Row],[Measure Start Year]]-GHG_Adder_Yr1,1,DeemedDashboard[[#This Row],[Msr Device Years Over-lapping with Measure Years]]))-DeemedDashboard[[#This Row],[Measure Start Year]]+0.5))*DeemedDashboard[[#This Row],[Msr Annual leakage tons CO2e]],"")</f>
        <v/>
      </c>
      <c r="BY109" s="305" t="str" cm="1">
        <f t="array" aca="1" ref="BY109" ca="1">IFERROR(SUM(OFFSET(GHG_Adder_dollar_per_tonne,0,DeemedDashboard[[#This Row],[Std Device Install Year]]-GHG_Adder_Yr1,1,DeemedDashboard[[#This Row],[Std Device Years Over-lapping with Measure Years]])/(1+WACC)^((OFFSET(GHG_Adder_Yr1,0,DeemedDashboard[[#This Row],[Std Device Install Year]]-GHG_Adder_Yr1,1,DeemedDashboard[[#This Row],[Std Device Years Over-lapping with Measure Years]]))-DeemedDashboard[[#This Row],[Measure Start Year]]+0.5))*DeemedDashboard[[#This Row],[Std Annual leakage tons CO2e]],"")</f>
        <v/>
      </c>
      <c r="BZ109" s="299" t="str">
        <f>IFERROR(IF(OR(DeemedDashboard[[#This Row],[MeasAppType]]&lt;&gt;const_AR,ISBLANK(DeemedDashboard[[#This Row],[MeasAppType]])),NA(),0),"")</f>
        <v/>
      </c>
      <c r="CA109" s="305" t="str" cm="1">
        <f t="array" aca="1" ref="CA109" ca="1">IFERROR(SUM(OFFSET(GHG_Adder_dollar_per_tonne,0,DeemedDashboard[[#This Row],[Measure Start Year]]-GHG_Adder_Yr1,1,DeemedDashboard[[#This Row],[Ext Device Years Over-lapping with Measure Years]])/(1+WACC)^((OFFSET(GHG_Adder_Yr1,0,DeemedDashboard[[#This Row],[Measure Start Year]]-GHG_Adder_Yr1,1,DeemedDashboard[[#This Row],[Ext Device Years Over-lapping with Measure Years]]))-DeemedDashboard[[#This Row],[Measure Start Year]]+0.5))*DeemedDashboard[[#This Row],[Ext Annual leakage tons CO2e]],"")</f>
        <v/>
      </c>
      <c r="CB109" s="299" t="str">
        <f ca="1">IFERROR((DeemedDashboard[[#This Row],[Msr EOL leakage tons CO2e]]*OFFSET(GHG_Adder_dollar_per_tonne,0,(DeemedDashboard[[#This Row],[Msr Device Retire-ment Year]]-DY+1),1,1))/(1+WACC)^(DeemedDashboard[[#This Row],[Msr Device Retire-ment Year]]-DeemedDashboard[[#This Row],[Measure Start Year]]+0.5),"")</f>
        <v/>
      </c>
      <c r="CC109" s="299" t="str">
        <f ca="1">IFERROR((DeemedDashboard[[#This Row],[Std EOL leakage tons CO2e]]*OFFSET(GHG_Adder_dollar_per_tonne,0,(DeemedDashboard[[#This Row],[Std Device Retire-ment Year]]-DY+1),1,1))/(1+WACC)^(DeemedDashboard[[#This Row],[Std Device Retire-ment Year]]-DeemedDashboard[[#This Row],[Measure Start Year]]+0.5),"")</f>
        <v/>
      </c>
      <c r="CD109" s="299" t="str">
        <f ca="1">IFERROR((DeemedDashboard[[#This Row],[Pre EOL leakage tons CO2e]]*OFFSET(GHG_Adder_dollar_per_tonne,0,(DeemedDashboard[[#This Row],[Measure Start Year]]-DY),1,1))/(1+WACC)^(-0.5),"")</f>
        <v/>
      </c>
      <c r="CE109" s="299" t="str">
        <f ca="1">IFERROR((DeemedDashboard[[#This Row],[Pre EOL leakage tons CO2e]]*OFFSET(GHG_Adder_dollar_per_tonne,0,(DeemedDashboard[[#This Row],[Measure Start Year]]-DY+DeemedDashboard[[#This Row],[Ext Device Years Over-lapping with Measure Years]]),1,1))/(1+WACC)^(DeemedDashboard[[#This Row],[Ext Device Years Over-lapping with Measure Years]]-0.5),"")</f>
        <v/>
      </c>
      <c r="CF109" s="299" t="str">
        <f ca="1">IFERROR(DeemedDashboard[[#This Row],[Msr NPV Cost of Annual Leakage]]/(1+ACC_Inflation_Rate)^(DeemedDashboard[[#This Row],[Measure Start Year]]-DY),"")</f>
        <v/>
      </c>
      <c r="CG109" s="299" t="str">
        <f ca="1">IFERROR(DeemedDashboard[[#This Row],[Std NPV Cost of Annual Leakage]]/(1+ACC_Inflation_Rate)^(DeemedDashboard[[#This Row],[Measure Start Year]]-DY),"")</f>
        <v/>
      </c>
      <c r="CH109" s="299" t="str">
        <f>IFERROR(IF(ISBLANK(DeemedDashboard[[#This Row],[MeasAppType]]),NA(),IF(DeemedDashboard[[#This Row],[MeasAppType]]=const_AR,DeemedDashboard[[#This Row],[Pre NPV Cost of Annual Leakage]]/(1+ACC_Inflation_Rate)^(DeemedDashboard[[#This Row],[Measure Start Year]]-DY),"")),"")</f>
        <v/>
      </c>
      <c r="CI109" s="296" t="str">
        <f>IFERROR(IF(ISBLANK(DeemedDashboard[[#This Row],[MeasAppType]]),NA(),IF(DeemedDashboard[[#This Row],[MeasAppType]]=const_AR,DeemedDashboard[[#This Row],[Ext NPV Cost of Annual Leakage]]/(1+ACC_Inflation_Rate)^(DeemedDashboard[[#This Row],[Measure Start Year]]-DY),"")),"")</f>
        <v/>
      </c>
      <c r="CJ109" s="296" t="str">
        <f ca="1">IFERROR((DeemedDashboard[[#This Row],[Msr % of device lifetime during measure years]]+DeemedDashboard[[#This Row],[Msr % of device lifetime retired early]])*DeemedDashboard[[#This Row],[Msr NPV Cost of EOL Leakage]]/(1+ACC_Inflation_Rate)^(DeemedDashboard[[#This Row],[Measure Start Year]]-DY),"")</f>
        <v/>
      </c>
      <c r="CK109" s="296" t="str">
        <f ca="1">IFERROR((DeemedDashboard[[#This Row],[Std % of device lifetime during measure years]]+DeemedDashboard[[#This Row],[Std % of device lifetime retired early]])*DeemedDashboard[[#This Row],[Std NPV Cost of EOL Leakage]]/(1+ACC_Inflation_Rate)^(DeemedDashboard[[#This Row],[Measure Start Year]]-DY),"")</f>
        <v/>
      </c>
      <c r="CL109" s="296" t="str">
        <f>IFERROR(IF(ISBLANK(DeemedDashboard[[#This Row],[MeasAppType]]),NA(),IF(DeemedDashboard[[#This Row],[MeasAppType]]=const_AR,(DeemedDashboard[[#This Row],[Ext % of device lifetime during measure years]]+DeemedDashboard[[#This Row],[Ext % of device lifetime retired early]])*DeemedDashboard[[#This Row],[Pre NPV Cost of EOL Leakage]]/(1+ACC_Inflation_Rate)^(DeemedDashboard[[#This Row],[Measure Start Year]]-DY),"")),"")</f>
        <v/>
      </c>
      <c r="CM109" s="296" t="str">
        <f>IFERROR(IF(ISBLANK(DeemedDashboard[[#This Row],[MeasAppType]]),NA(),IF(DeemedDashboard[[#This Row],[MeasAppType]]=const_AR,(DeemedDashboard[[#This Row],[Ext % of device lifetime during measure years]]+DeemedDashboard[[#This Row],[Ext % of device lifetime retired early]])*DeemedDashboard[[#This Row],[Ext NPV Cost of EOL Leakage]]/(1+ACC_Inflation_Rate)^(DeemedDashboard[[#This Row],[Measure Start Year]]-DY),"")),"")</f>
        <v/>
      </c>
      <c r="CN109" s="299" t="str">
        <f ca="1">IFERROR(IF(DeemedDashboard[[#This Row],[MeasAppType]]=const_AR,DeemedDashboard[[#This Row],[Pre Adj NPV Cost of Annual Leakage]]+DeemedDashboard[[#This Row],[Msr Adj NPV Cost of Annual Leakage]]+DeemedDashboard[[#This Row],[Pre Adj NPV Cost of EOL Leakage]]+DeemedDashboard[[#This Row],[Msr Adj NPV Cost of EOL Leakage]],DeemedDashboard[[#This Row],[Msr Adj NPV Cost of Annual Leakage]]+DeemedDashboard[[#This Row],[Msr Adj NPV Cost of EOL Leakage]]),"")</f>
        <v/>
      </c>
      <c r="CO109" s="299" t="str">
        <f ca="1">IFERROR(IF(DeemedDashboard[[#This Row],[MeasAppType]]=const_AR,DeemedDashboard[[#This Row],[Ext Adj NPV Cost of Annual Leakage]]+DeemedDashboard[[#This Row],[Std Adj NPV Cost of Annual Leakage]]+DeemedDashboard[[#This Row],[Ext Adj NPV Cost of EOL Leakage]]+DeemedDashboard[[#This Row],[Std Adj NPV Cost of EOL Leakage]],DeemedDashboard[[#This Row],[Std Adj NPV Cost of Annual Leakage]]+DeemedDashboard[[#This Row],[Std Adj NPV Cost of EOL Leakage]]),"")</f>
        <v/>
      </c>
      <c r="CP109" s="299" t="str">
        <f ca="1">IFERROR(DeemedDashboard[[#This Row],[Counter-factual total 
NPV cost]]-DeemedDashboard[[#This Row],[Measure total 
NPV cost]],"")</f>
        <v/>
      </c>
      <c r="CQ109" s="299" t="str">
        <f>IF(ISBLANK(DeemedDashboard[[#This Row],[MeasAppType]]),"",DeemedDashboard[[#This Row],[Refrigerant
NPV costs
avoided]]&gt;0)</f>
        <v/>
      </c>
      <c r="CR109" s="299" t="str">
        <f ca="1">IFERROR(DeemedDashboard[[#This Row],[Msr Adj NPV Cost of Annual Leakage]]+DeemedDashboard[[#This Row],[Msr Adj NPV Cost of EOL Leakage]],"")</f>
        <v/>
      </c>
      <c r="CS109" s="299" t="str">
        <f ca="1">IFERROR(DeemedDashboard[[#This Row],[Std Adj NPV Cost of Annual Leakage]]+DeemedDashboard[[#This Row],[Std Adj NPV Cost of EOL Leakage]],"")</f>
        <v/>
      </c>
      <c r="CT109" s="299" t="str">
        <f>IFERROR(IF((DeemedDashboard[[#This Row],[Pre Adj NPV Cost of Annual Leakage]]+DeemedDashboard[[#This Row],[Pre Adj NPV Cost of EOL Leakage]])=0,"",DeemedDashboard[[#This Row],[Pre Adj NPV Cost of Annual Leakage]]+DeemedDashboard[[#This Row],[Pre Adj NPV Cost of EOL Leakage]]),"")</f>
        <v/>
      </c>
      <c r="CU109" s="299" t="str">
        <f>IFERROR(IF((DeemedDashboard[[#This Row],[Ext Adj NPV Cost of Annual Leakage]]+DeemedDashboard[[#This Row],[Ext Adj NPV Cost of EOL Leakage]])=0,"",DeemedDashboard[[#This Row],[Ext Adj NPV Cost of Annual Leakage]]+DeemedDashboard[[#This Row],[Ext Adj NPV Cost of EOL Leakage]]),"")</f>
        <v/>
      </c>
      <c r="CV109" s="299" t="str">
        <f>IFERROR(IF(DeemedDashboard[[#This Row],[Is Avoided Net Cost &gt;0?]],"",-DeemedDashboard[[#This Row],[Refrigerant
NPV costs
avoided]]),"")</f>
        <v/>
      </c>
      <c r="CW109" s="299" t="str">
        <f>IFERROR(IF(DeemedDashboard[[#This Row],[Is Avoided Net Cost &gt;0?]],DeemedDashboard[[#This Row],[Refrigerant
NPV costs
avoided]],""),"")</f>
        <v/>
      </c>
      <c r="CX109" s="391">
        <f ca="1">IFERROR(MATCH(DeemedDashboard[[#This Row],[TechGroup and NormUnit]],TechGroup_and_NormUnit,0),1)</f>
        <v>1</v>
      </c>
      <c r="CY109" s="391" cm="1">
        <f t="array" aca="1" ref="CY109" ca="1">IFERROR(INDEX(TGRows,DeemedDashboard[[#This Row],[TGIndex]]),"")</f>
        <v>2</v>
      </c>
      <c r="CZ109" s="391">
        <f ca="1">IF(DeemedDashboard[[#This Row],[MeasAppType]]=const_AR,DeemedDashboard[[#This Row],[TGRows]],DeemedDashboard[[#This Row],[TGRows]]+1)</f>
        <v>3</v>
      </c>
      <c r="DA109" s="391" t="str">
        <f>IF(ISBLANK(DeemedDashboard[[#This Row],[MeasAppType]]),"",IF(DeemedDashboard[[#This Row],[Index]]=User_Specified_Refrigerant[[#This Row],[Index]],"OK","ERROR"))</f>
        <v/>
      </c>
    </row>
    <row r="110" spans="1:105" s="320" customFormat="1" x14ac:dyDescent="0.25">
      <c r="A110" s="332"/>
      <c r="B110" s="348">
        <f>SUBTOTAL(103,DeemedDashboard[Measure description])</f>
        <v>0</v>
      </c>
      <c r="C110" s="333"/>
      <c r="D110" s="334"/>
      <c r="E110" s="334"/>
      <c r="F110" s="334"/>
      <c r="G110" s="334"/>
      <c r="H110" s="340"/>
      <c r="I110" s="340"/>
      <c r="J110" s="340"/>
      <c r="K110" s="340"/>
      <c r="L110" s="336"/>
      <c r="M110" s="336"/>
      <c r="N110" s="336"/>
      <c r="O110" s="337"/>
      <c r="P110" s="335"/>
      <c r="Q110" s="335"/>
      <c r="R110" s="336"/>
      <c r="S110" s="336"/>
      <c r="T110" s="336"/>
      <c r="U110" s="338"/>
      <c r="V110" s="338"/>
      <c r="W110" s="338"/>
      <c r="X110" s="336"/>
      <c r="Y110" s="336"/>
      <c r="Z110" s="300"/>
      <c r="AA110" s="338"/>
      <c r="AB110" s="338"/>
      <c r="AC110" s="338"/>
      <c r="AD110" s="336" t="s">
        <v>165</v>
      </c>
      <c r="AE110" s="335"/>
      <c r="AF110" s="336"/>
      <c r="AG110" s="336"/>
      <c r="AH110" s="336"/>
      <c r="AI110" s="336"/>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c r="BE110" s="335"/>
      <c r="BF110" s="335"/>
      <c r="BG110" s="335"/>
      <c r="BH110" s="338"/>
      <c r="BI110" s="338"/>
      <c r="BJ110" s="338"/>
      <c r="BK110" s="338"/>
      <c r="BL110" s="336"/>
      <c r="BM110" s="336"/>
      <c r="BN110" s="336"/>
      <c r="BO110" s="336"/>
      <c r="BP110" s="336"/>
      <c r="BQ110" s="336"/>
      <c r="BR110" s="336"/>
      <c r="BS110" s="336"/>
      <c r="BT110" s="336"/>
      <c r="BU110" s="336"/>
      <c r="BV110" s="336"/>
      <c r="BW110" s="336"/>
      <c r="BX110" s="304"/>
      <c r="BY110" s="304"/>
      <c r="BZ110" s="304"/>
      <c r="CA110" s="336"/>
      <c r="CB110" s="304"/>
      <c r="CC110" s="304"/>
      <c r="CD110" s="304"/>
      <c r="CE110" s="304"/>
      <c r="CF110" s="304"/>
      <c r="CG110" s="304"/>
      <c r="CH110" s="304"/>
      <c r="CI110" s="304"/>
      <c r="CJ110" s="304"/>
      <c r="CK110" s="304"/>
      <c r="CL110" s="304"/>
      <c r="CM110" s="304"/>
      <c r="CN110" s="304"/>
      <c r="CO110" s="304"/>
      <c r="CP110" s="304"/>
      <c r="CQ110" s="304"/>
      <c r="CR110" s="304"/>
      <c r="CS110" s="304"/>
      <c r="CT110" s="304"/>
      <c r="CU110" s="304"/>
      <c r="CV110" s="304"/>
      <c r="CW110" s="304"/>
      <c r="CX110" s="392"/>
      <c r="CY110" s="392"/>
      <c r="CZ110" s="392"/>
      <c r="DA110" s="333"/>
    </row>
  </sheetData>
  <sheetProtection algorithmName="SHA-512" hashValue="JnnFBrE7IjGiEsYaH/Lb3RJtWbLe6JmgQZaFQSv8iYUfQRJgbIcZiJ2P8xAdB8DIDwZ9pf17FNR7YBruPu3llA==" saltValue="dAItCddpD9lWDjw8Ci4u3w==" spinCount="100000" sheet="1" formatColumns="0" formatRows="0" insertRows="0" sort="0" autoFilter="0"/>
  <mergeCells count="56">
    <mergeCell ref="CX7:CZ8"/>
    <mergeCell ref="CF5:CI6"/>
    <mergeCell ref="L2:N3"/>
    <mergeCell ref="D1:E1"/>
    <mergeCell ref="F5:G5"/>
    <mergeCell ref="F6:G6"/>
    <mergeCell ref="F8:G8"/>
    <mergeCell ref="F4:G4"/>
    <mergeCell ref="F1:G1"/>
    <mergeCell ref="F2:G2"/>
    <mergeCell ref="F3:G3"/>
    <mergeCell ref="I2:K3"/>
    <mergeCell ref="CF2:CI3"/>
    <mergeCell ref="AZ2:BC3"/>
    <mergeCell ref="U2:W3"/>
    <mergeCell ref="R2:T3"/>
    <mergeCell ref="O2:Q3"/>
    <mergeCell ref="AV2:AY3"/>
    <mergeCell ref="AD1:AD5"/>
    <mergeCell ref="AE1:AE5"/>
    <mergeCell ref="U6:W6"/>
    <mergeCell ref="O7:Q7"/>
    <mergeCell ref="R7:T7"/>
    <mergeCell ref="U7:W7"/>
    <mergeCell ref="O8:Q8"/>
    <mergeCell ref="R8:T8"/>
    <mergeCell ref="U8:W8"/>
    <mergeCell ref="D7:E8"/>
    <mergeCell ref="H6:H8"/>
    <mergeCell ref="I6:J8"/>
    <mergeCell ref="O6:Q6"/>
    <mergeCell ref="R6:T6"/>
    <mergeCell ref="AJ2:AM3"/>
    <mergeCell ref="AA2:AC3"/>
    <mergeCell ref="X2:Z3"/>
    <mergeCell ref="AF2:AI3"/>
    <mergeCell ref="X8:Z8"/>
    <mergeCell ref="AA8:AC8"/>
    <mergeCell ref="X6:Z6"/>
    <mergeCell ref="AA6:AC6"/>
    <mergeCell ref="CR2:CU3"/>
    <mergeCell ref="CV2:CW3"/>
    <mergeCell ref="CN4:CQ7"/>
    <mergeCell ref="CN2:CQ3"/>
    <mergeCell ref="X7:Z7"/>
    <mergeCell ref="AA7:AC7"/>
    <mergeCell ref="CB2:CE3"/>
    <mergeCell ref="BX2:CA3"/>
    <mergeCell ref="CJ2:CM3"/>
    <mergeCell ref="BT2:BW3"/>
    <mergeCell ref="BP2:BS3"/>
    <mergeCell ref="BL2:BO3"/>
    <mergeCell ref="BH2:BK3"/>
    <mergeCell ref="BD2:BG3"/>
    <mergeCell ref="AR2:AU3"/>
    <mergeCell ref="AN2:AQ3"/>
  </mergeCells>
  <phoneticPr fontId="70" type="noConversion"/>
  <conditionalFormatting sqref="D1:E1 D2:F6 D7">
    <cfRule type="expression" dxfId="27" priority="96">
      <formula>#REF!=""</formula>
    </cfRule>
    <cfRule type="expression" dxfId="26" priority="97">
      <formula>#REF!="NR"</formula>
    </cfRule>
    <cfRule type="expression" dxfId="25" priority="98">
      <formula>#REF!="AR"</formula>
    </cfRule>
  </conditionalFormatting>
  <conditionalFormatting sqref="F1:G1">
    <cfRule type="expression" dxfId="24" priority="16">
      <formula>#REF!=""</formula>
    </cfRule>
    <cfRule type="expression" dxfId="23" priority="17">
      <formula>#REF!="NR"</formula>
    </cfRule>
    <cfRule type="expression" dxfId="22" priority="18">
      <formula>#REF!="AR"</formula>
    </cfRule>
  </conditionalFormatting>
  <conditionalFormatting sqref="U10:AC109 O10:Q109">
    <cfRule type="expression" dxfId="21" priority="9">
      <formula>$I10=const_userspec</formula>
    </cfRule>
  </conditionalFormatting>
  <conditionalFormatting sqref="O10:CW109">
    <cfRule type="expression" dxfId="20" priority="19">
      <formula>NOT(_xlfn.ISFORMULA(O10))</formula>
    </cfRule>
  </conditionalFormatting>
  <conditionalFormatting sqref="AF4:AP4">
    <cfRule type="expression" dxfId="19" priority="21">
      <formula>ISERROR(AF4)</formula>
    </cfRule>
  </conditionalFormatting>
  <conditionalFormatting sqref="AV2 AZ2 AR4:AT4 BD4:BF4 AV4:AX4 AZ4:BB4">
    <cfRule type="expression" dxfId="18" priority="39">
      <formula>ISERROR(AR2)</formula>
    </cfRule>
  </conditionalFormatting>
  <conditionalFormatting sqref="DA10:DA109">
    <cfRule type="cellIs" dxfId="17" priority="2" operator="equal">
      <formula>"ERROR"</formula>
    </cfRule>
  </conditionalFormatting>
  <conditionalFormatting sqref="K10:K109 N10:N109 T10:T109 Q10:Q109">
    <cfRule type="expression" dxfId="16" priority="1">
      <formula>AND($C10&lt;&gt;const_AR,NOT(ISBLANK($C10)))</formula>
    </cfRule>
  </conditionalFormatting>
  <dataValidations count="9">
    <dataValidation type="list" allowBlank="1" showInputMessage="1" showErrorMessage="1" sqref="C10:C109" xr:uid="{A56FE627-5F43-4101-9753-26AC4EA7C215}">
      <formula1>Dropdown_MAT</formula1>
    </dataValidation>
    <dataValidation type="list" allowBlank="1" showInputMessage="1" showErrorMessage="1" sqref="E4" xr:uid="{85EB0FCB-091F-43D3-9315-C9E9D02D559F}">
      <formula1>Dropdown_GWP_Time_Horizon</formula1>
    </dataValidation>
    <dataValidation type="list" allowBlank="1" showInputMessage="1" showErrorMessage="1" sqref="E2" xr:uid="{27BB89D7-AFBC-4833-B6F0-20EC5B28BABE}">
      <formula1>Dropdown_Claim_Year</formula1>
    </dataValidation>
    <dataValidation type="list" allowBlank="1" showInputMessage="1" showErrorMessage="1" sqref="H10:H109" xr:uid="{EAF92A59-9D86-4DDD-9DF5-C5AFEC38EFC1}">
      <formula1>TechGroup_and_NormUnit</formula1>
    </dataValidation>
    <dataValidation type="list" allowBlank="1" showInputMessage="1" showErrorMessage="1" sqref="L10:N109" xr:uid="{5371CA68-1FA6-41F5-9E71-58039471B644}">
      <formula1>RefrigDropdownList</formula1>
    </dataValidation>
    <dataValidation type="decimal" allowBlank="1" showInputMessage="1" showErrorMessage="1" sqref="D10:G109" xr:uid="{FB3584C3-E680-4AED-8673-2E8B136E5DB7}">
      <formula1>1</formula1>
      <formula2>30</formula2>
    </dataValidation>
    <dataValidation type="list" allowBlank="1" showInputMessage="1" showErrorMessage="1" errorTitle="Invalid" error="An invalid entry has been entered." sqref="J10:J109" xr:uid="{E53C7FB4-306D-4077-A6FC-8ACC8EA67A70}">
      <formula1>OFFSET(TG_dropdown_values,$CX10-1,0,1,$CY10)</formula1>
    </dataValidation>
    <dataValidation type="list" allowBlank="1" showInputMessage="1" showErrorMessage="1" sqref="I10:I109" xr:uid="{C0E4A099-43FE-4C14-8E76-84A27461A616}">
      <formula1>OFFSET(TG_dropdown_values,$CX10-1,0,1,$CY10)</formula1>
    </dataValidation>
    <dataValidation type="list" allowBlank="1" showInputMessage="1" showErrorMessage="1" errorTitle="Invalid" error="An invalid entry has been entered." sqref="K10:K109" xr:uid="{91E522D0-6798-40BD-BFC3-6EE008D603B0}">
      <formula1>IF($C10=const_AR,OFFSET(TG_dropdown_values,$CX10-1,0,1,$CY10),OFFSET(TG_dropdown_with_blank,$CX10-1,0,1,$CZ10))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15883-3FEC-418A-AD57-B5A49F3AD065}">
  <sheetPr codeName="Sheet13">
    <tabColor theme="3" tint="-0.249977111117893"/>
  </sheetPr>
  <dimension ref="A1:V110"/>
  <sheetViews>
    <sheetView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RowHeight="15" x14ac:dyDescent="0.25"/>
  <cols>
    <col min="1" max="1" width="10.5703125" bestFit="1" customWidth="1"/>
    <col min="2" max="2" width="62" customWidth="1"/>
    <col min="3" max="3" width="14.85546875" customWidth="1"/>
    <col min="4" max="7" width="12.28515625" customWidth="1"/>
    <col min="8" max="8" width="14.5703125" customWidth="1"/>
    <col min="9" max="12" width="12.28515625" customWidth="1"/>
    <col min="13" max="13" width="14.5703125" customWidth="1"/>
    <col min="14" max="14" width="12.28515625" style="164" customWidth="1"/>
    <col min="15" max="17" width="12.28515625" customWidth="1"/>
    <col min="18" max="18" width="15" customWidth="1"/>
    <col min="19" max="19" width="12.28515625" customWidth="1"/>
    <col min="20" max="20" width="12.28515625" style="164" customWidth="1"/>
    <col min="21" max="22" width="12.28515625" customWidth="1"/>
    <col min="23" max="23" width="12.140625" bestFit="1" customWidth="1"/>
    <col min="24" max="24" width="11.140625" bestFit="1" customWidth="1"/>
    <col min="25" max="25" width="10.5703125" bestFit="1" customWidth="1"/>
    <col min="37" max="37" width="10.42578125" customWidth="1"/>
    <col min="39" max="39" width="9.140625" customWidth="1"/>
    <col min="40" max="40" width="9.85546875" customWidth="1"/>
    <col min="42" max="43" width="9.28515625" customWidth="1"/>
    <col min="45" max="45" width="11.42578125" customWidth="1"/>
    <col min="46" max="46" width="12.28515625" customWidth="1"/>
    <col min="47" max="48" width="11.28515625" customWidth="1"/>
  </cols>
  <sheetData>
    <row r="1" spans="1:22" x14ac:dyDescent="0.25">
      <c r="B1" s="210" t="s">
        <v>31</v>
      </c>
      <c r="H1" s="164"/>
      <c r="M1" s="164"/>
      <c r="N1"/>
      <c r="R1" s="164"/>
      <c r="T1"/>
    </row>
    <row r="2" spans="1:22" x14ac:dyDescent="0.25">
      <c r="B2" s="107" t="s">
        <v>36</v>
      </c>
      <c r="H2" s="164"/>
      <c r="M2" s="164"/>
      <c r="N2"/>
      <c r="R2" s="164"/>
      <c r="T2"/>
    </row>
    <row r="3" spans="1:22" x14ac:dyDescent="0.25">
      <c r="B3" s="65" t="s">
        <v>59</v>
      </c>
      <c r="D3" s="523" t="s">
        <v>67</v>
      </c>
      <c r="E3" s="523"/>
      <c r="F3" s="523"/>
      <c r="G3" s="524"/>
      <c r="H3" s="164"/>
      <c r="I3" s="525" t="s">
        <v>166</v>
      </c>
      <c r="J3" s="525"/>
      <c r="K3" s="525"/>
      <c r="L3" s="526"/>
      <c r="M3" s="164"/>
      <c r="N3" s="527" t="s">
        <v>167</v>
      </c>
      <c r="O3" s="527"/>
      <c r="P3" s="527"/>
      <c r="Q3" s="528"/>
      <c r="R3" s="164"/>
      <c r="S3" s="513" t="s">
        <v>168</v>
      </c>
      <c r="T3" s="513"/>
      <c r="U3" s="513"/>
      <c r="V3" s="513"/>
    </row>
    <row r="4" spans="1:22" x14ac:dyDescent="0.25">
      <c r="B4" s="108" t="s">
        <v>63</v>
      </c>
      <c r="D4" s="514" t="s">
        <v>169</v>
      </c>
      <c r="E4" s="515"/>
      <c r="F4" s="515"/>
      <c r="G4" s="516"/>
      <c r="I4" s="514" t="s">
        <v>170</v>
      </c>
      <c r="J4" s="515"/>
      <c r="K4" s="515"/>
      <c r="L4" s="516"/>
      <c r="N4" s="514" t="s">
        <v>171</v>
      </c>
      <c r="O4" s="515"/>
      <c r="P4" s="515"/>
      <c r="Q4" s="516"/>
      <c r="S4" s="514" t="s">
        <v>172</v>
      </c>
      <c r="T4" s="515"/>
      <c r="U4" s="515"/>
      <c r="V4" s="516"/>
    </row>
    <row r="5" spans="1:22" ht="15" customHeight="1" x14ac:dyDescent="0.25">
      <c r="B5" s="109" t="s">
        <v>78</v>
      </c>
      <c r="D5" s="517"/>
      <c r="E5" s="518"/>
      <c r="F5" s="518"/>
      <c r="G5" s="519"/>
      <c r="I5" s="517"/>
      <c r="J5" s="518"/>
      <c r="K5" s="518"/>
      <c r="L5" s="519"/>
      <c r="N5" s="517"/>
      <c r="O5" s="518"/>
      <c r="P5" s="518"/>
      <c r="Q5" s="519"/>
      <c r="S5" s="517"/>
      <c r="T5" s="518"/>
      <c r="U5" s="518"/>
      <c r="V5" s="519"/>
    </row>
    <row r="6" spans="1:22" x14ac:dyDescent="0.25">
      <c r="B6" s="110" t="s">
        <v>84</v>
      </c>
      <c r="D6" s="517"/>
      <c r="E6" s="518"/>
      <c r="F6" s="518"/>
      <c r="G6" s="519"/>
      <c r="I6" s="517"/>
      <c r="J6" s="518"/>
      <c r="K6" s="518"/>
      <c r="L6" s="519"/>
      <c r="N6" s="517"/>
      <c r="O6" s="518"/>
      <c r="P6" s="518"/>
      <c r="Q6" s="519"/>
      <c r="S6" s="517"/>
      <c r="T6" s="518"/>
      <c r="U6" s="518"/>
      <c r="V6" s="519"/>
    </row>
    <row r="7" spans="1:22" x14ac:dyDescent="0.25">
      <c r="D7" s="520"/>
      <c r="E7" s="521"/>
      <c r="F7" s="521"/>
      <c r="G7" s="522"/>
      <c r="I7" s="520"/>
      <c r="J7" s="521"/>
      <c r="K7" s="521"/>
      <c r="L7" s="522"/>
      <c r="N7" s="520"/>
      <c r="O7" s="521"/>
      <c r="P7" s="521"/>
      <c r="Q7" s="522"/>
      <c r="S7" s="520"/>
      <c r="T7" s="521"/>
      <c r="U7" s="521"/>
      <c r="V7" s="522"/>
    </row>
    <row r="8" spans="1:22" x14ac:dyDescent="0.25">
      <c r="H8" s="164"/>
      <c r="M8" s="164"/>
      <c r="N8"/>
      <c r="R8" s="164"/>
      <c r="T8"/>
    </row>
    <row r="9" spans="1:22" ht="75" x14ac:dyDescent="0.25">
      <c r="A9" s="214" t="s">
        <v>23</v>
      </c>
      <c r="B9" s="214" t="s">
        <v>24</v>
      </c>
      <c r="C9" s="211" t="s">
        <v>173</v>
      </c>
      <c r="D9" s="216" t="s">
        <v>98</v>
      </c>
      <c r="E9" s="216" t="s">
        <v>104</v>
      </c>
      <c r="F9" s="219" t="s">
        <v>108</v>
      </c>
      <c r="G9" s="216" t="s">
        <v>112</v>
      </c>
      <c r="H9" s="220" t="s">
        <v>174</v>
      </c>
      <c r="I9" s="216" t="s">
        <v>99</v>
      </c>
      <c r="J9" s="216" t="s">
        <v>105</v>
      </c>
      <c r="K9" s="219" t="s">
        <v>109</v>
      </c>
      <c r="L9" s="216" t="s">
        <v>113</v>
      </c>
      <c r="M9" s="220" t="s">
        <v>175</v>
      </c>
      <c r="N9" s="216" t="s">
        <v>100</v>
      </c>
      <c r="O9" s="216" t="s">
        <v>106</v>
      </c>
      <c r="P9" s="219" t="s">
        <v>110</v>
      </c>
      <c r="Q9" s="216" t="s">
        <v>114</v>
      </c>
      <c r="R9" s="220" t="s">
        <v>176</v>
      </c>
      <c r="S9" s="218" t="s">
        <v>101</v>
      </c>
      <c r="T9" s="218" t="s">
        <v>107</v>
      </c>
      <c r="U9" s="218" t="s">
        <v>115</v>
      </c>
      <c r="V9" s="218" t="s">
        <v>111</v>
      </c>
    </row>
    <row r="10" spans="1:22" x14ac:dyDescent="0.25">
      <c r="A10" s="141">
        <f>ROW(User_Specified_Refrigerant[[#This Row],[Index]])-ROW(User_Specified_Refrigerant[[#Headers],[Index]])</f>
        <v>1</v>
      </c>
      <c r="B10" s="217" t="str">
        <f>IF(ISBLANK(DeemedDashboard[[#This Row],[Measure description]]),"",DeemedDashboard[[#This Row],[Measure description]])</f>
        <v/>
      </c>
      <c r="C10" t="b">
        <f>DeemedDashboard[[#This Row],[Msr device type]]=const_userspec</f>
        <v>0</v>
      </c>
      <c r="D10" s="222"/>
      <c r="E10" s="223"/>
      <c r="F10" s="224"/>
      <c r="G10" s="225"/>
      <c r="H10" s="164" t="b">
        <f>DeemedDashboard[[#This Row],[Std device type]]=const_userspec</f>
        <v>0</v>
      </c>
      <c r="I10" s="222"/>
      <c r="J10" s="223"/>
      <c r="K10" s="224"/>
      <c r="L10" s="225"/>
      <c r="M10" s="164" t="b">
        <f>DeemedDashboard[[#This Row],[Pre/Ext device type]]=const_userspec</f>
        <v>0</v>
      </c>
      <c r="N10" s="222"/>
      <c r="O10" s="223"/>
      <c r="P10" s="224"/>
      <c r="Q10" s="225"/>
      <c r="R10" s="164" t="b">
        <f>User_Specified_Refrigerant[[#This Row],[User-specified mode for Pre device?]]</f>
        <v>0</v>
      </c>
      <c r="S10" s="141" t="str">
        <f>IF(ISBLANK(User_Specified_Refrigerant[[#This Row],[Pre Refrigerant charge (lbs) per NormUnit]]),"",User_Specified_Refrigerant[[#This Row],[Pre Refrigerant charge (lbs) per NormUnit]])</f>
        <v/>
      </c>
      <c r="T10" s="226" t="str">
        <f>IF(ISBLANK(User_Specified_Refrigerant[[#This Row],[Pre annual refrigerant leakage %]]),"",User_Specified_Refrigerant[[#This Row],[Pre annual refrigerant leakage %]])</f>
        <v/>
      </c>
      <c r="U10" s="141" t="str">
        <f>IF(ISBLANK(User_Specified_Refrigerant[[#This Row],[Pre t_EOL]]),"",User_Specified_Refrigerant[[#This Row],[Pre t_EOL]])</f>
        <v/>
      </c>
      <c r="V10" s="221" t="str">
        <f>IF(ISBLANK(User_Specified_Refrigerant[[#This Row],[Pre gross EOL refrigerant leakage %]]),"",User_Specified_Refrigerant[[#This Row],[Pre gross EOL refrigerant leakage %]])</f>
        <v/>
      </c>
    </row>
    <row r="11" spans="1:22" x14ac:dyDescent="0.25">
      <c r="A11" s="141">
        <f>ROW(User_Specified_Refrigerant[[#This Row],[Index]])-ROW(User_Specified_Refrigerant[[#Headers],[Index]])</f>
        <v>2</v>
      </c>
      <c r="B11" s="217" t="str">
        <f>IF(ISBLANK(DeemedDashboard[[#This Row],[Measure description]]),"",DeemedDashboard[[#This Row],[Measure description]])</f>
        <v/>
      </c>
      <c r="C11" t="b">
        <f>DeemedDashboard[[#This Row],[Msr device type]]=const_userspec</f>
        <v>0</v>
      </c>
      <c r="D11" s="222"/>
      <c r="E11" s="223"/>
      <c r="F11" s="224"/>
      <c r="G11" s="225"/>
      <c r="H11" s="164" t="b">
        <f>DeemedDashboard[[#This Row],[Std device type]]=const_userspec</f>
        <v>0</v>
      </c>
      <c r="I11" s="222"/>
      <c r="J11" s="223"/>
      <c r="K11" s="224"/>
      <c r="L11" s="225"/>
      <c r="M11" s="164" t="b">
        <f>DeemedDashboard[[#This Row],[Pre/Ext device type]]=const_userspec</f>
        <v>0</v>
      </c>
      <c r="N11" s="222"/>
      <c r="O11" s="223"/>
      <c r="P11" s="224"/>
      <c r="Q11" s="225"/>
      <c r="R11" s="164" t="b">
        <f>User_Specified_Refrigerant[[#This Row],[User-specified mode for Pre device?]]</f>
        <v>0</v>
      </c>
      <c r="S11" s="227" t="str">
        <f>IF(ISBLANK(User_Specified_Refrigerant[[#This Row],[Pre Refrigerant charge (lbs) per NormUnit]]),"",User_Specified_Refrigerant[[#This Row],[Pre Refrigerant charge (lbs) per NormUnit]])</f>
        <v/>
      </c>
      <c r="T11" s="228" t="str">
        <f>IF(ISBLANK(User_Specified_Refrigerant[[#This Row],[Pre annual refrigerant leakage %]]),"",User_Specified_Refrigerant[[#This Row],[Pre annual refrigerant leakage %]])</f>
        <v/>
      </c>
      <c r="U11" s="229" t="str">
        <f>IF(ISBLANK(User_Specified_Refrigerant[[#This Row],[Pre t_EOL]]),"",User_Specified_Refrigerant[[#This Row],[Pre t_EOL]])</f>
        <v/>
      </c>
      <c r="V11" s="228" t="str">
        <f>IF(ISBLANK(User_Specified_Refrigerant[[#This Row],[Pre gross EOL refrigerant leakage %]]),"",User_Specified_Refrigerant[[#This Row],[Pre gross EOL refrigerant leakage %]])</f>
        <v/>
      </c>
    </row>
    <row r="12" spans="1:22" x14ac:dyDescent="0.25">
      <c r="A12" s="141">
        <f>ROW(User_Specified_Refrigerant[[#This Row],[Index]])-ROW(User_Specified_Refrigerant[[#Headers],[Index]])</f>
        <v>3</v>
      </c>
      <c r="B12" s="217" t="str">
        <f>IF(ISBLANK(DeemedDashboard[[#This Row],[Measure description]]),"",DeemedDashboard[[#This Row],[Measure description]])</f>
        <v/>
      </c>
      <c r="C12" t="b">
        <f>DeemedDashboard[[#This Row],[Msr device type]]=const_userspec</f>
        <v>0</v>
      </c>
      <c r="D12" s="222"/>
      <c r="E12" s="223"/>
      <c r="F12" s="224"/>
      <c r="G12" s="225"/>
      <c r="H12" s="164" t="b">
        <f>DeemedDashboard[[#This Row],[Std device type]]=const_userspec</f>
        <v>0</v>
      </c>
      <c r="I12" s="222"/>
      <c r="J12" s="223"/>
      <c r="K12" s="224"/>
      <c r="L12" s="225"/>
      <c r="M12" s="164" t="b">
        <f>DeemedDashboard[[#This Row],[Pre/Ext device type]]=const_userspec</f>
        <v>0</v>
      </c>
      <c r="N12" s="222"/>
      <c r="O12" s="223"/>
      <c r="P12" s="224"/>
      <c r="Q12" s="225"/>
      <c r="R12" s="164" t="b">
        <f>User_Specified_Refrigerant[[#This Row],[User-specified mode for Pre device?]]</f>
        <v>0</v>
      </c>
      <c r="S12" s="227" t="str">
        <f>IF(ISBLANK(User_Specified_Refrigerant[[#This Row],[Pre Refrigerant charge (lbs) per NormUnit]]),"",User_Specified_Refrigerant[[#This Row],[Pre Refrigerant charge (lbs) per NormUnit]])</f>
        <v/>
      </c>
      <c r="T12" s="228" t="str">
        <f>IF(ISBLANK(User_Specified_Refrigerant[[#This Row],[Pre annual refrigerant leakage %]]),"",User_Specified_Refrigerant[[#This Row],[Pre annual refrigerant leakage %]])</f>
        <v/>
      </c>
      <c r="U12" s="229" t="str">
        <f>IF(ISBLANK(User_Specified_Refrigerant[[#This Row],[Pre t_EOL]]),"",User_Specified_Refrigerant[[#This Row],[Pre t_EOL]])</f>
        <v/>
      </c>
      <c r="V12" s="228" t="str">
        <f>IF(ISBLANK(User_Specified_Refrigerant[[#This Row],[Pre gross EOL refrigerant leakage %]]),"",User_Specified_Refrigerant[[#This Row],[Pre gross EOL refrigerant leakage %]])</f>
        <v/>
      </c>
    </row>
    <row r="13" spans="1:22" x14ac:dyDescent="0.25">
      <c r="A13" s="141">
        <f>ROW(User_Specified_Refrigerant[[#This Row],[Index]])-ROW(User_Specified_Refrigerant[[#Headers],[Index]])</f>
        <v>4</v>
      </c>
      <c r="B13" s="217" t="str">
        <f>IF(ISBLANK(DeemedDashboard[[#This Row],[Measure description]]),"",DeemedDashboard[[#This Row],[Measure description]])</f>
        <v/>
      </c>
      <c r="C13" t="b">
        <f>DeemedDashboard[[#This Row],[Msr device type]]=const_userspec</f>
        <v>0</v>
      </c>
      <c r="D13" s="222"/>
      <c r="E13" s="223"/>
      <c r="F13" s="224"/>
      <c r="G13" s="225"/>
      <c r="H13" s="164" t="b">
        <f>DeemedDashboard[[#This Row],[Std device type]]=const_userspec</f>
        <v>0</v>
      </c>
      <c r="I13" s="222"/>
      <c r="J13" s="223"/>
      <c r="K13" s="224"/>
      <c r="L13" s="225"/>
      <c r="M13" s="164" t="b">
        <f>DeemedDashboard[[#This Row],[Pre/Ext device type]]=const_userspec</f>
        <v>0</v>
      </c>
      <c r="N13" s="222"/>
      <c r="O13" s="223"/>
      <c r="P13" s="224"/>
      <c r="Q13" s="225"/>
      <c r="R13" s="164" t="b">
        <f>User_Specified_Refrigerant[[#This Row],[User-specified mode for Pre device?]]</f>
        <v>0</v>
      </c>
      <c r="S13" s="227" t="str">
        <f>IF(ISBLANK(User_Specified_Refrigerant[[#This Row],[Pre Refrigerant charge (lbs) per NormUnit]]),"",User_Specified_Refrigerant[[#This Row],[Pre Refrigerant charge (lbs) per NormUnit]])</f>
        <v/>
      </c>
      <c r="T13" s="228" t="str">
        <f>IF(ISBLANK(User_Specified_Refrigerant[[#This Row],[Pre annual refrigerant leakage %]]),"",User_Specified_Refrigerant[[#This Row],[Pre annual refrigerant leakage %]])</f>
        <v/>
      </c>
      <c r="U13" s="229" t="str">
        <f>IF(ISBLANK(User_Specified_Refrigerant[[#This Row],[Pre t_EOL]]),"",User_Specified_Refrigerant[[#This Row],[Pre t_EOL]])</f>
        <v/>
      </c>
      <c r="V13" s="228" t="str">
        <f>IF(ISBLANK(User_Specified_Refrigerant[[#This Row],[Pre gross EOL refrigerant leakage %]]),"",User_Specified_Refrigerant[[#This Row],[Pre gross EOL refrigerant leakage %]])</f>
        <v/>
      </c>
    </row>
    <row r="14" spans="1:22" x14ac:dyDescent="0.25">
      <c r="A14" s="141">
        <f>ROW(User_Specified_Refrigerant[[#This Row],[Index]])-ROW(User_Specified_Refrigerant[[#Headers],[Index]])</f>
        <v>5</v>
      </c>
      <c r="B14" s="215" t="str">
        <f>IF(ISBLANK(DeemedDashboard[[#This Row],[Measure description]]),"",DeemedDashboard[[#This Row],[Measure description]])</f>
        <v/>
      </c>
      <c r="C14" t="b">
        <f>DeemedDashboard[[#This Row],[Msr device type]]=const_userspec</f>
        <v>0</v>
      </c>
      <c r="D14" s="222"/>
      <c r="E14" s="223"/>
      <c r="F14" s="224"/>
      <c r="G14" s="225"/>
      <c r="H14" s="164" t="b">
        <f>DeemedDashboard[[#This Row],[Std device type]]=const_userspec</f>
        <v>0</v>
      </c>
      <c r="I14" s="222"/>
      <c r="J14" s="223"/>
      <c r="K14" s="224"/>
      <c r="L14" s="225"/>
      <c r="M14" s="164" t="b">
        <f>DeemedDashboard[[#This Row],[Pre/Ext device type]]=const_userspec</f>
        <v>0</v>
      </c>
      <c r="N14" s="222"/>
      <c r="O14" s="223"/>
      <c r="P14" s="224"/>
      <c r="Q14" s="225"/>
      <c r="R14" s="164" t="b">
        <f>User_Specified_Refrigerant[[#This Row],[User-specified mode for Pre device?]]</f>
        <v>0</v>
      </c>
      <c r="S14" s="227" t="str">
        <f>IF(ISBLANK(User_Specified_Refrigerant[[#This Row],[Pre Refrigerant charge (lbs) per NormUnit]]),"",User_Specified_Refrigerant[[#This Row],[Pre Refrigerant charge (lbs) per NormUnit]])</f>
        <v/>
      </c>
      <c r="T14" s="228" t="str">
        <f>IF(ISBLANK(User_Specified_Refrigerant[[#This Row],[Pre annual refrigerant leakage %]]),"",User_Specified_Refrigerant[[#This Row],[Pre annual refrigerant leakage %]])</f>
        <v/>
      </c>
      <c r="U14" s="229" t="str">
        <f>IF(ISBLANK(User_Specified_Refrigerant[[#This Row],[Pre t_EOL]]),"",User_Specified_Refrigerant[[#This Row],[Pre t_EOL]])</f>
        <v/>
      </c>
      <c r="V14" s="228" t="str">
        <f>IF(ISBLANK(User_Specified_Refrigerant[[#This Row],[Pre gross EOL refrigerant leakage %]]),"",User_Specified_Refrigerant[[#This Row],[Pre gross EOL refrigerant leakage %]])</f>
        <v/>
      </c>
    </row>
    <row r="15" spans="1:22" x14ac:dyDescent="0.25">
      <c r="A15" s="141">
        <f>ROW(User_Specified_Refrigerant[[#This Row],[Index]])-ROW(User_Specified_Refrigerant[[#Headers],[Index]])</f>
        <v>6</v>
      </c>
      <c r="B15" s="215" t="str">
        <f>IF(ISBLANK(DeemedDashboard[[#This Row],[Measure description]]),"",DeemedDashboard[[#This Row],[Measure description]])</f>
        <v/>
      </c>
      <c r="C15" t="b">
        <f>DeemedDashboard[[#This Row],[Msr device type]]=const_userspec</f>
        <v>0</v>
      </c>
      <c r="D15" s="222"/>
      <c r="E15" s="223"/>
      <c r="F15" s="224"/>
      <c r="G15" s="225"/>
      <c r="H15" s="164" t="b">
        <f>DeemedDashboard[[#This Row],[Std device type]]=const_userspec</f>
        <v>0</v>
      </c>
      <c r="I15" s="222"/>
      <c r="J15" s="223"/>
      <c r="K15" s="224"/>
      <c r="L15" s="225"/>
      <c r="M15" s="164" t="b">
        <f>DeemedDashboard[[#This Row],[Pre/Ext device type]]=const_userspec</f>
        <v>0</v>
      </c>
      <c r="N15" s="222"/>
      <c r="O15" s="223"/>
      <c r="P15" s="224"/>
      <c r="Q15" s="225"/>
      <c r="R15" s="164" t="b">
        <f>User_Specified_Refrigerant[[#This Row],[User-specified mode for Pre device?]]</f>
        <v>0</v>
      </c>
      <c r="S15" s="227" t="str">
        <f>IF(ISBLANK(User_Specified_Refrigerant[[#This Row],[Pre Refrigerant charge (lbs) per NormUnit]]),"",User_Specified_Refrigerant[[#This Row],[Pre Refrigerant charge (lbs) per NormUnit]])</f>
        <v/>
      </c>
      <c r="T15" s="228" t="str">
        <f>IF(ISBLANK(User_Specified_Refrigerant[[#This Row],[Pre annual refrigerant leakage %]]),"",User_Specified_Refrigerant[[#This Row],[Pre annual refrigerant leakage %]])</f>
        <v/>
      </c>
      <c r="U15" s="229" t="str">
        <f>IF(ISBLANK(User_Specified_Refrigerant[[#This Row],[Pre t_EOL]]),"",User_Specified_Refrigerant[[#This Row],[Pre t_EOL]])</f>
        <v/>
      </c>
      <c r="V15" s="228" t="str">
        <f>IF(ISBLANK(User_Specified_Refrigerant[[#This Row],[Pre gross EOL refrigerant leakage %]]),"",User_Specified_Refrigerant[[#This Row],[Pre gross EOL refrigerant leakage %]])</f>
        <v/>
      </c>
    </row>
    <row r="16" spans="1:22" x14ac:dyDescent="0.25">
      <c r="A16" s="141">
        <f>ROW(User_Specified_Refrigerant[[#This Row],[Index]])-ROW(User_Specified_Refrigerant[[#Headers],[Index]])</f>
        <v>7</v>
      </c>
      <c r="B16" s="215" t="str">
        <f>IF(ISBLANK(DeemedDashboard[[#This Row],[Measure description]]),"",DeemedDashboard[[#This Row],[Measure description]])</f>
        <v/>
      </c>
      <c r="C16" t="b">
        <f>DeemedDashboard[[#This Row],[Msr device type]]=const_userspec</f>
        <v>0</v>
      </c>
      <c r="D16" s="222"/>
      <c r="E16" s="223"/>
      <c r="F16" s="224"/>
      <c r="G16" s="225"/>
      <c r="H16" s="164" t="b">
        <f>DeemedDashboard[[#This Row],[Std device type]]=const_userspec</f>
        <v>0</v>
      </c>
      <c r="I16" s="222"/>
      <c r="J16" s="223"/>
      <c r="K16" s="224"/>
      <c r="L16" s="225"/>
      <c r="M16" s="164" t="b">
        <f>DeemedDashboard[[#This Row],[Pre/Ext device type]]=const_userspec</f>
        <v>0</v>
      </c>
      <c r="N16" s="222"/>
      <c r="O16" s="223"/>
      <c r="P16" s="224"/>
      <c r="Q16" s="225"/>
      <c r="R16" s="164" t="b">
        <f>User_Specified_Refrigerant[[#This Row],[User-specified mode for Pre device?]]</f>
        <v>0</v>
      </c>
      <c r="S16" s="227" t="str">
        <f>IF(ISBLANK(User_Specified_Refrigerant[[#This Row],[Pre Refrigerant charge (lbs) per NormUnit]]),"",User_Specified_Refrigerant[[#This Row],[Pre Refrigerant charge (lbs) per NormUnit]])</f>
        <v/>
      </c>
      <c r="T16" s="228" t="str">
        <f>IF(ISBLANK(User_Specified_Refrigerant[[#This Row],[Pre annual refrigerant leakage %]]),"",User_Specified_Refrigerant[[#This Row],[Pre annual refrigerant leakage %]])</f>
        <v/>
      </c>
      <c r="U16" s="229" t="str">
        <f>IF(ISBLANK(User_Specified_Refrigerant[[#This Row],[Pre t_EOL]]),"",User_Specified_Refrigerant[[#This Row],[Pre t_EOL]])</f>
        <v/>
      </c>
      <c r="V16" s="228" t="str">
        <f>IF(ISBLANK(User_Specified_Refrigerant[[#This Row],[Pre gross EOL refrigerant leakage %]]),"",User_Specified_Refrigerant[[#This Row],[Pre gross EOL refrigerant leakage %]])</f>
        <v/>
      </c>
    </row>
    <row r="17" spans="1:22" x14ac:dyDescent="0.25">
      <c r="A17" s="141">
        <f>ROW(User_Specified_Refrigerant[[#This Row],[Index]])-ROW(User_Specified_Refrigerant[[#Headers],[Index]])</f>
        <v>8</v>
      </c>
      <c r="B17" s="215" t="str">
        <f>IF(ISBLANK(DeemedDashboard[[#This Row],[Measure description]]),"",DeemedDashboard[[#This Row],[Measure description]])</f>
        <v/>
      </c>
      <c r="C17" t="b">
        <f>DeemedDashboard[[#This Row],[Msr device type]]=const_userspec</f>
        <v>0</v>
      </c>
      <c r="D17" s="222"/>
      <c r="E17" s="223"/>
      <c r="F17" s="224"/>
      <c r="G17" s="225"/>
      <c r="H17" s="164" t="b">
        <f>DeemedDashboard[[#This Row],[Std device type]]=const_userspec</f>
        <v>0</v>
      </c>
      <c r="I17" s="222"/>
      <c r="J17" s="223"/>
      <c r="K17" s="224"/>
      <c r="L17" s="225"/>
      <c r="M17" s="164" t="b">
        <f>DeemedDashboard[[#This Row],[Pre/Ext device type]]=const_userspec</f>
        <v>0</v>
      </c>
      <c r="N17" s="222"/>
      <c r="O17" s="223"/>
      <c r="P17" s="224"/>
      <c r="Q17" s="225"/>
      <c r="R17" s="164" t="b">
        <f>User_Specified_Refrigerant[[#This Row],[User-specified mode for Pre device?]]</f>
        <v>0</v>
      </c>
      <c r="S17" s="227" t="str">
        <f>IF(ISBLANK(User_Specified_Refrigerant[[#This Row],[Pre Refrigerant charge (lbs) per NormUnit]]),"",User_Specified_Refrigerant[[#This Row],[Pre Refrigerant charge (lbs) per NormUnit]])</f>
        <v/>
      </c>
      <c r="T17" s="228" t="str">
        <f>IF(ISBLANK(User_Specified_Refrigerant[[#This Row],[Pre annual refrigerant leakage %]]),"",User_Specified_Refrigerant[[#This Row],[Pre annual refrigerant leakage %]])</f>
        <v/>
      </c>
      <c r="U17" s="229" t="str">
        <f>IF(ISBLANK(User_Specified_Refrigerant[[#This Row],[Pre t_EOL]]),"",User_Specified_Refrigerant[[#This Row],[Pre t_EOL]])</f>
        <v/>
      </c>
      <c r="V17" s="228" t="str">
        <f>IF(ISBLANK(User_Specified_Refrigerant[[#This Row],[Pre gross EOL refrigerant leakage %]]),"",User_Specified_Refrigerant[[#This Row],[Pre gross EOL refrigerant leakage %]])</f>
        <v/>
      </c>
    </row>
    <row r="18" spans="1:22" x14ac:dyDescent="0.25">
      <c r="A18" s="141">
        <f>ROW(User_Specified_Refrigerant[[#This Row],[Index]])-ROW(User_Specified_Refrigerant[[#Headers],[Index]])</f>
        <v>9</v>
      </c>
      <c r="B18" s="215" t="str">
        <f>IF(ISBLANK(DeemedDashboard[[#This Row],[Measure description]]),"",DeemedDashboard[[#This Row],[Measure description]])</f>
        <v/>
      </c>
      <c r="C18" t="b">
        <f>DeemedDashboard[[#This Row],[Msr device type]]=const_userspec</f>
        <v>0</v>
      </c>
      <c r="D18" s="222"/>
      <c r="E18" s="223"/>
      <c r="F18" s="224"/>
      <c r="G18" s="225"/>
      <c r="H18" s="164" t="b">
        <f>DeemedDashboard[[#This Row],[Std device type]]=const_userspec</f>
        <v>0</v>
      </c>
      <c r="I18" s="222"/>
      <c r="J18" s="223"/>
      <c r="K18" s="224"/>
      <c r="L18" s="225"/>
      <c r="M18" s="164" t="b">
        <f>DeemedDashboard[[#This Row],[Pre/Ext device type]]=const_userspec</f>
        <v>0</v>
      </c>
      <c r="N18" s="222"/>
      <c r="O18" s="223"/>
      <c r="P18" s="224"/>
      <c r="Q18" s="225"/>
      <c r="R18" s="164" t="b">
        <f>User_Specified_Refrigerant[[#This Row],[User-specified mode for Pre device?]]</f>
        <v>0</v>
      </c>
      <c r="S18" s="227" t="str">
        <f>IF(ISBLANK(User_Specified_Refrigerant[[#This Row],[Pre Refrigerant charge (lbs) per NormUnit]]),"",User_Specified_Refrigerant[[#This Row],[Pre Refrigerant charge (lbs) per NormUnit]])</f>
        <v/>
      </c>
      <c r="T18" s="228" t="str">
        <f>IF(ISBLANK(User_Specified_Refrigerant[[#This Row],[Pre annual refrigerant leakage %]]),"",User_Specified_Refrigerant[[#This Row],[Pre annual refrigerant leakage %]])</f>
        <v/>
      </c>
      <c r="U18" s="229" t="str">
        <f>IF(ISBLANK(User_Specified_Refrigerant[[#This Row],[Pre t_EOL]]),"",User_Specified_Refrigerant[[#This Row],[Pre t_EOL]])</f>
        <v/>
      </c>
      <c r="V18" s="228" t="str">
        <f>IF(ISBLANK(User_Specified_Refrigerant[[#This Row],[Pre gross EOL refrigerant leakage %]]),"",User_Specified_Refrigerant[[#This Row],[Pre gross EOL refrigerant leakage %]])</f>
        <v/>
      </c>
    </row>
    <row r="19" spans="1:22" x14ac:dyDescent="0.25">
      <c r="A19" s="141">
        <f>ROW(User_Specified_Refrigerant[[#This Row],[Index]])-ROW(User_Specified_Refrigerant[[#Headers],[Index]])</f>
        <v>10</v>
      </c>
      <c r="B19" s="215" t="str">
        <f>IF(ISBLANK(DeemedDashboard[[#This Row],[Measure description]]),"",DeemedDashboard[[#This Row],[Measure description]])</f>
        <v/>
      </c>
      <c r="C19" t="b">
        <f>DeemedDashboard[[#This Row],[Msr device type]]=const_userspec</f>
        <v>0</v>
      </c>
      <c r="D19" s="222"/>
      <c r="E19" s="223"/>
      <c r="F19" s="224"/>
      <c r="G19" s="225"/>
      <c r="H19" s="164" t="b">
        <f>DeemedDashboard[[#This Row],[Std device type]]=const_userspec</f>
        <v>0</v>
      </c>
      <c r="I19" s="222"/>
      <c r="J19" s="223"/>
      <c r="K19" s="224"/>
      <c r="L19" s="225"/>
      <c r="M19" s="164" t="b">
        <f>DeemedDashboard[[#This Row],[Pre/Ext device type]]=const_userspec</f>
        <v>0</v>
      </c>
      <c r="N19" s="222"/>
      <c r="O19" s="223"/>
      <c r="P19" s="224"/>
      <c r="Q19" s="225"/>
      <c r="R19" s="164" t="b">
        <f>User_Specified_Refrigerant[[#This Row],[User-specified mode for Pre device?]]</f>
        <v>0</v>
      </c>
      <c r="S19" s="227" t="str">
        <f>IF(ISBLANK(User_Specified_Refrigerant[[#This Row],[Pre Refrigerant charge (lbs) per NormUnit]]),"",User_Specified_Refrigerant[[#This Row],[Pre Refrigerant charge (lbs) per NormUnit]])</f>
        <v/>
      </c>
      <c r="T19" s="228" t="str">
        <f>IF(ISBLANK(User_Specified_Refrigerant[[#This Row],[Pre annual refrigerant leakage %]]),"",User_Specified_Refrigerant[[#This Row],[Pre annual refrigerant leakage %]])</f>
        <v/>
      </c>
      <c r="U19" s="229" t="str">
        <f>IF(ISBLANK(User_Specified_Refrigerant[[#This Row],[Pre t_EOL]]),"",User_Specified_Refrigerant[[#This Row],[Pre t_EOL]])</f>
        <v/>
      </c>
      <c r="V19" s="228" t="str">
        <f>IF(ISBLANK(User_Specified_Refrigerant[[#This Row],[Pre gross EOL refrigerant leakage %]]),"",User_Specified_Refrigerant[[#This Row],[Pre gross EOL refrigerant leakage %]])</f>
        <v/>
      </c>
    </row>
    <row r="20" spans="1:22" x14ac:dyDescent="0.25">
      <c r="A20" s="141">
        <f>ROW(User_Specified_Refrigerant[[#This Row],[Index]])-ROW(User_Specified_Refrigerant[[#Headers],[Index]])</f>
        <v>11</v>
      </c>
      <c r="B20" s="215" t="str">
        <f>IF(ISBLANK(DeemedDashboard[[#This Row],[Measure description]]),"",DeemedDashboard[[#This Row],[Measure description]])</f>
        <v/>
      </c>
      <c r="C20" t="b">
        <f>DeemedDashboard[[#This Row],[Msr device type]]=const_userspec</f>
        <v>0</v>
      </c>
      <c r="D20" s="222"/>
      <c r="E20" s="223"/>
      <c r="F20" s="224"/>
      <c r="G20" s="225"/>
      <c r="H20" s="164" t="b">
        <f>DeemedDashboard[[#This Row],[Std device type]]=const_userspec</f>
        <v>0</v>
      </c>
      <c r="I20" s="222"/>
      <c r="J20" s="223"/>
      <c r="K20" s="224"/>
      <c r="L20" s="225"/>
      <c r="M20" s="164" t="b">
        <f>DeemedDashboard[[#This Row],[Pre/Ext device type]]=const_userspec</f>
        <v>0</v>
      </c>
      <c r="N20" s="222"/>
      <c r="O20" s="223"/>
      <c r="P20" s="224"/>
      <c r="Q20" s="225"/>
      <c r="R20" s="164" t="b">
        <f>User_Specified_Refrigerant[[#This Row],[User-specified mode for Pre device?]]</f>
        <v>0</v>
      </c>
      <c r="S20" s="227" t="str">
        <f>IF(ISBLANK(User_Specified_Refrigerant[[#This Row],[Pre Refrigerant charge (lbs) per NormUnit]]),"",User_Specified_Refrigerant[[#This Row],[Pre Refrigerant charge (lbs) per NormUnit]])</f>
        <v/>
      </c>
      <c r="T20" s="228" t="str">
        <f>IF(ISBLANK(User_Specified_Refrigerant[[#This Row],[Pre annual refrigerant leakage %]]),"",User_Specified_Refrigerant[[#This Row],[Pre annual refrigerant leakage %]])</f>
        <v/>
      </c>
      <c r="U20" s="229" t="str">
        <f>IF(ISBLANK(User_Specified_Refrigerant[[#This Row],[Pre t_EOL]]),"",User_Specified_Refrigerant[[#This Row],[Pre t_EOL]])</f>
        <v/>
      </c>
      <c r="V20" s="228" t="str">
        <f>IF(ISBLANK(User_Specified_Refrigerant[[#This Row],[Pre gross EOL refrigerant leakage %]]),"",User_Specified_Refrigerant[[#This Row],[Pre gross EOL refrigerant leakage %]])</f>
        <v/>
      </c>
    </row>
    <row r="21" spans="1:22" x14ac:dyDescent="0.25">
      <c r="A21" s="141">
        <f>ROW(User_Specified_Refrigerant[[#This Row],[Index]])-ROW(User_Specified_Refrigerant[[#Headers],[Index]])</f>
        <v>12</v>
      </c>
      <c r="B21" s="215" t="str">
        <f>IF(ISBLANK(DeemedDashboard[[#This Row],[Measure description]]),"",DeemedDashboard[[#This Row],[Measure description]])</f>
        <v/>
      </c>
      <c r="C21" t="b">
        <f>DeemedDashboard[[#This Row],[Msr device type]]=const_userspec</f>
        <v>0</v>
      </c>
      <c r="D21" s="222"/>
      <c r="E21" s="223"/>
      <c r="F21" s="224"/>
      <c r="G21" s="225"/>
      <c r="H21" s="164" t="b">
        <f>DeemedDashboard[[#This Row],[Std device type]]=const_userspec</f>
        <v>0</v>
      </c>
      <c r="I21" s="222"/>
      <c r="J21" s="223"/>
      <c r="K21" s="224"/>
      <c r="L21" s="225"/>
      <c r="M21" s="164" t="b">
        <f>DeemedDashboard[[#This Row],[Pre/Ext device type]]=const_userspec</f>
        <v>0</v>
      </c>
      <c r="N21" s="222"/>
      <c r="O21" s="223"/>
      <c r="P21" s="224"/>
      <c r="Q21" s="225"/>
      <c r="R21" s="164" t="b">
        <f>User_Specified_Refrigerant[[#This Row],[User-specified mode for Pre device?]]</f>
        <v>0</v>
      </c>
      <c r="S21" s="227" t="str">
        <f>IF(ISBLANK(User_Specified_Refrigerant[[#This Row],[Pre Refrigerant charge (lbs) per NormUnit]]),"",User_Specified_Refrigerant[[#This Row],[Pre Refrigerant charge (lbs) per NormUnit]])</f>
        <v/>
      </c>
      <c r="T21" s="228" t="str">
        <f>IF(ISBLANK(User_Specified_Refrigerant[[#This Row],[Pre annual refrigerant leakage %]]),"",User_Specified_Refrigerant[[#This Row],[Pre annual refrigerant leakage %]])</f>
        <v/>
      </c>
      <c r="U21" s="229" t="str">
        <f>IF(ISBLANK(User_Specified_Refrigerant[[#This Row],[Pre t_EOL]]),"",User_Specified_Refrigerant[[#This Row],[Pre t_EOL]])</f>
        <v/>
      </c>
      <c r="V21" s="228" t="str">
        <f>IF(ISBLANK(User_Specified_Refrigerant[[#This Row],[Pre gross EOL refrigerant leakage %]]),"",User_Specified_Refrigerant[[#This Row],[Pre gross EOL refrigerant leakage %]])</f>
        <v/>
      </c>
    </row>
    <row r="22" spans="1:22" x14ac:dyDescent="0.25">
      <c r="A22" s="141">
        <f>ROW(User_Specified_Refrigerant[[#This Row],[Index]])-ROW(User_Specified_Refrigerant[[#Headers],[Index]])</f>
        <v>13</v>
      </c>
      <c r="B22" s="215" t="str">
        <f>IF(ISBLANK(DeemedDashboard[[#This Row],[Measure description]]),"",DeemedDashboard[[#This Row],[Measure description]])</f>
        <v/>
      </c>
      <c r="C22" t="b">
        <f>DeemedDashboard[[#This Row],[Msr device type]]=const_userspec</f>
        <v>0</v>
      </c>
      <c r="D22" s="222"/>
      <c r="E22" s="223"/>
      <c r="F22" s="224"/>
      <c r="G22" s="225"/>
      <c r="H22" s="164" t="b">
        <f>DeemedDashboard[[#This Row],[Std device type]]=const_userspec</f>
        <v>0</v>
      </c>
      <c r="I22" s="222"/>
      <c r="J22" s="223"/>
      <c r="K22" s="224"/>
      <c r="L22" s="225"/>
      <c r="M22" s="164" t="b">
        <f>DeemedDashboard[[#This Row],[Pre/Ext device type]]=const_userspec</f>
        <v>0</v>
      </c>
      <c r="N22" s="222"/>
      <c r="O22" s="223"/>
      <c r="P22" s="224"/>
      <c r="Q22" s="225"/>
      <c r="R22" s="164" t="b">
        <f>User_Specified_Refrigerant[[#This Row],[User-specified mode for Pre device?]]</f>
        <v>0</v>
      </c>
      <c r="S22" s="227" t="str">
        <f>IF(ISBLANK(User_Specified_Refrigerant[[#This Row],[Pre Refrigerant charge (lbs) per NormUnit]]),"",User_Specified_Refrigerant[[#This Row],[Pre Refrigerant charge (lbs) per NormUnit]])</f>
        <v/>
      </c>
      <c r="T22" s="228" t="str">
        <f>IF(ISBLANK(User_Specified_Refrigerant[[#This Row],[Pre annual refrigerant leakage %]]),"",User_Specified_Refrigerant[[#This Row],[Pre annual refrigerant leakage %]])</f>
        <v/>
      </c>
      <c r="U22" s="229" t="str">
        <f>IF(ISBLANK(User_Specified_Refrigerant[[#This Row],[Pre t_EOL]]),"",User_Specified_Refrigerant[[#This Row],[Pre t_EOL]])</f>
        <v/>
      </c>
      <c r="V22" s="228" t="str">
        <f>IF(ISBLANK(User_Specified_Refrigerant[[#This Row],[Pre gross EOL refrigerant leakage %]]),"",User_Specified_Refrigerant[[#This Row],[Pre gross EOL refrigerant leakage %]])</f>
        <v/>
      </c>
    </row>
    <row r="23" spans="1:22" x14ac:dyDescent="0.25">
      <c r="A23" s="141">
        <f>ROW(User_Specified_Refrigerant[[#This Row],[Index]])-ROW(User_Specified_Refrigerant[[#Headers],[Index]])</f>
        <v>14</v>
      </c>
      <c r="B23" s="215" t="str">
        <f>IF(ISBLANK(DeemedDashboard[[#This Row],[Measure description]]),"",DeemedDashboard[[#This Row],[Measure description]])</f>
        <v/>
      </c>
      <c r="C23" t="b">
        <f>DeemedDashboard[[#This Row],[Msr device type]]=const_userspec</f>
        <v>0</v>
      </c>
      <c r="D23" s="222"/>
      <c r="E23" s="223"/>
      <c r="F23" s="224"/>
      <c r="G23" s="225"/>
      <c r="H23" s="164" t="b">
        <f>DeemedDashboard[[#This Row],[Std device type]]=const_userspec</f>
        <v>0</v>
      </c>
      <c r="I23" s="222"/>
      <c r="J23" s="223"/>
      <c r="K23" s="224"/>
      <c r="L23" s="225"/>
      <c r="M23" s="164" t="b">
        <f>DeemedDashboard[[#This Row],[Pre/Ext device type]]=const_userspec</f>
        <v>0</v>
      </c>
      <c r="N23" s="222"/>
      <c r="O23" s="223"/>
      <c r="P23" s="224"/>
      <c r="Q23" s="225"/>
      <c r="R23" s="164" t="b">
        <f>User_Specified_Refrigerant[[#This Row],[User-specified mode for Pre device?]]</f>
        <v>0</v>
      </c>
      <c r="S23" s="227" t="str">
        <f>IF(ISBLANK(User_Specified_Refrigerant[[#This Row],[Pre Refrigerant charge (lbs) per NormUnit]]),"",User_Specified_Refrigerant[[#This Row],[Pre Refrigerant charge (lbs) per NormUnit]])</f>
        <v/>
      </c>
      <c r="T23" s="228" t="str">
        <f>IF(ISBLANK(User_Specified_Refrigerant[[#This Row],[Pre annual refrigerant leakage %]]),"",User_Specified_Refrigerant[[#This Row],[Pre annual refrigerant leakage %]])</f>
        <v/>
      </c>
      <c r="U23" s="229" t="str">
        <f>IF(ISBLANK(User_Specified_Refrigerant[[#This Row],[Pre t_EOL]]),"",User_Specified_Refrigerant[[#This Row],[Pre t_EOL]])</f>
        <v/>
      </c>
      <c r="V23" s="228" t="str">
        <f>IF(ISBLANK(User_Specified_Refrigerant[[#This Row],[Pre gross EOL refrigerant leakage %]]),"",User_Specified_Refrigerant[[#This Row],[Pre gross EOL refrigerant leakage %]])</f>
        <v/>
      </c>
    </row>
    <row r="24" spans="1:22" x14ac:dyDescent="0.25">
      <c r="A24" s="141">
        <f>ROW(User_Specified_Refrigerant[[#This Row],[Index]])-ROW(User_Specified_Refrigerant[[#Headers],[Index]])</f>
        <v>15</v>
      </c>
      <c r="B24" s="215" t="str">
        <f>IF(ISBLANK(DeemedDashboard[[#This Row],[Measure description]]),"",DeemedDashboard[[#This Row],[Measure description]])</f>
        <v/>
      </c>
      <c r="C24" t="b">
        <f>DeemedDashboard[[#This Row],[Msr device type]]=const_userspec</f>
        <v>0</v>
      </c>
      <c r="D24" s="222"/>
      <c r="E24" s="223"/>
      <c r="F24" s="224"/>
      <c r="G24" s="225"/>
      <c r="H24" s="164" t="b">
        <f>DeemedDashboard[[#This Row],[Std device type]]=const_userspec</f>
        <v>0</v>
      </c>
      <c r="I24" s="222"/>
      <c r="J24" s="223"/>
      <c r="K24" s="224"/>
      <c r="L24" s="225"/>
      <c r="M24" s="164" t="b">
        <f>DeemedDashboard[[#This Row],[Pre/Ext device type]]=const_userspec</f>
        <v>0</v>
      </c>
      <c r="N24" s="222"/>
      <c r="O24" s="223"/>
      <c r="P24" s="224"/>
      <c r="Q24" s="225"/>
      <c r="R24" s="164" t="b">
        <f>User_Specified_Refrigerant[[#This Row],[User-specified mode for Pre device?]]</f>
        <v>0</v>
      </c>
      <c r="S24" s="227" t="str">
        <f>IF(ISBLANK(User_Specified_Refrigerant[[#This Row],[Pre Refrigerant charge (lbs) per NormUnit]]),"",User_Specified_Refrigerant[[#This Row],[Pre Refrigerant charge (lbs) per NormUnit]])</f>
        <v/>
      </c>
      <c r="T24" s="228" t="str">
        <f>IF(ISBLANK(User_Specified_Refrigerant[[#This Row],[Pre annual refrigerant leakage %]]),"",User_Specified_Refrigerant[[#This Row],[Pre annual refrigerant leakage %]])</f>
        <v/>
      </c>
      <c r="U24" s="229" t="str">
        <f>IF(ISBLANK(User_Specified_Refrigerant[[#This Row],[Pre t_EOL]]),"",User_Specified_Refrigerant[[#This Row],[Pre t_EOL]])</f>
        <v/>
      </c>
      <c r="V24" s="228" t="str">
        <f>IF(ISBLANK(User_Specified_Refrigerant[[#This Row],[Pre gross EOL refrigerant leakage %]]),"",User_Specified_Refrigerant[[#This Row],[Pre gross EOL refrigerant leakage %]])</f>
        <v/>
      </c>
    </row>
    <row r="25" spans="1:22" x14ac:dyDescent="0.25">
      <c r="A25" s="141">
        <f>ROW(User_Specified_Refrigerant[[#This Row],[Index]])-ROW(User_Specified_Refrigerant[[#Headers],[Index]])</f>
        <v>16</v>
      </c>
      <c r="B25" s="215" t="str">
        <f>IF(ISBLANK(DeemedDashboard[[#This Row],[Measure description]]),"",DeemedDashboard[[#This Row],[Measure description]])</f>
        <v/>
      </c>
      <c r="C25" t="b">
        <f>DeemedDashboard[[#This Row],[Msr device type]]=const_userspec</f>
        <v>0</v>
      </c>
      <c r="D25" s="222"/>
      <c r="E25" s="223"/>
      <c r="F25" s="224"/>
      <c r="G25" s="225"/>
      <c r="H25" s="164" t="b">
        <f>DeemedDashboard[[#This Row],[Std device type]]=const_userspec</f>
        <v>0</v>
      </c>
      <c r="I25" s="222"/>
      <c r="J25" s="223"/>
      <c r="K25" s="224"/>
      <c r="L25" s="225"/>
      <c r="M25" s="164" t="b">
        <f>DeemedDashboard[[#This Row],[Pre/Ext device type]]=const_userspec</f>
        <v>0</v>
      </c>
      <c r="N25" s="222"/>
      <c r="O25" s="223"/>
      <c r="P25" s="224"/>
      <c r="Q25" s="225"/>
      <c r="R25" s="164" t="b">
        <f>User_Specified_Refrigerant[[#This Row],[User-specified mode for Pre device?]]</f>
        <v>0</v>
      </c>
      <c r="S25" s="227" t="str">
        <f>IF(ISBLANK(User_Specified_Refrigerant[[#This Row],[Pre Refrigerant charge (lbs) per NormUnit]]),"",User_Specified_Refrigerant[[#This Row],[Pre Refrigerant charge (lbs) per NormUnit]])</f>
        <v/>
      </c>
      <c r="T25" s="228" t="str">
        <f>IF(ISBLANK(User_Specified_Refrigerant[[#This Row],[Pre annual refrigerant leakage %]]),"",User_Specified_Refrigerant[[#This Row],[Pre annual refrigerant leakage %]])</f>
        <v/>
      </c>
      <c r="U25" s="229" t="str">
        <f>IF(ISBLANK(User_Specified_Refrigerant[[#This Row],[Pre t_EOL]]),"",User_Specified_Refrigerant[[#This Row],[Pre t_EOL]])</f>
        <v/>
      </c>
      <c r="V25" s="228" t="str">
        <f>IF(ISBLANK(User_Specified_Refrigerant[[#This Row],[Pre gross EOL refrigerant leakage %]]),"",User_Specified_Refrigerant[[#This Row],[Pre gross EOL refrigerant leakage %]])</f>
        <v/>
      </c>
    </row>
    <row r="26" spans="1:22" x14ac:dyDescent="0.25">
      <c r="A26" s="141">
        <f>ROW(User_Specified_Refrigerant[[#This Row],[Index]])-ROW(User_Specified_Refrigerant[[#Headers],[Index]])</f>
        <v>17</v>
      </c>
      <c r="B26" s="215" t="str">
        <f>IF(ISBLANK(DeemedDashboard[[#This Row],[Measure description]]),"",DeemedDashboard[[#This Row],[Measure description]])</f>
        <v/>
      </c>
      <c r="C26" t="b">
        <f>DeemedDashboard[[#This Row],[Msr device type]]=const_userspec</f>
        <v>0</v>
      </c>
      <c r="D26" s="222"/>
      <c r="E26" s="223"/>
      <c r="F26" s="224"/>
      <c r="G26" s="225"/>
      <c r="H26" s="164" t="b">
        <f>DeemedDashboard[[#This Row],[Std device type]]=const_userspec</f>
        <v>0</v>
      </c>
      <c r="I26" s="222"/>
      <c r="J26" s="223"/>
      <c r="K26" s="224"/>
      <c r="L26" s="225"/>
      <c r="M26" s="164" t="b">
        <f>DeemedDashboard[[#This Row],[Pre/Ext device type]]=const_userspec</f>
        <v>0</v>
      </c>
      <c r="N26" s="222"/>
      <c r="O26" s="223"/>
      <c r="P26" s="224"/>
      <c r="Q26" s="225"/>
      <c r="R26" s="164" t="b">
        <f>User_Specified_Refrigerant[[#This Row],[User-specified mode for Pre device?]]</f>
        <v>0</v>
      </c>
      <c r="S26" s="227" t="str">
        <f>IF(ISBLANK(User_Specified_Refrigerant[[#This Row],[Pre Refrigerant charge (lbs) per NormUnit]]),"",User_Specified_Refrigerant[[#This Row],[Pre Refrigerant charge (lbs) per NormUnit]])</f>
        <v/>
      </c>
      <c r="T26" s="228" t="str">
        <f>IF(ISBLANK(User_Specified_Refrigerant[[#This Row],[Pre annual refrigerant leakage %]]),"",User_Specified_Refrigerant[[#This Row],[Pre annual refrigerant leakage %]])</f>
        <v/>
      </c>
      <c r="U26" s="229" t="str">
        <f>IF(ISBLANK(User_Specified_Refrigerant[[#This Row],[Pre t_EOL]]),"",User_Specified_Refrigerant[[#This Row],[Pre t_EOL]])</f>
        <v/>
      </c>
      <c r="V26" s="228" t="str">
        <f>IF(ISBLANK(User_Specified_Refrigerant[[#This Row],[Pre gross EOL refrigerant leakage %]]),"",User_Specified_Refrigerant[[#This Row],[Pre gross EOL refrigerant leakage %]])</f>
        <v/>
      </c>
    </row>
    <row r="27" spans="1:22" x14ac:dyDescent="0.25">
      <c r="A27" s="141">
        <f>ROW(User_Specified_Refrigerant[[#This Row],[Index]])-ROW(User_Specified_Refrigerant[[#Headers],[Index]])</f>
        <v>18</v>
      </c>
      <c r="B27" s="215" t="str">
        <f>IF(ISBLANK(DeemedDashboard[[#This Row],[Measure description]]),"",DeemedDashboard[[#This Row],[Measure description]])</f>
        <v/>
      </c>
      <c r="C27" t="b">
        <f>DeemedDashboard[[#This Row],[Msr device type]]=const_userspec</f>
        <v>0</v>
      </c>
      <c r="D27" s="222"/>
      <c r="E27" s="223"/>
      <c r="F27" s="224"/>
      <c r="G27" s="225"/>
      <c r="H27" s="164" t="b">
        <f>DeemedDashboard[[#This Row],[Std device type]]=const_userspec</f>
        <v>0</v>
      </c>
      <c r="I27" s="222"/>
      <c r="J27" s="223"/>
      <c r="K27" s="224"/>
      <c r="L27" s="225"/>
      <c r="M27" s="164" t="b">
        <f>DeemedDashboard[[#This Row],[Pre/Ext device type]]=const_userspec</f>
        <v>0</v>
      </c>
      <c r="N27" s="222"/>
      <c r="O27" s="223"/>
      <c r="P27" s="224"/>
      <c r="Q27" s="225"/>
      <c r="R27" s="164" t="b">
        <f>User_Specified_Refrigerant[[#This Row],[User-specified mode for Pre device?]]</f>
        <v>0</v>
      </c>
      <c r="S27" s="227" t="str">
        <f>IF(ISBLANK(User_Specified_Refrigerant[[#This Row],[Pre Refrigerant charge (lbs) per NormUnit]]),"",User_Specified_Refrigerant[[#This Row],[Pre Refrigerant charge (lbs) per NormUnit]])</f>
        <v/>
      </c>
      <c r="T27" s="228" t="str">
        <f>IF(ISBLANK(User_Specified_Refrigerant[[#This Row],[Pre annual refrigerant leakage %]]),"",User_Specified_Refrigerant[[#This Row],[Pre annual refrigerant leakage %]])</f>
        <v/>
      </c>
      <c r="U27" s="229" t="str">
        <f>IF(ISBLANK(User_Specified_Refrigerant[[#This Row],[Pre t_EOL]]),"",User_Specified_Refrigerant[[#This Row],[Pre t_EOL]])</f>
        <v/>
      </c>
      <c r="V27" s="228" t="str">
        <f>IF(ISBLANK(User_Specified_Refrigerant[[#This Row],[Pre gross EOL refrigerant leakage %]]),"",User_Specified_Refrigerant[[#This Row],[Pre gross EOL refrigerant leakage %]])</f>
        <v/>
      </c>
    </row>
    <row r="28" spans="1:22" x14ac:dyDescent="0.25">
      <c r="A28" s="141">
        <f>ROW(User_Specified_Refrigerant[[#This Row],[Index]])-ROW(User_Specified_Refrigerant[[#Headers],[Index]])</f>
        <v>19</v>
      </c>
      <c r="B28" s="215" t="str">
        <f>IF(ISBLANK(DeemedDashboard[[#This Row],[Measure description]]),"",DeemedDashboard[[#This Row],[Measure description]])</f>
        <v/>
      </c>
      <c r="C28" t="b">
        <f>DeemedDashboard[[#This Row],[Msr device type]]=const_userspec</f>
        <v>0</v>
      </c>
      <c r="D28" s="222"/>
      <c r="E28" s="223"/>
      <c r="F28" s="224"/>
      <c r="G28" s="225"/>
      <c r="H28" s="164" t="b">
        <f>DeemedDashboard[[#This Row],[Std device type]]=const_userspec</f>
        <v>0</v>
      </c>
      <c r="I28" s="222"/>
      <c r="J28" s="223"/>
      <c r="K28" s="224"/>
      <c r="L28" s="225"/>
      <c r="M28" s="164" t="b">
        <f>DeemedDashboard[[#This Row],[Pre/Ext device type]]=const_userspec</f>
        <v>0</v>
      </c>
      <c r="N28" s="222"/>
      <c r="O28" s="223"/>
      <c r="P28" s="224"/>
      <c r="Q28" s="225"/>
      <c r="R28" s="164" t="b">
        <f>User_Specified_Refrigerant[[#This Row],[User-specified mode for Pre device?]]</f>
        <v>0</v>
      </c>
      <c r="S28" s="227" t="str">
        <f>IF(ISBLANK(User_Specified_Refrigerant[[#This Row],[Pre Refrigerant charge (lbs) per NormUnit]]),"",User_Specified_Refrigerant[[#This Row],[Pre Refrigerant charge (lbs) per NormUnit]])</f>
        <v/>
      </c>
      <c r="T28" s="228" t="str">
        <f>IF(ISBLANK(User_Specified_Refrigerant[[#This Row],[Pre annual refrigerant leakage %]]),"",User_Specified_Refrigerant[[#This Row],[Pre annual refrigerant leakage %]])</f>
        <v/>
      </c>
      <c r="U28" s="229" t="str">
        <f>IF(ISBLANK(User_Specified_Refrigerant[[#This Row],[Pre t_EOL]]),"",User_Specified_Refrigerant[[#This Row],[Pre t_EOL]])</f>
        <v/>
      </c>
      <c r="V28" s="228" t="str">
        <f>IF(ISBLANK(User_Specified_Refrigerant[[#This Row],[Pre gross EOL refrigerant leakage %]]),"",User_Specified_Refrigerant[[#This Row],[Pre gross EOL refrigerant leakage %]])</f>
        <v/>
      </c>
    </row>
    <row r="29" spans="1:22" x14ac:dyDescent="0.25">
      <c r="A29" s="141">
        <f>ROW(User_Specified_Refrigerant[[#This Row],[Index]])-ROW(User_Specified_Refrigerant[[#Headers],[Index]])</f>
        <v>20</v>
      </c>
      <c r="B29" s="215" t="str">
        <f>IF(ISBLANK(DeemedDashboard[[#This Row],[Measure description]]),"",DeemedDashboard[[#This Row],[Measure description]])</f>
        <v/>
      </c>
      <c r="C29" t="b">
        <f>DeemedDashboard[[#This Row],[Msr device type]]=const_userspec</f>
        <v>0</v>
      </c>
      <c r="D29" s="222"/>
      <c r="E29" s="223"/>
      <c r="F29" s="224"/>
      <c r="G29" s="225"/>
      <c r="H29" s="164" t="b">
        <f>DeemedDashboard[[#This Row],[Std device type]]=const_userspec</f>
        <v>0</v>
      </c>
      <c r="I29" s="222"/>
      <c r="J29" s="223"/>
      <c r="K29" s="224"/>
      <c r="L29" s="225"/>
      <c r="M29" s="164" t="b">
        <f>DeemedDashboard[[#This Row],[Pre/Ext device type]]=const_userspec</f>
        <v>0</v>
      </c>
      <c r="N29" s="222"/>
      <c r="O29" s="223"/>
      <c r="P29" s="224"/>
      <c r="Q29" s="225"/>
      <c r="R29" s="164" t="b">
        <f>User_Specified_Refrigerant[[#This Row],[User-specified mode for Pre device?]]</f>
        <v>0</v>
      </c>
      <c r="S29" s="227" t="str">
        <f>IF(ISBLANK(User_Specified_Refrigerant[[#This Row],[Pre Refrigerant charge (lbs) per NormUnit]]),"",User_Specified_Refrigerant[[#This Row],[Pre Refrigerant charge (lbs) per NormUnit]])</f>
        <v/>
      </c>
      <c r="T29" s="228" t="str">
        <f>IF(ISBLANK(User_Specified_Refrigerant[[#This Row],[Pre annual refrigerant leakage %]]),"",User_Specified_Refrigerant[[#This Row],[Pre annual refrigerant leakage %]])</f>
        <v/>
      </c>
      <c r="U29" s="229" t="str">
        <f>IF(ISBLANK(User_Specified_Refrigerant[[#This Row],[Pre t_EOL]]),"",User_Specified_Refrigerant[[#This Row],[Pre t_EOL]])</f>
        <v/>
      </c>
      <c r="V29" s="228" t="str">
        <f>IF(ISBLANK(User_Specified_Refrigerant[[#This Row],[Pre gross EOL refrigerant leakage %]]),"",User_Specified_Refrigerant[[#This Row],[Pre gross EOL refrigerant leakage %]])</f>
        <v/>
      </c>
    </row>
    <row r="30" spans="1:22" x14ac:dyDescent="0.25">
      <c r="A30" s="141">
        <f>ROW(User_Specified_Refrigerant[[#This Row],[Index]])-ROW(User_Specified_Refrigerant[[#Headers],[Index]])</f>
        <v>21</v>
      </c>
      <c r="B30" s="215" t="str">
        <f>IF(ISBLANK(DeemedDashboard[[#This Row],[Measure description]]),"",DeemedDashboard[[#This Row],[Measure description]])</f>
        <v/>
      </c>
      <c r="C30" t="b">
        <f>DeemedDashboard[[#This Row],[Msr device type]]=const_userspec</f>
        <v>0</v>
      </c>
      <c r="D30" s="222"/>
      <c r="E30" s="223"/>
      <c r="F30" s="224"/>
      <c r="G30" s="225"/>
      <c r="H30" s="164" t="b">
        <f>DeemedDashboard[[#This Row],[Std device type]]=const_userspec</f>
        <v>0</v>
      </c>
      <c r="I30" s="222"/>
      <c r="J30" s="223"/>
      <c r="K30" s="224"/>
      <c r="L30" s="225"/>
      <c r="M30" s="164" t="b">
        <f>DeemedDashboard[[#This Row],[Pre/Ext device type]]=const_userspec</f>
        <v>0</v>
      </c>
      <c r="N30" s="222"/>
      <c r="O30" s="223"/>
      <c r="P30" s="224"/>
      <c r="Q30" s="225"/>
      <c r="R30" s="164" t="b">
        <f>User_Specified_Refrigerant[[#This Row],[User-specified mode for Pre device?]]</f>
        <v>0</v>
      </c>
      <c r="S30" s="227" t="str">
        <f>IF(ISBLANK(User_Specified_Refrigerant[[#This Row],[Pre Refrigerant charge (lbs) per NormUnit]]),"",User_Specified_Refrigerant[[#This Row],[Pre Refrigerant charge (lbs) per NormUnit]])</f>
        <v/>
      </c>
      <c r="T30" s="228" t="str">
        <f>IF(ISBLANK(User_Specified_Refrigerant[[#This Row],[Pre annual refrigerant leakage %]]),"",User_Specified_Refrigerant[[#This Row],[Pre annual refrigerant leakage %]])</f>
        <v/>
      </c>
      <c r="U30" s="229" t="str">
        <f>IF(ISBLANK(User_Specified_Refrigerant[[#This Row],[Pre t_EOL]]),"",User_Specified_Refrigerant[[#This Row],[Pre t_EOL]])</f>
        <v/>
      </c>
      <c r="V30" s="228" t="str">
        <f>IF(ISBLANK(User_Specified_Refrigerant[[#This Row],[Pre gross EOL refrigerant leakage %]]),"",User_Specified_Refrigerant[[#This Row],[Pre gross EOL refrigerant leakage %]])</f>
        <v/>
      </c>
    </row>
    <row r="31" spans="1:22" x14ac:dyDescent="0.25">
      <c r="A31" s="141">
        <f>ROW(User_Specified_Refrigerant[[#This Row],[Index]])-ROW(User_Specified_Refrigerant[[#Headers],[Index]])</f>
        <v>22</v>
      </c>
      <c r="B31" s="215" t="str">
        <f>IF(ISBLANK(DeemedDashboard[[#This Row],[Measure description]]),"",DeemedDashboard[[#This Row],[Measure description]])</f>
        <v/>
      </c>
      <c r="C31" t="b">
        <f>DeemedDashboard[[#This Row],[Msr device type]]=const_userspec</f>
        <v>0</v>
      </c>
      <c r="D31" s="222"/>
      <c r="E31" s="223"/>
      <c r="F31" s="224"/>
      <c r="G31" s="225"/>
      <c r="H31" s="164" t="b">
        <f>DeemedDashboard[[#This Row],[Std device type]]=const_userspec</f>
        <v>0</v>
      </c>
      <c r="I31" s="222"/>
      <c r="J31" s="223"/>
      <c r="K31" s="224"/>
      <c r="L31" s="225"/>
      <c r="M31" s="164" t="b">
        <f>DeemedDashboard[[#This Row],[Pre/Ext device type]]=const_userspec</f>
        <v>0</v>
      </c>
      <c r="N31" s="222"/>
      <c r="O31" s="223"/>
      <c r="P31" s="224"/>
      <c r="Q31" s="225"/>
      <c r="R31" s="164" t="b">
        <f>User_Specified_Refrigerant[[#This Row],[User-specified mode for Pre device?]]</f>
        <v>0</v>
      </c>
      <c r="S31" s="227" t="str">
        <f>IF(ISBLANK(User_Specified_Refrigerant[[#This Row],[Pre Refrigerant charge (lbs) per NormUnit]]),"",User_Specified_Refrigerant[[#This Row],[Pre Refrigerant charge (lbs) per NormUnit]])</f>
        <v/>
      </c>
      <c r="T31" s="228" t="str">
        <f>IF(ISBLANK(User_Specified_Refrigerant[[#This Row],[Pre annual refrigerant leakage %]]),"",User_Specified_Refrigerant[[#This Row],[Pre annual refrigerant leakage %]])</f>
        <v/>
      </c>
      <c r="U31" s="229" t="str">
        <f>IF(ISBLANK(User_Specified_Refrigerant[[#This Row],[Pre t_EOL]]),"",User_Specified_Refrigerant[[#This Row],[Pre t_EOL]])</f>
        <v/>
      </c>
      <c r="V31" s="228" t="str">
        <f>IF(ISBLANK(User_Specified_Refrigerant[[#This Row],[Pre gross EOL refrigerant leakage %]]),"",User_Specified_Refrigerant[[#This Row],[Pre gross EOL refrigerant leakage %]])</f>
        <v/>
      </c>
    </row>
    <row r="32" spans="1:22" x14ac:dyDescent="0.25">
      <c r="A32" s="141">
        <f>ROW(User_Specified_Refrigerant[[#This Row],[Index]])-ROW(User_Specified_Refrigerant[[#Headers],[Index]])</f>
        <v>23</v>
      </c>
      <c r="B32" s="215" t="str">
        <f>IF(ISBLANK(DeemedDashboard[[#This Row],[Measure description]]),"",DeemedDashboard[[#This Row],[Measure description]])</f>
        <v/>
      </c>
      <c r="C32" t="b">
        <f>DeemedDashboard[[#This Row],[Msr device type]]=const_userspec</f>
        <v>0</v>
      </c>
      <c r="D32" s="222"/>
      <c r="E32" s="223"/>
      <c r="F32" s="224"/>
      <c r="G32" s="225"/>
      <c r="H32" s="164" t="b">
        <f>DeemedDashboard[[#This Row],[Std device type]]=const_userspec</f>
        <v>0</v>
      </c>
      <c r="I32" s="222"/>
      <c r="J32" s="223"/>
      <c r="K32" s="224"/>
      <c r="L32" s="225"/>
      <c r="M32" s="164" t="b">
        <f>DeemedDashboard[[#This Row],[Pre/Ext device type]]=const_userspec</f>
        <v>0</v>
      </c>
      <c r="N32" s="222"/>
      <c r="O32" s="223"/>
      <c r="P32" s="224"/>
      <c r="Q32" s="225"/>
      <c r="R32" s="164" t="b">
        <f>User_Specified_Refrigerant[[#This Row],[User-specified mode for Pre device?]]</f>
        <v>0</v>
      </c>
      <c r="S32" s="227" t="str">
        <f>IF(ISBLANK(User_Specified_Refrigerant[[#This Row],[Pre Refrigerant charge (lbs) per NormUnit]]),"",User_Specified_Refrigerant[[#This Row],[Pre Refrigerant charge (lbs) per NormUnit]])</f>
        <v/>
      </c>
      <c r="T32" s="228" t="str">
        <f>IF(ISBLANK(User_Specified_Refrigerant[[#This Row],[Pre annual refrigerant leakage %]]),"",User_Specified_Refrigerant[[#This Row],[Pre annual refrigerant leakage %]])</f>
        <v/>
      </c>
      <c r="U32" s="229" t="str">
        <f>IF(ISBLANK(User_Specified_Refrigerant[[#This Row],[Pre t_EOL]]),"",User_Specified_Refrigerant[[#This Row],[Pre t_EOL]])</f>
        <v/>
      </c>
      <c r="V32" s="228" t="str">
        <f>IF(ISBLANK(User_Specified_Refrigerant[[#This Row],[Pre gross EOL refrigerant leakage %]]),"",User_Specified_Refrigerant[[#This Row],[Pre gross EOL refrigerant leakage %]])</f>
        <v/>
      </c>
    </row>
    <row r="33" spans="1:22" x14ac:dyDescent="0.25">
      <c r="A33" s="141">
        <f>ROW(User_Specified_Refrigerant[[#This Row],[Index]])-ROW(User_Specified_Refrigerant[[#Headers],[Index]])</f>
        <v>24</v>
      </c>
      <c r="B33" s="215" t="str">
        <f>IF(ISBLANK(DeemedDashboard[[#This Row],[Measure description]]),"",DeemedDashboard[[#This Row],[Measure description]])</f>
        <v/>
      </c>
      <c r="C33" t="b">
        <f>DeemedDashboard[[#This Row],[Msr device type]]=const_userspec</f>
        <v>0</v>
      </c>
      <c r="D33" s="222"/>
      <c r="E33" s="223"/>
      <c r="F33" s="224"/>
      <c r="G33" s="225"/>
      <c r="H33" s="164" t="b">
        <f>DeemedDashboard[[#This Row],[Std device type]]=const_userspec</f>
        <v>0</v>
      </c>
      <c r="I33" s="222"/>
      <c r="J33" s="223"/>
      <c r="K33" s="224"/>
      <c r="L33" s="225"/>
      <c r="M33" s="164" t="b">
        <f>DeemedDashboard[[#This Row],[Pre/Ext device type]]=const_userspec</f>
        <v>0</v>
      </c>
      <c r="N33" s="222"/>
      <c r="O33" s="223"/>
      <c r="P33" s="224"/>
      <c r="Q33" s="225"/>
      <c r="R33" s="164" t="b">
        <f>User_Specified_Refrigerant[[#This Row],[User-specified mode for Pre device?]]</f>
        <v>0</v>
      </c>
      <c r="S33" s="227" t="str">
        <f>IF(ISBLANK(User_Specified_Refrigerant[[#This Row],[Pre Refrigerant charge (lbs) per NormUnit]]),"",User_Specified_Refrigerant[[#This Row],[Pre Refrigerant charge (lbs) per NormUnit]])</f>
        <v/>
      </c>
      <c r="T33" s="228" t="str">
        <f>IF(ISBLANK(User_Specified_Refrigerant[[#This Row],[Pre annual refrigerant leakage %]]),"",User_Specified_Refrigerant[[#This Row],[Pre annual refrigerant leakage %]])</f>
        <v/>
      </c>
      <c r="U33" s="229" t="str">
        <f>IF(ISBLANK(User_Specified_Refrigerant[[#This Row],[Pre t_EOL]]),"",User_Specified_Refrigerant[[#This Row],[Pre t_EOL]])</f>
        <v/>
      </c>
      <c r="V33" s="228" t="str">
        <f>IF(ISBLANK(User_Specified_Refrigerant[[#This Row],[Pre gross EOL refrigerant leakage %]]),"",User_Specified_Refrigerant[[#This Row],[Pre gross EOL refrigerant leakage %]])</f>
        <v/>
      </c>
    </row>
    <row r="34" spans="1:22" x14ac:dyDescent="0.25">
      <c r="A34" s="141">
        <f>ROW(User_Specified_Refrigerant[[#This Row],[Index]])-ROW(User_Specified_Refrigerant[[#Headers],[Index]])</f>
        <v>25</v>
      </c>
      <c r="B34" s="215" t="str">
        <f>IF(ISBLANK(DeemedDashboard[[#This Row],[Measure description]]),"",DeemedDashboard[[#This Row],[Measure description]])</f>
        <v/>
      </c>
      <c r="C34" t="b">
        <f>DeemedDashboard[[#This Row],[Msr device type]]=const_userspec</f>
        <v>0</v>
      </c>
      <c r="D34" s="222"/>
      <c r="E34" s="223"/>
      <c r="F34" s="224"/>
      <c r="G34" s="225"/>
      <c r="H34" s="164" t="b">
        <f>DeemedDashboard[[#This Row],[Std device type]]=const_userspec</f>
        <v>0</v>
      </c>
      <c r="I34" s="222"/>
      <c r="J34" s="223"/>
      <c r="K34" s="224"/>
      <c r="L34" s="225"/>
      <c r="M34" s="164" t="b">
        <f>DeemedDashboard[[#This Row],[Pre/Ext device type]]=const_userspec</f>
        <v>0</v>
      </c>
      <c r="N34" s="222"/>
      <c r="O34" s="223"/>
      <c r="P34" s="224"/>
      <c r="Q34" s="225"/>
      <c r="R34" s="164" t="b">
        <f>User_Specified_Refrigerant[[#This Row],[User-specified mode for Pre device?]]</f>
        <v>0</v>
      </c>
      <c r="S34" s="227" t="str">
        <f>IF(ISBLANK(User_Specified_Refrigerant[[#This Row],[Pre Refrigerant charge (lbs) per NormUnit]]),"",User_Specified_Refrigerant[[#This Row],[Pre Refrigerant charge (lbs) per NormUnit]])</f>
        <v/>
      </c>
      <c r="T34" s="228" t="str">
        <f>IF(ISBLANK(User_Specified_Refrigerant[[#This Row],[Pre annual refrigerant leakage %]]),"",User_Specified_Refrigerant[[#This Row],[Pre annual refrigerant leakage %]])</f>
        <v/>
      </c>
      <c r="U34" s="229" t="str">
        <f>IF(ISBLANK(User_Specified_Refrigerant[[#This Row],[Pre t_EOL]]),"",User_Specified_Refrigerant[[#This Row],[Pre t_EOL]])</f>
        <v/>
      </c>
      <c r="V34" s="228" t="str">
        <f>IF(ISBLANK(User_Specified_Refrigerant[[#This Row],[Pre gross EOL refrigerant leakage %]]),"",User_Specified_Refrigerant[[#This Row],[Pre gross EOL refrigerant leakage %]])</f>
        <v/>
      </c>
    </row>
    <row r="35" spans="1:22" x14ac:dyDescent="0.25">
      <c r="A35" s="141">
        <f>ROW(User_Specified_Refrigerant[[#This Row],[Index]])-ROW(User_Specified_Refrigerant[[#Headers],[Index]])</f>
        <v>26</v>
      </c>
      <c r="B35" s="215" t="str">
        <f>IF(ISBLANK(DeemedDashboard[[#This Row],[Measure description]]),"",DeemedDashboard[[#This Row],[Measure description]])</f>
        <v/>
      </c>
      <c r="C35" t="b">
        <f>DeemedDashboard[[#This Row],[Msr device type]]=const_userspec</f>
        <v>0</v>
      </c>
      <c r="D35" s="222"/>
      <c r="E35" s="223"/>
      <c r="F35" s="224"/>
      <c r="G35" s="225"/>
      <c r="H35" s="164" t="b">
        <f>DeemedDashboard[[#This Row],[Std device type]]=const_userspec</f>
        <v>0</v>
      </c>
      <c r="I35" s="222"/>
      <c r="J35" s="223"/>
      <c r="K35" s="224"/>
      <c r="L35" s="225"/>
      <c r="M35" s="164" t="b">
        <f>DeemedDashboard[[#This Row],[Pre/Ext device type]]=const_userspec</f>
        <v>0</v>
      </c>
      <c r="N35" s="222"/>
      <c r="O35" s="223"/>
      <c r="P35" s="224"/>
      <c r="Q35" s="225"/>
      <c r="R35" s="164" t="b">
        <f>User_Specified_Refrigerant[[#This Row],[User-specified mode for Pre device?]]</f>
        <v>0</v>
      </c>
      <c r="S35" s="227" t="str">
        <f>IF(ISBLANK(User_Specified_Refrigerant[[#This Row],[Pre Refrigerant charge (lbs) per NormUnit]]),"",User_Specified_Refrigerant[[#This Row],[Pre Refrigerant charge (lbs) per NormUnit]])</f>
        <v/>
      </c>
      <c r="T35" s="228" t="str">
        <f>IF(ISBLANK(User_Specified_Refrigerant[[#This Row],[Pre annual refrigerant leakage %]]),"",User_Specified_Refrigerant[[#This Row],[Pre annual refrigerant leakage %]])</f>
        <v/>
      </c>
      <c r="U35" s="229" t="str">
        <f>IF(ISBLANK(User_Specified_Refrigerant[[#This Row],[Pre t_EOL]]),"",User_Specified_Refrigerant[[#This Row],[Pre t_EOL]])</f>
        <v/>
      </c>
      <c r="V35" s="228" t="str">
        <f>IF(ISBLANK(User_Specified_Refrigerant[[#This Row],[Pre gross EOL refrigerant leakage %]]),"",User_Specified_Refrigerant[[#This Row],[Pre gross EOL refrigerant leakage %]])</f>
        <v/>
      </c>
    </row>
    <row r="36" spans="1:22" x14ac:dyDescent="0.25">
      <c r="A36" s="141">
        <f>ROW(User_Specified_Refrigerant[[#This Row],[Index]])-ROW(User_Specified_Refrigerant[[#Headers],[Index]])</f>
        <v>27</v>
      </c>
      <c r="B36" s="215" t="str">
        <f>IF(ISBLANK(DeemedDashboard[[#This Row],[Measure description]]),"",DeemedDashboard[[#This Row],[Measure description]])</f>
        <v/>
      </c>
      <c r="C36" t="b">
        <f>DeemedDashboard[[#This Row],[Msr device type]]=const_userspec</f>
        <v>0</v>
      </c>
      <c r="D36" s="222"/>
      <c r="E36" s="223"/>
      <c r="F36" s="224"/>
      <c r="G36" s="225"/>
      <c r="H36" s="164" t="b">
        <f>DeemedDashboard[[#This Row],[Std device type]]=const_userspec</f>
        <v>0</v>
      </c>
      <c r="I36" s="222"/>
      <c r="J36" s="223"/>
      <c r="K36" s="224"/>
      <c r="L36" s="225"/>
      <c r="M36" s="164" t="b">
        <f>DeemedDashboard[[#This Row],[Pre/Ext device type]]=const_userspec</f>
        <v>0</v>
      </c>
      <c r="N36" s="222"/>
      <c r="O36" s="223"/>
      <c r="P36" s="224"/>
      <c r="Q36" s="225"/>
      <c r="R36" s="164" t="b">
        <f>User_Specified_Refrigerant[[#This Row],[User-specified mode for Pre device?]]</f>
        <v>0</v>
      </c>
      <c r="S36" s="227" t="str">
        <f>IF(ISBLANK(User_Specified_Refrigerant[[#This Row],[Pre Refrigerant charge (lbs) per NormUnit]]),"",User_Specified_Refrigerant[[#This Row],[Pre Refrigerant charge (lbs) per NormUnit]])</f>
        <v/>
      </c>
      <c r="T36" s="228" t="str">
        <f>IF(ISBLANK(User_Specified_Refrigerant[[#This Row],[Pre annual refrigerant leakage %]]),"",User_Specified_Refrigerant[[#This Row],[Pre annual refrigerant leakage %]])</f>
        <v/>
      </c>
      <c r="U36" s="229" t="str">
        <f>IF(ISBLANK(User_Specified_Refrigerant[[#This Row],[Pre t_EOL]]),"",User_Specified_Refrigerant[[#This Row],[Pre t_EOL]])</f>
        <v/>
      </c>
      <c r="V36" s="228" t="str">
        <f>IF(ISBLANK(User_Specified_Refrigerant[[#This Row],[Pre gross EOL refrigerant leakage %]]),"",User_Specified_Refrigerant[[#This Row],[Pre gross EOL refrigerant leakage %]])</f>
        <v/>
      </c>
    </row>
    <row r="37" spans="1:22" x14ac:dyDescent="0.25">
      <c r="A37" s="141">
        <f>ROW(User_Specified_Refrigerant[[#This Row],[Index]])-ROW(User_Specified_Refrigerant[[#Headers],[Index]])</f>
        <v>28</v>
      </c>
      <c r="B37" s="215" t="str">
        <f>IF(ISBLANK(DeemedDashboard[[#This Row],[Measure description]]),"",DeemedDashboard[[#This Row],[Measure description]])</f>
        <v/>
      </c>
      <c r="C37" t="b">
        <f>DeemedDashboard[[#This Row],[Msr device type]]=const_userspec</f>
        <v>0</v>
      </c>
      <c r="D37" s="222"/>
      <c r="E37" s="223"/>
      <c r="F37" s="224"/>
      <c r="G37" s="225"/>
      <c r="H37" s="164" t="b">
        <f>DeemedDashboard[[#This Row],[Std device type]]=const_userspec</f>
        <v>0</v>
      </c>
      <c r="I37" s="222"/>
      <c r="J37" s="223"/>
      <c r="K37" s="224"/>
      <c r="L37" s="225"/>
      <c r="M37" s="164" t="b">
        <f>DeemedDashboard[[#This Row],[Pre/Ext device type]]=const_userspec</f>
        <v>0</v>
      </c>
      <c r="N37" s="222"/>
      <c r="O37" s="223"/>
      <c r="P37" s="224"/>
      <c r="Q37" s="225"/>
      <c r="R37" s="164" t="b">
        <f>User_Specified_Refrigerant[[#This Row],[User-specified mode for Pre device?]]</f>
        <v>0</v>
      </c>
      <c r="S37" s="227" t="str">
        <f>IF(ISBLANK(User_Specified_Refrigerant[[#This Row],[Pre Refrigerant charge (lbs) per NormUnit]]),"",User_Specified_Refrigerant[[#This Row],[Pre Refrigerant charge (lbs) per NormUnit]])</f>
        <v/>
      </c>
      <c r="T37" s="228" t="str">
        <f>IF(ISBLANK(User_Specified_Refrigerant[[#This Row],[Pre annual refrigerant leakage %]]),"",User_Specified_Refrigerant[[#This Row],[Pre annual refrigerant leakage %]])</f>
        <v/>
      </c>
      <c r="U37" s="229" t="str">
        <f>IF(ISBLANK(User_Specified_Refrigerant[[#This Row],[Pre t_EOL]]),"",User_Specified_Refrigerant[[#This Row],[Pre t_EOL]])</f>
        <v/>
      </c>
      <c r="V37" s="228" t="str">
        <f>IF(ISBLANK(User_Specified_Refrigerant[[#This Row],[Pre gross EOL refrigerant leakage %]]),"",User_Specified_Refrigerant[[#This Row],[Pre gross EOL refrigerant leakage %]])</f>
        <v/>
      </c>
    </row>
    <row r="38" spans="1:22" x14ac:dyDescent="0.25">
      <c r="A38" s="141">
        <f>ROW(User_Specified_Refrigerant[[#This Row],[Index]])-ROW(User_Specified_Refrigerant[[#Headers],[Index]])</f>
        <v>29</v>
      </c>
      <c r="B38" s="215" t="str">
        <f>IF(ISBLANK(DeemedDashboard[[#This Row],[Measure description]]),"",DeemedDashboard[[#This Row],[Measure description]])</f>
        <v/>
      </c>
      <c r="C38" t="b">
        <f>DeemedDashboard[[#This Row],[Msr device type]]=const_userspec</f>
        <v>0</v>
      </c>
      <c r="D38" s="222"/>
      <c r="E38" s="223"/>
      <c r="F38" s="224"/>
      <c r="G38" s="225"/>
      <c r="H38" s="164" t="b">
        <f>DeemedDashboard[[#This Row],[Std device type]]=const_userspec</f>
        <v>0</v>
      </c>
      <c r="I38" s="222"/>
      <c r="J38" s="223"/>
      <c r="K38" s="224"/>
      <c r="L38" s="225"/>
      <c r="M38" s="164" t="b">
        <f>DeemedDashboard[[#This Row],[Pre/Ext device type]]=const_userspec</f>
        <v>0</v>
      </c>
      <c r="N38" s="222"/>
      <c r="O38" s="223"/>
      <c r="P38" s="224"/>
      <c r="Q38" s="225"/>
      <c r="R38" s="164" t="b">
        <f>User_Specified_Refrigerant[[#This Row],[User-specified mode for Pre device?]]</f>
        <v>0</v>
      </c>
      <c r="S38" s="227" t="str">
        <f>IF(ISBLANK(User_Specified_Refrigerant[[#This Row],[Pre Refrigerant charge (lbs) per NormUnit]]),"",User_Specified_Refrigerant[[#This Row],[Pre Refrigerant charge (lbs) per NormUnit]])</f>
        <v/>
      </c>
      <c r="T38" s="228" t="str">
        <f>IF(ISBLANK(User_Specified_Refrigerant[[#This Row],[Pre annual refrigerant leakage %]]),"",User_Specified_Refrigerant[[#This Row],[Pre annual refrigerant leakage %]])</f>
        <v/>
      </c>
      <c r="U38" s="229" t="str">
        <f>IF(ISBLANK(User_Specified_Refrigerant[[#This Row],[Pre t_EOL]]),"",User_Specified_Refrigerant[[#This Row],[Pre t_EOL]])</f>
        <v/>
      </c>
      <c r="V38" s="228" t="str">
        <f>IF(ISBLANK(User_Specified_Refrigerant[[#This Row],[Pre gross EOL refrigerant leakage %]]),"",User_Specified_Refrigerant[[#This Row],[Pre gross EOL refrigerant leakage %]])</f>
        <v/>
      </c>
    </row>
    <row r="39" spans="1:22" x14ac:dyDescent="0.25">
      <c r="A39" s="141">
        <f>ROW(User_Specified_Refrigerant[[#This Row],[Index]])-ROW(User_Specified_Refrigerant[[#Headers],[Index]])</f>
        <v>30</v>
      </c>
      <c r="B39" s="215" t="str">
        <f>IF(ISBLANK(DeemedDashboard[[#This Row],[Measure description]]),"",DeemedDashboard[[#This Row],[Measure description]])</f>
        <v/>
      </c>
      <c r="C39" t="b">
        <f>DeemedDashboard[[#This Row],[Msr device type]]=const_userspec</f>
        <v>0</v>
      </c>
      <c r="D39" s="222"/>
      <c r="E39" s="223"/>
      <c r="F39" s="224"/>
      <c r="G39" s="225"/>
      <c r="H39" s="164" t="b">
        <f>DeemedDashboard[[#This Row],[Std device type]]=const_userspec</f>
        <v>0</v>
      </c>
      <c r="I39" s="222"/>
      <c r="J39" s="223"/>
      <c r="K39" s="224"/>
      <c r="L39" s="225"/>
      <c r="M39" s="164" t="b">
        <f>DeemedDashboard[[#This Row],[Pre/Ext device type]]=const_userspec</f>
        <v>0</v>
      </c>
      <c r="N39" s="222"/>
      <c r="O39" s="223"/>
      <c r="P39" s="224"/>
      <c r="Q39" s="225"/>
      <c r="R39" s="164" t="b">
        <f>User_Specified_Refrigerant[[#This Row],[User-specified mode for Pre device?]]</f>
        <v>0</v>
      </c>
      <c r="S39" s="227" t="str">
        <f>IF(ISBLANK(User_Specified_Refrigerant[[#This Row],[Pre Refrigerant charge (lbs) per NormUnit]]),"",User_Specified_Refrigerant[[#This Row],[Pre Refrigerant charge (lbs) per NormUnit]])</f>
        <v/>
      </c>
      <c r="T39" s="228" t="str">
        <f>IF(ISBLANK(User_Specified_Refrigerant[[#This Row],[Pre annual refrigerant leakage %]]),"",User_Specified_Refrigerant[[#This Row],[Pre annual refrigerant leakage %]])</f>
        <v/>
      </c>
      <c r="U39" s="229" t="str">
        <f>IF(ISBLANK(User_Specified_Refrigerant[[#This Row],[Pre t_EOL]]),"",User_Specified_Refrigerant[[#This Row],[Pre t_EOL]])</f>
        <v/>
      </c>
      <c r="V39" s="228" t="str">
        <f>IF(ISBLANK(User_Specified_Refrigerant[[#This Row],[Pre gross EOL refrigerant leakage %]]),"",User_Specified_Refrigerant[[#This Row],[Pre gross EOL refrigerant leakage %]])</f>
        <v/>
      </c>
    </row>
    <row r="40" spans="1:22" x14ac:dyDescent="0.25">
      <c r="A40" s="141">
        <f>ROW(User_Specified_Refrigerant[[#This Row],[Index]])-ROW(User_Specified_Refrigerant[[#Headers],[Index]])</f>
        <v>31</v>
      </c>
      <c r="B40" s="215" t="str">
        <f>IF(ISBLANK(DeemedDashboard[[#This Row],[Measure description]]),"",DeemedDashboard[[#This Row],[Measure description]])</f>
        <v/>
      </c>
      <c r="C40" t="b">
        <f>DeemedDashboard[[#This Row],[Msr device type]]=const_userspec</f>
        <v>0</v>
      </c>
      <c r="D40" s="222"/>
      <c r="E40" s="223"/>
      <c r="F40" s="224"/>
      <c r="G40" s="225"/>
      <c r="H40" s="164" t="b">
        <f>DeemedDashboard[[#This Row],[Std device type]]=const_userspec</f>
        <v>0</v>
      </c>
      <c r="I40" s="222"/>
      <c r="J40" s="223"/>
      <c r="K40" s="224"/>
      <c r="L40" s="225"/>
      <c r="M40" s="164" t="b">
        <f>DeemedDashboard[[#This Row],[Pre/Ext device type]]=const_userspec</f>
        <v>0</v>
      </c>
      <c r="N40" s="222"/>
      <c r="O40" s="223"/>
      <c r="P40" s="224"/>
      <c r="Q40" s="225"/>
      <c r="R40" s="164" t="b">
        <f>User_Specified_Refrigerant[[#This Row],[User-specified mode for Pre device?]]</f>
        <v>0</v>
      </c>
      <c r="S40" s="227" t="str">
        <f>IF(ISBLANK(User_Specified_Refrigerant[[#This Row],[Pre Refrigerant charge (lbs) per NormUnit]]),"",User_Specified_Refrigerant[[#This Row],[Pre Refrigerant charge (lbs) per NormUnit]])</f>
        <v/>
      </c>
      <c r="T40" s="228" t="str">
        <f>IF(ISBLANK(User_Specified_Refrigerant[[#This Row],[Pre annual refrigerant leakage %]]),"",User_Specified_Refrigerant[[#This Row],[Pre annual refrigerant leakage %]])</f>
        <v/>
      </c>
      <c r="U40" s="229" t="str">
        <f>IF(ISBLANK(User_Specified_Refrigerant[[#This Row],[Pre t_EOL]]),"",User_Specified_Refrigerant[[#This Row],[Pre t_EOL]])</f>
        <v/>
      </c>
      <c r="V40" s="228" t="str">
        <f>IF(ISBLANK(User_Specified_Refrigerant[[#This Row],[Pre gross EOL refrigerant leakage %]]),"",User_Specified_Refrigerant[[#This Row],[Pre gross EOL refrigerant leakage %]])</f>
        <v/>
      </c>
    </row>
    <row r="41" spans="1:22" x14ac:dyDescent="0.25">
      <c r="A41" s="141">
        <f>ROW(User_Specified_Refrigerant[[#This Row],[Index]])-ROW(User_Specified_Refrigerant[[#Headers],[Index]])</f>
        <v>32</v>
      </c>
      <c r="B41" s="215" t="str">
        <f>IF(ISBLANK(DeemedDashboard[[#This Row],[Measure description]]),"",DeemedDashboard[[#This Row],[Measure description]])</f>
        <v/>
      </c>
      <c r="C41" t="b">
        <f>DeemedDashboard[[#This Row],[Msr device type]]=const_userspec</f>
        <v>0</v>
      </c>
      <c r="D41" s="222"/>
      <c r="E41" s="223"/>
      <c r="F41" s="224"/>
      <c r="G41" s="225"/>
      <c r="H41" s="164" t="b">
        <f>DeemedDashboard[[#This Row],[Std device type]]=const_userspec</f>
        <v>0</v>
      </c>
      <c r="I41" s="222"/>
      <c r="J41" s="223"/>
      <c r="K41" s="224"/>
      <c r="L41" s="225"/>
      <c r="M41" s="164" t="b">
        <f>DeemedDashboard[[#This Row],[Pre/Ext device type]]=const_userspec</f>
        <v>0</v>
      </c>
      <c r="N41" s="222"/>
      <c r="O41" s="223"/>
      <c r="P41" s="224"/>
      <c r="Q41" s="225"/>
      <c r="R41" s="164" t="b">
        <f>User_Specified_Refrigerant[[#This Row],[User-specified mode for Pre device?]]</f>
        <v>0</v>
      </c>
      <c r="S41" s="227" t="str">
        <f>IF(ISBLANK(User_Specified_Refrigerant[[#This Row],[Pre Refrigerant charge (lbs) per NormUnit]]),"",User_Specified_Refrigerant[[#This Row],[Pre Refrigerant charge (lbs) per NormUnit]])</f>
        <v/>
      </c>
      <c r="T41" s="228" t="str">
        <f>IF(ISBLANK(User_Specified_Refrigerant[[#This Row],[Pre annual refrigerant leakage %]]),"",User_Specified_Refrigerant[[#This Row],[Pre annual refrigerant leakage %]])</f>
        <v/>
      </c>
      <c r="U41" s="229" t="str">
        <f>IF(ISBLANK(User_Specified_Refrigerant[[#This Row],[Pre t_EOL]]),"",User_Specified_Refrigerant[[#This Row],[Pre t_EOL]])</f>
        <v/>
      </c>
      <c r="V41" s="228" t="str">
        <f>IF(ISBLANK(User_Specified_Refrigerant[[#This Row],[Pre gross EOL refrigerant leakage %]]),"",User_Specified_Refrigerant[[#This Row],[Pre gross EOL refrigerant leakage %]])</f>
        <v/>
      </c>
    </row>
    <row r="42" spans="1:22" x14ac:dyDescent="0.25">
      <c r="A42" s="141">
        <f>ROW(User_Specified_Refrigerant[[#This Row],[Index]])-ROW(User_Specified_Refrigerant[[#Headers],[Index]])</f>
        <v>33</v>
      </c>
      <c r="B42" s="215" t="str">
        <f>IF(ISBLANK(DeemedDashboard[[#This Row],[Measure description]]),"",DeemedDashboard[[#This Row],[Measure description]])</f>
        <v/>
      </c>
      <c r="C42" t="b">
        <f>DeemedDashboard[[#This Row],[Msr device type]]=const_userspec</f>
        <v>0</v>
      </c>
      <c r="D42" s="222"/>
      <c r="E42" s="223"/>
      <c r="F42" s="224"/>
      <c r="G42" s="225"/>
      <c r="H42" s="164" t="b">
        <f>DeemedDashboard[[#This Row],[Std device type]]=const_userspec</f>
        <v>0</v>
      </c>
      <c r="I42" s="222"/>
      <c r="J42" s="223"/>
      <c r="K42" s="224"/>
      <c r="L42" s="225"/>
      <c r="M42" s="164" t="b">
        <f>DeemedDashboard[[#This Row],[Pre/Ext device type]]=const_userspec</f>
        <v>0</v>
      </c>
      <c r="N42" s="222"/>
      <c r="O42" s="223"/>
      <c r="P42" s="224"/>
      <c r="Q42" s="225"/>
      <c r="R42" s="164" t="b">
        <f>User_Specified_Refrigerant[[#This Row],[User-specified mode for Pre device?]]</f>
        <v>0</v>
      </c>
      <c r="S42" s="227" t="str">
        <f>IF(ISBLANK(User_Specified_Refrigerant[[#This Row],[Pre Refrigerant charge (lbs) per NormUnit]]),"",User_Specified_Refrigerant[[#This Row],[Pre Refrigerant charge (lbs) per NormUnit]])</f>
        <v/>
      </c>
      <c r="T42" s="228" t="str">
        <f>IF(ISBLANK(User_Specified_Refrigerant[[#This Row],[Pre annual refrigerant leakage %]]),"",User_Specified_Refrigerant[[#This Row],[Pre annual refrigerant leakage %]])</f>
        <v/>
      </c>
      <c r="U42" s="229" t="str">
        <f>IF(ISBLANK(User_Specified_Refrigerant[[#This Row],[Pre t_EOL]]),"",User_Specified_Refrigerant[[#This Row],[Pre t_EOL]])</f>
        <v/>
      </c>
      <c r="V42" s="228" t="str">
        <f>IF(ISBLANK(User_Specified_Refrigerant[[#This Row],[Pre gross EOL refrigerant leakage %]]),"",User_Specified_Refrigerant[[#This Row],[Pre gross EOL refrigerant leakage %]])</f>
        <v/>
      </c>
    </row>
    <row r="43" spans="1:22" x14ac:dyDescent="0.25">
      <c r="A43" s="141">
        <f>ROW(User_Specified_Refrigerant[[#This Row],[Index]])-ROW(User_Specified_Refrigerant[[#Headers],[Index]])</f>
        <v>34</v>
      </c>
      <c r="B43" s="215" t="str">
        <f>IF(ISBLANK(DeemedDashboard[[#This Row],[Measure description]]),"",DeemedDashboard[[#This Row],[Measure description]])</f>
        <v/>
      </c>
      <c r="C43" t="b">
        <f>DeemedDashboard[[#This Row],[Msr device type]]=const_userspec</f>
        <v>0</v>
      </c>
      <c r="D43" s="222"/>
      <c r="E43" s="223"/>
      <c r="F43" s="224"/>
      <c r="G43" s="225"/>
      <c r="H43" s="164" t="b">
        <f>DeemedDashboard[[#This Row],[Std device type]]=const_userspec</f>
        <v>0</v>
      </c>
      <c r="I43" s="222"/>
      <c r="J43" s="223"/>
      <c r="K43" s="224"/>
      <c r="L43" s="225"/>
      <c r="M43" s="164" t="b">
        <f>DeemedDashboard[[#This Row],[Pre/Ext device type]]=const_userspec</f>
        <v>0</v>
      </c>
      <c r="N43" s="222"/>
      <c r="O43" s="223"/>
      <c r="P43" s="224"/>
      <c r="Q43" s="225"/>
      <c r="R43" s="164" t="b">
        <f>User_Specified_Refrigerant[[#This Row],[User-specified mode for Pre device?]]</f>
        <v>0</v>
      </c>
      <c r="S43" s="227" t="str">
        <f>IF(ISBLANK(User_Specified_Refrigerant[[#This Row],[Pre Refrigerant charge (lbs) per NormUnit]]),"",User_Specified_Refrigerant[[#This Row],[Pre Refrigerant charge (lbs) per NormUnit]])</f>
        <v/>
      </c>
      <c r="T43" s="228" t="str">
        <f>IF(ISBLANK(User_Specified_Refrigerant[[#This Row],[Pre annual refrigerant leakage %]]),"",User_Specified_Refrigerant[[#This Row],[Pre annual refrigerant leakage %]])</f>
        <v/>
      </c>
      <c r="U43" s="229" t="str">
        <f>IF(ISBLANK(User_Specified_Refrigerant[[#This Row],[Pre t_EOL]]),"",User_Specified_Refrigerant[[#This Row],[Pre t_EOL]])</f>
        <v/>
      </c>
      <c r="V43" s="228" t="str">
        <f>IF(ISBLANK(User_Specified_Refrigerant[[#This Row],[Pre gross EOL refrigerant leakage %]]),"",User_Specified_Refrigerant[[#This Row],[Pre gross EOL refrigerant leakage %]])</f>
        <v/>
      </c>
    </row>
    <row r="44" spans="1:22" x14ac:dyDescent="0.25">
      <c r="A44" s="141">
        <f>ROW(User_Specified_Refrigerant[[#This Row],[Index]])-ROW(User_Specified_Refrigerant[[#Headers],[Index]])</f>
        <v>35</v>
      </c>
      <c r="B44" s="215" t="str">
        <f>IF(ISBLANK(DeemedDashboard[[#This Row],[Measure description]]),"",DeemedDashboard[[#This Row],[Measure description]])</f>
        <v/>
      </c>
      <c r="C44" t="b">
        <f>DeemedDashboard[[#This Row],[Msr device type]]=const_userspec</f>
        <v>0</v>
      </c>
      <c r="D44" s="222"/>
      <c r="E44" s="223"/>
      <c r="F44" s="224"/>
      <c r="G44" s="225"/>
      <c r="H44" s="164" t="b">
        <f>DeemedDashboard[[#This Row],[Std device type]]=const_userspec</f>
        <v>0</v>
      </c>
      <c r="I44" s="222"/>
      <c r="J44" s="223"/>
      <c r="K44" s="224"/>
      <c r="L44" s="225"/>
      <c r="M44" s="164" t="b">
        <f>DeemedDashboard[[#This Row],[Pre/Ext device type]]=const_userspec</f>
        <v>0</v>
      </c>
      <c r="N44" s="222"/>
      <c r="O44" s="223"/>
      <c r="P44" s="224"/>
      <c r="Q44" s="225"/>
      <c r="R44" s="164" t="b">
        <f>User_Specified_Refrigerant[[#This Row],[User-specified mode for Pre device?]]</f>
        <v>0</v>
      </c>
      <c r="S44" s="227" t="str">
        <f>IF(ISBLANK(User_Specified_Refrigerant[[#This Row],[Pre Refrigerant charge (lbs) per NormUnit]]),"",User_Specified_Refrigerant[[#This Row],[Pre Refrigerant charge (lbs) per NormUnit]])</f>
        <v/>
      </c>
      <c r="T44" s="228" t="str">
        <f>IF(ISBLANK(User_Specified_Refrigerant[[#This Row],[Pre annual refrigerant leakage %]]),"",User_Specified_Refrigerant[[#This Row],[Pre annual refrigerant leakage %]])</f>
        <v/>
      </c>
      <c r="U44" s="229" t="str">
        <f>IF(ISBLANK(User_Specified_Refrigerant[[#This Row],[Pre t_EOL]]),"",User_Specified_Refrigerant[[#This Row],[Pre t_EOL]])</f>
        <v/>
      </c>
      <c r="V44" s="228" t="str">
        <f>IF(ISBLANK(User_Specified_Refrigerant[[#This Row],[Pre gross EOL refrigerant leakage %]]),"",User_Specified_Refrigerant[[#This Row],[Pre gross EOL refrigerant leakage %]])</f>
        <v/>
      </c>
    </row>
    <row r="45" spans="1:22" x14ac:dyDescent="0.25">
      <c r="A45" s="141">
        <f>ROW(User_Specified_Refrigerant[[#This Row],[Index]])-ROW(User_Specified_Refrigerant[[#Headers],[Index]])</f>
        <v>36</v>
      </c>
      <c r="B45" s="215" t="str">
        <f>IF(ISBLANK(DeemedDashboard[[#This Row],[Measure description]]),"",DeemedDashboard[[#This Row],[Measure description]])</f>
        <v/>
      </c>
      <c r="C45" t="b">
        <f>DeemedDashboard[[#This Row],[Msr device type]]=const_userspec</f>
        <v>0</v>
      </c>
      <c r="D45" s="222"/>
      <c r="E45" s="223"/>
      <c r="F45" s="224"/>
      <c r="G45" s="225"/>
      <c r="H45" s="164" t="b">
        <f>DeemedDashboard[[#This Row],[Std device type]]=const_userspec</f>
        <v>0</v>
      </c>
      <c r="I45" s="222"/>
      <c r="J45" s="223"/>
      <c r="K45" s="224"/>
      <c r="L45" s="225"/>
      <c r="M45" s="164" t="b">
        <f>DeemedDashboard[[#This Row],[Pre/Ext device type]]=const_userspec</f>
        <v>0</v>
      </c>
      <c r="N45" s="222"/>
      <c r="O45" s="223"/>
      <c r="P45" s="224"/>
      <c r="Q45" s="225"/>
      <c r="R45" s="164" t="b">
        <f>User_Specified_Refrigerant[[#This Row],[User-specified mode for Pre device?]]</f>
        <v>0</v>
      </c>
      <c r="S45" s="227" t="str">
        <f>IF(ISBLANK(User_Specified_Refrigerant[[#This Row],[Pre Refrigerant charge (lbs) per NormUnit]]),"",User_Specified_Refrigerant[[#This Row],[Pre Refrigerant charge (lbs) per NormUnit]])</f>
        <v/>
      </c>
      <c r="T45" s="228" t="str">
        <f>IF(ISBLANK(User_Specified_Refrigerant[[#This Row],[Pre annual refrigerant leakage %]]),"",User_Specified_Refrigerant[[#This Row],[Pre annual refrigerant leakage %]])</f>
        <v/>
      </c>
      <c r="U45" s="229" t="str">
        <f>IF(ISBLANK(User_Specified_Refrigerant[[#This Row],[Pre t_EOL]]),"",User_Specified_Refrigerant[[#This Row],[Pre t_EOL]])</f>
        <v/>
      </c>
      <c r="V45" s="228" t="str">
        <f>IF(ISBLANK(User_Specified_Refrigerant[[#This Row],[Pre gross EOL refrigerant leakage %]]),"",User_Specified_Refrigerant[[#This Row],[Pre gross EOL refrigerant leakage %]])</f>
        <v/>
      </c>
    </row>
    <row r="46" spans="1:22" x14ac:dyDescent="0.25">
      <c r="A46" s="141">
        <f>ROW(User_Specified_Refrigerant[[#This Row],[Index]])-ROW(User_Specified_Refrigerant[[#Headers],[Index]])</f>
        <v>37</v>
      </c>
      <c r="B46" s="215" t="str">
        <f>IF(ISBLANK(DeemedDashboard[[#This Row],[Measure description]]),"",DeemedDashboard[[#This Row],[Measure description]])</f>
        <v/>
      </c>
      <c r="C46" t="b">
        <f>DeemedDashboard[[#This Row],[Msr device type]]=const_userspec</f>
        <v>0</v>
      </c>
      <c r="D46" s="222"/>
      <c r="E46" s="223"/>
      <c r="F46" s="224"/>
      <c r="G46" s="225"/>
      <c r="H46" s="164" t="b">
        <f>DeemedDashboard[[#This Row],[Std device type]]=const_userspec</f>
        <v>0</v>
      </c>
      <c r="I46" s="222"/>
      <c r="J46" s="223"/>
      <c r="K46" s="224"/>
      <c r="L46" s="225"/>
      <c r="M46" s="164" t="b">
        <f>DeemedDashboard[[#This Row],[Pre/Ext device type]]=const_userspec</f>
        <v>0</v>
      </c>
      <c r="N46" s="222"/>
      <c r="O46" s="223"/>
      <c r="P46" s="224"/>
      <c r="Q46" s="225"/>
      <c r="R46" s="164" t="b">
        <f>User_Specified_Refrigerant[[#This Row],[User-specified mode for Pre device?]]</f>
        <v>0</v>
      </c>
      <c r="S46" s="227" t="str">
        <f>IF(ISBLANK(User_Specified_Refrigerant[[#This Row],[Pre Refrigerant charge (lbs) per NormUnit]]),"",User_Specified_Refrigerant[[#This Row],[Pre Refrigerant charge (lbs) per NormUnit]])</f>
        <v/>
      </c>
      <c r="T46" s="228" t="str">
        <f>IF(ISBLANK(User_Specified_Refrigerant[[#This Row],[Pre annual refrigerant leakage %]]),"",User_Specified_Refrigerant[[#This Row],[Pre annual refrigerant leakage %]])</f>
        <v/>
      </c>
      <c r="U46" s="229" t="str">
        <f>IF(ISBLANK(User_Specified_Refrigerant[[#This Row],[Pre t_EOL]]),"",User_Specified_Refrigerant[[#This Row],[Pre t_EOL]])</f>
        <v/>
      </c>
      <c r="V46" s="228" t="str">
        <f>IF(ISBLANK(User_Specified_Refrigerant[[#This Row],[Pre gross EOL refrigerant leakage %]]),"",User_Specified_Refrigerant[[#This Row],[Pre gross EOL refrigerant leakage %]])</f>
        <v/>
      </c>
    </row>
    <row r="47" spans="1:22" x14ac:dyDescent="0.25">
      <c r="A47" s="141">
        <f>ROW(User_Specified_Refrigerant[[#This Row],[Index]])-ROW(User_Specified_Refrigerant[[#Headers],[Index]])</f>
        <v>38</v>
      </c>
      <c r="B47" s="215" t="str">
        <f>IF(ISBLANK(DeemedDashboard[[#This Row],[Measure description]]),"",DeemedDashboard[[#This Row],[Measure description]])</f>
        <v/>
      </c>
      <c r="C47" t="b">
        <f>DeemedDashboard[[#This Row],[Msr device type]]=const_userspec</f>
        <v>0</v>
      </c>
      <c r="D47" s="222"/>
      <c r="E47" s="223"/>
      <c r="F47" s="224"/>
      <c r="G47" s="225"/>
      <c r="H47" s="164" t="b">
        <f>DeemedDashboard[[#This Row],[Std device type]]=const_userspec</f>
        <v>0</v>
      </c>
      <c r="I47" s="222"/>
      <c r="J47" s="223"/>
      <c r="K47" s="224"/>
      <c r="L47" s="225"/>
      <c r="M47" s="164" t="b">
        <f>DeemedDashboard[[#This Row],[Pre/Ext device type]]=const_userspec</f>
        <v>0</v>
      </c>
      <c r="N47" s="222"/>
      <c r="O47" s="223"/>
      <c r="P47" s="224"/>
      <c r="Q47" s="225"/>
      <c r="R47" s="164" t="b">
        <f>User_Specified_Refrigerant[[#This Row],[User-specified mode for Pre device?]]</f>
        <v>0</v>
      </c>
      <c r="S47" s="227" t="str">
        <f>IF(ISBLANK(User_Specified_Refrigerant[[#This Row],[Pre Refrigerant charge (lbs) per NormUnit]]),"",User_Specified_Refrigerant[[#This Row],[Pre Refrigerant charge (lbs) per NormUnit]])</f>
        <v/>
      </c>
      <c r="T47" s="228" t="str">
        <f>IF(ISBLANK(User_Specified_Refrigerant[[#This Row],[Pre annual refrigerant leakage %]]),"",User_Specified_Refrigerant[[#This Row],[Pre annual refrigerant leakage %]])</f>
        <v/>
      </c>
      <c r="U47" s="229" t="str">
        <f>IF(ISBLANK(User_Specified_Refrigerant[[#This Row],[Pre t_EOL]]),"",User_Specified_Refrigerant[[#This Row],[Pre t_EOL]])</f>
        <v/>
      </c>
      <c r="V47" s="228" t="str">
        <f>IF(ISBLANK(User_Specified_Refrigerant[[#This Row],[Pre gross EOL refrigerant leakage %]]),"",User_Specified_Refrigerant[[#This Row],[Pre gross EOL refrigerant leakage %]])</f>
        <v/>
      </c>
    </row>
    <row r="48" spans="1:22" x14ac:dyDescent="0.25">
      <c r="A48" s="141">
        <f>ROW(User_Specified_Refrigerant[[#This Row],[Index]])-ROW(User_Specified_Refrigerant[[#Headers],[Index]])</f>
        <v>39</v>
      </c>
      <c r="B48" s="215" t="str">
        <f>IF(ISBLANK(DeemedDashboard[[#This Row],[Measure description]]),"",DeemedDashboard[[#This Row],[Measure description]])</f>
        <v/>
      </c>
      <c r="C48" t="b">
        <f>DeemedDashboard[[#This Row],[Msr device type]]=const_userspec</f>
        <v>0</v>
      </c>
      <c r="D48" s="222"/>
      <c r="E48" s="223"/>
      <c r="F48" s="224"/>
      <c r="G48" s="225"/>
      <c r="H48" s="164" t="b">
        <f>DeemedDashboard[[#This Row],[Std device type]]=const_userspec</f>
        <v>0</v>
      </c>
      <c r="I48" s="222"/>
      <c r="J48" s="223"/>
      <c r="K48" s="224"/>
      <c r="L48" s="225"/>
      <c r="M48" s="164" t="b">
        <f>DeemedDashboard[[#This Row],[Pre/Ext device type]]=const_userspec</f>
        <v>0</v>
      </c>
      <c r="N48" s="222"/>
      <c r="O48" s="223"/>
      <c r="P48" s="224"/>
      <c r="Q48" s="225"/>
      <c r="R48" s="164" t="b">
        <f>User_Specified_Refrigerant[[#This Row],[User-specified mode for Pre device?]]</f>
        <v>0</v>
      </c>
      <c r="S48" s="227" t="str">
        <f>IF(ISBLANK(User_Specified_Refrigerant[[#This Row],[Pre Refrigerant charge (lbs) per NormUnit]]),"",User_Specified_Refrigerant[[#This Row],[Pre Refrigerant charge (lbs) per NormUnit]])</f>
        <v/>
      </c>
      <c r="T48" s="228" t="str">
        <f>IF(ISBLANK(User_Specified_Refrigerant[[#This Row],[Pre annual refrigerant leakage %]]),"",User_Specified_Refrigerant[[#This Row],[Pre annual refrigerant leakage %]])</f>
        <v/>
      </c>
      <c r="U48" s="229" t="str">
        <f>IF(ISBLANK(User_Specified_Refrigerant[[#This Row],[Pre t_EOL]]),"",User_Specified_Refrigerant[[#This Row],[Pre t_EOL]])</f>
        <v/>
      </c>
      <c r="V48" s="228" t="str">
        <f>IF(ISBLANK(User_Specified_Refrigerant[[#This Row],[Pre gross EOL refrigerant leakage %]]),"",User_Specified_Refrigerant[[#This Row],[Pre gross EOL refrigerant leakage %]])</f>
        <v/>
      </c>
    </row>
    <row r="49" spans="1:22" x14ac:dyDescent="0.25">
      <c r="A49" s="141">
        <f>ROW(User_Specified_Refrigerant[[#This Row],[Index]])-ROW(User_Specified_Refrigerant[[#Headers],[Index]])</f>
        <v>40</v>
      </c>
      <c r="B49" s="215" t="str">
        <f>IF(ISBLANK(DeemedDashboard[[#This Row],[Measure description]]),"",DeemedDashboard[[#This Row],[Measure description]])</f>
        <v/>
      </c>
      <c r="C49" t="b">
        <f>DeemedDashboard[[#This Row],[Msr device type]]=const_userspec</f>
        <v>0</v>
      </c>
      <c r="D49" s="222"/>
      <c r="E49" s="223"/>
      <c r="F49" s="224"/>
      <c r="G49" s="225"/>
      <c r="H49" s="164" t="b">
        <f>DeemedDashboard[[#This Row],[Std device type]]=const_userspec</f>
        <v>0</v>
      </c>
      <c r="I49" s="222"/>
      <c r="J49" s="223"/>
      <c r="K49" s="224"/>
      <c r="L49" s="225"/>
      <c r="M49" s="164" t="b">
        <f>DeemedDashboard[[#This Row],[Pre/Ext device type]]=const_userspec</f>
        <v>0</v>
      </c>
      <c r="N49" s="222"/>
      <c r="O49" s="223"/>
      <c r="P49" s="224"/>
      <c r="Q49" s="225"/>
      <c r="R49" s="164" t="b">
        <f>User_Specified_Refrigerant[[#This Row],[User-specified mode for Pre device?]]</f>
        <v>0</v>
      </c>
      <c r="S49" s="227" t="str">
        <f>IF(ISBLANK(User_Specified_Refrigerant[[#This Row],[Pre Refrigerant charge (lbs) per NormUnit]]),"",User_Specified_Refrigerant[[#This Row],[Pre Refrigerant charge (lbs) per NormUnit]])</f>
        <v/>
      </c>
      <c r="T49" s="228" t="str">
        <f>IF(ISBLANK(User_Specified_Refrigerant[[#This Row],[Pre annual refrigerant leakage %]]),"",User_Specified_Refrigerant[[#This Row],[Pre annual refrigerant leakage %]])</f>
        <v/>
      </c>
      <c r="U49" s="229" t="str">
        <f>IF(ISBLANK(User_Specified_Refrigerant[[#This Row],[Pre t_EOL]]),"",User_Specified_Refrigerant[[#This Row],[Pre t_EOL]])</f>
        <v/>
      </c>
      <c r="V49" s="228" t="str">
        <f>IF(ISBLANK(User_Specified_Refrigerant[[#This Row],[Pre gross EOL refrigerant leakage %]]),"",User_Specified_Refrigerant[[#This Row],[Pre gross EOL refrigerant leakage %]])</f>
        <v/>
      </c>
    </row>
    <row r="50" spans="1:22" x14ac:dyDescent="0.25">
      <c r="A50" s="141">
        <f>ROW(User_Specified_Refrigerant[[#This Row],[Index]])-ROW(User_Specified_Refrigerant[[#Headers],[Index]])</f>
        <v>41</v>
      </c>
      <c r="B50" s="215" t="str">
        <f>IF(ISBLANK(DeemedDashboard[[#This Row],[Measure description]]),"",DeemedDashboard[[#This Row],[Measure description]])</f>
        <v/>
      </c>
      <c r="C50" t="b">
        <f>DeemedDashboard[[#This Row],[Msr device type]]=const_userspec</f>
        <v>0</v>
      </c>
      <c r="D50" s="222"/>
      <c r="E50" s="223"/>
      <c r="F50" s="224"/>
      <c r="G50" s="225"/>
      <c r="H50" s="164" t="b">
        <f>DeemedDashboard[[#This Row],[Std device type]]=const_userspec</f>
        <v>0</v>
      </c>
      <c r="I50" s="222"/>
      <c r="J50" s="223"/>
      <c r="K50" s="224"/>
      <c r="L50" s="225"/>
      <c r="M50" s="164" t="b">
        <f>DeemedDashboard[[#This Row],[Pre/Ext device type]]=const_userspec</f>
        <v>0</v>
      </c>
      <c r="N50" s="222"/>
      <c r="O50" s="223"/>
      <c r="P50" s="224"/>
      <c r="Q50" s="225"/>
      <c r="R50" s="164" t="b">
        <f>User_Specified_Refrigerant[[#This Row],[User-specified mode for Pre device?]]</f>
        <v>0</v>
      </c>
      <c r="S50" s="227" t="str">
        <f>IF(ISBLANK(User_Specified_Refrigerant[[#This Row],[Pre Refrigerant charge (lbs) per NormUnit]]),"",User_Specified_Refrigerant[[#This Row],[Pre Refrigerant charge (lbs) per NormUnit]])</f>
        <v/>
      </c>
      <c r="T50" s="228" t="str">
        <f>IF(ISBLANK(User_Specified_Refrigerant[[#This Row],[Pre annual refrigerant leakage %]]),"",User_Specified_Refrigerant[[#This Row],[Pre annual refrigerant leakage %]])</f>
        <v/>
      </c>
      <c r="U50" s="229" t="str">
        <f>IF(ISBLANK(User_Specified_Refrigerant[[#This Row],[Pre t_EOL]]),"",User_Specified_Refrigerant[[#This Row],[Pre t_EOL]])</f>
        <v/>
      </c>
      <c r="V50" s="228" t="str">
        <f>IF(ISBLANK(User_Specified_Refrigerant[[#This Row],[Pre gross EOL refrigerant leakage %]]),"",User_Specified_Refrigerant[[#This Row],[Pre gross EOL refrigerant leakage %]])</f>
        <v/>
      </c>
    </row>
    <row r="51" spans="1:22" x14ac:dyDescent="0.25">
      <c r="A51" s="141">
        <f>ROW(User_Specified_Refrigerant[[#This Row],[Index]])-ROW(User_Specified_Refrigerant[[#Headers],[Index]])</f>
        <v>42</v>
      </c>
      <c r="B51" s="215" t="str">
        <f>IF(ISBLANK(DeemedDashboard[[#This Row],[Measure description]]),"",DeemedDashboard[[#This Row],[Measure description]])</f>
        <v/>
      </c>
      <c r="C51" t="b">
        <f>DeemedDashboard[[#This Row],[Msr device type]]=const_userspec</f>
        <v>0</v>
      </c>
      <c r="D51" s="222"/>
      <c r="E51" s="223"/>
      <c r="F51" s="224"/>
      <c r="G51" s="225"/>
      <c r="H51" s="164" t="b">
        <f>DeemedDashboard[[#This Row],[Std device type]]=const_userspec</f>
        <v>0</v>
      </c>
      <c r="I51" s="222"/>
      <c r="J51" s="223"/>
      <c r="K51" s="224"/>
      <c r="L51" s="225"/>
      <c r="M51" s="164" t="b">
        <f>DeemedDashboard[[#This Row],[Pre/Ext device type]]=const_userspec</f>
        <v>0</v>
      </c>
      <c r="N51" s="222"/>
      <c r="O51" s="223"/>
      <c r="P51" s="224"/>
      <c r="Q51" s="225"/>
      <c r="R51" s="164" t="b">
        <f>User_Specified_Refrigerant[[#This Row],[User-specified mode for Pre device?]]</f>
        <v>0</v>
      </c>
      <c r="S51" s="227" t="str">
        <f>IF(ISBLANK(User_Specified_Refrigerant[[#This Row],[Pre Refrigerant charge (lbs) per NormUnit]]),"",User_Specified_Refrigerant[[#This Row],[Pre Refrigerant charge (lbs) per NormUnit]])</f>
        <v/>
      </c>
      <c r="T51" s="228" t="str">
        <f>IF(ISBLANK(User_Specified_Refrigerant[[#This Row],[Pre annual refrigerant leakage %]]),"",User_Specified_Refrigerant[[#This Row],[Pre annual refrigerant leakage %]])</f>
        <v/>
      </c>
      <c r="U51" s="229" t="str">
        <f>IF(ISBLANK(User_Specified_Refrigerant[[#This Row],[Pre t_EOL]]),"",User_Specified_Refrigerant[[#This Row],[Pre t_EOL]])</f>
        <v/>
      </c>
      <c r="V51" s="228" t="str">
        <f>IF(ISBLANK(User_Specified_Refrigerant[[#This Row],[Pre gross EOL refrigerant leakage %]]),"",User_Specified_Refrigerant[[#This Row],[Pre gross EOL refrigerant leakage %]])</f>
        <v/>
      </c>
    </row>
    <row r="52" spans="1:22" x14ac:dyDescent="0.25">
      <c r="A52" s="141">
        <f>ROW(User_Specified_Refrigerant[[#This Row],[Index]])-ROW(User_Specified_Refrigerant[[#Headers],[Index]])</f>
        <v>43</v>
      </c>
      <c r="B52" s="215" t="str">
        <f>IF(ISBLANK(DeemedDashboard[[#This Row],[Measure description]]),"",DeemedDashboard[[#This Row],[Measure description]])</f>
        <v/>
      </c>
      <c r="C52" t="b">
        <f>DeemedDashboard[[#This Row],[Msr device type]]=const_userspec</f>
        <v>0</v>
      </c>
      <c r="D52" s="222"/>
      <c r="E52" s="223"/>
      <c r="F52" s="224"/>
      <c r="G52" s="225"/>
      <c r="H52" s="164" t="b">
        <f>DeemedDashboard[[#This Row],[Std device type]]=const_userspec</f>
        <v>0</v>
      </c>
      <c r="I52" s="222"/>
      <c r="J52" s="223"/>
      <c r="K52" s="224"/>
      <c r="L52" s="225"/>
      <c r="M52" s="164" t="b">
        <f>DeemedDashboard[[#This Row],[Pre/Ext device type]]=const_userspec</f>
        <v>0</v>
      </c>
      <c r="N52" s="222"/>
      <c r="O52" s="223"/>
      <c r="P52" s="224"/>
      <c r="Q52" s="225"/>
      <c r="R52" s="164" t="b">
        <f>User_Specified_Refrigerant[[#This Row],[User-specified mode for Pre device?]]</f>
        <v>0</v>
      </c>
      <c r="S52" s="227" t="str">
        <f>IF(ISBLANK(User_Specified_Refrigerant[[#This Row],[Pre Refrigerant charge (lbs) per NormUnit]]),"",User_Specified_Refrigerant[[#This Row],[Pre Refrigerant charge (lbs) per NormUnit]])</f>
        <v/>
      </c>
      <c r="T52" s="228" t="str">
        <f>IF(ISBLANK(User_Specified_Refrigerant[[#This Row],[Pre annual refrigerant leakage %]]),"",User_Specified_Refrigerant[[#This Row],[Pre annual refrigerant leakage %]])</f>
        <v/>
      </c>
      <c r="U52" s="229" t="str">
        <f>IF(ISBLANK(User_Specified_Refrigerant[[#This Row],[Pre t_EOL]]),"",User_Specified_Refrigerant[[#This Row],[Pre t_EOL]])</f>
        <v/>
      </c>
      <c r="V52" s="228" t="str">
        <f>IF(ISBLANK(User_Specified_Refrigerant[[#This Row],[Pre gross EOL refrigerant leakage %]]),"",User_Specified_Refrigerant[[#This Row],[Pre gross EOL refrigerant leakage %]])</f>
        <v/>
      </c>
    </row>
    <row r="53" spans="1:22" x14ac:dyDescent="0.25">
      <c r="A53" s="141">
        <f>ROW(User_Specified_Refrigerant[[#This Row],[Index]])-ROW(User_Specified_Refrigerant[[#Headers],[Index]])</f>
        <v>44</v>
      </c>
      <c r="B53" s="215" t="str">
        <f>IF(ISBLANK(DeemedDashboard[[#This Row],[Measure description]]),"",DeemedDashboard[[#This Row],[Measure description]])</f>
        <v/>
      </c>
      <c r="C53" t="b">
        <f>DeemedDashboard[[#This Row],[Msr device type]]=const_userspec</f>
        <v>0</v>
      </c>
      <c r="D53" s="222"/>
      <c r="E53" s="223"/>
      <c r="F53" s="224"/>
      <c r="G53" s="225"/>
      <c r="H53" s="164" t="b">
        <f>DeemedDashboard[[#This Row],[Std device type]]=const_userspec</f>
        <v>0</v>
      </c>
      <c r="I53" s="222"/>
      <c r="J53" s="223"/>
      <c r="K53" s="224"/>
      <c r="L53" s="225"/>
      <c r="M53" s="164" t="b">
        <f>DeemedDashboard[[#This Row],[Pre/Ext device type]]=const_userspec</f>
        <v>0</v>
      </c>
      <c r="N53" s="222"/>
      <c r="O53" s="223"/>
      <c r="P53" s="224"/>
      <c r="Q53" s="225"/>
      <c r="R53" s="164" t="b">
        <f>User_Specified_Refrigerant[[#This Row],[User-specified mode for Pre device?]]</f>
        <v>0</v>
      </c>
      <c r="S53" s="227" t="str">
        <f>IF(ISBLANK(User_Specified_Refrigerant[[#This Row],[Pre Refrigerant charge (lbs) per NormUnit]]),"",User_Specified_Refrigerant[[#This Row],[Pre Refrigerant charge (lbs) per NormUnit]])</f>
        <v/>
      </c>
      <c r="T53" s="228" t="str">
        <f>IF(ISBLANK(User_Specified_Refrigerant[[#This Row],[Pre annual refrigerant leakage %]]),"",User_Specified_Refrigerant[[#This Row],[Pre annual refrigerant leakage %]])</f>
        <v/>
      </c>
      <c r="U53" s="229" t="str">
        <f>IF(ISBLANK(User_Specified_Refrigerant[[#This Row],[Pre t_EOL]]),"",User_Specified_Refrigerant[[#This Row],[Pre t_EOL]])</f>
        <v/>
      </c>
      <c r="V53" s="228" t="str">
        <f>IF(ISBLANK(User_Specified_Refrigerant[[#This Row],[Pre gross EOL refrigerant leakage %]]),"",User_Specified_Refrigerant[[#This Row],[Pre gross EOL refrigerant leakage %]])</f>
        <v/>
      </c>
    </row>
    <row r="54" spans="1:22" x14ac:dyDescent="0.25">
      <c r="A54" s="141">
        <f>ROW(User_Specified_Refrigerant[[#This Row],[Index]])-ROW(User_Specified_Refrigerant[[#Headers],[Index]])</f>
        <v>45</v>
      </c>
      <c r="B54" s="215" t="str">
        <f>IF(ISBLANK(DeemedDashboard[[#This Row],[Measure description]]),"",DeemedDashboard[[#This Row],[Measure description]])</f>
        <v/>
      </c>
      <c r="C54" t="b">
        <f>DeemedDashboard[[#This Row],[Msr device type]]=const_userspec</f>
        <v>0</v>
      </c>
      <c r="D54" s="222"/>
      <c r="E54" s="223"/>
      <c r="F54" s="224"/>
      <c r="G54" s="225"/>
      <c r="H54" s="164" t="b">
        <f>DeemedDashboard[[#This Row],[Std device type]]=const_userspec</f>
        <v>0</v>
      </c>
      <c r="I54" s="222"/>
      <c r="J54" s="223"/>
      <c r="K54" s="224"/>
      <c r="L54" s="225"/>
      <c r="M54" s="164" t="b">
        <f>DeemedDashboard[[#This Row],[Pre/Ext device type]]=const_userspec</f>
        <v>0</v>
      </c>
      <c r="N54" s="222"/>
      <c r="O54" s="223"/>
      <c r="P54" s="224"/>
      <c r="Q54" s="225"/>
      <c r="R54" s="164" t="b">
        <f>User_Specified_Refrigerant[[#This Row],[User-specified mode for Pre device?]]</f>
        <v>0</v>
      </c>
      <c r="S54" s="227" t="str">
        <f>IF(ISBLANK(User_Specified_Refrigerant[[#This Row],[Pre Refrigerant charge (lbs) per NormUnit]]),"",User_Specified_Refrigerant[[#This Row],[Pre Refrigerant charge (lbs) per NormUnit]])</f>
        <v/>
      </c>
      <c r="T54" s="228" t="str">
        <f>IF(ISBLANK(User_Specified_Refrigerant[[#This Row],[Pre annual refrigerant leakage %]]),"",User_Specified_Refrigerant[[#This Row],[Pre annual refrigerant leakage %]])</f>
        <v/>
      </c>
      <c r="U54" s="229" t="str">
        <f>IF(ISBLANK(User_Specified_Refrigerant[[#This Row],[Pre t_EOL]]),"",User_Specified_Refrigerant[[#This Row],[Pre t_EOL]])</f>
        <v/>
      </c>
      <c r="V54" s="228" t="str">
        <f>IF(ISBLANK(User_Specified_Refrigerant[[#This Row],[Pre gross EOL refrigerant leakage %]]),"",User_Specified_Refrigerant[[#This Row],[Pre gross EOL refrigerant leakage %]])</f>
        <v/>
      </c>
    </row>
    <row r="55" spans="1:22" x14ac:dyDescent="0.25">
      <c r="A55" s="141">
        <f>ROW(User_Specified_Refrigerant[[#This Row],[Index]])-ROW(User_Specified_Refrigerant[[#Headers],[Index]])</f>
        <v>46</v>
      </c>
      <c r="B55" s="215" t="str">
        <f>IF(ISBLANK(DeemedDashboard[[#This Row],[Measure description]]),"",DeemedDashboard[[#This Row],[Measure description]])</f>
        <v/>
      </c>
      <c r="C55" t="b">
        <f>DeemedDashboard[[#This Row],[Msr device type]]=const_userspec</f>
        <v>0</v>
      </c>
      <c r="D55" s="222"/>
      <c r="E55" s="223"/>
      <c r="F55" s="224"/>
      <c r="G55" s="225"/>
      <c r="H55" s="164" t="b">
        <f>DeemedDashboard[[#This Row],[Std device type]]=const_userspec</f>
        <v>0</v>
      </c>
      <c r="I55" s="222"/>
      <c r="J55" s="223"/>
      <c r="K55" s="224"/>
      <c r="L55" s="225"/>
      <c r="M55" s="164" t="b">
        <f>DeemedDashboard[[#This Row],[Pre/Ext device type]]=const_userspec</f>
        <v>0</v>
      </c>
      <c r="N55" s="222"/>
      <c r="O55" s="223"/>
      <c r="P55" s="224"/>
      <c r="Q55" s="225"/>
      <c r="R55" s="164" t="b">
        <f>User_Specified_Refrigerant[[#This Row],[User-specified mode for Pre device?]]</f>
        <v>0</v>
      </c>
      <c r="S55" s="227" t="str">
        <f>IF(ISBLANK(User_Specified_Refrigerant[[#This Row],[Pre Refrigerant charge (lbs) per NormUnit]]),"",User_Specified_Refrigerant[[#This Row],[Pre Refrigerant charge (lbs) per NormUnit]])</f>
        <v/>
      </c>
      <c r="T55" s="228" t="str">
        <f>IF(ISBLANK(User_Specified_Refrigerant[[#This Row],[Pre annual refrigerant leakage %]]),"",User_Specified_Refrigerant[[#This Row],[Pre annual refrigerant leakage %]])</f>
        <v/>
      </c>
      <c r="U55" s="229" t="str">
        <f>IF(ISBLANK(User_Specified_Refrigerant[[#This Row],[Pre t_EOL]]),"",User_Specified_Refrigerant[[#This Row],[Pre t_EOL]])</f>
        <v/>
      </c>
      <c r="V55" s="228" t="str">
        <f>IF(ISBLANK(User_Specified_Refrigerant[[#This Row],[Pre gross EOL refrigerant leakage %]]),"",User_Specified_Refrigerant[[#This Row],[Pre gross EOL refrigerant leakage %]])</f>
        <v/>
      </c>
    </row>
    <row r="56" spans="1:22" x14ac:dyDescent="0.25">
      <c r="A56" s="141">
        <f>ROW(User_Specified_Refrigerant[[#This Row],[Index]])-ROW(User_Specified_Refrigerant[[#Headers],[Index]])</f>
        <v>47</v>
      </c>
      <c r="B56" s="215" t="str">
        <f>IF(ISBLANK(DeemedDashboard[[#This Row],[Measure description]]),"",DeemedDashboard[[#This Row],[Measure description]])</f>
        <v/>
      </c>
      <c r="C56" t="b">
        <f>DeemedDashboard[[#This Row],[Msr device type]]=const_userspec</f>
        <v>0</v>
      </c>
      <c r="D56" s="222"/>
      <c r="E56" s="223"/>
      <c r="F56" s="224"/>
      <c r="G56" s="225"/>
      <c r="H56" s="164" t="b">
        <f>DeemedDashboard[[#This Row],[Std device type]]=const_userspec</f>
        <v>0</v>
      </c>
      <c r="I56" s="222"/>
      <c r="J56" s="223"/>
      <c r="K56" s="224"/>
      <c r="L56" s="225"/>
      <c r="M56" s="164" t="b">
        <f>DeemedDashboard[[#This Row],[Pre/Ext device type]]=const_userspec</f>
        <v>0</v>
      </c>
      <c r="N56" s="222"/>
      <c r="O56" s="223"/>
      <c r="P56" s="224"/>
      <c r="Q56" s="225"/>
      <c r="R56" s="164" t="b">
        <f>User_Specified_Refrigerant[[#This Row],[User-specified mode for Pre device?]]</f>
        <v>0</v>
      </c>
      <c r="S56" s="227" t="str">
        <f>IF(ISBLANK(User_Specified_Refrigerant[[#This Row],[Pre Refrigerant charge (lbs) per NormUnit]]),"",User_Specified_Refrigerant[[#This Row],[Pre Refrigerant charge (lbs) per NormUnit]])</f>
        <v/>
      </c>
      <c r="T56" s="228" t="str">
        <f>IF(ISBLANK(User_Specified_Refrigerant[[#This Row],[Pre annual refrigerant leakage %]]),"",User_Specified_Refrigerant[[#This Row],[Pre annual refrigerant leakage %]])</f>
        <v/>
      </c>
      <c r="U56" s="229" t="str">
        <f>IF(ISBLANK(User_Specified_Refrigerant[[#This Row],[Pre t_EOL]]),"",User_Specified_Refrigerant[[#This Row],[Pre t_EOL]])</f>
        <v/>
      </c>
      <c r="V56" s="228" t="str">
        <f>IF(ISBLANK(User_Specified_Refrigerant[[#This Row],[Pre gross EOL refrigerant leakage %]]),"",User_Specified_Refrigerant[[#This Row],[Pre gross EOL refrigerant leakage %]])</f>
        <v/>
      </c>
    </row>
    <row r="57" spans="1:22" x14ac:dyDescent="0.25">
      <c r="A57" s="141">
        <f>ROW(User_Specified_Refrigerant[[#This Row],[Index]])-ROW(User_Specified_Refrigerant[[#Headers],[Index]])</f>
        <v>48</v>
      </c>
      <c r="B57" s="215" t="str">
        <f>IF(ISBLANK(DeemedDashboard[[#This Row],[Measure description]]),"",DeemedDashboard[[#This Row],[Measure description]])</f>
        <v/>
      </c>
      <c r="C57" t="b">
        <f>DeemedDashboard[[#This Row],[Msr device type]]=const_userspec</f>
        <v>0</v>
      </c>
      <c r="D57" s="222"/>
      <c r="E57" s="223"/>
      <c r="F57" s="224"/>
      <c r="G57" s="225"/>
      <c r="H57" s="164" t="b">
        <f>DeemedDashboard[[#This Row],[Std device type]]=const_userspec</f>
        <v>0</v>
      </c>
      <c r="I57" s="222"/>
      <c r="J57" s="223"/>
      <c r="K57" s="224"/>
      <c r="L57" s="225"/>
      <c r="M57" s="164" t="b">
        <f>DeemedDashboard[[#This Row],[Pre/Ext device type]]=const_userspec</f>
        <v>0</v>
      </c>
      <c r="N57" s="222"/>
      <c r="O57" s="223"/>
      <c r="P57" s="224"/>
      <c r="Q57" s="225"/>
      <c r="R57" s="164" t="b">
        <f>User_Specified_Refrigerant[[#This Row],[User-specified mode for Pre device?]]</f>
        <v>0</v>
      </c>
      <c r="S57" s="227" t="str">
        <f>IF(ISBLANK(User_Specified_Refrigerant[[#This Row],[Pre Refrigerant charge (lbs) per NormUnit]]),"",User_Specified_Refrigerant[[#This Row],[Pre Refrigerant charge (lbs) per NormUnit]])</f>
        <v/>
      </c>
      <c r="T57" s="228" t="str">
        <f>IF(ISBLANK(User_Specified_Refrigerant[[#This Row],[Pre annual refrigerant leakage %]]),"",User_Specified_Refrigerant[[#This Row],[Pre annual refrigerant leakage %]])</f>
        <v/>
      </c>
      <c r="U57" s="229" t="str">
        <f>IF(ISBLANK(User_Specified_Refrigerant[[#This Row],[Pre t_EOL]]),"",User_Specified_Refrigerant[[#This Row],[Pre t_EOL]])</f>
        <v/>
      </c>
      <c r="V57" s="228" t="str">
        <f>IF(ISBLANK(User_Specified_Refrigerant[[#This Row],[Pre gross EOL refrigerant leakage %]]),"",User_Specified_Refrigerant[[#This Row],[Pre gross EOL refrigerant leakage %]])</f>
        <v/>
      </c>
    </row>
    <row r="58" spans="1:22" x14ac:dyDescent="0.25">
      <c r="A58" s="141">
        <f>ROW(User_Specified_Refrigerant[[#This Row],[Index]])-ROW(User_Specified_Refrigerant[[#Headers],[Index]])</f>
        <v>49</v>
      </c>
      <c r="B58" s="215" t="str">
        <f>IF(ISBLANK(DeemedDashboard[[#This Row],[Measure description]]),"",DeemedDashboard[[#This Row],[Measure description]])</f>
        <v/>
      </c>
      <c r="C58" t="b">
        <f>DeemedDashboard[[#This Row],[Msr device type]]=const_userspec</f>
        <v>0</v>
      </c>
      <c r="D58" s="222"/>
      <c r="E58" s="223"/>
      <c r="F58" s="224"/>
      <c r="G58" s="225"/>
      <c r="H58" s="164" t="b">
        <f>DeemedDashboard[[#This Row],[Std device type]]=const_userspec</f>
        <v>0</v>
      </c>
      <c r="I58" s="222"/>
      <c r="J58" s="223"/>
      <c r="K58" s="224"/>
      <c r="L58" s="225"/>
      <c r="M58" s="164" t="b">
        <f>DeemedDashboard[[#This Row],[Pre/Ext device type]]=const_userspec</f>
        <v>0</v>
      </c>
      <c r="N58" s="222"/>
      <c r="O58" s="223"/>
      <c r="P58" s="224"/>
      <c r="Q58" s="225"/>
      <c r="R58" s="164" t="b">
        <f>User_Specified_Refrigerant[[#This Row],[User-specified mode for Pre device?]]</f>
        <v>0</v>
      </c>
      <c r="S58" s="227" t="str">
        <f>IF(ISBLANK(User_Specified_Refrigerant[[#This Row],[Pre Refrigerant charge (lbs) per NormUnit]]),"",User_Specified_Refrigerant[[#This Row],[Pre Refrigerant charge (lbs) per NormUnit]])</f>
        <v/>
      </c>
      <c r="T58" s="228" t="str">
        <f>IF(ISBLANK(User_Specified_Refrigerant[[#This Row],[Pre annual refrigerant leakage %]]),"",User_Specified_Refrigerant[[#This Row],[Pre annual refrigerant leakage %]])</f>
        <v/>
      </c>
      <c r="U58" s="229" t="str">
        <f>IF(ISBLANK(User_Specified_Refrigerant[[#This Row],[Pre t_EOL]]),"",User_Specified_Refrigerant[[#This Row],[Pre t_EOL]])</f>
        <v/>
      </c>
      <c r="V58" s="228" t="str">
        <f>IF(ISBLANK(User_Specified_Refrigerant[[#This Row],[Pre gross EOL refrigerant leakage %]]),"",User_Specified_Refrigerant[[#This Row],[Pre gross EOL refrigerant leakage %]])</f>
        <v/>
      </c>
    </row>
    <row r="59" spans="1:22" x14ac:dyDescent="0.25">
      <c r="A59" s="141">
        <f>ROW(User_Specified_Refrigerant[[#This Row],[Index]])-ROW(User_Specified_Refrigerant[[#Headers],[Index]])</f>
        <v>50</v>
      </c>
      <c r="B59" s="215" t="str">
        <f>IF(ISBLANK(DeemedDashboard[[#This Row],[Measure description]]),"",DeemedDashboard[[#This Row],[Measure description]])</f>
        <v/>
      </c>
      <c r="C59" t="b">
        <f>DeemedDashboard[[#This Row],[Msr device type]]=const_userspec</f>
        <v>0</v>
      </c>
      <c r="D59" s="222"/>
      <c r="E59" s="223"/>
      <c r="F59" s="224"/>
      <c r="G59" s="225"/>
      <c r="H59" s="164" t="b">
        <f>DeemedDashboard[[#This Row],[Std device type]]=const_userspec</f>
        <v>0</v>
      </c>
      <c r="I59" s="222"/>
      <c r="J59" s="223"/>
      <c r="K59" s="224"/>
      <c r="L59" s="225"/>
      <c r="M59" s="164" t="b">
        <f>DeemedDashboard[[#This Row],[Pre/Ext device type]]=const_userspec</f>
        <v>0</v>
      </c>
      <c r="N59" s="222"/>
      <c r="O59" s="223"/>
      <c r="P59" s="224"/>
      <c r="Q59" s="225"/>
      <c r="R59" s="164" t="b">
        <f>User_Specified_Refrigerant[[#This Row],[User-specified mode for Pre device?]]</f>
        <v>0</v>
      </c>
      <c r="S59" s="227" t="str">
        <f>IF(ISBLANK(User_Specified_Refrigerant[[#This Row],[Pre Refrigerant charge (lbs) per NormUnit]]),"",User_Specified_Refrigerant[[#This Row],[Pre Refrigerant charge (lbs) per NormUnit]])</f>
        <v/>
      </c>
      <c r="T59" s="228" t="str">
        <f>IF(ISBLANK(User_Specified_Refrigerant[[#This Row],[Pre annual refrigerant leakage %]]),"",User_Specified_Refrigerant[[#This Row],[Pre annual refrigerant leakage %]])</f>
        <v/>
      </c>
      <c r="U59" s="229" t="str">
        <f>IF(ISBLANK(User_Specified_Refrigerant[[#This Row],[Pre t_EOL]]),"",User_Specified_Refrigerant[[#This Row],[Pre t_EOL]])</f>
        <v/>
      </c>
      <c r="V59" s="228" t="str">
        <f>IF(ISBLANK(User_Specified_Refrigerant[[#This Row],[Pre gross EOL refrigerant leakage %]]),"",User_Specified_Refrigerant[[#This Row],[Pre gross EOL refrigerant leakage %]])</f>
        <v/>
      </c>
    </row>
    <row r="60" spans="1:22" x14ac:dyDescent="0.25">
      <c r="A60" s="141">
        <f>ROW(User_Specified_Refrigerant[[#This Row],[Index]])-ROW(User_Specified_Refrigerant[[#Headers],[Index]])</f>
        <v>51</v>
      </c>
      <c r="B60" s="215" t="str">
        <f>IF(ISBLANK(DeemedDashboard[[#This Row],[Measure description]]),"",DeemedDashboard[[#This Row],[Measure description]])</f>
        <v/>
      </c>
      <c r="C60" t="b">
        <f>DeemedDashboard[[#This Row],[Msr device type]]=const_userspec</f>
        <v>0</v>
      </c>
      <c r="D60" s="222"/>
      <c r="E60" s="223"/>
      <c r="F60" s="224"/>
      <c r="G60" s="225"/>
      <c r="H60" s="164" t="b">
        <f>DeemedDashboard[[#This Row],[Std device type]]=const_userspec</f>
        <v>0</v>
      </c>
      <c r="I60" s="222"/>
      <c r="J60" s="223"/>
      <c r="K60" s="224"/>
      <c r="L60" s="225"/>
      <c r="M60" s="164" t="b">
        <f>DeemedDashboard[[#This Row],[Pre/Ext device type]]=const_userspec</f>
        <v>0</v>
      </c>
      <c r="N60" s="222"/>
      <c r="O60" s="223"/>
      <c r="P60" s="224"/>
      <c r="Q60" s="225"/>
      <c r="R60" s="164" t="b">
        <f>User_Specified_Refrigerant[[#This Row],[User-specified mode for Pre device?]]</f>
        <v>0</v>
      </c>
      <c r="S60" s="227" t="str">
        <f>IF(ISBLANK(User_Specified_Refrigerant[[#This Row],[Pre Refrigerant charge (lbs) per NormUnit]]),"",User_Specified_Refrigerant[[#This Row],[Pre Refrigerant charge (lbs) per NormUnit]])</f>
        <v/>
      </c>
      <c r="T60" s="228" t="str">
        <f>IF(ISBLANK(User_Specified_Refrigerant[[#This Row],[Pre annual refrigerant leakage %]]),"",User_Specified_Refrigerant[[#This Row],[Pre annual refrigerant leakage %]])</f>
        <v/>
      </c>
      <c r="U60" s="229" t="str">
        <f>IF(ISBLANK(User_Specified_Refrigerant[[#This Row],[Pre t_EOL]]),"",User_Specified_Refrigerant[[#This Row],[Pre t_EOL]])</f>
        <v/>
      </c>
      <c r="V60" s="228" t="str">
        <f>IF(ISBLANK(User_Specified_Refrigerant[[#This Row],[Pre gross EOL refrigerant leakage %]]),"",User_Specified_Refrigerant[[#This Row],[Pre gross EOL refrigerant leakage %]])</f>
        <v/>
      </c>
    </row>
    <row r="61" spans="1:22" x14ac:dyDescent="0.25">
      <c r="A61" s="141">
        <f>ROW(User_Specified_Refrigerant[[#This Row],[Index]])-ROW(User_Specified_Refrigerant[[#Headers],[Index]])</f>
        <v>52</v>
      </c>
      <c r="B61" s="215" t="str">
        <f>IF(ISBLANK(DeemedDashboard[[#This Row],[Measure description]]),"",DeemedDashboard[[#This Row],[Measure description]])</f>
        <v/>
      </c>
      <c r="C61" t="b">
        <f>DeemedDashboard[[#This Row],[Msr device type]]=const_userspec</f>
        <v>0</v>
      </c>
      <c r="D61" s="222"/>
      <c r="E61" s="223"/>
      <c r="F61" s="224"/>
      <c r="G61" s="225"/>
      <c r="H61" s="164" t="b">
        <f>DeemedDashboard[[#This Row],[Std device type]]=const_userspec</f>
        <v>0</v>
      </c>
      <c r="I61" s="222"/>
      <c r="J61" s="223"/>
      <c r="K61" s="224"/>
      <c r="L61" s="225"/>
      <c r="M61" s="164" t="b">
        <f>DeemedDashboard[[#This Row],[Pre/Ext device type]]=const_userspec</f>
        <v>0</v>
      </c>
      <c r="N61" s="222"/>
      <c r="O61" s="223"/>
      <c r="P61" s="224"/>
      <c r="Q61" s="225"/>
      <c r="R61" s="164" t="b">
        <f>User_Specified_Refrigerant[[#This Row],[User-specified mode for Pre device?]]</f>
        <v>0</v>
      </c>
      <c r="S61" s="227" t="str">
        <f>IF(ISBLANK(User_Specified_Refrigerant[[#This Row],[Pre Refrigerant charge (lbs) per NormUnit]]),"",User_Specified_Refrigerant[[#This Row],[Pre Refrigerant charge (lbs) per NormUnit]])</f>
        <v/>
      </c>
      <c r="T61" s="228" t="str">
        <f>IF(ISBLANK(User_Specified_Refrigerant[[#This Row],[Pre annual refrigerant leakage %]]),"",User_Specified_Refrigerant[[#This Row],[Pre annual refrigerant leakage %]])</f>
        <v/>
      </c>
      <c r="U61" s="229" t="str">
        <f>IF(ISBLANK(User_Specified_Refrigerant[[#This Row],[Pre t_EOL]]),"",User_Specified_Refrigerant[[#This Row],[Pre t_EOL]])</f>
        <v/>
      </c>
      <c r="V61" s="228" t="str">
        <f>IF(ISBLANK(User_Specified_Refrigerant[[#This Row],[Pre gross EOL refrigerant leakage %]]),"",User_Specified_Refrigerant[[#This Row],[Pre gross EOL refrigerant leakage %]])</f>
        <v/>
      </c>
    </row>
    <row r="62" spans="1:22" x14ac:dyDescent="0.25">
      <c r="A62" s="141">
        <f>ROW(User_Specified_Refrigerant[[#This Row],[Index]])-ROW(User_Specified_Refrigerant[[#Headers],[Index]])</f>
        <v>53</v>
      </c>
      <c r="B62" s="215" t="str">
        <f>IF(ISBLANK(DeemedDashboard[[#This Row],[Measure description]]),"",DeemedDashboard[[#This Row],[Measure description]])</f>
        <v/>
      </c>
      <c r="C62" t="b">
        <f>DeemedDashboard[[#This Row],[Msr device type]]=const_userspec</f>
        <v>0</v>
      </c>
      <c r="D62" s="222"/>
      <c r="E62" s="223"/>
      <c r="F62" s="224"/>
      <c r="G62" s="225"/>
      <c r="H62" s="164" t="b">
        <f>DeemedDashboard[[#This Row],[Std device type]]=const_userspec</f>
        <v>0</v>
      </c>
      <c r="I62" s="222"/>
      <c r="J62" s="223"/>
      <c r="K62" s="224"/>
      <c r="L62" s="225"/>
      <c r="M62" s="164" t="b">
        <f>DeemedDashboard[[#This Row],[Pre/Ext device type]]=const_userspec</f>
        <v>0</v>
      </c>
      <c r="N62" s="222"/>
      <c r="O62" s="223"/>
      <c r="P62" s="224"/>
      <c r="Q62" s="225"/>
      <c r="R62" s="164" t="b">
        <f>User_Specified_Refrigerant[[#This Row],[User-specified mode for Pre device?]]</f>
        <v>0</v>
      </c>
      <c r="S62" s="227" t="str">
        <f>IF(ISBLANK(User_Specified_Refrigerant[[#This Row],[Pre Refrigerant charge (lbs) per NormUnit]]),"",User_Specified_Refrigerant[[#This Row],[Pre Refrigerant charge (lbs) per NormUnit]])</f>
        <v/>
      </c>
      <c r="T62" s="228" t="str">
        <f>IF(ISBLANK(User_Specified_Refrigerant[[#This Row],[Pre annual refrigerant leakage %]]),"",User_Specified_Refrigerant[[#This Row],[Pre annual refrigerant leakage %]])</f>
        <v/>
      </c>
      <c r="U62" s="229" t="str">
        <f>IF(ISBLANK(User_Specified_Refrigerant[[#This Row],[Pre t_EOL]]),"",User_Specified_Refrigerant[[#This Row],[Pre t_EOL]])</f>
        <v/>
      </c>
      <c r="V62" s="228" t="str">
        <f>IF(ISBLANK(User_Specified_Refrigerant[[#This Row],[Pre gross EOL refrigerant leakage %]]),"",User_Specified_Refrigerant[[#This Row],[Pre gross EOL refrigerant leakage %]])</f>
        <v/>
      </c>
    </row>
    <row r="63" spans="1:22" x14ac:dyDescent="0.25">
      <c r="A63" s="141">
        <f>ROW(User_Specified_Refrigerant[[#This Row],[Index]])-ROW(User_Specified_Refrigerant[[#Headers],[Index]])</f>
        <v>54</v>
      </c>
      <c r="B63" s="215" t="str">
        <f>IF(ISBLANK(DeemedDashboard[[#This Row],[Measure description]]),"",DeemedDashboard[[#This Row],[Measure description]])</f>
        <v/>
      </c>
      <c r="C63" t="b">
        <f>DeemedDashboard[[#This Row],[Msr device type]]=const_userspec</f>
        <v>0</v>
      </c>
      <c r="D63" s="222"/>
      <c r="E63" s="223"/>
      <c r="F63" s="224"/>
      <c r="G63" s="225"/>
      <c r="H63" s="164" t="b">
        <f>DeemedDashboard[[#This Row],[Std device type]]=const_userspec</f>
        <v>0</v>
      </c>
      <c r="I63" s="222"/>
      <c r="J63" s="223"/>
      <c r="K63" s="224"/>
      <c r="L63" s="225"/>
      <c r="M63" s="164" t="b">
        <f>DeemedDashboard[[#This Row],[Pre/Ext device type]]=const_userspec</f>
        <v>0</v>
      </c>
      <c r="N63" s="222"/>
      <c r="O63" s="223"/>
      <c r="P63" s="224"/>
      <c r="Q63" s="225"/>
      <c r="R63" s="164" t="b">
        <f>User_Specified_Refrigerant[[#This Row],[User-specified mode for Pre device?]]</f>
        <v>0</v>
      </c>
      <c r="S63" s="227" t="str">
        <f>IF(ISBLANK(User_Specified_Refrigerant[[#This Row],[Pre Refrigerant charge (lbs) per NormUnit]]),"",User_Specified_Refrigerant[[#This Row],[Pre Refrigerant charge (lbs) per NormUnit]])</f>
        <v/>
      </c>
      <c r="T63" s="228" t="str">
        <f>IF(ISBLANK(User_Specified_Refrigerant[[#This Row],[Pre annual refrigerant leakage %]]),"",User_Specified_Refrigerant[[#This Row],[Pre annual refrigerant leakage %]])</f>
        <v/>
      </c>
      <c r="U63" s="229" t="str">
        <f>IF(ISBLANK(User_Specified_Refrigerant[[#This Row],[Pre t_EOL]]),"",User_Specified_Refrigerant[[#This Row],[Pre t_EOL]])</f>
        <v/>
      </c>
      <c r="V63" s="228" t="str">
        <f>IF(ISBLANK(User_Specified_Refrigerant[[#This Row],[Pre gross EOL refrigerant leakage %]]),"",User_Specified_Refrigerant[[#This Row],[Pre gross EOL refrigerant leakage %]])</f>
        <v/>
      </c>
    </row>
    <row r="64" spans="1:22" x14ac:dyDescent="0.25">
      <c r="A64" s="141">
        <f>ROW(User_Specified_Refrigerant[[#This Row],[Index]])-ROW(User_Specified_Refrigerant[[#Headers],[Index]])</f>
        <v>55</v>
      </c>
      <c r="B64" s="215" t="str">
        <f>IF(ISBLANK(DeemedDashboard[[#This Row],[Measure description]]),"",DeemedDashboard[[#This Row],[Measure description]])</f>
        <v/>
      </c>
      <c r="C64" t="b">
        <f>DeemedDashboard[[#This Row],[Msr device type]]=const_userspec</f>
        <v>0</v>
      </c>
      <c r="D64" s="222"/>
      <c r="E64" s="223"/>
      <c r="F64" s="224"/>
      <c r="G64" s="225"/>
      <c r="H64" s="164" t="b">
        <f>DeemedDashboard[[#This Row],[Std device type]]=const_userspec</f>
        <v>0</v>
      </c>
      <c r="I64" s="222"/>
      <c r="J64" s="223"/>
      <c r="K64" s="224"/>
      <c r="L64" s="225"/>
      <c r="M64" s="164" t="b">
        <f>DeemedDashboard[[#This Row],[Pre/Ext device type]]=const_userspec</f>
        <v>0</v>
      </c>
      <c r="N64" s="222"/>
      <c r="O64" s="223"/>
      <c r="P64" s="224"/>
      <c r="Q64" s="225"/>
      <c r="R64" s="164" t="b">
        <f>User_Specified_Refrigerant[[#This Row],[User-specified mode for Pre device?]]</f>
        <v>0</v>
      </c>
      <c r="S64" s="227" t="str">
        <f>IF(ISBLANK(User_Specified_Refrigerant[[#This Row],[Pre Refrigerant charge (lbs) per NormUnit]]),"",User_Specified_Refrigerant[[#This Row],[Pre Refrigerant charge (lbs) per NormUnit]])</f>
        <v/>
      </c>
      <c r="T64" s="228" t="str">
        <f>IF(ISBLANK(User_Specified_Refrigerant[[#This Row],[Pre annual refrigerant leakage %]]),"",User_Specified_Refrigerant[[#This Row],[Pre annual refrigerant leakage %]])</f>
        <v/>
      </c>
      <c r="U64" s="229" t="str">
        <f>IF(ISBLANK(User_Specified_Refrigerant[[#This Row],[Pre t_EOL]]),"",User_Specified_Refrigerant[[#This Row],[Pre t_EOL]])</f>
        <v/>
      </c>
      <c r="V64" s="228" t="str">
        <f>IF(ISBLANK(User_Specified_Refrigerant[[#This Row],[Pre gross EOL refrigerant leakage %]]),"",User_Specified_Refrigerant[[#This Row],[Pre gross EOL refrigerant leakage %]])</f>
        <v/>
      </c>
    </row>
    <row r="65" spans="1:22" x14ac:dyDescent="0.25">
      <c r="A65" s="141">
        <f>ROW(User_Specified_Refrigerant[[#This Row],[Index]])-ROW(User_Specified_Refrigerant[[#Headers],[Index]])</f>
        <v>56</v>
      </c>
      <c r="B65" s="215" t="str">
        <f>IF(ISBLANK(DeemedDashboard[[#This Row],[Measure description]]),"",DeemedDashboard[[#This Row],[Measure description]])</f>
        <v/>
      </c>
      <c r="C65" t="b">
        <f>DeemedDashboard[[#This Row],[Msr device type]]=const_userspec</f>
        <v>0</v>
      </c>
      <c r="D65" s="222"/>
      <c r="E65" s="223"/>
      <c r="F65" s="224"/>
      <c r="G65" s="225"/>
      <c r="H65" s="164" t="b">
        <f>DeemedDashboard[[#This Row],[Std device type]]=const_userspec</f>
        <v>0</v>
      </c>
      <c r="I65" s="222"/>
      <c r="J65" s="223"/>
      <c r="K65" s="224"/>
      <c r="L65" s="225"/>
      <c r="M65" s="164" t="b">
        <f>DeemedDashboard[[#This Row],[Pre/Ext device type]]=const_userspec</f>
        <v>0</v>
      </c>
      <c r="N65" s="222"/>
      <c r="O65" s="223"/>
      <c r="P65" s="224"/>
      <c r="Q65" s="225"/>
      <c r="R65" s="164" t="b">
        <f>User_Specified_Refrigerant[[#This Row],[User-specified mode for Pre device?]]</f>
        <v>0</v>
      </c>
      <c r="S65" s="227" t="str">
        <f>IF(ISBLANK(User_Specified_Refrigerant[[#This Row],[Pre Refrigerant charge (lbs) per NormUnit]]),"",User_Specified_Refrigerant[[#This Row],[Pre Refrigerant charge (lbs) per NormUnit]])</f>
        <v/>
      </c>
      <c r="T65" s="228" t="str">
        <f>IF(ISBLANK(User_Specified_Refrigerant[[#This Row],[Pre annual refrigerant leakage %]]),"",User_Specified_Refrigerant[[#This Row],[Pre annual refrigerant leakage %]])</f>
        <v/>
      </c>
      <c r="U65" s="229" t="str">
        <f>IF(ISBLANK(User_Specified_Refrigerant[[#This Row],[Pre t_EOL]]),"",User_Specified_Refrigerant[[#This Row],[Pre t_EOL]])</f>
        <v/>
      </c>
      <c r="V65" s="228" t="str">
        <f>IF(ISBLANK(User_Specified_Refrigerant[[#This Row],[Pre gross EOL refrigerant leakage %]]),"",User_Specified_Refrigerant[[#This Row],[Pre gross EOL refrigerant leakage %]])</f>
        <v/>
      </c>
    </row>
    <row r="66" spans="1:22" x14ac:dyDescent="0.25">
      <c r="A66" s="141">
        <f>ROW(User_Specified_Refrigerant[[#This Row],[Index]])-ROW(User_Specified_Refrigerant[[#Headers],[Index]])</f>
        <v>57</v>
      </c>
      <c r="B66" s="215" t="str">
        <f>IF(ISBLANK(DeemedDashboard[[#This Row],[Measure description]]),"",DeemedDashboard[[#This Row],[Measure description]])</f>
        <v/>
      </c>
      <c r="C66" t="b">
        <f>DeemedDashboard[[#This Row],[Msr device type]]=const_userspec</f>
        <v>0</v>
      </c>
      <c r="D66" s="222"/>
      <c r="E66" s="223"/>
      <c r="F66" s="224"/>
      <c r="G66" s="225"/>
      <c r="H66" s="164" t="b">
        <f>DeemedDashboard[[#This Row],[Std device type]]=const_userspec</f>
        <v>0</v>
      </c>
      <c r="I66" s="222"/>
      <c r="J66" s="223"/>
      <c r="K66" s="224"/>
      <c r="L66" s="225"/>
      <c r="M66" s="164" t="b">
        <f>DeemedDashboard[[#This Row],[Pre/Ext device type]]=const_userspec</f>
        <v>0</v>
      </c>
      <c r="N66" s="222"/>
      <c r="O66" s="223"/>
      <c r="P66" s="224"/>
      <c r="Q66" s="225"/>
      <c r="R66" s="164" t="b">
        <f>User_Specified_Refrigerant[[#This Row],[User-specified mode for Pre device?]]</f>
        <v>0</v>
      </c>
      <c r="S66" s="227" t="str">
        <f>IF(ISBLANK(User_Specified_Refrigerant[[#This Row],[Pre Refrigerant charge (lbs) per NormUnit]]),"",User_Specified_Refrigerant[[#This Row],[Pre Refrigerant charge (lbs) per NormUnit]])</f>
        <v/>
      </c>
      <c r="T66" s="228" t="str">
        <f>IF(ISBLANK(User_Specified_Refrigerant[[#This Row],[Pre annual refrigerant leakage %]]),"",User_Specified_Refrigerant[[#This Row],[Pre annual refrigerant leakage %]])</f>
        <v/>
      </c>
      <c r="U66" s="229" t="str">
        <f>IF(ISBLANK(User_Specified_Refrigerant[[#This Row],[Pre t_EOL]]),"",User_Specified_Refrigerant[[#This Row],[Pre t_EOL]])</f>
        <v/>
      </c>
      <c r="V66" s="228" t="str">
        <f>IF(ISBLANK(User_Specified_Refrigerant[[#This Row],[Pre gross EOL refrigerant leakage %]]),"",User_Specified_Refrigerant[[#This Row],[Pre gross EOL refrigerant leakage %]])</f>
        <v/>
      </c>
    </row>
    <row r="67" spans="1:22" x14ac:dyDescent="0.25">
      <c r="A67" s="141">
        <f>ROW(User_Specified_Refrigerant[[#This Row],[Index]])-ROW(User_Specified_Refrigerant[[#Headers],[Index]])</f>
        <v>58</v>
      </c>
      <c r="B67" s="215" t="str">
        <f>IF(ISBLANK(DeemedDashboard[[#This Row],[Measure description]]),"",DeemedDashboard[[#This Row],[Measure description]])</f>
        <v/>
      </c>
      <c r="C67" t="b">
        <f>DeemedDashboard[[#This Row],[Msr device type]]=const_userspec</f>
        <v>0</v>
      </c>
      <c r="D67" s="222"/>
      <c r="E67" s="223"/>
      <c r="F67" s="224"/>
      <c r="G67" s="225"/>
      <c r="H67" s="164" t="b">
        <f>DeemedDashboard[[#This Row],[Std device type]]=const_userspec</f>
        <v>0</v>
      </c>
      <c r="I67" s="222"/>
      <c r="J67" s="223"/>
      <c r="K67" s="224"/>
      <c r="L67" s="225"/>
      <c r="M67" s="164" t="b">
        <f>DeemedDashboard[[#This Row],[Pre/Ext device type]]=const_userspec</f>
        <v>0</v>
      </c>
      <c r="N67" s="222"/>
      <c r="O67" s="223"/>
      <c r="P67" s="224"/>
      <c r="Q67" s="225"/>
      <c r="R67" s="164" t="b">
        <f>User_Specified_Refrigerant[[#This Row],[User-specified mode for Pre device?]]</f>
        <v>0</v>
      </c>
      <c r="S67" s="227" t="str">
        <f>IF(ISBLANK(User_Specified_Refrigerant[[#This Row],[Pre Refrigerant charge (lbs) per NormUnit]]),"",User_Specified_Refrigerant[[#This Row],[Pre Refrigerant charge (lbs) per NormUnit]])</f>
        <v/>
      </c>
      <c r="T67" s="228" t="str">
        <f>IF(ISBLANK(User_Specified_Refrigerant[[#This Row],[Pre annual refrigerant leakage %]]),"",User_Specified_Refrigerant[[#This Row],[Pre annual refrigerant leakage %]])</f>
        <v/>
      </c>
      <c r="U67" s="229" t="str">
        <f>IF(ISBLANK(User_Specified_Refrigerant[[#This Row],[Pre t_EOL]]),"",User_Specified_Refrigerant[[#This Row],[Pre t_EOL]])</f>
        <v/>
      </c>
      <c r="V67" s="228" t="str">
        <f>IF(ISBLANK(User_Specified_Refrigerant[[#This Row],[Pre gross EOL refrigerant leakage %]]),"",User_Specified_Refrigerant[[#This Row],[Pre gross EOL refrigerant leakage %]])</f>
        <v/>
      </c>
    </row>
    <row r="68" spans="1:22" x14ac:dyDescent="0.25">
      <c r="A68" s="141">
        <f>ROW(User_Specified_Refrigerant[[#This Row],[Index]])-ROW(User_Specified_Refrigerant[[#Headers],[Index]])</f>
        <v>59</v>
      </c>
      <c r="B68" s="215" t="str">
        <f>IF(ISBLANK(DeemedDashboard[[#This Row],[Measure description]]),"",DeemedDashboard[[#This Row],[Measure description]])</f>
        <v/>
      </c>
      <c r="C68" t="b">
        <f>DeemedDashboard[[#This Row],[Msr device type]]=const_userspec</f>
        <v>0</v>
      </c>
      <c r="D68" s="222"/>
      <c r="E68" s="223"/>
      <c r="F68" s="224"/>
      <c r="G68" s="225"/>
      <c r="H68" s="164" t="b">
        <f>DeemedDashboard[[#This Row],[Std device type]]=const_userspec</f>
        <v>0</v>
      </c>
      <c r="I68" s="222"/>
      <c r="J68" s="223"/>
      <c r="K68" s="224"/>
      <c r="L68" s="225"/>
      <c r="M68" s="164" t="b">
        <f>DeemedDashboard[[#This Row],[Pre/Ext device type]]=const_userspec</f>
        <v>0</v>
      </c>
      <c r="N68" s="222"/>
      <c r="O68" s="223"/>
      <c r="P68" s="224"/>
      <c r="Q68" s="225"/>
      <c r="R68" s="164" t="b">
        <f>User_Specified_Refrigerant[[#This Row],[User-specified mode for Pre device?]]</f>
        <v>0</v>
      </c>
      <c r="S68" s="227" t="str">
        <f>IF(ISBLANK(User_Specified_Refrigerant[[#This Row],[Pre Refrigerant charge (lbs) per NormUnit]]),"",User_Specified_Refrigerant[[#This Row],[Pre Refrigerant charge (lbs) per NormUnit]])</f>
        <v/>
      </c>
      <c r="T68" s="228" t="str">
        <f>IF(ISBLANK(User_Specified_Refrigerant[[#This Row],[Pre annual refrigerant leakage %]]),"",User_Specified_Refrigerant[[#This Row],[Pre annual refrigerant leakage %]])</f>
        <v/>
      </c>
      <c r="U68" s="229" t="str">
        <f>IF(ISBLANK(User_Specified_Refrigerant[[#This Row],[Pre t_EOL]]),"",User_Specified_Refrigerant[[#This Row],[Pre t_EOL]])</f>
        <v/>
      </c>
      <c r="V68" s="228" t="str">
        <f>IF(ISBLANK(User_Specified_Refrigerant[[#This Row],[Pre gross EOL refrigerant leakage %]]),"",User_Specified_Refrigerant[[#This Row],[Pre gross EOL refrigerant leakage %]])</f>
        <v/>
      </c>
    </row>
    <row r="69" spans="1:22" x14ac:dyDescent="0.25">
      <c r="A69" s="141">
        <f>ROW(User_Specified_Refrigerant[[#This Row],[Index]])-ROW(User_Specified_Refrigerant[[#Headers],[Index]])</f>
        <v>60</v>
      </c>
      <c r="B69" s="215" t="str">
        <f>IF(ISBLANK(DeemedDashboard[[#This Row],[Measure description]]),"",DeemedDashboard[[#This Row],[Measure description]])</f>
        <v/>
      </c>
      <c r="C69" t="b">
        <f>DeemedDashboard[[#This Row],[Msr device type]]=const_userspec</f>
        <v>0</v>
      </c>
      <c r="D69" s="222"/>
      <c r="E69" s="223"/>
      <c r="F69" s="224"/>
      <c r="G69" s="225"/>
      <c r="H69" s="164" t="b">
        <f>DeemedDashboard[[#This Row],[Std device type]]=const_userspec</f>
        <v>0</v>
      </c>
      <c r="I69" s="222"/>
      <c r="J69" s="223"/>
      <c r="K69" s="224"/>
      <c r="L69" s="225"/>
      <c r="M69" s="164" t="b">
        <f>DeemedDashboard[[#This Row],[Pre/Ext device type]]=const_userspec</f>
        <v>0</v>
      </c>
      <c r="N69" s="222"/>
      <c r="O69" s="223"/>
      <c r="P69" s="224"/>
      <c r="Q69" s="225"/>
      <c r="R69" s="164" t="b">
        <f>User_Specified_Refrigerant[[#This Row],[User-specified mode for Pre device?]]</f>
        <v>0</v>
      </c>
      <c r="S69" s="227" t="str">
        <f>IF(ISBLANK(User_Specified_Refrigerant[[#This Row],[Pre Refrigerant charge (lbs) per NormUnit]]),"",User_Specified_Refrigerant[[#This Row],[Pre Refrigerant charge (lbs) per NormUnit]])</f>
        <v/>
      </c>
      <c r="T69" s="228" t="str">
        <f>IF(ISBLANK(User_Specified_Refrigerant[[#This Row],[Pre annual refrigerant leakage %]]),"",User_Specified_Refrigerant[[#This Row],[Pre annual refrigerant leakage %]])</f>
        <v/>
      </c>
      <c r="U69" s="229" t="str">
        <f>IF(ISBLANK(User_Specified_Refrigerant[[#This Row],[Pre t_EOL]]),"",User_Specified_Refrigerant[[#This Row],[Pre t_EOL]])</f>
        <v/>
      </c>
      <c r="V69" s="228" t="str">
        <f>IF(ISBLANK(User_Specified_Refrigerant[[#This Row],[Pre gross EOL refrigerant leakage %]]),"",User_Specified_Refrigerant[[#This Row],[Pre gross EOL refrigerant leakage %]])</f>
        <v/>
      </c>
    </row>
    <row r="70" spans="1:22" x14ac:dyDescent="0.25">
      <c r="A70" s="141">
        <f>ROW(User_Specified_Refrigerant[[#This Row],[Index]])-ROW(User_Specified_Refrigerant[[#Headers],[Index]])</f>
        <v>61</v>
      </c>
      <c r="B70" s="215" t="str">
        <f>IF(ISBLANK(DeemedDashboard[[#This Row],[Measure description]]),"",DeemedDashboard[[#This Row],[Measure description]])</f>
        <v/>
      </c>
      <c r="C70" t="b">
        <f>DeemedDashboard[[#This Row],[Msr device type]]=const_userspec</f>
        <v>0</v>
      </c>
      <c r="D70" s="222"/>
      <c r="E70" s="223"/>
      <c r="F70" s="224"/>
      <c r="G70" s="225"/>
      <c r="H70" s="164" t="b">
        <f>DeemedDashboard[[#This Row],[Std device type]]=const_userspec</f>
        <v>0</v>
      </c>
      <c r="I70" s="222"/>
      <c r="J70" s="223"/>
      <c r="K70" s="224"/>
      <c r="L70" s="225"/>
      <c r="M70" s="164" t="b">
        <f>DeemedDashboard[[#This Row],[Pre/Ext device type]]=const_userspec</f>
        <v>0</v>
      </c>
      <c r="N70" s="222"/>
      <c r="O70" s="223"/>
      <c r="P70" s="224"/>
      <c r="Q70" s="225"/>
      <c r="R70" s="164" t="b">
        <f>User_Specified_Refrigerant[[#This Row],[User-specified mode for Pre device?]]</f>
        <v>0</v>
      </c>
      <c r="S70" s="227" t="str">
        <f>IF(ISBLANK(User_Specified_Refrigerant[[#This Row],[Pre Refrigerant charge (lbs) per NormUnit]]),"",User_Specified_Refrigerant[[#This Row],[Pre Refrigerant charge (lbs) per NormUnit]])</f>
        <v/>
      </c>
      <c r="T70" s="228" t="str">
        <f>IF(ISBLANK(User_Specified_Refrigerant[[#This Row],[Pre annual refrigerant leakage %]]),"",User_Specified_Refrigerant[[#This Row],[Pre annual refrigerant leakage %]])</f>
        <v/>
      </c>
      <c r="U70" s="229" t="str">
        <f>IF(ISBLANK(User_Specified_Refrigerant[[#This Row],[Pre t_EOL]]),"",User_Specified_Refrigerant[[#This Row],[Pre t_EOL]])</f>
        <v/>
      </c>
      <c r="V70" s="228" t="str">
        <f>IF(ISBLANK(User_Specified_Refrigerant[[#This Row],[Pre gross EOL refrigerant leakage %]]),"",User_Specified_Refrigerant[[#This Row],[Pre gross EOL refrigerant leakage %]])</f>
        <v/>
      </c>
    </row>
    <row r="71" spans="1:22" x14ac:dyDescent="0.25">
      <c r="A71" s="141">
        <f>ROW(User_Specified_Refrigerant[[#This Row],[Index]])-ROW(User_Specified_Refrigerant[[#Headers],[Index]])</f>
        <v>62</v>
      </c>
      <c r="B71" s="215" t="str">
        <f>IF(ISBLANK(DeemedDashboard[[#This Row],[Measure description]]),"",DeemedDashboard[[#This Row],[Measure description]])</f>
        <v/>
      </c>
      <c r="C71" t="b">
        <f>DeemedDashboard[[#This Row],[Msr device type]]=const_userspec</f>
        <v>0</v>
      </c>
      <c r="D71" s="222"/>
      <c r="E71" s="223"/>
      <c r="F71" s="224"/>
      <c r="G71" s="225"/>
      <c r="H71" s="164" t="b">
        <f>DeemedDashboard[[#This Row],[Std device type]]=const_userspec</f>
        <v>0</v>
      </c>
      <c r="I71" s="222"/>
      <c r="J71" s="223"/>
      <c r="K71" s="224"/>
      <c r="L71" s="225"/>
      <c r="M71" s="164" t="b">
        <f>DeemedDashboard[[#This Row],[Pre/Ext device type]]=const_userspec</f>
        <v>0</v>
      </c>
      <c r="N71" s="222"/>
      <c r="O71" s="223"/>
      <c r="P71" s="224"/>
      <c r="Q71" s="225"/>
      <c r="R71" s="164" t="b">
        <f>User_Specified_Refrigerant[[#This Row],[User-specified mode for Pre device?]]</f>
        <v>0</v>
      </c>
      <c r="S71" s="227" t="str">
        <f>IF(ISBLANK(User_Specified_Refrigerant[[#This Row],[Pre Refrigerant charge (lbs) per NormUnit]]),"",User_Specified_Refrigerant[[#This Row],[Pre Refrigerant charge (lbs) per NormUnit]])</f>
        <v/>
      </c>
      <c r="T71" s="228" t="str">
        <f>IF(ISBLANK(User_Specified_Refrigerant[[#This Row],[Pre annual refrigerant leakage %]]),"",User_Specified_Refrigerant[[#This Row],[Pre annual refrigerant leakage %]])</f>
        <v/>
      </c>
      <c r="U71" s="229" t="str">
        <f>IF(ISBLANK(User_Specified_Refrigerant[[#This Row],[Pre t_EOL]]),"",User_Specified_Refrigerant[[#This Row],[Pre t_EOL]])</f>
        <v/>
      </c>
      <c r="V71" s="228" t="str">
        <f>IF(ISBLANK(User_Specified_Refrigerant[[#This Row],[Pre gross EOL refrigerant leakage %]]),"",User_Specified_Refrigerant[[#This Row],[Pre gross EOL refrigerant leakage %]])</f>
        <v/>
      </c>
    </row>
    <row r="72" spans="1:22" x14ac:dyDescent="0.25">
      <c r="A72" s="141">
        <f>ROW(User_Specified_Refrigerant[[#This Row],[Index]])-ROW(User_Specified_Refrigerant[[#Headers],[Index]])</f>
        <v>63</v>
      </c>
      <c r="B72" s="215" t="str">
        <f>IF(ISBLANK(DeemedDashboard[[#This Row],[Measure description]]),"",DeemedDashboard[[#This Row],[Measure description]])</f>
        <v/>
      </c>
      <c r="C72" t="b">
        <f>DeemedDashboard[[#This Row],[Msr device type]]=const_userspec</f>
        <v>0</v>
      </c>
      <c r="D72" s="222"/>
      <c r="E72" s="223"/>
      <c r="F72" s="224"/>
      <c r="G72" s="225"/>
      <c r="H72" s="164" t="b">
        <f>DeemedDashboard[[#This Row],[Std device type]]=const_userspec</f>
        <v>0</v>
      </c>
      <c r="I72" s="222"/>
      <c r="J72" s="223"/>
      <c r="K72" s="224"/>
      <c r="L72" s="225"/>
      <c r="M72" s="164" t="b">
        <f>DeemedDashboard[[#This Row],[Pre/Ext device type]]=const_userspec</f>
        <v>0</v>
      </c>
      <c r="N72" s="222"/>
      <c r="O72" s="223"/>
      <c r="P72" s="224"/>
      <c r="Q72" s="225"/>
      <c r="R72" s="164" t="b">
        <f>User_Specified_Refrigerant[[#This Row],[User-specified mode for Pre device?]]</f>
        <v>0</v>
      </c>
      <c r="S72" s="227" t="str">
        <f>IF(ISBLANK(User_Specified_Refrigerant[[#This Row],[Pre Refrigerant charge (lbs) per NormUnit]]),"",User_Specified_Refrigerant[[#This Row],[Pre Refrigerant charge (lbs) per NormUnit]])</f>
        <v/>
      </c>
      <c r="T72" s="228" t="str">
        <f>IF(ISBLANK(User_Specified_Refrigerant[[#This Row],[Pre annual refrigerant leakage %]]),"",User_Specified_Refrigerant[[#This Row],[Pre annual refrigerant leakage %]])</f>
        <v/>
      </c>
      <c r="U72" s="229" t="str">
        <f>IF(ISBLANK(User_Specified_Refrigerant[[#This Row],[Pre t_EOL]]),"",User_Specified_Refrigerant[[#This Row],[Pre t_EOL]])</f>
        <v/>
      </c>
      <c r="V72" s="228" t="str">
        <f>IF(ISBLANK(User_Specified_Refrigerant[[#This Row],[Pre gross EOL refrigerant leakage %]]),"",User_Specified_Refrigerant[[#This Row],[Pre gross EOL refrigerant leakage %]])</f>
        <v/>
      </c>
    </row>
    <row r="73" spans="1:22" x14ac:dyDescent="0.25">
      <c r="A73" s="141">
        <f>ROW(User_Specified_Refrigerant[[#This Row],[Index]])-ROW(User_Specified_Refrigerant[[#Headers],[Index]])</f>
        <v>64</v>
      </c>
      <c r="B73" s="215" t="str">
        <f>IF(ISBLANK(DeemedDashboard[[#This Row],[Measure description]]),"",DeemedDashboard[[#This Row],[Measure description]])</f>
        <v/>
      </c>
      <c r="C73" t="b">
        <f>DeemedDashboard[[#This Row],[Msr device type]]=const_userspec</f>
        <v>0</v>
      </c>
      <c r="D73" s="222"/>
      <c r="E73" s="223"/>
      <c r="F73" s="224"/>
      <c r="G73" s="225"/>
      <c r="H73" s="164" t="b">
        <f>DeemedDashboard[[#This Row],[Std device type]]=const_userspec</f>
        <v>0</v>
      </c>
      <c r="I73" s="222"/>
      <c r="J73" s="223"/>
      <c r="K73" s="224"/>
      <c r="L73" s="225"/>
      <c r="M73" s="164" t="b">
        <f>DeemedDashboard[[#This Row],[Pre/Ext device type]]=const_userspec</f>
        <v>0</v>
      </c>
      <c r="N73" s="222"/>
      <c r="O73" s="223"/>
      <c r="P73" s="224"/>
      <c r="Q73" s="225"/>
      <c r="R73" s="164" t="b">
        <f>User_Specified_Refrigerant[[#This Row],[User-specified mode for Pre device?]]</f>
        <v>0</v>
      </c>
      <c r="S73" s="227" t="str">
        <f>IF(ISBLANK(User_Specified_Refrigerant[[#This Row],[Pre Refrigerant charge (lbs) per NormUnit]]),"",User_Specified_Refrigerant[[#This Row],[Pre Refrigerant charge (lbs) per NormUnit]])</f>
        <v/>
      </c>
      <c r="T73" s="228" t="str">
        <f>IF(ISBLANK(User_Specified_Refrigerant[[#This Row],[Pre annual refrigerant leakage %]]),"",User_Specified_Refrigerant[[#This Row],[Pre annual refrigerant leakage %]])</f>
        <v/>
      </c>
      <c r="U73" s="229" t="str">
        <f>IF(ISBLANK(User_Specified_Refrigerant[[#This Row],[Pre t_EOL]]),"",User_Specified_Refrigerant[[#This Row],[Pre t_EOL]])</f>
        <v/>
      </c>
      <c r="V73" s="228" t="str">
        <f>IF(ISBLANK(User_Specified_Refrigerant[[#This Row],[Pre gross EOL refrigerant leakage %]]),"",User_Specified_Refrigerant[[#This Row],[Pre gross EOL refrigerant leakage %]])</f>
        <v/>
      </c>
    </row>
    <row r="74" spans="1:22" x14ac:dyDescent="0.25">
      <c r="A74" s="141">
        <f>ROW(User_Specified_Refrigerant[[#This Row],[Index]])-ROW(User_Specified_Refrigerant[[#Headers],[Index]])</f>
        <v>65</v>
      </c>
      <c r="B74" s="215" t="str">
        <f>IF(ISBLANK(DeemedDashboard[[#This Row],[Measure description]]),"",DeemedDashboard[[#This Row],[Measure description]])</f>
        <v/>
      </c>
      <c r="C74" t="b">
        <f>DeemedDashboard[[#This Row],[Msr device type]]=const_userspec</f>
        <v>0</v>
      </c>
      <c r="D74" s="222"/>
      <c r="E74" s="223"/>
      <c r="F74" s="224"/>
      <c r="G74" s="225"/>
      <c r="H74" s="164" t="b">
        <f>DeemedDashboard[[#This Row],[Std device type]]=const_userspec</f>
        <v>0</v>
      </c>
      <c r="I74" s="222"/>
      <c r="J74" s="223"/>
      <c r="K74" s="224"/>
      <c r="L74" s="225"/>
      <c r="M74" s="164" t="b">
        <f>DeemedDashboard[[#This Row],[Pre/Ext device type]]=const_userspec</f>
        <v>0</v>
      </c>
      <c r="N74" s="222"/>
      <c r="O74" s="223"/>
      <c r="P74" s="224"/>
      <c r="Q74" s="225"/>
      <c r="R74" s="164" t="b">
        <f>User_Specified_Refrigerant[[#This Row],[User-specified mode for Pre device?]]</f>
        <v>0</v>
      </c>
      <c r="S74" s="227" t="str">
        <f>IF(ISBLANK(User_Specified_Refrigerant[[#This Row],[Pre Refrigerant charge (lbs) per NormUnit]]),"",User_Specified_Refrigerant[[#This Row],[Pre Refrigerant charge (lbs) per NormUnit]])</f>
        <v/>
      </c>
      <c r="T74" s="228" t="str">
        <f>IF(ISBLANK(User_Specified_Refrigerant[[#This Row],[Pre annual refrigerant leakage %]]),"",User_Specified_Refrigerant[[#This Row],[Pre annual refrigerant leakage %]])</f>
        <v/>
      </c>
      <c r="U74" s="229" t="str">
        <f>IF(ISBLANK(User_Specified_Refrigerant[[#This Row],[Pre t_EOL]]),"",User_Specified_Refrigerant[[#This Row],[Pre t_EOL]])</f>
        <v/>
      </c>
      <c r="V74" s="228" t="str">
        <f>IF(ISBLANK(User_Specified_Refrigerant[[#This Row],[Pre gross EOL refrigerant leakage %]]),"",User_Specified_Refrigerant[[#This Row],[Pre gross EOL refrigerant leakage %]])</f>
        <v/>
      </c>
    </row>
    <row r="75" spans="1:22" x14ac:dyDescent="0.25">
      <c r="A75" s="141">
        <f>ROW(User_Specified_Refrigerant[[#This Row],[Index]])-ROW(User_Specified_Refrigerant[[#Headers],[Index]])</f>
        <v>66</v>
      </c>
      <c r="B75" s="215" t="str">
        <f>IF(ISBLANK(DeemedDashboard[[#This Row],[Measure description]]),"",DeemedDashboard[[#This Row],[Measure description]])</f>
        <v/>
      </c>
      <c r="C75" t="b">
        <f>DeemedDashboard[[#This Row],[Msr device type]]=const_userspec</f>
        <v>0</v>
      </c>
      <c r="D75" s="222"/>
      <c r="E75" s="223"/>
      <c r="F75" s="224"/>
      <c r="G75" s="225"/>
      <c r="H75" s="164" t="b">
        <f>DeemedDashboard[[#This Row],[Std device type]]=const_userspec</f>
        <v>0</v>
      </c>
      <c r="I75" s="222"/>
      <c r="J75" s="223"/>
      <c r="K75" s="224"/>
      <c r="L75" s="225"/>
      <c r="M75" s="164" t="b">
        <f>DeemedDashboard[[#This Row],[Pre/Ext device type]]=const_userspec</f>
        <v>0</v>
      </c>
      <c r="N75" s="222"/>
      <c r="O75" s="223"/>
      <c r="P75" s="224"/>
      <c r="Q75" s="225"/>
      <c r="R75" s="164" t="b">
        <f>User_Specified_Refrigerant[[#This Row],[User-specified mode for Pre device?]]</f>
        <v>0</v>
      </c>
      <c r="S75" s="227" t="str">
        <f>IF(ISBLANK(User_Specified_Refrigerant[[#This Row],[Pre Refrigerant charge (lbs) per NormUnit]]),"",User_Specified_Refrigerant[[#This Row],[Pre Refrigerant charge (lbs) per NormUnit]])</f>
        <v/>
      </c>
      <c r="T75" s="228" t="str">
        <f>IF(ISBLANK(User_Specified_Refrigerant[[#This Row],[Pre annual refrigerant leakage %]]),"",User_Specified_Refrigerant[[#This Row],[Pre annual refrigerant leakage %]])</f>
        <v/>
      </c>
      <c r="U75" s="229" t="str">
        <f>IF(ISBLANK(User_Specified_Refrigerant[[#This Row],[Pre t_EOL]]),"",User_Specified_Refrigerant[[#This Row],[Pre t_EOL]])</f>
        <v/>
      </c>
      <c r="V75" s="228" t="str">
        <f>IF(ISBLANK(User_Specified_Refrigerant[[#This Row],[Pre gross EOL refrigerant leakage %]]),"",User_Specified_Refrigerant[[#This Row],[Pre gross EOL refrigerant leakage %]])</f>
        <v/>
      </c>
    </row>
    <row r="76" spans="1:22" x14ac:dyDescent="0.25">
      <c r="A76" s="141">
        <f>ROW(User_Specified_Refrigerant[[#This Row],[Index]])-ROW(User_Specified_Refrigerant[[#Headers],[Index]])</f>
        <v>67</v>
      </c>
      <c r="B76" s="215" t="str">
        <f>IF(ISBLANK(DeemedDashboard[[#This Row],[Measure description]]),"",DeemedDashboard[[#This Row],[Measure description]])</f>
        <v/>
      </c>
      <c r="C76" t="b">
        <f>DeemedDashboard[[#This Row],[Msr device type]]=const_userspec</f>
        <v>0</v>
      </c>
      <c r="D76" s="222"/>
      <c r="E76" s="223"/>
      <c r="F76" s="224"/>
      <c r="G76" s="225"/>
      <c r="H76" s="164" t="b">
        <f>DeemedDashboard[[#This Row],[Std device type]]=const_userspec</f>
        <v>0</v>
      </c>
      <c r="I76" s="222"/>
      <c r="J76" s="223"/>
      <c r="K76" s="224"/>
      <c r="L76" s="225"/>
      <c r="M76" s="164" t="b">
        <f>DeemedDashboard[[#This Row],[Pre/Ext device type]]=const_userspec</f>
        <v>0</v>
      </c>
      <c r="N76" s="222"/>
      <c r="O76" s="223"/>
      <c r="P76" s="224"/>
      <c r="Q76" s="225"/>
      <c r="R76" s="164" t="b">
        <f>User_Specified_Refrigerant[[#This Row],[User-specified mode for Pre device?]]</f>
        <v>0</v>
      </c>
      <c r="S76" s="227" t="str">
        <f>IF(ISBLANK(User_Specified_Refrigerant[[#This Row],[Pre Refrigerant charge (lbs) per NormUnit]]),"",User_Specified_Refrigerant[[#This Row],[Pre Refrigerant charge (lbs) per NormUnit]])</f>
        <v/>
      </c>
      <c r="T76" s="228" t="str">
        <f>IF(ISBLANK(User_Specified_Refrigerant[[#This Row],[Pre annual refrigerant leakage %]]),"",User_Specified_Refrigerant[[#This Row],[Pre annual refrigerant leakage %]])</f>
        <v/>
      </c>
      <c r="U76" s="229" t="str">
        <f>IF(ISBLANK(User_Specified_Refrigerant[[#This Row],[Pre t_EOL]]),"",User_Specified_Refrigerant[[#This Row],[Pre t_EOL]])</f>
        <v/>
      </c>
      <c r="V76" s="228" t="str">
        <f>IF(ISBLANK(User_Specified_Refrigerant[[#This Row],[Pre gross EOL refrigerant leakage %]]),"",User_Specified_Refrigerant[[#This Row],[Pre gross EOL refrigerant leakage %]])</f>
        <v/>
      </c>
    </row>
    <row r="77" spans="1:22" x14ac:dyDescent="0.25">
      <c r="A77" s="141">
        <f>ROW(User_Specified_Refrigerant[[#This Row],[Index]])-ROW(User_Specified_Refrigerant[[#Headers],[Index]])</f>
        <v>68</v>
      </c>
      <c r="B77" s="215" t="str">
        <f>IF(ISBLANK(DeemedDashboard[[#This Row],[Measure description]]),"",DeemedDashboard[[#This Row],[Measure description]])</f>
        <v/>
      </c>
      <c r="C77" t="b">
        <f>DeemedDashboard[[#This Row],[Msr device type]]=const_userspec</f>
        <v>0</v>
      </c>
      <c r="D77" s="222"/>
      <c r="E77" s="223"/>
      <c r="F77" s="224"/>
      <c r="G77" s="225"/>
      <c r="H77" s="164" t="b">
        <f>DeemedDashboard[[#This Row],[Std device type]]=const_userspec</f>
        <v>0</v>
      </c>
      <c r="I77" s="222"/>
      <c r="J77" s="223"/>
      <c r="K77" s="224"/>
      <c r="L77" s="225"/>
      <c r="M77" s="164" t="b">
        <f>DeemedDashboard[[#This Row],[Pre/Ext device type]]=const_userspec</f>
        <v>0</v>
      </c>
      <c r="N77" s="222"/>
      <c r="O77" s="223"/>
      <c r="P77" s="224"/>
      <c r="Q77" s="225"/>
      <c r="R77" s="164" t="b">
        <f>User_Specified_Refrigerant[[#This Row],[User-specified mode for Pre device?]]</f>
        <v>0</v>
      </c>
      <c r="S77" s="227" t="str">
        <f>IF(ISBLANK(User_Specified_Refrigerant[[#This Row],[Pre Refrigerant charge (lbs) per NormUnit]]),"",User_Specified_Refrigerant[[#This Row],[Pre Refrigerant charge (lbs) per NormUnit]])</f>
        <v/>
      </c>
      <c r="T77" s="228" t="str">
        <f>IF(ISBLANK(User_Specified_Refrigerant[[#This Row],[Pre annual refrigerant leakage %]]),"",User_Specified_Refrigerant[[#This Row],[Pre annual refrigerant leakage %]])</f>
        <v/>
      </c>
      <c r="U77" s="229" t="str">
        <f>IF(ISBLANK(User_Specified_Refrigerant[[#This Row],[Pre t_EOL]]),"",User_Specified_Refrigerant[[#This Row],[Pre t_EOL]])</f>
        <v/>
      </c>
      <c r="V77" s="228" t="str">
        <f>IF(ISBLANK(User_Specified_Refrigerant[[#This Row],[Pre gross EOL refrigerant leakage %]]),"",User_Specified_Refrigerant[[#This Row],[Pre gross EOL refrigerant leakage %]])</f>
        <v/>
      </c>
    </row>
    <row r="78" spans="1:22" x14ac:dyDescent="0.25">
      <c r="A78" s="141">
        <f>ROW(User_Specified_Refrigerant[[#This Row],[Index]])-ROW(User_Specified_Refrigerant[[#Headers],[Index]])</f>
        <v>69</v>
      </c>
      <c r="B78" s="215" t="str">
        <f>IF(ISBLANK(DeemedDashboard[[#This Row],[Measure description]]),"",DeemedDashboard[[#This Row],[Measure description]])</f>
        <v/>
      </c>
      <c r="C78" t="b">
        <f>DeemedDashboard[[#This Row],[Msr device type]]=const_userspec</f>
        <v>0</v>
      </c>
      <c r="D78" s="222"/>
      <c r="E78" s="223"/>
      <c r="F78" s="224"/>
      <c r="G78" s="225"/>
      <c r="H78" s="164" t="b">
        <f>DeemedDashboard[[#This Row],[Std device type]]=const_userspec</f>
        <v>0</v>
      </c>
      <c r="I78" s="222"/>
      <c r="J78" s="223"/>
      <c r="K78" s="224"/>
      <c r="L78" s="225"/>
      <c r="M78" s="164" t="b">
        <f>DeemedDashboard[[#This Row],[Pre/Ext device type]]=const_userspec</f>
        <v>0</v>
      </c>
      <c r="N78" s="222"/>
      <c r="O78" s="223"/>
      <c r="P78" s="224"/>
      <c r="Q78" s="225"/>
      <c r="R78" s="164" t="b">
        <f>User_Specified_Refrigerant[[#This Row],[User-specified mode for Pre device?]]</f>
        <v>0</v>
      </c>
      <c r="S78" s="227" t="str">
        <f>IF(ISBLANK(User_Specified_Refrigerant[[#This Row],[Pre Refrigerant charge (lbs) per NormUnit]]),"",User_Specified_Refrigerant[[#This Row],[Pre Refrigerant charge (lbs) per NormUnit]])</f>
        <v/>
      </c>
      <c r="T78" s="228" t="str">
        <f>IF(ISBLANK(User_Specified_Refrigerant[[#This Row],[Pre annual refrigerant leakage %]]),"",User_Specified_Refrigerant[[#This Row],[Pre annual refrigerant leakage %]])</f>
        <v/>
      </c>
      <c r="U78" s="229" t="str">
        <f>IF(ISBLANK(User_Specified_Refrigerant[[#This Row],[Pre t_EOL]]),"",User_Specified_Refrigerant[[#This Row],[Pre t_EOL]])</f>
        <v/>
      </c>
      <c r="V78" s="228" t="str">
        <f>IF(ISBLANK(User_Specified_Refrigerant[[#This Row],[Pre gross EOL refrigerant leakage %]]),"",User_Specified_Refrigerant[[#This Row],[Pre gross EOL refrigerant leakage %]])</f>
        <v/>
      </c>
    </row>
    <row r="79" spans="1:22" x14ac:dyDescent="0.25">
      <c r="A79" s="141">
        <f>ROW(User_Specified_Refrigerant[[#This Row],[Index]])-ROW(User_Specified_Refrigerant[[#Headers],[Index]])</f>
        <v>70</v>
      </c>
      <c r="B79" s="215" t="str">
        <f>IF(ISBLANK(DeemedDashboard[[#This Row],[Measure description]]),"",DeemedDashboard[[#This Row],[Measure description]])</f>
        <v/>
      </c>
      <c r="C79" t="b">
        <f>DeemedDashboard[[#This Row],[Msr device type]]=const_userspec</f>
        <v>0</v>
      </c>
      <c r="D79" s="222"/>
      <c r="E79" s="223"/>
      <c r="F79" s="224"/>
      <c r="G79" s="225"/>
      <c r="H79" s="164" t="b">
        <f>DeemedDashboard[[#This Row],[Std device type]]=const_userspec</f>
        <v>0</v>
      </c>
      <c r="I79" s="222"/>
      <c r="J79" s="223"/>
      <c r="K79" s="224"/>
      <c r="L79" s="225"/>
      <c r="M79" s="164" t="b">
        <f>DeemedDashboard[[#This Row],[Pre/Ext device type]]=const_userspec</f>
        <v>0</v>
      </c>
      <c r="N79" s="222"/>
      <c r="O79" s="223"/>
      <c r="P79" s="224"/>
      <c r="Q79" s="225"/>
      <c r="R79" s="164" t="b">
        <f>User_Specified_Refrigerant[[#This Row],[User-specified mode for Pre device?]]</f>
        <v>0</v>
      </c>
      <c r="S79" s="227" t="str">
        <f>IF(ISBLANK(User_Specified_Refrigerant[[#This Row],[Pre Refrigerant charge (lbs) per NormUnit]]),"",User_Specified_Refrigerant[[#This Row],[Pre Refrigerant charge (lbs) per NormUnit]])</f>
        <v/>
      </c>
      <c r="T79" s="228" t="str">
        <f>IF(ISBLANK(User_Specified_Refrigerant[[#This Row],[Pre annual refrigerant leakage %]]),"",User_Specified_Refrigerant[[#This Row],[Pre annual refrigerant leakage %]])</f>
        <v/>
      </c>
      <c r="U79" s="229" t="str">
        <f>IF(ISBLANK(User_Specified_Refrigerant[[#This Row],[Pre t_EOL]]),"",User_Specified_Refrigerant[[#This Row],[Pre t_EOL]])</f>
        <v/>
      </c>
      <c r="V79" s="228" t="str">
        <f>IF(ISBLANK(User_Specified_Refrigerant[[#This Row],[Pre gross EOL refrigerant leakage %]]),"",User_Specified_Refrigerant[[#This Row],[Pre gross EOL refrigerant leakage %]])</f>
        <v/>
      </c>
    </row>
    <row r="80" spans="1:22" x14ac:dyDescent="0.25">
      <c r="A80" s="141">
        <f>ROW(User_Specified_Refrigerant[[#This Row],[Index]])-ROW(User_Specified_Refrigerant[[#Headers],[Index]])</f>
        <v>71</v>
      </c>
      <c r="B80" s="215" t="str">
        <f>IF(ISBLANK(DeemedDashboard[[#This Row],[Measure description]]),"",DeemedDashboard[[#This Row],[Measure description]])</f>
        <v/>
      </c>
      <c r="C80" t="b">
        <f>DeemedDashboard[[#This Row],[Msr device type]]=const_userspec</f>
        <v>0</v>
      </c>
      <c r="D80" s="222"/>
      <c r="E80" s="223"/>
      <c r="F80" s="224"/>
      <c r="G80" s="225"/>
      <c r="H80" s="164" t="b">
        <f>DeemedDashboard[[#This Row],[Std device type]]=const_userspec</f>
        <v>0</v>
      </c>
      <c r="I80" s="222"/>
      <c r="J80" s="223"/>
      <c r="K80" s="224"/>
      <c r="L80" s="225"/>
      <c r="M80" s="164" t="b">
        <f>DeemedDashboard[[#This Row],[Pre/Ext device type]]=const_userspec</f>
        <v>0</v>
      </c>
      <c r="N80" s="222"/>
      <c r="O80" s="223"/>
      <c r="P80" s="224"/>
      <c r="Q80" s="225"/>
      <c r="R80" s="164" t="b">
        <f>User_Specified_Refrigerant[[#This Row],[User-specified mode for Pre device?]]</f>
        <v>0</v>
      </c>
      <c r="S80" s="227" t="str">
        <f>IF(ISBLANK(User_Specified_Refrigerant[[#This Row],[Pre Refrigerant charge (lbs) per NormUnit]]),"",User_Specified_Refrigerant[[#This Row],[Pre Refrigerant charge (lbs) per NormUnit]])</f>
        <v/>
      </c>
      <c r="T80" s="228" t="str">
        <f>IF(ISBLANK(User_Specified_Refrigerant[[#This Row],[Pre annual refrigerant leakage %]]),"",User_Specified_Refrigerant[[#This Row],[Pre annual refrigerant leakage %]])</f>
        <v/>
      </c>
      <c r="U80" s="229" t="str">
        <f>IF(ISBLANK(User_Specified_Refrigerant[[#This Row],[Pre t_EOL]]),"",User_Specified_Refrigerant[[#This Row],[Pre t_EOL]])</f>
        <v/>
      </c>
      <c r="V80" s="228" t="str">
        <f>IF(ISBLANK(User_Specified_Refrigerant[[#This Row],[Pre gross EOL refrigerant leakage %]]),"",User_Specified_Refrigerant[[#This Row],[Pre gross EOL refrigerant leakage %]])</f>
        <v/>
      </c>
    </row>
    <row r="81" spans="1:22" x14ac:dyDescent="0.25">
      <c r="A81" s="141">
        <f>ROW(User_Specified_Refrigerant[[#This Row],[Index]])-ROW(User_Specified_Refrigerant[[#Headers],[Index]])</f>
        <v>72</v>
      </c>
      <c r="B81" s="215" t="str">
        <f>IF(ISBLANK(DeemedDashboard[[#This Row],[Measure description]]),"",DeemedDashboard[[#This Row],[Measure description]])</f>
        <v/>
      </c>
      <c r="C81" t="b">
        <f>DeemedDashboard[[#This Row],[Msr device type]]=const_userspec</f>
        <v>0</v>
      </c>
      <c r="D81" s="222"/>
      <c r="E81" s="223"/>
      <c r="F81" s="224"/>
      <c r="G81" s="225"/>
      <c r="H81" s="164" t="b">
        <f>DeemedDashboard[[#This Row],[Std device type]]=const_userspec</f>
        <v>0</v>
      </c>
      <c r="I81" s="222"/>
      <c r="J81" s="223"/>
      <c r="K81" s="224"/>
      <c r="L81" s="225"/>
      <c r="M81" s="164" t="b">
        <f>DeemedDashboard[[#This Row],[Pre/Ext device type]]=const_userspec</f>
        <v>0</v>
      </c>
      <c r="N81" s="222"/>
      <c r="O81" s="223"/>
      <c r="P81" s="224"/>
      <c r="Q81" s="225"/>
      <c r="R81" s="164" t="b">
        <f>User_Specified_Refrigerant[[#This Row],[User-specified mode for Pre device?]]</f>
        <v>0</v>
      </c>
      <c r="S81" s="227" t="str">
        <f>IF(ISBLANK(User_Specified_Refrigerant[[#This Row],[Pre Refrigerant charge (lbs) per NormUnit]]),"",User_Specified_Refrigerant[[#This Row],[Pre Refrigerant charge (lbs) per NormUnit]])</f>
        <v/>
      </c>
      <c r="T81" s="228" t="str">
        <f>IF(ISBLANK(User_Specified_Refrigerant[[#This Row],[Pre annual refrigerant leakage %]]),"",User_Specified_Refrigerant[[#This Row],[Pre annual refrigerant leakage %]])</f>
        <v/>
      </c>
      <c r="U81" s="229" t="str">
        <f>IF(ISBLANK(User_Specified_Refrigerant[[#This Row],[Pre t_EOL]]),"",User_Specified_Refrigerant[[#This Row],[Pre t_EOL]])</f>
        <v/>
      </c>
      <c r="V81" s="228" t="str">
        <f>IF(ISBLANK(User_Specified_Refrigerant[[#This Row],[Pre gross EOL refrigerant leakage %]]),"",User_Specified_Refrigerant[[#This Row],[Pre gross EOL refrigerant leakage %]])</f>
        <v/>
      </c>
    </row>
    <row r="82" spans="1:22" x14ac:dyDescent="0.25">
      <c r="A82" s="141">
        <f>ROW(User_Specified_Refrigerant[[#This Row],[Index]])-ROW(User_Specified_Refrigerant[[#Headers],[Index]])</f>
        <v>73</v>
      </c>
      <c r="B82" s="215" t="str">
        <f>IF(ISBLANK(DeemedDashboard[[#This Row],[Measure description]]),"",DeemedDashboard[[#This Row],[Measure description]])</f>
        <v/>
      </c>
      <c r="C82" t="b">
        <f>DeemedDashboard[[#This Row],[Msr device type]]=const_userspec</f>
        <v>0</v>
      </c>
      <c r="D82" s="222"/>
      <c r="E82" s="223"/>
      <c r="F82" s="224"/>
      <c r="G82" s="225"/>
      <c r="H82" s="164" t="b">
        <f>DeemedDashboard[[#This Row],[Std device type]]=const_userspec</f>
        <v>0</v>
      </c>
      <c r="I82" s="222"/>
      <c r="J82" s="223"/>
      <c r="K82" s="224"/>
      <c r="L82" s="225"/>
      <c r="M82" s="164" t="b">
        <f>DeemedDashboard[[#This Row],[Pre/Ext device type]]=const_userspec</f>
        <v>0</v>
      </c>
      <c r="N82" s="222"/>
      <c r="O82" s="223"/>
      <c r="P82" s="224"/>
      <c r="Q82" s="225"/>
      <c r="R82" s="164" t="b">
        <f>User_Specified_Refrigerant[[#This Row],[User-specified mode for Pre device?]]</f>
        <v>0</v>
      </c>
      <c r="S82" s="227" t="str">
        <f>IF(ISBLANK(User_Specified_Refrigerant[[#This Row],[Pre Refrigerant charge (lbs) per NormUnit]]),"",User_Specified_Refrigerant[[#This Row],[Pre Refrigerant charge (lbs) per NormUnit]])</f>
        <v/>
      </c>
      <c r="T82" s="228" t="str">
        <f>IF(ISBLANK(User_Specified_Refrigerant[[#This Row],[Pre annual refrigerant leakage %]]),"",User_Specified_Refrigerant[[#This Row],[Pre annual refrigerant leakage %]])</f>
        <v/>
      </c>
      <c r="U82" s="229" t="str">
        <f>IF(ISBLANK(User_Specified_Refrigerant[[#This Row],[Pre t_EOL]]),"",User_Specified_Refrigerant[[#This Row],[Pre t_EOL]])</f>
        <v/>
      </c>
      <c r="V82" s="228" t="str">
        <f>IF(ISBLANK(User_Specified_Refrigerant[[#This Row],[Pre gross EOL refrigerant leakage %]]),"",User_Specified_Refrigerant[[#This Row],[Pre gross EOL refrigerant leakage %]])</f>
        <v/>
      </c>
    </row>
    <row r="83" spans="1:22" x14ac:dyDescent="0.25">
      <c r="A83" s="141">
        <f>ROW(User_Specified_Refrigerant[[#This Row],[Index]])-ROW(User_Specified_Refrigerant[[#Headers],[Index]])</f>
        <v>74</v>
      </c>
      <c r="B83" s="215" t="str">
        <f>IF(ISBLANK(DeemedDashboard[[#This Row],[Measure description]]),"",DeemedDashboard[[#This Row],[Measure description]])</f>
        <v/>
      </c>
      <c r="C83" t="b">
        <f>DeemedDashboard[[#This Row],[Msr device type]]=const_userspec</f>
        <v>0</v>
      </c>
      <c r="D83" s="222"/>
      <c r="E83" s="223"/>
      <c r="F83" s="224"/>
      <c r="G83" s="225"/>
      <c r="H83" s="164" t="b">
        <f>DeemedDashboard[[#This Row],[Std device type]]=const_userspec</f>
        <v>0</v>
      </c>
      <c r="I83" s="222"/>
      <c r="J83" s="223"/>
      <c r="K83" s="224"/>
      <c r="L83" s="225"/>
      <c r="M83" s="164" t="b">
        <f>DeemedDashboard[[#This Row],[Pre/Ext device type]]=const_userspec</f>
        <v>0</v>
      </c>
      <c r="N83" s="222"/>
      <c r="O83" s="223"/>
      <c r="P83" s="224"/>
      <c r="Q83" s="225"/>
      <c r="R83" s="164" t="b">
        <f>User_Specified_Refrigerant[[#This Row],[User-specified mode for Pre device?]]</f>
        <v>0</v>
      </c>
      <c r="S83" s="227" t="str">
        <f>IF(ISBLANK(User_Specified_Refrigerant[[#This Row],[Pre Refrigerant charge (lbs) per NormUnit]]),"",User_Specified_Refrigerant[[#This Row],[Pre Refrigerant charge (lbs) per NormUnit]])</f>
        <v/>
      </c>
      <c r="T83" s="228" t="str">
        <f>IF(ISBLANK(User_Specified_Refrigerant[[#This Row],[Pre annual refrigerant leakage %]]),"",User_Specified_Refrigerant[[#This Row],[Pre annual refrigerant leakage %]])</f>
        <v/>
      </c>
      <c r="U83" s="229" t="str">
        <f>IF(ISBLANK(User_Specified_Refrigerant[[#This Row],[Pre t_EOL]]),"",User_Specified_Refrigerant[[#This Row],[Pre t_EOL]])</f>
        <v/>
      </c>
      <c r="V83" s="228" t="str">
        <f>IF(ISBLANK(User_Specified_Refrigerant[[#This Row],[Pre gross EOL refrigerant leakage %]]),"",User_Specified_Refrigerant[[#This Row],[Pre gross EOL refrigerant leakage %]])</f>
        <v/>
      </c>
    </row>
    <row r="84" spans="1:22" x14ac:dyDescent="0.25">
      <c r="A84" s="141">
        <f>ROW(User_Specified_Refrigerant[[#This Row],[Index]])-ROW(User_Specified_Refrigerant[[#Headers],[Index]])</f>
        <v>75</v>
      </c>
      <c r="B84" s="215" t="str">
        <f>IF(ISBLANK(DeemedDashboard[[#This Row],[Measure description]]),"",DeemedDashboard[[#This Row],[Measure description]])</f>
        <v/>
      </c>
      <c r="C84" t="b">
        <f>DeemedDashboard[[#This Row],[Msr device type]]=const_userspec</f>
        <v>0</v>
      </c>
      <c r="D84" s="222"/>
      <c r="E84" s="223"/>
      <c r="F84" s="224"/>
      <c r="G84" s="225"/>
      <c r="H84" s="164" t="b">
        <f>DeemedDashboard[[#This Row],[Std device type]]=const_userspec</f>
        <v>0</v>
      </c>
      <c r="I84" s="222"/>
      <c r="J84" s="223"/>
      <c r="K84" s="224"/>
      <c r="L84" s="225"/>
      <c r="M84" s="164" t="b">
        <f>DeemedDashboard[[#This Row],[Pre/Ext device type]]=const_userspec</f>
        <v>0</v>
      </c>
      <c r="N84" s="222"/>
      <c r="O84" s="223"/>
      <c r="P84" s="224"/>
      <c r="Q84" s="225"/>
      <c r="R84" s="164" t="b">
        <f>User_Specified_Refrigerant[[#This Row],[User-specified mode for Pre device?]]</f>
        <v>0</v>
      </c>
      <c r="S84" s="227" t="str">
        <f>IF(ISBLANK(User_Specified_Refrigerant[[#This Row],[Pre Refrigerant charge (lbs) per NormUnit]]),"",User_Specified_Refrigerant[[#This Row],[Pre Refrigerant charge (lbs) per NormUnit]])</f>
        <v/>
      </c>
      <c r="T84" s="228" t="str">
        <f>IF(ISBLANK(User_Specified_Refrigerant[[#This Row],[Pre annual refrigerant leakage %]]),"",User_Specified_Refrigerant[[#This Row],[Pre annual refrigerant leakage %]])</f>
        <v/>
      </c>
      <c r="U84" s="229" t="str">
        <f>IF(ISBLANK(User_Specified_Refrigerant[[#This Row],[Pre t_EOL]]),"",User_Specified_Refrigerant[[#This Row],[Pre t_EOL]])</f>
        <v/>
      </c>
      <c r="V84" s="228" t="str">
        <f>IF(ISBLANK(User_Specified_Refrigerant[[#This Row],[Pre gross EOL refrigerant leakage %]]),"",User_Specified_Refrigerant[[#This Row],[Pre gross EOL refrigerant leakage %]])</f>
        <v/>
      </c>
    </row>
    <row r="85" spans="1:22" x14ac:dyDescent="0.25">
      <c r="A85" s="141">
        <f>ROW(User_Specified_Refrigerant[[#This Row],[Index]])-ROW(User_Specified_Refrigerant[[#Headers],[Index]])</f>
        <v>76</v>
      </c>
      <c r="B85" s="215" t="str">
        <f>IF(ISBLANK(DeemedDashboard[[#This Row],[Measure description]]),"",DeemedDashboard[[#This Row],[Measure description]])</f>
        <v/>
      </c>
      <c r="C85" t="b">
        <f>DeemedDashboard[[#This Row],[Msr device type]]=const_userspec</f>
        <v>0</v>
      </c>
      <c r="D85" s="222"/>
      <c r="E85" s="223"/>
      <c r="F85" s="224"/>
      <c r="G85" s="225"/>
      <c r="H85" s="164" t="b">
        <f>DeemedDashboard[[#This Row],[Std device type]]=const_userspec</f>
        <v>0</v>
      </c>
      <c r="I85" s="222"/>
      <c r="J85" s="223"/>
      <c r="K85" s="224"/>
      <c r="L85" s="225"/>
      <c r="M85" s="164" t="b">
        <f>DeemedDashboard[[#This Row],[Pre/Ext device type]]=const_userspec</f>
        <v>0</v>
      </c>
      <c r="N85" s="222"/>
      <c r="O85" s="223"/>
      <c r="P85" s="224"/>
      <c r="Q85" s="225"/>
      <c r="R85" s="164" t="b">
        <f>User_Specified_Refrigerant[[#This Row],[User-specified mode for Pre device?]]</f>
        <v>0</v>
      </c>
      <c r="S85" s="227" t="str">
        <f>IF(ISBLANK(User_Specified_Refrigerant[[#This Row],[Pre Refrigerant charge (lbs) per NormUnit]]),"",User_Specified_Refrigerant[[#This Row],[Pre Refrigerant charge (lbs) per NormUnit]])</f>
        <v/>
      </c>
      <c r="T85" s="228" t="str">
        <f>IF(ISBLANK(User_Specified_Refrigerant[[#This Row],[Pre annual refrigerant leakage %]]),"",User_Specified_Refrigerant[[#This Row],[Pre annual refrigerant leakage %]])</f>
        <v/>
      </c>
      <c r="U85" s="229" t="str">
        <f>IF(ISBLANK(User_Specified_Refrigerant[[#This Row],[Pre t_EOL]]),"",User_Specified_Refrigerant[[#This Row],[Pre t_EOL]])</f>
        <v/>
      </c>
      <c r="V85" s="228" t="str">
        <f>IF(ISBLANK(User_Specified_Refrigerant[[#This Row],[Pre gross EOL refrigerant leakage %]]),"",User_Specified_Refrigerant[[#This Row],[Pre gross EOL refrigerant leakage %]])</f>
        <v/>
      </c>
    </row>
    <row r="86" spans="1:22" x14ac:dyDescent="0.25">
      <c r="A86" s="141">
        <f>ROW(User_Specified_Refrigerant[[#This Row],[Index]])-ROW(User_Specified_Refrigerant[[#Headers],[Index]])</f>
        <v>77</v>
      </c>
      <c r="B86" s="215" t="str">
        <f>IF(ISBLANK(DeemedDashboard[[#This Row],[Measure description]]),"",DeemedDashboard[[#This Row],[Measure description]])</f>
        <v/>
      </c>
      <c r="C86" t="b">
        <f>DeemedDashboard[[#This Row],[Msr device type]]=const_userspec</f>
        <v>0</v>
      </c>
      <c r="D86" s="222"/>
      <c r="E86" s="223"/>
      <c r="F86" s="224"/>
      <c r="G86" s="225"/>
      <c r="H86" s="164" t="b">
        <f>DeemedDashboard[[#This Row],[Std device type]]=const_userspec</f>
        <v>0</v>
      </c>
      <c r="I86" s="222"/>
      <c r="J86" s="223"/>
      <c r="K86" s="224"/>
      <c r="L86" s="225"/>
      <c r="M86" s="164" t="b">
        <f>DeemedDashboard[[#This Row],[Pre/Ext device type]]=const_userspec</f>
        <v>0</v>
      </c>
      <c r="N86" s="222"/>
      <c r="O86" s="223"/>
      <c r="P86" s="224"/>
      <c r="Q86" s="225"/>
      <c r="R86" s="164" t="b">
        <f>User_Specified_Refrigerant[[#This Row],[User-specified mode for Pre device?]]</f>
        <v>0</v>
      </c>
      <c r="S86" s="227" t="str">
        <f>IF(ISBLANK(User_Specified_Refrigerant[[#This Row],[Pre Refrigerant charge (lbs) per NormUnit]]),"",User_Specified_Refrigerant[[#This Row],[Pre Refrigerant charge (lbs) per NormUnit]])</f>
        <v/>
      </c>
      <c r="T86" s="228" t="str">
        <f>IF(ISBLANK(User_Specified_Refrigerant[[#This Row],[Pre annual refrigerant leakage %]]),"",User_Specified_Refrigerant[[#This Row],[Pre annual refrigerant leakage %]])</f>
        <v/>
      </c>
      <c r="U86" s="229" t="str">
        <f>IF(ISBLANK(User_Specified_Refrigerant[[#This Row],[Pre t_EOL]]),"",User_Specified_Refrigerant[[#This Row],[Pre t_EOL]])</f>
        <v/>
      </c>
      <c r="V86" s="228" t="str">
        <f>IF(ISBLANK(User_Specified_Refrigerant[[#This Row],[Pre gross EOL refrigerant leakage %]]),"",User_Specified_Refrigerant[[#This Row],[Pre gross EOL refrigerant leakage %]])</f>
        <v/>
      </c>
    </row>
    <row r="87" spans="1:22" x14ac:dyDescent="0.25">
      <c r="A87" s="141">
        <f>ROW(User_Specified_Refrigerant[[#This Row],[Index]])-ROW(User_Specified_Refrigerant[[#Headers],[Index]])</f>
        <v>78</v>
      </c>
      <c r="B87" s="215" t="str">
        <f>IF(ISBLANK(DeemedDashboard[[#This Row],[Measure description]]),"",DeemedDashboard[[#This Row],[Measure description]])</f>
        <v/>
      </c>
      <c r="C87" t="b">
        <f>DeemedDashboard[[#This Row],[Msr device type]]=const_userspec</f>
        <v>0</v>
      </c>
      <c r="D87" s="222"/>
      <c r="E87" s="223"/>
      <c r="F87" s="224"/>
      <c r="G87" s="225"/>
      <c r="H87" s="164" t="b">
        <f>DeemedDashboard[[#This Row],[Std device type]]=const_userspec</f>
        <v>0</v>
      </c>
      <c r="I87" s="222"/>
      <c r="J87" s="223"/>
      <c r="K87" s="224"/>
      <c r="L87" s="225"/>
      <c r="M87" s="164" t="b">
        <f>DeemedDashboard[[#This Row],[Pre/Ext device type]]=const_userspec</f>
        <v>0</v>
      </c>
      <c r="N87" s="222"/>
      <c r="O87" s="223"/>
      <c r="P87" s="224"/>
      <c r="Q87" s="225"/>
      <c r="R87" s="164" t="b">
        <f>User_Specified_Refrigerant[[#This Row],[User-specified mode for Pre device?]]</f>
        <v>0</v>
      </c>
      <c r="S87" s="227" t="str">
        <f>IF(ISBLANK(User_Specified_Refrigerant[[#This Row],[Pre Refrigerant charge (lbs) per NormUnit]]),"",User_Specified_Refrigerant[[#This Row],[Pre Refrigerant charge (lbs) per NormUnit]])</f>
        <v/>
      </c>
      <c r="T87" s="228" t="str">
        <f>IF(ISBLANK(User_Specified_Refrigerant[[#This Row],[Pre annual refrigerant leakage %]]),"",User_Specified_Refrigerant[[#This Row],[Pre annual refrigerant leakage %]])</f>
        <v/>
      </c>
      <c r="U87" s="229" t="str">
        <f>IF(ISBLANK(User_Specified_Refrigerant[[#This Row],[Pre t_EOL]]),"",User_Specified_Refrigerant[[#This Row],[Pre t_EOL]])</f>
        <v/>
      </c>
      <c r="V87" s="228" t="str">
        <f>IF(ISBLANK(User_Specified_Refrigerant[[#This Row],[Pre gross EOL refrigerant leakage %]]),"",User_Specified_Refrigerant[[#This Row],[Pre gross EOL refrigerant leakage %]])</f>
        <v/>
      </c>
    </row>
    <row r="88" spans="1:22" x14ac:dyDescent="0.25">
      <c r="A88" s="141">
        <f>ROW(User_Specified_Refrigerant[[#This Row],[Index]])-ROW(User_Specified_Refrigerant[[#Headers],[Index]])</f>
        <v>79</v>
      </c>
      <c r="B88" s="215" t="str">
        <f>IF(ISBLANK(DeemedDashboard[[#This Row],[Measure description]]),"",DeemedDashboard[[#This Row],[Measure description]])</f>
        <v/>
      </c>
      <c r="C88" t="b">
        <f>DeemedDashboard[[#This Row],[Msr device type]]=const_userspec</f>
        <v>0</v>
      </c>
      <c r="D88" s="222"/>
      <c r="E88" s="223"/>
      <c r="F88" s="224"/>
      <c r="G88" s="225"/>
      <c r="H88" s="164" t="b">
        <f>DeemedDashboard[[#This Row],[Std device type]]=const_userspec</f>
        <v>0</v>
      </c>
      <c r="I88" s="222"/>
      <c r="J88" s="223"/>
      <c r="K88" s="224"/>
      <c r="L88" s="225"/>
      <c r="M88" s="164" t="b">
        <f>DeemedDashboard[[#This Row],[Pre/Ext device type]]=const_userspec</f>
        <v>0</v>
      </c>
      <c r="N88" s="222"/>
      <c r="O88" s="223"/>
      <c r="P88" s="224"/>
      <c r="Q88" s="225"/>
      <c r="R88" s="164" t="b">
        <f>User_Specified_Refrigerant[[#This Row],[User-specified mode for Pre device?]]</f>
        <v>0</v>
      </c>
      <c r="S88" s="227" t="str">
        <f>IF(ISBLANK(User_Specified_Refrigerant[[#This Row],[Pre Refrigerant charge (lbs) per NormUnit]]),"",User_Specified_Refrigerant[[#This Row],[Pre Refrigerant charge (lbs) per NormUnit]])</f>
        <v/>
      </c>
      <c r="T88" s="228" t="str">
        <f>IF(ISBLANK(User_Specified_Refrigerant[[#This Row],[Pre annual refrigerant leakage %]]),"",User_Specified_Refrigerant[[#This Row],[Pre annual refrigerant leakage %]])</f>
        <v/>
      </c>
      <c r="U88" s="229" t="str">
        <f>IF(ISBLANK(User_Specified_Refrigerant[[#This Row],[Pre t_EOL]]),"",User_Specified_Refrigerant[[#This Row],[Pre t_EOL]])</f>
        <v/>
      </c>
      <c r="V88" s="228" t="str">
        <f>IF(ISBLANK(User_Specified_Refrigerant[[#This Row],[Pre gross EOL refrigerant leakage %]]),"",User_Specified_Refrigerant[[#This Row],[Pre gross EOL refrigerant leakage %]])</f>
        <v/>
      </c>
    </row>
    <row r="89" spans="1:22" x14ac:dyDescent="0.25">
      <c r="A89" s="141">
        <f>ROW(User_Specified_Refrigerant[[#This Row],[Index]])-ROW(User_Specified_Refrigerant[[#Headers],[Index]])</f>
        <v>80</v>
      </c>
      <c r="B89" s="215" t="str">
        <f>IF(ISBLANK(DeemedDashboard[[#This Row],[Measure description]]),"",DeemedDashboard[[#This Row],[Measure description]])</f>
        <v/>
      </c>
      <c r="C89" t="b">
        <f>DeemedDashboard[[#This Row],[Msr device type]]=const_userspec</f>
        <v>0</v>
      </c>
      <c r="D89" s="222"/>
      <c r="E89" s="223"/>
      <c r="F89" s="224"/>
      <c r="G89" s="225"/>
      <c r="H89" s="164" t="b">
        <f>DeemedDashboard[[#This Row],[Std device type]]=const_userspec</f>
        <v>0</v>
      </c>
      <c r="I89" s="222"/>
      <c r="J89" s="223"/>
      <c r="K89" s="224"/>
      <c r="L89" s="225"/>
      <c r="M89" s="164" t="b">
        <f>DeemedDashboard[[#This Row],[Pre/Ext device type]]=const_userspec</f>
        <v>0</v>
      </c>
      <c r="N89" s="222"/>
      <c r="O89" s="223"/>
      <c r="P89" s="224"/>
      <c r="Q89" s="225"/>
      <c r="R89" s="164" t="b">
        <f>User_Specified_Refrigerant[[#This Row],[User-specified mode for Pre device?]]</f>
        <v>0</v>
      </c>
      <c r="S89" s="227" t="str">
        <f>IF(ISBLANK(User_Specified_Refrigerant[[#This Row],[Pre Refrigerant charge (lbs) per NormUnit]]),"",User_Specified_Refrigerant[[#This Row],[Pre Refrigerant charge (lbs) per NormUnit]])</f>
        <v/>
      </c>
      <c r="T89" s="228" t="str">
        <f>IF(ISBLANK(User_Specified_Refrigerant[[#This Row],[Pre annual refrigerant leakage %]]),"",User_Specified_Refrigerant[[#This Row],[Pre annual refrigerant leakage %]])</f>
        <v/>
      </c>
      <c r="U89" s="229" t="str">
        <f>IF(ISBLANK(User_Specified_Refrigerant[[#This Row],[Pre t_EOL]]),"",User_Specified_Refrigerant[[#This Row],[Pre t_EOL]])</f>
        <v/>
      </c>
      <c r="V89" s="228" t="str">
        <f>IF(ISBLANK(User_Specified_Refrigerant[[#This Row],[Pre gross EOL refrigerant leakage %]]),"",User_Specified_Refrigerant[[#This Row],[Pre gross EOL refrigerant leakage %]])</f>
        <v/>
      </c>
    </row>
    <row r="90" spans="1:22" x14ac:dyDescent="0.25">
      <c r="A90" s="141">
        <f>ROW(User_Specified_Refrigerant[[#This Row],[Index]])-ROW(User_Specified_Refrigerant[[#Headers],[Index]])</f>
        <v>81</v>
      </c>
      <c r="B90" s="215" t="str">
        <f>IF(ISBLANK(DeemedDashboard[[#This Row],[Measure description]]),"",DeemedDashboard[[#This Row],[Measure description]])</f>
        <v/>
      </c>
      <c r="C90" t="b">
        <f>DeemedDashboard[[#This Row],[Msr device type]]=const_userspec</f>
        <v>0</v>
      </c>
      <c r="D90" s="222"/>
      <c r="E90" s="223"/>
      <c r="F90" s="224"/>
      <c r="G90" s="225"/>
      <c r="H90" s="164" t="b">
        <f>DeemedDashboard[[#This Row],[Std device type]]=const_userspec</f>
        <v>0</v>
      </c>
      <c r="I90" s="222"/>
      <c r="J90" s="223"/>
      <c r="K90" s="224"/>
      <c r="L90" s="225"/>
      <c r="M90" s="164" t="b">
        <f>DeemedDashboard[[#This Row],[Pre/Ext device type]]=const_userspec</f>
        <v>0</v>
      </c>
      <c r="N90" s="222"/>
      <c r="O90" s="223"/>
      <c r="P90" s="224"/>
      <c r="Q90" s="225"/>
      <c r="R90" s="164" t="b">
        <f>User_Specified_Refrigerant[[#This Row],[User-specified mode for Pre device?]]</f>
        <v>0</v>
      </c>
      <c r="S90" s="227" t="str">
        <f>IF(ISBLANK(User_Specified_Refrigerant[[#This Row],[Pre Refrigerant charge (lbs) per NormUnit]]),"",User_Specified_Refrigerant[[#This Row],[Pre Refrigerant charge (lbs) per NormUnit]])</f>
        <v/>
      </c>
      <c r="T90" s="228" t="str">
        <f>IF(ISBLANK(User_Specified_Refrigerant[[#This Row],[Pre annual refrigerant leakage %]]),"",User_Specified_Refrigerant[[#This Row],[Pre annual refrigerant leakage %]])</f>
        <v/>
      </c>
      <c r="U90" s="229" t="str">
        <f>IF(ISBLANK(User_Specified_Refrigerant[[#This Row],[Pre t_EOL]]),"",User_Specified_Refrigerant[[#This Row],[Pre t_EOL]])</f>
        <v/>
      </c>
      <c r="V90" s="228" t="str">
        <f>IF(ISBLANK(User_Specified_Refrigerant[[#This Row],[Pre gross EOL refrigerant leakage %]]),"",User_Specified_Refrigerant[[#This Row],[Pre gross EOL refrigerant leakage %]])</f>
        <v/>
      </c>
    </row>
    <row r="91" spans="1:22" x14ac:dyDescent="0.25">
      <c r="A91" s="141">
        <f>ROW(User_Specified_Refrigerant[[#This Row],[Index]])-ROW(User_Specified_Refrigerant[[#Headers],[Index]])</f>
        <v>82</v>
      </c>
      <c r="B91" s="215" t="str">
        <f>IF(ISBLANK(DeemedDashboard[[#This Row],[Measure description]]),"",DeemedDashboard[[#This Row],[Measure description]])</f>
        <v/>
      </c>
      <c r="C91" t="b">
        <f>DeemedDashboard[[#This Row],[Msr device type]]=const_userspec</f>
        <v>0</v>
      </c>
      <c r="D91" s="222"/>
      <c r="E91" s="223"/>
      <c r="F91" s="224"/>
      <c r="G91" s="225"/>
      <c r="H91" s="164" t="b">
        <f>DeemedDashboard[[#This Row],[Std device type]]=const_userspec</f>
        <v>0</v>
      </c>
      <c r="I91" s="222"/>
      <c r="J91" s="223"/>
      <c r="K91" s="224"/>
      <c r="L91" s="225"/>
      <c r="M91" s="164" t="b">
        <f>DeemedDashboard[[#This Row],[Pre/Ext device type]]=const_userspec</f>
        <v>0</v>
      </c>
      <c r="N91" s="222"/>
      <c r="O91" s="223"/>
      <c r="P91" s="224"/>
      <c r="Q91" s="225"/>
      <c r="R91" s="164" t="b">
        <f>User_Specified_Refrigerant[[#This Row],[User-specified mode for Pre device?]]</f>
        <v>0</v>
      </c>
      <c r="S91" s="227" t="str">
        <f>IF(ISBLANK(User_Specified_Refrigerant[[#This Row],[Pre Refrigerant charge (lbs) per NormUnit]]),"",User_Specified_Refrigerant[[#This Row],[Pre Refrigerant charge (lbs) per NormUnit]])</f>
        <v/>
      </c>
      <c r="T91" s="228" t="str">
        <f>IF(ISBLANK(User_Specified_Refrigerant[[#This Row],[Pre annual refrigerant leakage %]]),"",User_Specified_Refrigerant[[#This Row],[Pre annual refrigerant leakage %]])</f>
        <v/>
      </c>
      <c r="U91" s="229" t="str">
        <f>IF(ISBLANK(User_Specified_Refrigerant[[#This Row],[Pre t_EOL]]),"",User_Specified_Refrigerant[[#This Row],[Pre t_EOL]])</f>
        <v/>
      </c>
      <c r="V91" s="228" t="str">
        <f>IF(ISBLANK(User_Specified_Refrigerant[[#This Row],[Pre gross EOL refrigerant leakage %]]),"",User_Specified_Refrigerant[[#This Row],[Pre gross EOL refrigerant leakage %]])</f>
        <v/>
      </c>
    </row>
    <row r="92" spans="1:22" x14ac:dyDescent="0.25">
      <c r="A92" s="141">
        <f>ROW(User_Specified_Refrigerant[[#This Row],[Index]])-ROW(User_Specified_Refrigerant[[#Headers],[Index]])</f>
        <v>83</v>
      </c>
      <c r="B92" s="215" t="str">
        <f>IF(ISBLANK(DeemedDashboard[[#This Row],[Measure description]]),"",DeemedDashboard[[#This Row],[Measure description]])</f>
        <v/>
      </c>
      <c r="C92" t="b">
        <f>DeemedDashboard[[#This Row],[Msr device type]]=const_userspec</f>
        <v>0</v>
      </c>
      <c r="D92" s="222"/>
      <c r="E92" s="223"/>
      <c r="F92" s="224"/>
      <c r="G92" s="225"/>
      <c r="H92" s="164" t="b">
        <f>DeemedDashboard[[#This Row],[Std device type]]=const_userspec</f>
        <v>0</v>
      </c>
      <c r="I92" s="222"/>
      <c r="J92" s="223"/>
      <c r="K92" s="224"/>
      <c r="L92" s="225"/>
      <c r="M92" s="164" t="b">
        <f>DeemedDashboard[[#This Row],[Pre/Ext device type]]=const_userspec</f>
        <v>0</v>
      </c>
      <c r="N92" s="222"/>
      <c r="O92" s="223"/>
      <c r="P92" s="224"/>
      <c r="Q92" s="225"/>
      <c r="R92" s="164" t="b">
        <f>User_Specified_Refrigerant[[#This Row],[User-specified mode for Pre device?]]</f>
        <v>0</v>
      </c>
      <c r="S92" s="227" t="str">
        <f>IF(ISBLANK(User_Specified_Refrigerant[[#This Row],[Pre Refrigerant charge (lbs) per NormUnit]]),"",User_Specified_Refrigerant[[#This Row],[Pre Refrigerant charge (lbs) per NormUnit]])</f>
        <v/>
      </c>
      <c r="T92" s="228" t="str">
        <f>IF(ISBLANK(User_Specified_Refrigerant[[#This Row],[Pre annual refrigerant leakage %]]),"",User_Specified_Refrigerant[[#This Row],[Pre annual refrigerant leakage %]])</f>
        <v/>
      </c>
      <c r="U92" s="229" t="str">
        <f>IF(ISBLANK(User_Specified_Refrigerant[[#This Row],[Pre t_EOL]]),"",User_Specified_Refrigerant[[#This Row],[Pre t_EOL]])</f>
        <v/>
      </c>
      <c r="V92" s="228" t="str">
        <f>IF(ISBLANK(User_Specified_Refrigerant[[#This Row],[Pre gross EOL refrigerant leakage %]]),"",User_Specified_Refrigerant[[#This Row],[Pre gross EOL refrigerant leakage %]])</f>
        <v/>
      </c>
    </row>
    <row r="93" spans="1:22" x14ac:dyDescent="0.25">
      <c r="A93" s="141">
        <f>ROW(User_Specified_Refrigerant[[#This Row],[Index]])-ROW(User_Specified_Refrigerant[[#Headers],[Index]])</f>
        <v>84</v>
      </c>
      <c r="B93" s="215" t="str">
        <f>IF(ISBLANK(DeemedDashboard[[#This Row],[Measure description]]),"",DeemedDashboard[[#This Row],[Measure description]])</f>
        <v/>
      </c>
      <c r="C93" t="b">
        <f>DeemedDashboard[[#This Row],[Msr device type]]=const_userspec</f>
        <v>0</v>
      </c>
      <c r="D93" s="222"/>
      <c r="E93" s="223"/>
      <c r="F93" s="224"/>
      <c r="G93" s="225"/>
      <c r="H93" s="164" t="b">
        <f>DeemedDashboard[[#This Row],[Std device type]]=const_userspec</f>
        <v>0</v>
      </c>
      <c r="I93" s="222"/>
      <c r="J93" s="223"/>
      <c r="K93" s="224"/>
      <c r="L93" s="225"/>
      <c r="M93" s="164" t="b">
        <f>DeemedDashboard[[#This Row],[Pre/Ext device type]]=const_userspec</f>
        <v>0</v>
      </c>
      <c r="N93" s="222"/>
      <c r="O93" s="223"/>
      <c r="P93" s="224"/>
      <c r="Q93" s="225"/>
      <c r="R93" s="164" t="b">
        <f>User_Specified_Refrigerant[[#This Row],[User-specified mode for Pre device?]]</f>
        <v>0</v>
      </c>
      <c r="S93" s="227" t="str">
        <f>IF(ISBLANK(User_Specified_Refrigerant[[#This Row],[Pre Refrigerant charge (lbs) per NormUnit]]),"",User_Specified_Refrigerant[[#This Row],[Pre Refrigerant charge (lbs) per NormUnit]])</f>
        <v/>
      </c>
      <c r="T93" s="228" t="str">
        <f>IF(ISBLANK(User_Specified_Refrigerant[[#This Row],[Pre annual refrigerant leakage %]]),"",User_Specified_Refrigerant[[#This Row],[Pre annual refrigerant leakage %]])</f>
        <v/>
      </c>
      <c r="U93" s="229" t="str">
        <f>IF(ISBLANK(User_Specified_Refrigerant[[#This Row],[Pre t_EOL]]),"",User_Specified_Refrigerant[[#This Row],[Pre t_EOL]])</f>
        <v/>
      </c>
      <c r="V93" s="228" t="str">
        <f>IF(ISBLANK(User_Specified_Refrigerant[[#This Row],[Pre gross EOL refrigerant leakage %]]),"",User_Specified_Refrigerant[[#This Row],[Pre gross EOL refrigerant leakage %]])</f>
        <v/>
      </c>
    </row>
    <row r="94" spans="1:22" x14ac:dyDescent="0.25">
      <c r="A94" s="141">
        <f>ROW(User_Specified_Refrigerant[[#This Row],[Index]])-ROW(User_Specified_Refrigerant[[#Headers],[Index]])</f>
        <v>85</v>
      </c>
      <c r="B94" s="215" t="str">
        <f>IF(ISBLANK(DeemedDashboard[[#This Row],[Measure description]]),"",DeemedDashboard[[#This Row],[Measure description]])</f>
        <v/>
      </c>
      <c r="C94" t="b">
        <f>DeemedDashboard[[#This Row],[Msr device type]]=const_userspec</f>
        <v>0</v>
      </c>
      <c r="D94" s="222"/>
      <c r="E94" s="223"/>
      <c r="F94" s="224"/>
      <c r="G94" s="225"/>
      <c r="H94" s="164" t="b">
        <f>DeemedDashboard[[#This Row],[Std device type]]=const_userspec</f>
        <v>0</v>
      </c>
      <c r="I94" s="222"/>
      <c r="J94" s="223"/>
      <c r="K94" s="224"/>
      <c r="L94" s="225"/>
      <c r="M94" s="164" t="b">
        <f>DeemedDashboard[[#This Row],[Pre/Ext device type]]=const_userspec</f>
        <v>0</v>
      </c>
      <c r="N94" s="222"/>
      <c r="O94" s="223"/>
      <c r="P94" s="224"/>
      <c r="Q94" s="225"/>
      <c r="R94" s="164" t="b">
        <f>User_Specified_Refrigerant[[#This Row],[User-specified mode for Pre device?]]</f>
        <v>0</v>
      </c>
      <c r="S94" s="227" t="str">
        <f>IF(ISBLANK(User_Specified_Refrigerant[[#This Row],[Pre Refrigerant charge (lbs) per NormUnit]]),"",User_Specified_Refrigerant[[#This Row],[Pre Refrigerant charge (lbs) per NormUnit]])</f>
        <v/>
      </c>
      <c r="T94" s="228" t="str">
        <f>IF(ISBLANK(User_Specified_Refrigerant[[#This Row],[Pre annual refrigerant leakage %]]),"",User_Specified_Refrigerant[[#This Row],[Pre annual refrigerant leakage %]])</f>
        <v/>
      </c>
      <c r="U94" s="229" t="str">
        <f>IF(ISBLANK(User_Specified_Refrigerant[[#This Row],[Pre t_EOL]]),"",User_Specified_Refrigerant[[#This Row],[Pre t_EOL]])</f>
        <v/>
      </c>
      <c r="V94" s="228" t="str">
        <f>IF(ISBLANK(User_Specified_Refrigerant[[#This Row],[Pre gross EOL refrigerant leakage %]]),"",User_Specified_Refrigerant[[#This Row],[Pre gross EOL refrigerant leakage %]])</f>
        <v/>
      </c>
    </row>
    <row r="95" spans="1:22" x14ac:dyDescent="0.25">
      <c r="A95" s="141">
        <f>ROW(User_Specified_Refrigerant[[#This Row],[Index]])-ROW(User_Specified_Refrigerant[[#Headers],[Index]])</f>
        <v>86</v>
      </c>
      <c r="B95" s="215" t="str">
        <f>IF(ISBLANK(DeemedDashboard[[#This Row],[Measure description]]),"",DeemedDashboard[[#This Row],[Measure description]])</f>
        <v/>
      </c>
      <c r="C95" t="b">
        <f>DeemedDashboard[[#This Row],[Msr device type]]=const_userspec</f>
        <v>0</v>
      </c>
      <c r="D95" s="222"/>
      <c r="E95" s="223"/>
      <c r="F95" s="224"/>
      <c r="G95" s="225"/>
      <c r="H95" s="164" t="b">
        <f>DeemedDashboard[[#This Row],[Std device type]]=const_userspec</f>
        <v>0</v>
      </c>
      <c r="I95" s="222"/>
      <c r="J95" s="223"/>
      <c r="K95" s="224"/>
      <c r="L95" s="225"/>
      <c r="M95" s="164" t="b">
        <f>DeemedDashboard[[#This Row],[Pre/Ext device type]]=const_userspec</f>
        <v>0</v>
      </c>
      <c r="N95" s="222"/>
      <c r="O95" s="223"/>
      <c r="P95" s="224"/>
      <c r="Q95" s="225"/>
      <c r="R95" s="164" t="b">
        <f>User_Specified_Refrigerant[[#This Row],[User-specified mode for Pre device?]]</f>
        <v>0</v>
      </c>
      <c r="S95" s="227" t="str">
        <f>IF(ISBLANK(User_Specified_Refrigerant[[#This Row],[Pre Refrigerant charge (lbs) per NormUnit]]),"",User_Specified_Refrigerant[[#This Row],[Pre Refrigerant charge (lbs) per NormUnit]])</f>
        <v/>
      </c>
      <c r="T95" s="228" t="str">
        <f>IF(ISBLANK(User_Specified_Refrigerant[[#This Row],[Pre annual refrigerant leakage %]]),"",User_Specified_Refrigerant[[#This Row],[Pre annual refrigerant leakage %]])</f>
        <v/>
      </c>
      <c r="U95" s="229" t="str">
        <f>IF(ISBLANK(User_Specified_Refrigerant[[#This Row],[Pre t_EOL]]),"",User_Specified_Refrigerant[[#This Row],[Pre t_EOL]])</f>
        <v/>
      </c>
      <c r="V95" s="228" t="str">
        <f>IF(ISBLANK(User_Specified_Refrigerant[[#This Row],[Pre gross EOL refrigerant leakage %]]),"",User_Specified_Refrigerant[[#This Row],[Pre gross EOL refrigerant leakage %]])</f>
        <v/>
      </c>
    </row>
    <row r="96" spans="1:22" x14ac:dyDescent="0.25">
      <c r="A96" s="141">
        <f>ROW(User_Specified_Refrigerant[[#This Row],[Index]])-ROW(User_Specified_Refrigerant[[#Headers],[Index]])</f>
        <v>87</v>
      </c>
      <c r="B96" s="215" t="str">
        <f>IF(ISBLANK(DeemedDashboard[[#This Row],[Measure description]]),"",DeemedDashboard[[#This Row],[Measure description]])</f>
        <v/>
      </c>
      <c r="C96" t="b">
        <f>DeemedDashboard[[#This Row],[Msr device type]]=const_userspec</f>
        <v>0</v>
      </c>
      <c r="D96" s="222"/>
      <c r="E96" s="223"/>
      <c r="F96" s="224"/>
      <c r="G96" s="225"/>
      <c r="H96" s="164" t="b">
        <f>DeemedDashboard[[#This Row],[Std device type]]=const_userspec</f>
        <v>0</v>
      </c>
      <c r="I96" s="222"/>
      <c r="J96" s="223"/>
      <c r="K96" s="224"/>
      <c r="L96" s="225"/>
      <c r="M96" s="164" t="b">
        <f>DeemedDashboard[[#This Row],[Pre/Ext device type]]=const_userspec</f>
        <v>0</v>
      </c>
      <c r="N96" s="222"/>
      <c r="O96" s="223"/>
      <c r="P96" s="224"/>
      <c r="Q96" s="225"/>
      <c r="R96" s="164" t="b">
        <f>User_Specified_Refrigerant[[#This Row],[User-specified mode for Pre device?]]</f>
        <v>0</v>
      </c>
      <c r="S96" s="227" t="str">
        <f>IF(ISBLANK(User_Specified_Refrigerant[[#This Row],[Pre Refrigerant charge (lbs) per NormUnit]]),"",User_Specified_Refrigerant[[#This Row],[Pre Refrigerant charge (lbs) per NormUnit]])</f>
        <v/>
      </c>
      <c r="T96" s="228" t="str">
        <f>IF(ISBLANK(User_Specified_Refrigerant[[#This Row],[Pre annual refrigerant leakage %]]),"",User_Specified_Refrigerant[[#This Row],[Pre annual refrigerant leakage %]])</f>
        <v/>
      </c>
      <c r="U96" s="229" t="str">
        <f>IF(ISBLANK(User_Specified_Refrigerant[[#This Row],[Pre t_EOL]]),"",User_Specified_Refrigerant[[#This Row],[Pre t_EOL]])</f>
        <v/>
      </c>
      <c r="V96" s="228" t="str">
        <f>IF(ISBLANK(User_Specified_Refrigerant[[#This Row],[Pre gross EOL refrigerant leakage %]]),"",User_Specified_Refrigerant[[#This Row],[Pre gross EOL refrigerant leakage %]])</f>
        <v/>
      </c>
    </row>
    <row r="97" spans="1:22" x14ac:dyDescent="0.25">
      <c r="A97" s="141">
        <f>ROW(User_Specified_Refrigerant[[#This Row],[Index]])-ROW(User_Specified_Refrigerant[[#Headers],[Index]])</f>
        <v>88</v>
      </c>
      <c r="B97" s="215" t="str">
        <f>IF(ISBLANK(DeemedDashboard[[#This Row],[Measure description]]),"",DeemedDashboard[[#This Row],[Measure description]])</f>
        <v/>
      </c>
      <c r="C97" t="b">
        <f>DeemedDashboard[[#This Row],[Msr device type]]=const_userspec</f>
        <v>0</v>
      </c>
      <c r="D97" s="222"/>
      <c r="E97" s="223"/>
      <c r="F97" s="224"/>
      <c r="G97" s="225"/>
      <c r="H97" s="164" t="b">
        <f>DeemedDashboard[[#This Row],[Std device type]]=const_userspec</f>
        <v>0</v>
      </c>
      <c r="I97" s="222"/>
      <c r="J97" s="223"/>
      <c r="K97" s="224"/>
      <c r="L97" s="225"/>
      <c r="M97" s="164" t="b">
        <f>DeemedDashboard[[#This Row],[Pre/Ext device type]]=const_userspec</f>
        <v>0</v>
      </c>
      <c r="N97" s="222"/>
      <c r="O97" s="223"/>
      <c r="P97" s="224"/>
      <c r="Q97" s="225"/>
      <c r="R97" s="164" t="b">
        <f>User_Specified_Refrigerant[[#This Row],[User-specified mode for Pre device?]]</f>
        <v>0</v>
      </c>
      <c r="S97" s="227" t="str">
        <f>IF(ISBLANK(User_Specified_Refrigerant[[#This Row],[Pre Refrigerant charge (lbs) per NormUnit]]),"",User_Specified_Refrigerant[[#This Row],[Pre Refrigerant charge (lbs) per NormUnit]])</f>
        <v/>
      </c>
      <c r="T97" s="228" t="str">
        <f>IF(ISBLANK(User_Specified_Refrigerant[[#This Row],[Pre annual refrigerant leakage %]]),"",User_Specified_Refrigerant[[#This Row],[Pre annual refrigerant leakage %]])</f>
        <v/>
      </c>
      <c r="U97" s="229" t="str">
        <f>IF(ISBLANK(User_Specified_Refrigerant[[#This Row],[Pre t_EOL]]),"",User_Specified_Refrigerant[[#This Row],[Pre t_EOL]])</f>
        <v/>
      </c>
      <c r="V97" s="228" t="str">
        <f>IF(ISBLANK(User_Specified_Refrigerant[[#This Row],[Pre gross EOL refrigerant leakage %]]),"",User_Specified_Refrigerant[[#This Row],[Pre gross EOL refrigerant leakage %]])</f>
        <v/>
      </c>
    </row>
    <row r="98" spans="1:22" x14ac:dyDescent="0.25">
      <c r="A98" s="141">
        <f>ROW(User_Specified_Refrigerant[[#This Row],[Index]])-ROW(User_Specified_Refrigerant[[#Headers],[Index]])</f>
        <v>89</v>
      </c>
      <c r="B98" s="215" t="str">
        <f>IF(ISBLANK(DeemedDashboard[[#This Row],[Measure description]]),"",DeemedDashboard[[#This Row],[Measure description]])</f>
        <v/>
      </c>
      <c r="C98" t="b">
        <f>DeemedDashboard[[#This Row],[Msr device type]]=const_userspec</f>
        <v>0</v>
      </c>
      <c r="D98" s="222"/>
      <c r="E98" s="223"/>
      <c r="F98" s="224"/>
      <c r="G98" s="225"/>
      <c r="H98" s="164" t="b">
        <f>DeemedDashboard[[#This Row],[Std device type]]=const_userspec</f>
        <v>0</v>
      </c>
      <c r="I98" s="222"/>
      <c r="J98" s="223"/>
      <c r="K98" s="224"/>
      <c r="L98" s="225"/>
      <c r="M98" s="164" t="b">
        <f>DeemedDashboard[[#This Row],[Pre/Ext device type]]=const_userspec</f>
        <v>0</v>
      </c>
      <c r="N98" s="222"/>
      <c r="O98" s="223"/>
      <c r="P98" s="224"/>
      <c r="Q98" s="225"/>
      <c r="R98" s="164" t="b">
        <f>User_Specified_Refrigerant[[#This Row],[User-specified mode for Pre device?]]</f>
        <v>0</v>
      </c>
      <c r="S98" s="227" t="str">
        <f>IF(ISBLANK(User_Specified_Refrigerant[[#This Row],[Pre Refrigerant charge (lbs) per NormUnit]]),"",User_Specified_Refrigerant[[#This Row],[Pre Refrigerant charge (lbs) per NormUnit]])</f>
        <v/>
      </c>
      <c r="T98" s="228" t="str">
        <f>IF(ISBLANK(User_Specified_Refrigerant[[#This Row],[Pre annual refrigerant leakage %]]),"",User_Specified_Refrigerant[[#This Row],[Pre annual refrigerant leakage %]])</f>
        <v/>
      </c>
      <c r="U98" s="229" t="str">
        <f>IF(ISBLANK(User_Specified_Refrigerant[[#This Row],[Pre t_EOL]]),"",User_Specified_Refrigerant[[#This Row],[Pre t_EOL]])</f>
        <v/>
      </c>
      <c r="V98" s="228" t="str">
        <f>IF(ISBLANK(User_Specified_Refrigerant[[#This Row],[Pre gross EOL refrigerant leakage %]]),"",User_Specified_Refrigerant[[#This Row],[Pre gross EOL refrigerant leakage %]])</f>
        <v/>
      </c>
    </row>
    <row r="99" spans="1:22" x14ac:dyDescent="0.25">
      <c r="A99" s="141">
        <f>ROW(User_Specified_Refrigerant[[#This Row],[Index]])-ROW(User_Specified_Refrigerant[[#Headers],[Index]])</f>
        <v>90</v>
      </c>
      <c r="B99" s="215" t="str">
        <f>IF(ISBLANK(DeemedDashboard[[#This Row],[Measure description]]),"",DeemedDashboard[[#This Row],[Measure description]])</f>
        <v/>
      </c>
      <c r="C99" t="b">
        <f>DeemedDashboard[[#This Row],[Msr device type]]=const_userspec</f>
        <v>0</v>
      </c>
      <c r="D99" s="222"/>
      <c r="E99" s="223"/>
      <c r="F99" s="224"/>
      <c r="G99" s="225"/>
      <c r="H99" s="164" t="b">
        <f>DeemedDashboard[[#This Row],[Std device type]]=const_userspec</f>
        <v>0</v>
      </c>
      <c r="I99" s="222"/>
      <c r="J99" s="223"/>
      <c r="K99" s="224"/>
      <c r="L99" s="225"/>
      <c r="M99" s="164" t="b">
        <f>DeemedDashboard[[#This Row],[Pre/Ext device type]]=const_userspec</f>
        <v>0</v>
      </c>
      <c r="N99" s="222"/>
      <c r="O99" s="223"/>
      <c r="P99" s="224"/>
      <c r="Q99" s="225"/>
      <c r="R99" s="164" t="b">
        <f>User_Specified_Refrigerant[[#This Row],[User-specified mode for Pre device?]]</f>
        <v>0</v>
      </c>
      <c r="S99" s="227" t="str">
        <f>IF(ISBLANK(User_Specified_Refrigerant[[#This Row],[Pre Refrigerant charge (lbs) per NormUnit]]),"",User_Specified_Refrigerant[[#This Row],[Pre Refrigerant charge (lbs) per NormUnit]])</f>
        <v/>
      </c>
      <c r="T99" s="228" t="str">
        <f>IF(ISBLANK(User_Specified_Refrigerant[[#This Row],[Pre annual refrigerant leakage %]]),"",User_Specified_Refrigerant[[#This Row],[Pre annual refrigerant leakage %]])</f>
        <v/>
      </c>
      <c r="U99" s="229" t="str">
        <f>IF(ISBLANK(User_Specified_Refrigerant[[#This Row],[Pre t_EOL]]),"",User_Specified_Refrigerant[[#This Row],[Pre t_EOL]])</f>
        <v/>
      </c>
      <c r="V99" s="228" t="str">
        <f>IF(ISBLANK(User_Specified_Refrigerant[[#This Row],[Pre gross EOL refrigerant leakage %]]),"",User_Specified_Refrigerant[[#This Row],[Pre gross EOL refrigerant leakage %]])</f>
        <v/>
      </c>
    </row>
    <row r="100" spans="1:22" x14ac:dyDescent="0.25">
      <c r="A100" s="141">
        <f>ROW(User_Specified_Refrigerant[[#This Row],[Index]])-ROW(User_Specified_Refrigerant[[#Headers],[Index]])</f>
        <v>91</v>
      </c>
      <c r="B100" s="215" t="str">
        <f>IF(ISBLANK(DeemedDashboard[[#This Row],[Measure description]]),"",DeemedDashboard[[#This Row],[Measure description]])</f>
        <v/>
      </c>
      <c r="C100" t="b">
        <f>DeemedDashboard[[#This Row],[Msr device type]]=const_userspec</f>
        <v>0</v>
      </c>
      <c r="D100" s="222"/>
      <c r="E100" s="223"/>
      <c r="F100" s="224"/>
      <c r="G100" s="225"/>
      <c r="H100" s="164" t="b">
        <f>DeemedDashboard[[#This Row],[Std device type]]=const_userspec</f>
        <v>0</v>
      </c>
      <c r="I100" s="222"/>
      <c r="J100" s="223"/>
      <c r="K100" s="224"/>
      <c r="L100" s="225"/>
      <c r="M100" s="164" t="b">
        <f>DeemedDashboard[[#This Row],[Pre/Ext device type]]=const_userspec</f>
        <v>0</v>
      </c>
      <c r="N100" s="222"/>
      <c r="O100" s="223"/>
      <c r="P100" s="224"/>
      <c r="Q100" s="225"/>
      <c r="R100" s="164" t="b">
        <f>User_Specified_Refrigerant[[#This Row],[User-specified mode for Pre device?]]</f>
        <v>0</v>
      </c>
      <c r="S100" s="227" t="str">
        <f>IF(ISBLANK(User_Specified_Refrigerant[[#This Row],[Pre Refrigerant charge (lbs) per NormUnit]]),"",User_Specified_Refrigerant[[#This Row],[Pre Refrigerant charge (lbs) per NormUnit]])</f>
        <v/>
      </c>
      <c r="T100" s="228" t="str">
        <f>IF(ISBLANK(User_Specified_Refrigerant[[#This Row],[Pre annual refrigerant leakage %]]),"",User_Specified_Refrigerant[[#This Row],[Pre annual refrigerant leakage %]])</f>
        <v/>
      </c>
      <c r="U100" s="229" t="str">
        <f>IF(ISBLANK(User_Specified_Refrigerant[[#This Row],[Pre t_EOL]]),"",User_Specified_Refrigerant[[#This Row],[Pre t_EOL]])</f>
        <v/>
      </c>
      <c r="V100" s="228" t="str">
        <f>IF(ISBLANK(User_Specified_Refrigerant[[#This Row],[Pre gross EOL refrigerant leakage %]]),"",User_Specified_Refrigerant[[#This Row],[Pre gross EOL refrigerant leakage %]])</f>
        <v/>
      </c>
    </row>
    <row r="101" spans="1:22" x14ac:dyDescent="0.25">
      <c r="A101" s="141">
        <f>ROW(User_Specified_Refrigerant[[#This Row],[Index]])-ROW(User_Specified_Refrigerant[[#Headers],[Index]])</f>
        <v>92</v>
      </c>
      <c r="B101" s="215" t="str">
        <f>IF(ISBLANK(DeemedDashboard[[#This Row],[Measure description]]),"",DeemedDashboard[[#This Row],[Measure description]])</f>
        <v/>
      </c>
      <c r="C101" t="b">
        <f>DeemedDashboard[[#This Row],[Msr device type]]=const_userspec</f>
        <v>0</v>
      </c>
      <c r="D101" s="222"/>
      <c r="E101" s="223"/>
      <c r="F101" s="224"/>
      <c r="G101" s="225"/>
      <c r="H101" s="164" t="b">
        <f>DeemedDashboard[[#This Row],[Std device type]]=const_userspec</f>
        <v>0</v>
      </c>
      <c r="I101" s="222"/>
      <c r="J101" s="223"/>
      <c r="K101" s="224"/>
      <c r="L101" s="225"/>
      <c r="M101" s="164" t="b">
        <f>DeemedDashboard[[#This Row],[Pre/Ext device type]]=const_userspec</f>
        <v>0</v>
      </c>
      <c r="N101" s="222"/>
      <c r="O101" s="223"/>
      <c r="P101" s="224"/>
      <c r="Q101" s="225"/>
      <c r="R101" s="164" t="b">
        <f>User_Specified_Refrigerant[[#This Row],[User-specified mode for Pre device?]]</f>
        <v>0</v>
      </c>
      <c r="S101" s="227" t="str">
        <f>IF(ISBLANK(User_Specified_Refrigerant[[#This Row],[Pre Refrigerant charge (lbs) per NormUnit]]),"",User_Specified_Refrigerant[[#This Row],[Pre Refrigerant charge (lbs) per NormUnit]])</f>
        <v/>
      </c>
      <c r="T101" s="228" t="str">
        <f>IF(ISBLANK(User_Specified_Refrigerant[[#This Row],[Pre annual refrigerant leakage %]]),"",User_Specified_Refrigerant[[#This Row],[Pre annual refrigerant leakage %]])</f>
        <v/>
      </c>
      <c r="U101" s="229" t="str">
        <f>IF(ISBLANK(User_Specified_Refrigerant[[#This Row],[Pre t_EOL]]),"",User_Specified_Refrigerant[[#This Row],[Pre t_EOL]])</f>
        <v/>
      </c>
      <c r="V101" s="228" t="str">
        <f>IF(ISBLANK(User_Specified_Refrigerant[[#This Row],[Pre gross EOL refrigerant leakage %]]),"",User_Specified_Refrigerant[[#This Row],[Pre gross EOL refrigerant leakage %]])</f>
        <v/>
      </c>
    </row>
    <row r="102" spans="1:22" x14ac:dyDescent="0.25">
      <c r="A102" s="141">
        <f>ROW(User_Specified_Refrigerant[[#This Row],[Index]])-ROW(User_Specified_Refrigerant[[#Headers],[Index]])</f>
        <v>93</v>
      </c>
      <c r="B102" s="215" t="str">
        <f>IF(ISBLANK(DeemedDashboard[[#This Row],[Measure description]]),"",DeemedDashboard[[#This Row],[Measure description]])</f>
        <v/>
      </c>
      <c r="C102" t="b">
        <f>DeemedDashboard[[#This Row],[Msr device type]]=const_userspec</f>
        <v>0</v>
      </c>
      <c r="D102" s="222"/>
      <c r="E102" s="223"/>
      <c r="F102" s="224"/>
      <c r="G102" s="225"/>
      <c r="H102" s="164" t="b">
        <f>DeemedDashboard[[#This Row],[Std device type]]=const_userspec</f>
        <v>0</v>
      </c>
      <c r="I102" s="222"/>
      <c r="J102" s="223"/>
      <c r="K102" s="224"/>
      <c r="L102" s="225"/>
      <c r="M102" s="164" t="b">
        <f>DeemedDashboard[[#This Row],[Pre/Ext device type]]=const_userspec</f>
        <v>0</v>
      </c>
      <c r="N102" s="222"/>
      <c r="O102" s="223"/>
      <c r="P102" s="224"/>
      <c r="Q102" s="225"/>
      <c r="R102" s="164" t="b">
        <f>User_Specified_Refrigerant[[#This Row],[User-specified mode for Pre device?]]</f>
        <v>0</v>
      </c>
      <c r="S102" s="227" t="str">
        <f>IF(ISBLANK(User_Specified_Refrigerant[[#This Row],[Pre Refrigerant charge (lbs) per NormUnit]]),"",User_Specified_Refrigerant[[#This Row],[Pre Refrigerant charge (lbs) per NormUnit]])</f>
        <v/>
      </c>
      <c r="T102" s="228" t="str">
        <f>IF(ISBLANK(User_Specified_Refrigerant[[#This Row],[Pre annual refrigerant leakage %]]),"",User_Specified_Refrigerant[[#This Row],[Pre annual refrigerant leakage %]])</f>
        <v/>
      </c>
      <c r="U102" s="229" t="str">
        <f>IF(ISBLANK(User_Specified_Refrigerant[[#This Row],[Pre t_EOL]]),"",User_Specified_Refrigerant[[#This Row],[Pre t_EOL]])</f>
        <v/>
      </c>
      <c r="V102" s="228" t="str">
        <f>IF(ISBLANK(User_Specified_Refrigerant[[#This Row],[Pre gross EOL refrigerant leakage %]]),"",User_Specified_Refrigerant[[#This Row],[Pre gross EOL refrigerant leakage %]])</f>
        <v/>
      </c>
    </row>
    <row r="103" spans="1:22" x14ac:dyDescent="0.25">
      <c r="A103" s="141">
        <f>ROW(User_Specified_Refrigerant[[#This Row],[Index]])-ROW(User_Specified_Refrigerant[[#Headers],[Index]])</f>
        <v>94</v>
      </c>
      <c r="B103" s="215" t="str">
        <f>IF(ISBLANK(DeemedDashboard[[#This Row],[Measure description]]),"",DeemedDashboard[[#This Row],[Measure description]])</f>
        <v/>
      </c>
      <c r="C103" t="b">
        <f>DeemedDashboard[[#This Row],[Msr device type]]=const_userspec</f>
        <v>0</v>
      </c>
      <c r="D103" s="222"/>
      <c r="E103" s="223"/>
      <c r="F103" s="224"/>
      <c r="G103" s="225"/>
      <c r="H103" s="164" t="b">
        <f>DeemedDashboard[[#This Row],[Std device type]]=const_userspec</f>
        <v>0</v>
      </c>
      <c r="I103" s="222"/>
      <c r="J103" s="223"/>
      <c r="K103" s="224"/>
      <c r="L103" s="225"/>
      <c r="M103" s="164" t="b">
        <f>DeemedDashboard[[#This Row],[Pre/Ext device type]]=const_userspec</f>
        <v>0</v>
      </c>
      <c r="N103" s="222"/>
      <c r="O103" s="223"/>
      <c r="P103" s="224"/>
      <c r="Q103" s="225"/>
      <c r="R103" s="164" t="b">
        <f>User_Specified_Refrigerant[[#This Row],[User-specified mode for Pre device?]]</f>
        <v>0</v>
      </c>
      <c r="S103" s="227" t="str">
        <f>IF(ISBLANK(User_Specified_Refrigerant[[#This Row],[Pre Refrigerant charge (lbs) per NormUnit]]),"",User_Specified_Refrigerant[[#This Row],[Pre Refrigerant charge (lbs) per NormUnit]])</f>
        <v/>
      </c>
      <c r="T103" s="228" t="str">
        <f>IF(ISBLANK(User_Specified_Refrigerant[[#This Row],[Pre annual refrigerant leakage %]]),"",User_Specified_Refrigerant[[#This Row],[Pre annual refrigerant leakage %]])</f>
        <v/>
      </c>
      <c r="U103" s="229" t="str">
        <f>IF(ISBLANK(User_Specified_Refrigerant[[#This Row],[Pre t_EOL]]),"",User_Specified_Refrigerant[[#This Row],[Pre t_EOL]])</f>
        <v/>
      </c>
      <c r="V103" s="228" t="str">
        <f>IF(ISBLANK(User_Specified_Refrigerant[[#This Row],[Pre gross EOL refrigerant leakage %]]),"",User_Specified_Refrigerant[[#This Row],[Pre gross EOL refrigerant leakage %]])</f>
        <v/>
      </c>
    </row>
    <row r="104" spans="1:22" x14ac:dyDescent="0.25">
      <c r="A104" s="141">
        <f>ROW(User_Specified_Refrigerant[[#This Row],[Index]])-ROW(User_Specified_Refrigerant[[#Headers],[Index]])</f>
        <v>95</v>
      </c>
      <c r="B104" s="215" t="str">
        <f>IF(ISBLANK(DeemedDashboard[[#This Row],[Measure description]]),"",DeemedDashboard[[#This Row],[Measure description]])</f>
        <v/>
      </c>
      <c r="C104" t="b">
        <f>DeemedDashboard[[#This Row],[Msr device type]]=const_userspec</f>
        <v>0</v>
      </c>
      <c r="D104" s="222"/>
      <c r="E104" s="223"/>
      <c r="F104" s="224"/>
      <c r="G104" s="225"/>
      <c r="H104" s="164" t="b">
        <f>DeemedDashboard[[#This Row],[Std device type]]=const_userspec</f>
        <v>0</v>
      </c>
      <c r="I104" s="222"/>
      <c r="J104" s="223"/>
      <c r="K104" s="224"/>
      <c r="L104" s="225"/>
      <c r="M104" s="164" t="b">
        <f>DeemedDashboard[[#This Row],[Pre/Ext device type]]=const_userspec</f>
        <v>0</v>
      </c>
      <c r="N104" s="222"/>
      <c r="O104" s="223"/>
      <c r="P104" s="224"/>
      <c r="Q104" s="225"/>
      <c r="R104" s="164" t="b">
        <f>User_Specified_Refrigerant[[#This Row],[User-specified mode for Pre device?]]</f>
        <v>0</v>
      </c>
      <c r="S104" s="227" t="str">
        <f>IF(ISBLANK(User_Specified_Refrigerant[[#This Row],[Pre Refrigerant charge (lbs) per NormUnit]]),"",User_Specified_Refrigerant[[#This Row],[Pre Refrigerant charge (lbs) per NormUnit]])</f>
        <v/>
      </c>
      <c r="T104" s="228" t="str">
        <f>IF(ISBLANK(User_Specified_Refrigerant[[#This Row],[Pre annual refrigerant leakage %]]),"",User_Specified_Refrigerant[[#This Row],[Pre annual refrigerant leakage %]])</f>
        <v/>
      </c>
      <c r="U104" s="229" t="str">
        <f>IF(ISBLANK(User_Specified_Refrigerant[[#This Row],[Pre t_EOL]]),"",User_Specified_Refrigerant[[#This Row],[Pre t_EOL]])</f>
        <v/>
      </c>
      <c r="V104" s="228" t="str">
        <f>IF(ISBLANK(User_Specified_Refrigerant[[#This Row],[Pre gross EOL refrigerant leakage %]]),"",User_Specified_Refrigerant[[#This Row],[Pre gross EOL refrigerant leakage %]])</f>
        <v/>
      </c>
    </row>
    <row r="105" spans="1:22" x14ac:dyDescent="0.25">
      <c r="A105" s="141">
        <f>ROW(User_Specified_Refrigerant[[#This Row],[Index]])-ROW(User_Specified_Refrigerant[[#Headers],[Index]])</f>
        <v>96</v>
      </c>
      <c r="B105" s="215" t="str">
        <f>IF(ISBLANK(DeemedDashboard[[#This Row],[Measure description]]),"",DeemedDashboard[[#This Row],[Measure description]])</f>
        <v/>
      </c>
      <c r="C105" t="b">
        <f>DeemedDashboard[[#This Row],[Msr device type]]=const_userspec</f>
        <v>0</v>
      </c>
      <c r="D105" s="222"/>
      <c r="E105" s="223"/>
      <c r="F105" s="224"/>
      <c r="G105" s="225"/>
      <c r="H105" s="164" t="b">
        <f>DeemedDashboard[[#This Row],[Std device type]]=const_userspec</f>
        <v>0</v>
      </c>
      <c r="I105" s="222"/>
      <c r="J105" s="223"/>
      <c r="K105" s="224"/>
      <c r="L105" s="225"/>
      <c r="M105" s="164" t="b">
        <f>DeemedDashboard[[#This Row],[Pre/Ext device type]]=const_userspec</f>
        <v>0</v>
      </c>
      <c r="N105" s="222"/>
      <c r="O105" s="223"/>
      <c r="P105" s="224"/>
      <c r="Q105" s="225"/>
      <c r="R105" s="164" t="b">
        <f>User_Specified_Refrigerant[[#This Row],[User-specified mode for Pre device?]]</f>
        <v>0</v>
      </c>
      <c r="S105" s="227" t="str">
        <f>IF(ISBLANK(User_Specified_Refrigerant[[#This Row],[Pre Refrigerant charge (lbs) per NormUnit]]),"",User_Specified_Refrigerant[[#This Row],[Pre Refrigerant charge (lbs) per NormUnit]])</f>
        <v/>
      </c>
      <c r="T105" s="228" t="str">
        <f>IF(ISBLANK(User_Specified_Refrigerant[[#This Row],[Pre annual refrigerant leakage %]]),"",User_Specified_Refrigerant[[#This Row],[Pre annual refrigerant leakage %]])</f>
        <v/>
      </c>
      <c r="U105" s="229" t="str">
        <f>IF(ISBLANK(User_Specified_Refrigerant[[#This Row],[Pre t_EOL]]),"",User_Specified_Refrigerant[[#This Row],[Pre t_EOL]])</f>
        <v/>
      </c>
      <c r="V105" s="228" t="str">
        <f>IF(ISBLANK(User_Specified_Refrigerant[[#This Row],[Pre gross EOL refrigerant leakage %]]),"",User_Specified_Refrigerant[[#This Row],[Pre gross EOL refrigerant leakage %]])</f>
        <v/>
      </c>
    </row>
    <row r="106" spans="1:22" x14ac:dyDescent="0.25">
      <c r="A106" s="141">
        <f>ROW(User_Specified_Refrigerant[[#This Row],[Index]])-ROW(User_Specified_Refrigerant[[#Headers],[Index]])</f>
        <v>97</v>
      </c>
      <c r="B106" s="215" t="str">
        <f>IF(ISBLANK(DeemedDashboard[[#This Row],[Measure description]]),"",DeemedDashboard[[#This Row],[Measure description]])</f>
        <v/>
      </c>
      <c r="C106" t="b">
        <f>DeemedDashboard[[#This Row],[Msr device type]]=const_userspec</f>
        <v>0</v>
      </c>
      <c r="D106" s="222"/>
      <c r="E106" s="223"/>
      <c r="F106" s="224"/>
      <c r="G106" s="225"/>
      <c r="H106" s="164" t="b">
        <f>DeemedDashboard[[#This Row],[Std device type]]=const_userspec</f>
        <v>0</v>
      </c>
      <c r="I106" s="222"/>
      <c r="J106" s="223"/>
      <c r="K106" s="224"/>
      <c r="L106" s="225"/>
      <c r="M106" s="164" t="b">
        <f>DeemedDashboard[[#This Row],[Pre/Ext device type]]=const_userspec</f>
        <v>0</v>
      </c>
      <c r="N106" s="222"/>
      <c r="O106" s="223"/>
      <c r="P106" s="224"/>
      <c r="Q106" s="225"/>
      <c r="R106" s="164" t="b">
        <f>User_Specified_Refrigerant[[#This Row],[User-specified mode for Pre device?]]</f>
        <v>0</v>
      </c>
      <c r="S106" s="227" t="str">
        <f>IF(ISBLANK(User_Specified_Refrigerant[[#This Row],[Pre Refrigerant charge (lbs) per NormUnit]]),"",User_Specified_Refrigerant[[#This Row],[Pre Refrigerant charge (lbs) per NormUnit]])</f>
        <v/>
      </c>
      <c r="T106" s="228" t="str">
        <f>IF(ISBLANK(User_Specified_Refrigerant[[#This Row],[Pre annual refrigerant leakage %]]),"",User_Specified_Refrigerant[[#This Row],[Pre annual refrigerant leakage %]])</f>
        <v/>
      </c>
      <c r="U106" s="229" t="str">
        <f>IF(ISBLANK(User_Specified_Refrigerant[[#This Row],[Pre t_EOL]]),"",User_Specified_Refrigerant[[#This Row],[Pre t_EOL]])</f>
        <v/>
      </c>
      <c r="V106" s="228" t="str">
        <f>IF(ISBLANK(User_Specified_Refrigerant[[#This Row],[Pre gross EOL refrigerant leakage %]]),"",User_Specified_Refrigerant[[#This Row],[Pre gross EOL refrigerant leakage %]])</f>
        <v/>
      </c>
    </row>
    <row r="107" spans="1:22" x14ac:dyDescent="0.25">
      <c r="A107" s="141">
        <f>ROW(User_Specified_Refrigerant[[#This Row],[Index]])-ROW(User_Specified_Refrigerant[[#Headers],[Index]])</f>
        <v>98</v>
      </c>
      <c r="B107" s="215" t="str">
        <f>IF(ISBLANK(DeemedDashboard[[#This Row],[Measure description]]),"",DeemedDashboard[[#This Row],[Measure description]])</f>
        <v/>
      </c>
      <c r="C107" t="b">
        <f>DeemedDashboard[[#This Row],[Msr device type]]=const_userspec</f>
        <v>0</v>
      </c>
      <c r="D107" s="222"/>
      <c r="E107" s="223"/>
      <c r="F107" s="224"/>
      <c r="G107" s="225"/>
      <c r="H107" s="164" t="b">
        <f>DeemedDashboard[[#This Row],[Std device type]]=const_userspec</f>
        <v>0</v>
      </c>
      <c r="I107" s="222"/>
      <c r="J107" s="223"/>
      <c r="K107" s="224"/>
      <c r="L107" s="225"/>
      <c r="M107" s="164" t="b">
        <f>DeemedDashboard[[#This Row],[Pre/Ext device type]]=const_userspec</f>
        <v>0</v>
      </c>
      <c r="N107" s="222"/>
      <c r="O107" s="223"/>
      <c r="P107" s="224"/>
      <c r="Q107" s="225"/>
      <c r="R107" s="164" t="b">
        <f>User_Specified_Refrigerant[[#This Row],[User-specified mode for Pre device?]]</f>
        <v>0</v>
      </c>
      <c r="S107" s="227" t="str">
        <f>IF(ISBLANK(User_Specified_Refrigerant[[#This Row],[Pre Refrigerant charge (lbs) per NormUnit]]),"",User_Specified_Refrigerant[[#This Row],[Pre Refrigerant charge (lbs) per NormUnit]])</f>
        <v/>
      </c>
      <c r="T107" s="228" t="str">
        <f>IF(ISBLANK(User_Specified_Refrigerant[[#This Row],[Pre annual refrigerant leakage %]]),"",User_Specified_Refrigerant[[#This Row],[Pre annual refrigerant leakage %]])</f>
        <v/>
      </c>
      <c r="U107" s="229" t="str">
        <f>IF(ISBLANK(User_Specified_Refrigerant[[#This Row],[Pre t_EOL]]),"",User_Specified_Refrigerant[[#This Row],[Pre t_EOL]])</f>
        <v/>
      </c>
      <c r="V107" s="228" t="str">
        <f>IF(ISBLANK(User_Specified_Refrigerant[[#This Row],[Pre gross EOL refrigerant leakage %]]),"",User_Specified_Refrigerant[[#This Row],[Pre gross EOL refrigerant leakage %]])</f>
        <v/>
      </c>
    </row>
    <row r="108" spans="1:22" x14ac:dyDescent="0.25">
      <c r="A108" s="141">
        <f>ROW(User_Specified_Refrigerant[[#This Row],[Index]])-ROW(User_Specified_Refrigerant[[#Headers],[Index]])</f>
        <v>99</v>
      </c>
      <c r="B108" s="215" t="str">
        <f>IF(ISBLANK(DeemedDashboard[[#This Row],[Measure description]]),"",DeemedDashboard[[#This Row],[Measure description]])</f>
        <v/>
      </c>
      <c r="C108" t="b">
        <f>DeemedDashboard[[#This Row],[Msr device type]]=const_userspec</f>
        <v>0</v>
      </c>
      <c r="D108" s="222"/>
      <c r="E108" s="223"/>
      <c r="F108" s="224"/>
      <c r="G108" s="225"/>
      <c r="H108" s="164" t="b">
        <f>DeemedDashboard[[#This Row],[Std device type]]=const_userspec</f>
        <v>0</v>
      </c>
      <c r="I108" s="222"/>
      <c r="J108" s="223"/>
      <c r="K108" s="224"/>
      <c r="L108" s="225"/>
      <c r="M108" s="164" t="b">
        <f>DeemedDashboard[[#This Row],[Pre/Ext device type]]=const_userspec</f>
        <v>0</v>
      </c>
      <c r="N108" s="222"/>
      <c r="O108" s="223"/>
      <c r="P108" s="224"/>
      <c r="Q108" s="225"/>
      <c r="R108" s="164" t="b">
        <f>User_Specified_Refrigerant[[#This Row],[User-specified mode for Pre device?]]</f>
        <v>0</v>
      </c>
      <c r="S108" s="227" t="str">
        <f>IF(ISBLANK(User_Specified_Refrigerant[[#This Row],[Pre Refrigerant charge (lbs) per NormUnit]]),"",User_Specified_Refrigerant[[#This Row],[Pre Refrigerant charge (lbs) per NormUnit]])</f>
        <v/>
      </c>
      <c r="T108" s="228" t="str">
        <f>IF(ISBLANK(User_Specified_Refrigerant[[#This Row],[Pre annual refrigerant leakage %]]),"",User_Specified_Refrigerant[[#This Row],[Pre annual refrigerant leakage %]])</f>
        <v/>
      </c>
      <c r="U108" s="229" t="str">
        <f>IF(ISBLANK(User_Specified_Refrigerant[[#This Row],[Pre t_EOL]]),"",User_Specified_Refrigerant[[#This Row],[Pre t_EOL]])</f>
        <v/>
      </c>
      <c r="V108" s="228" t="str">
        <f>IF(ISBLANK(User_Specified_Refrigerant[[#This Row],[Pre gross EOL refrigerant leakage %]]),"",User_Specified_Refrigerant[[#This Row],[Pre gross EOL refrigerant leakage %]])</f>
        <v/>
      </c>
    </row>
    <row r="109" spans="1:22" x14ac:dyDescent="0.25">
      <c r="A109" s="141">
        <f>ROW(User_Specified_Refrigerant[[#This Row],[Index]])-ROW(User_Specified_Refrigerant[[#Headers],[Index]])</f>
        <v>100</v>
      </c>
      <c r="B109" t="str">
        <f>IF(ISBLANK(DeemedDashboard[[#This Row],[Measure description]]),"",DeemedDashboard[[#This Row],[Measure description]])</f>
        <v/>
      </c>
      <c r="C109" t="b">
        <f>DeemedDashboard[[#This Row],[Msr device type]]=const_userspec</f>
        <v>0</v>
      </c>
      <c r="D109" s="143"/>
      <c r="E109" s="143"/>
      <c r="F109" s="143"/>
      <c r="G109" s="143"/>
      <c r="H109" s="164" t="b">
        <f>DeemedDashboard[[#This Row],[Std device type]]=const_userspec</f>
        <v>0</v>
      </c>
      <c r="I109" s="143"/>
      <c r="J109" s="143"/>
      <c r="K109" s="143"/>
      <c r="L109" s="143"/>
      <c r="M109" s="164" t="b">
        <f>DeemedDashboard[[#This Row],[Pre/Ext device type]]=const_userspec</f>
        <v>0</v>
      </c>
      <c r="N109" s="143"/>
      <c r="O109" s="143"/>
      <c r="P109" s="143"/>
      <c r="Q109" s="143"/>
      <c r="R109" s="164" t="b">
        <f>User_Specified_Refrigerant[[#This Row],[User-specified mode for Pre device?]]</f>
        <v>0</v>
      </c>
      <c r="S109" s="141" t="str">
        <f>IF(ISBLANK(User_Specified_Refrigerant[[#This Row],[Pre Refrigerant charge (lbs) per NormUnit]]),"",User_Specified_Refrigerant[[#This Row],[Pre Refrigerant charge (lbs) per NormUnit]])</f>
        <v/>
      </c>
      <c r="T109" s="226" t="str">
        <f>IF(ISBLANK(User_Specified_Refrigerant[[#This Row],[Pre annual refrigerant leakage %]]),"",User_Specified_Refrigerant[[#This Row],[Pre annual refrigerant leakage %]])</f>
        <v/>
      </c>
      <c r="U109" s="141" t="str">
        <f>IF(ISBLANK(User_Specified_Refrigerant[[#This Row],[Pre t_EOL]]),"",User_Specified_Refrigerant[[#This Row],[Pre t_EOL]])</f>
        <v/>
      </c>
      <c r="V109" s="221" t="str">
        <f>IF(ISBLANK(User_Specified_Refrigerant[[#This Row],[Pre gross EOL refrigerant leakage %]]),"",User_Specified_Refrigerant[[#This Row],[Pre gross EOL refrigerant leakage %]])</f>
        <v/>
      </c>
    </row>
    <row r="110" spans="1:22" x14ac:dyDescent="0.25">
      <c r="B110" s="141" cm="1">
        <f t="array" ref="B110">SUM(1*(LEN(User_Specified_Refrigerant[Measure description])&gt;0))</f>
        <v>0</v>
      </c>
      <c r="H110" s="164"/>
      <c r="M110" s="164"/>
      <c r="N110"/>
      <c r="R110" s="164"/>
      <c r="T110"/>
    </row>
  </sheetData>
  <sheetProtection algorithmName="SHA-512" hashValue="+AdXWsbZac3xCO4SSSybmVZiYBifX291DcXgb2wZLDaAY3Z+YzVhG2pevsWdm0coMv/u/OrcttA89dU8KGMdXQ==" saltValue="KSQ5qLKQHEWA94ZSQk1E7Q==" spinCount="100000" sheet="1" formatColumns="0" insertRows="0" autoFilter="0"/>
  <mergeCells count="8">
    <mergeCell ref="S3:V3"/>
    <mergeCell ref="S4:V7"/>
    <mergeCell ref="D3:G3"/>
    <mergeCell ref="I3:L3"/>
    <mergeCell ref="I4:L7"/>
    <mergeCell ref="N3:Q3"/>
    <mergeCell ref="N4:Q7"/>
    <mergeCell ref="D4:G7"/>
  </mergeCells>
  <conditionalFormatting sqref="C10:C109">
    <cfRule type="expression" dxfId="15" priority="1">
      <formula>C10=TRUE</formula>
    </cfRule>
  </conditionalFormatting>
  <dataValidations count="1">
    <dataValidation type="whole" allowBlank="1" showInputMessage="1" showErrorMessage="1" sqref="G10:G109 Q10:Q109 L10:L109" xr:uid="{046E57FC-69B3-4ACE-84EF-D564BEB65DCC}">
      <formula1>0</formula1>
      <formula2>30</formula2>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432B-D5F9-4A95-BCF2-E469FCCF8700}">
  <sheetPr codeName="Sheet14">
    <tabColor theme="3" tint="0.59999389629810485"/>
  </sheetPr>
  <dimension ref="A1"/>
  <sheetViews>
    <sheetView workbookViewId="0"/>
  </sheetViews>
  <sheetFormatPr defaultRowHeight="15" x14ac:dyDescent="0.25"/>
  <cols>
    <col min="1" max="16384" width="9.140625" style="197"/>
  </cols>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B868-BA2E-4A2F-B3B2-F3953225CAD1}">
  <sheetPr codeName="Sheet5">
    <tabColor theme="3" tint="0.39997558519241921"/>
  </sheetPr>
  <dimension ref="A1:AM41"/>
  <sheetViews>
    <sheetView zoomScale="80" zoomScaleNormal="80" workbookViewId="0">
      <pane xSplit="3" ySplit="11" topLeftCell="D12" activePane="bottomRight" state="frozen"/>
      <selection pane="topRight" activeCell="D1" sqref="D1"/>
      <selection pane="bottomLeft" activeCell="A12" sqref="A12"/>
      <selection pane="bottomRight" activeCell="D12" sqref="D12"/>
    </sheetView>
  </sheetViews>
  <sheetFormatPr defaultRowHeight="15" x14ac:dyDescent="0.25"/>
  <cols>
    <col min="1" max="1" width="9.140625" style="259"/>
    <col min="2" max="2" width="30.28515625" style="259" customWidth="1"/>
    <col min="3" max="3" width="49.140625" style="259" customWidth="1"/>
    <col min="4" max="4" width="19.42578125" style="259" customWidth="1"/>
    <col min="5" max="5" width="18.7109375" style="282" customWidth="1"/>
    <col min="6" max="6" width="43.85546875" style="259" customWidth="1"/>
    <col min="7" max="7" width="14.5703125" style="259" customWidth="1"/>
    <col min="8" max="9" width="8.7109375" style="259" bestFit="1" customWidth="1"/>
    <col min="10" max="10" width="8.28515625" style="259" bestFit="1" customWidth="1"/>
    <col min="11" max="13" width="9.140625" style="259"/>
    <col min="14" max="14" width="26.7109375" style="259" bestFit="1" customWidth="1"/>
    <col min="15" max="15" width="8.140625" style="259" customWidth="1"/>
    <col min="16" max="16" width="9.140625" style="259"/>
    <col min="17" max="17" width="13.42578125" style="259" customWidth="1"/>
    <col min="18" max="36" width="22" style="259" customWidth="1"/>
    <col min="37" max="16384" width="9.140625" style="259"/>
  </cols>
  <sheetData>
    <row r="1" spans="1:39" x14ac:dyDescent="0.25">
      <c r="A1" s="259">
        <v>1</v>
      </c>
      <c r="B1" s="259">
        <v>2</v>
      </c>
    </row>
    <row r="2" spans="1:39" ht="20.25" thickBot="1" x14ac:dyDescent="0.3">
      <c r="B2" s="258" t="s">
        <v>177</v>
      </c>
      <c r="C2" s="258"/>
    </row>
    <row r="3" spans="1:39" ht="15.75" thickTop="1" x14ac:dyDescent="0.25">
      <c r="B3" s="529" t="s">
        <v>178</v>
      </c>
      <c r="C3" s="529"/>
      <c r="D3" s="529"/>
      <c r="E3" s="529"/>
      <c r="F3" s="530" t="s">
        <v>179</v>
      </c>
      <c r="G3" s="531"/>
      <c r="M3" s="536" t="s">
        <v>180</v>
      </c>
      <c r="N3" s="536"/>
      <c r="O3" s="536"/>
      <c r="P3" s="536"/>
      <c r="Q3" s="536"/>
    </row>
    <row r="4" spans="1:39" x14ac:dyDescent="0.25">
      <c r="B4" s="529"/>
      <c r="C4" s="529"/>
      <c r="D4" s="529"/>
      <c r="E4" s="529"/>
      <c r="F4" s="532"/>
      <c r="G4" s="533"/>
      <c r="M4" s="536"/>
      <c r="N4" s="536"/>
      <c r="O4" s="536"/>
      <c r="P4" s="536"/>
      <c r="Q4" s="536"/>
    </row>
    <row r="5" spans="1:39" x14ac:dyDescent="0.25">
      <c r="B5" s="529"/>
      <c r="C5" s="529"/>
      <c r="D5" s="529"/>
      <c r="E5" s="529"/>
      <c r="F5" s="532"/>
      <c r="G5" s="533"/>
      <c r="M5" s="536"/>
      <c r="N5" s="536"/>
      <c r="O5" s="536"/>
      <c r="P5" s="536"/>
      <c r="Q5" s="536"/>
    </row>
    <row r="6" spans="1:39" x14ac:dyDescent="0.25">
      <c r="B6" s="529"/>
      <c r="C6" s="529"/>
      <c r="D6" s="529"/>
      <c r="E6" s="529"/>
      <c r="F6" s="532"/>
      <c r="G6" s="533"/>
      <c r="M6" s="536" t="s">
        <v>181</v>
      </c>
      <c r="N6" s="536"/>
      <c r="O6" s="536"/>
      <c r="P6" s="536"/>
      <c r="Q6" s="536"/>
    </row>
    <row r="7" spans="1:39" x14ac:dyDescent="0.25">
      <c r="B7" s="529"/>
      <c r="C7" s="529"/>
      <c r="D7" s="529"/>
      <c r="E7" s="529"/>
      <c r="F7" s="532"/>
      <c r="G7" s="533"/>
      <c r="M7" s="536"/>
      <c r="N7" s="536"/>
      <c r="O7" s="536"/>
      <c r="P7" s="536"/>
      <c r="Q7" s="536"/>
    </row>
    <row r="8" spans="1:39" x14ac:dyDescent="0.25">
      <c r="B8" s="529"/>
      <c r="C8" s="529"/>
      <c r="D8" s="529"/>
      <c r="E8" s="529"/>
      <c r="F8" s="532"/>
      <c r="G8" s="533"/>
      <c r="M8" s="536"/>
      <c r="N8" s="536"/>
      <c r="O8" s="536"/>
      <c r="P8" s="536"/>
      <c r="Q8" s="536"/>
    </row>
    <row r="9" spans="1:39" x14ac:dyDescent="0.25">
      <c r="B9" s="529"/>
      <c r="C9" s="529"/>
      <c r="D9" s="529"/>
      <c r="E9" s="529"/>
      <c r="F9" s="534"/>
      <c r="G9" s="535"/>
    </row>
    <row r="10" spans="1:39" ht="15.75" thickBot="1" x14ac:dyDescent="0.3"/>
    <row r="11" spans="1:39" ht="45.75" thickBot="1" x14ac:dyDescent="0.3">
      <c r="B11" s="260" t="s">
        <v>93</v>
      </c>
      <c r="C11" s="260" t="s">
        <v>182</v>
      </c>
      <c r="D11" s="260" t="s">
        <v>183</v>
      </c>
      <c r="E11" s="283" t="s">
        <v>184</v>
      </c>
      <c r="F11" s="260" t="s">
        <v>185</v>
      </c>
      <c r="G11" s="260" t="s">
        <v>186</v>
      </c>
      <c r="H11" s="260" t="s">
        <v>187</v>
      </c>
      <c r="I11" s="260" t="s">
        <v>188</v>
      </c>
      <c r="M11" s="261" t="s">
        <v>189</v>
      </c>
      <c r="N11" s="262" t="s">
        <v>190</v>
      </c>
      <c r="O11" s="262" t="s">
        <v>94</v>
      </c>
      <c r="P11" s="263" t="s">
        <v>95</v>
      </c>
      <c r="Q11" s="379" t="s">
        <v>889</v>
      </c>
      <c r="R11" s="375" t="s">
        <v>191</v>
      </c>
      <c r="S11" s="375"/>
      <c r="T11" s="375"/>
      <c r="U11" s="375"/>
      <c r="V11" s="375"/>
      <c r="W11" s="375"/>
      <c r="X11" s="375"/>
      <c r="Y11" s="375"/>
      <c r="Z11" s="375"/>
      <c r="AA11" s="375"/>
      <c r="AB11" s="375"/>
      <c r="AC11" s="375"/>
      <c r="AD11" s="375"/>
      <c r="AE11" s="375"/>
      <c r="AF11" s="375"/>
      <c r="AG11" s="375"/>
      <c r="AH11" s="375"/>
      <c r="AI11" s="375"/>
      <c r="AJ11" s="375"/>
      <c r="AK11" s="376"/>
    </row>
    <row r="12" spans="1:39" ht="15.75" thickBot="1" x14ac:dyDescent="0.3">
      <c r="B12" s="260" t="str">
        <f>const_tg_none</f>
        <v xml:space="preserve"> Other / Not specified</v>
      </c>
      <c r="C12" s="264" t="str">
        <f>const_device_nonrefrig</f>
        <v>Non-refrigerant equipment</v>
      </c>
      <c r="D12" s="265" t="s">
        <v>192</v>
      </c>
      <c r="E12" s="284">
        <v>0</v>
      </c>
      <c r="F12" s="260" t="s">
        <v>192</v>
      </c>
      <c r="G12" s="267">
        <f>IFERROR(INDEX(q_ann,MATCH(TechGroup_NormUnit_Table[[#This Row],[LeakageLookupKey]],Dropdown_Leakage_Device_Type,0)),0)</f>
        <v>0</v>
      </c>
      <c r="H12" s="267">
        <f>IFERROR(INDEX(q_EOL,MATCH(TechGroup_NormUnit_Table[[#This Row],[LeakageLookupKey]],Dropdown_Leakage_Device_Type,0)),0)</f>
        <v>0</v>
      </c>
      <c r="I12" s="268">
        <f>IFERROR(INDEX(t_EOL,MATCH(TechGroup_NormUnit_Table[[#This Row],[LeakageLookupKey]],Dropdown_Leakage_Device_Type,0)),0)</f>
        <v>0</v>
      </c>
      <c r="M12" s="269">
        <f>COUNTA($N$12:$N$41)</f>
        <v>7</v>
      </c>
      <c r="N12" s="271" t="str">
        <f>""</f>
        <v/>
      </c>
      <c r="O12" s="270">
        <f>ROW($N12)-ROW($N$11)</f>
        <v>1</v>
      </c>
      <c r="P12" s="372" cm="1">
        <f t="array" ref="P12">1+COUNTA(_xlfn.UNIQUE(_xlfn._xlws.FILTER(TechGroup_NormUnit_Table[DropdownRefrigTech],TechGroup_NormUnit_Table[TechGroup and NormUnit]=N12)))</f>
        <v>2</v>
      </c>
      <c r="Q12" s="380" t="str">
        <f>""</f>
        <v/>
      </c>
      <c r="R12" s="272" t="str">
        <f>""</f>
        <v/>
      </c>
      <c r="S12" s="259" t="s">
        <v>193</v>
      </c>
      <c r="U12" s="272"/>
      <c r="V12" s="272"/>
      <c r="W12" s="272"/>
      <c r="X12" s="272"/>
      <c r="Y12" s="272"/>
      <c r="Z12" s="272"/>
      <c r="AA12" s="272"/>
      <c r="AB12" s="272"/>
      <c r="AC12" s="272"/>
      <c r="AD12" s="272"/>
      <c r="AE12" s="272"/>
      <c r="AF12" s="272"/>
      <c r="AG12" s="272"/>
      <c r="AH12" s="272"/>
      <c r="AI12" s="272"/>
      <c r="AJ12" s="272"/>
      <c r="AK12" s="272"/>
      <c r="AL12" s="273"/>
      <c r="AM12" s="260"/>
    </row>
    <row r="13" spans="1:39" ht="30" x14ac:dyDescent="0.25">
      <c r="B13" s="259" t="s">
        <v>194</v>
      </c>
      <c r="C13" s="264" t="s">
        <v>195</v>
      </c>
      <c r="D13" s="265" t="s">
        <v>196</v>
      </c>
      <c r="E13" s="284">
        <v>0.88200000000000001</v>
      </c>
      <c r="F13" s="260" t="s">
        <v>197</v>
      </c>
      <c r="G13" s="274">
        <f>IFERROR(INDEX(q_ann,MATCH(TechGroup_NormUnit_Table[[#This Row],[LeakageLookupKey]],Dropdown_Leakage_Device_Type,0)),0)</f>
        <v>0.01</v>
      </c>
      <c r="H13" s="274">
        <f>IFERROR(INDEX(q_EOL,MATCH(TechGroup_NormUnit_Table[[#This Row],[LeakageLookupKey]],Dropdown_Leakage_Device_Type,0)),0)</f>
        <v>1</v>
      </c>
      <c r="I13" s="275">
        <f>IFERROR(INDEX(t_EOL,MATCH(TechGroup_NormUnit_Table[[#This Row],[LeakageLookupKey]],Dropdown_Leakage_Device_Type,0)),0)</f>
        <v>14</v>
      </c>
      <c r="N13" s="276" t="str" cm="1">
        <f t="array" ref="N13:N18">_xlfn._xlws.SORT(_xlfn.UNIQUE(TechGroup_NormUnit_Table[TechGroup and NormUnit]))</f>
        <v xml:space="preserve"> Other / Not specified</v>
      </c>
      <c r="O13" s="259">
        <f t="shared" ref="O13:O41" si="0">ROW($N13)-ROW($N$11)</f>
        <v>2</v>
      </c>
      <c r="P13" s="373">
        <f>1+COUNTA(_xlfn.ANCHORARRAY(S13))</f>
        <v>2</v>
      </c>
      <c r="Q13" s="381" t="str">
        <f>""</f>
        <v/>
      </c>
      <c r="R13" s="374" t="str">
        <f t="shared" ref="R13:R41" si="1">const_userspec</f>
        <v>User specified</v>
      </c>
      <c r="S13" s="260" t="str" cm="1">
        <f t="array" ref="S13">IFERROR(TRANSPOSE(_xlfn.UNIQUE(_xlfn._xlws.FILTER(TechGroup_NormUnit_Table[DropdownRefrigTech],TechGroup_NormUnit_Table[TechGroup and NormUnit]=N13))),"")</f>
        <v>Non-refrigerant equipment</v>
      </c>
      <c r="T13" s="260"/>
      <c r="U13" s="260"/>
      <c r="V13" s="260"/>
      <c r="W13" s="260"/>
      <c r="X13" s="260"/>
      <c r="Y13" s="260"/>
      <c r="Z13" s="260"/>
      <c r="AA13" s="260"/>
      <c r="AB13" s="260"/>
      <c r="AC13" s="260"/>
      <c r="AD13" s="260"/>
      <c r="AE13" s="260"/>
      <c r="AF13" s="260"/>
      <c r="AG13" s="260"/>
      <c r="AH13" s="260"/>
      <c r="AI13" s="260"/>
      <c r="AJ13" s="260"/>
      <c r="AK13" s="260"/>
      <c r="AL13" s="277"/>
      <c r="AM13" s="260"/>
    </row>
    <row r="14" spans="1:39" ht="45" x14ac:dyDescent="0.25">
      <c r="B14" s="259" t="s">
        <v>194</v>
      </c>
      <c r="C14" s="264" t="s">
        <v>198</v>
      </c>
      <c r="D14" s="265" t="s">
        <v>192</v>
      </c>
      <c r="E14" s="284">
        <v>0</v>
      </c>
      <c r="F14" s="260" t="s">
        <v>192</v>
      </c>
      <c r="G14" s="274">
        <f>IFERROR(INDEX(q_ann,MATCH(TechGroup_NormUnit_Table[[#This Row],[LeakageLookupKey]],Dropdown_Leakage_Device_Type,0)),0)</f>
        <v>0</v>
      </c>
      <c r="H14" s="274">
        <f>IFERROR(INDEX(q_EOL,MATCH(TechGroup_NormUnit_Table[[#This Row],[LeakageLookupKey]],Dropdown_Leakage_Device_Type,0)),0)</f>
        <v>0</v>
      </c>
      <c r="I14" s="275">
        <f>IFERROR(INDEX(t_EOL,MATCH(TechGroup_NormUnit_Table[[#This Row],[LeakageLookupKey]],Dropdown_Leakage_Device_Type,0)),0)</f>
        <v>0</v>
      </c>
      <c r="N14" s="276" t="str">
        <v>Clothes dryer, each</v>
      </c>
      <c r="O14" s="259">
        <f t="shared" si="0"/>
        <v>3</v>
      </c>
      <c r="P14" s="373">
        <f t="shared" ref="P14:P41" si="2">1+COUNTA(_xlfn.ANCHORARRAY(S14))</f>
        <v>4</v>
      </c>
      <c r="Q14" s="382" t="str">
        <f>""</f>
        <v/>
      </c>
      <c r="R14" s="374" t="str">
        <f t="shared" si="1"/>
        <v>User specified</v>
      </c>
      <c r="S14" s="260" t="str" cm="1">
        <f t="array" ref="S14:U14">IFERROR(TRANSPOSE(_xlfn.UNIQUE(_xlfn._xlws.FILTER(TechGroup_NormUnit_Table[DropdownRefrigTech],TechGroup_NormUnit_Table[TechGroup and NormUnit]=N14))),"")</f>
        <v>Clothes Dryer, Residential - Heat Pump</v>
      </c>
      <c r="T14" s="260" t="str">
        <v>Clothes Dryer, Residential - Conventional Electric</v>
      </c>
      <c r="U14" s="260" t="str">
        <v>Clothes Dryer, Residential - Conventional Gas</v>
      </c>
      <c r="V14" s="260"/>
      <c r="W14" s="260"/>
      <c r="X14" s="260"/>
      <c r="Y14" s="260"/>
      <c r="Z14" s="260"/>
      <c r="AA14" s="260"/>
      <c r="AB14" s="260"/>
      <c r="AC14" s="260"/>
      <c r="AD14" s="260"/>
      <c r="AE14" s="260"/>
      <c r="AF14" s="260"/>
      <c r="AG14" s="260"/>
      <c r="AH14" s="260"/>
      <c r="AI14" s="260"/>
      <c r="AJ14" s="260"/>
      <c r="AK14" s="260"/>
      <c r="AL14" s="277"/>
      <c r="AM14" s="260"/>
    </row>
    <row r="15" spans="1:39" ht="60" x14ac:dyDescent="0.25">
      <c r="B15" s="259" t="s">
        <v>194</v>
      </c>
      <c r="C15" s="264" t="s">
        <v>199</v>
      </c>
      <c r="D15" s="265" t="s">
        <v>192</v>
      </c>
      <c r="E15" s="284">
        <v>0</v>
      </c>
      <c r="F15" s="260" t="s">
        <v>192</v>
      </c>
      <c r="G15" s="274">
        <f>IFERROR(INDEX(q_ann,MATCH(TechGroup_NormUnit_Table[[#This Row],[LeakageLookupKey]],Dropdown_Leakage_Device_Type,0)),0)</f>
        <v>0</v>
      </c>
      <c r="H15" s="274">
        <f>IFERROR(INDEX(q_EOL,MATCH(TechGroup_NormUnit_Table[[#This Row],[LeakageLookupKey]],Dropdown_Leakage_Device_Type,0)),0)</f>
        <v>0</v>
      </c>
      <c r="I15" s="275">
        <f>IFERROR(INDEX(t_EOL,MATCH(TechGroup_NormUnit_Table[[#This Row],[LeakageLookupKey]],Dropdown_Leakage_Device_Type,0)),0)</f>
        <v>0</v>
      </c>
      <c r="N15" s="276" t="str">
        <v>HVAC, Cap-ton</v>
      </c>
      <c r="O15" s="259">
        <f t="shared" si="0"/>
        <v>4</v>
      </c>
      <c r="P15" s="373">
        <f t="shared" si="2"/>
        <v>13</v>
      </c>
      <c r="Q15" s="382" t="str">
        <f>""</f>
        <v/>
      </c>
      <c r="R15" s="374" t="str">
        <f t="shared" si="1"/>
        <v>User specified</v>
      </c>
      <c r="S15" s="260" t="str" cm="1">
        <f t="array" ref="S15:AD15">IFERROR(TRANSPOSE(_xlfn.UNIQUE(_xlfn._xlws.FILTER(TechGroup_NormUnit_Table[DropdownRefrigTech],TechGroup_NormUnit_Table[TechGroup and NormUnit]=N15))),"")</f>
        <v>Ductless HVAC, Residential - AC and Resistance Heating</v>
      </c>
      <c r="T15" s="260" t="str">
        <v>Ductless HVAC, Residential - Heat Pump</v>
      </c>
      <c r="U15" s="260" t="str">
        <v>Ductless HVAC, Residential - Window AC and Wall Furnace</v>
      </c>
      <c r="V15" s="260" t="str">
        <v>Ductless HVAC, Residential - Wall Furnace</v>
      </c>
      <c r="W15" s="260" t="str">
        <v>Central HVAC, Residential - Gas Furnace only</v>
      </c>
      <c r="X15" s="260" t="str">
        <v>Unitary Air-Cooled HVAC, Commercial - Gas Furnace only</v>
      </c>
      <c r="Y15" s="260" t="str">
        <v>Central HVAC, Residential - Heat Pump</v>
      </c>
      <c r="Z15" s="260" t="str">
        <v>Central HVAC, Residential - AC and Gas Furnace</v>
      </c>
      <c r="AA15" s="260" t="str">
        <v>Unitary Air-Cooled HVAC, Commercial - Heat Pump (&lt; 135 kBtuh)</v>
      </c>
      <c r="AB15" s="260" t="str">
        <v>Unitary Air-Cooled HVAC, Commercial - AC and Gas Furnace (&lt; 135 kBtuh)</v>
      </c>
      <c r="AC15" s="260" t="str">
        <v>Unitary Air-Cooled HVAC, Commercial - Heat Pump (&gt;= 135 kBTUh)</v>
      </c>
      <c r="AD15" s="260" t="str">
        <v>Unitary Air-Cooled HVAC, Commercial - AC and Gas Furnace (&gt;= 135 kBTUh)</v>
      </c>
      <c r="AE15" s="260"/>
      <c r="AF15" s="260"/>
      <c r="AG15" s="260"/>
      <c r="AH15" s="260"/>
      <c r="AI15" s="260"/>
      <c r="AJ15" s="260"/>
      <c r="AK15" s="260"/>
      <c r="AL15" s="277"/>
      <c r="AM15" s="260"/>
    </row>
    <row r="16" spans="1:39" ht="45" x14ac:dyDescent="0.25">
      <c r="B16" s="259" t="s">
        <v>200</v>
      </c>
      <c r="C16" s="264" t="s">
        <v>201</v>
      </c>
      <c r="D16" s="265" t="s">
        <v>202</v>
      </c>
      <c r="E16" s="284">
        <v>3.2</v>
      </c>
      <c r="F16" s="260" t="s">
        <v>212</v>
      </c>
      <c r="G16" s="274">
        <f>IFERROR(INDEX(q_ann,MATCH(TechGroup_NormUnit_Table[[#This Row],[LeakageLookupKey]],Dropdown_Leakage_Device_Type,0)),0)</f>
        <v>0.05</v>
      </c>
      <c r="H16" s="274">
        <f>IFERROR(INDEX(q_EOL,MATCH(TechGroup_NormUnit_Table[[#This Row],[LeakageLookupKey]],Dropdown_Leakage_Device_Type,0)),0)</f>
        <v>0.8</v>
      </c>
      <c r="I16" s="275">
        <f>IFERROR(INDEX(t_EOL,MATCH(TechGroup_NormUnit_Table[[#This Row],[LeakageLookupKey]],Dropdown_Leakage_Device_Type,0)),0)</f>
        <v>3</v>
      </c>
      <c r="N16" s="276" t="str">
        <v>Pool heater, each</v>
      </c>
      <c r="O16" s="259">
        <f t="shared" si="0"/>
        <v>5</v>
      </c>
      <c r="P16" s="373">
        <f t="shared" si="2"/>
        <v>3</v>
      </c>
      <c r="Q16" s="382" t="str">
        <f>""</f>
        <v/>
      </c>
      <c r="R16" s="374" t="str">
        <f t="shared" si="1"/>
        <v>User specified</v>
      </c>
      <c r="S16" s="260" t="str" cm="1">
        <f t="array" ref="S16:T16">IFERROR(TRANSPOSE(_xlfn.UNIQUE(_xlfn._xlws.FILTER(TechGroup_NormUnit_Table[DropdownRefrigTech],TechGroup_NormUnit_Table[TechGroup and NormUnit]=N16))),"")</f>
        <v>Pool Heater, Residential - Heat Pump</v>
      </c>
      <c r="T16" s="260" t="str">
        <v>Pool Heater, Residential - Natural Gas</v>
      </c>
      <c r="U16" s="260"/>
      <c r="V16" s="260"/>
      <c r="W16" s="260"/>
      <c r="X16" s="260"/>
      <c r="Y16" s="260"/>
      <c r="Z16" s="260"/>
      <c r="AA16" s="260"/>
      <c r="AB16" s="260"/>
      <c r="AC16" s="260"/>
      <c r="AD16" s="260"/>
      <c r="AE16" s="260"/>
      <c r="AF16" s="260"/>
      <c r="AG16" s="260"/>
      <c r="AH16" s="260"/>
      <c r="AI16" s="260"/>
      <c r="AJ16" s="260"/>
      <c r="AK16" s="260"/>
      <c r="AL16" s="277"/>
      <c r="AM16" s="260"/>
    </row>
    <row r="17" spans="2:39" ht="45" x14ac:dyDescent="0.25">
      <c r="B17" s="259" t="s">
        <v>200</v>
      </c>
      <c r="C17" s="264" t="s">
        <v>204</v>
      </c>
      <c r="D17" s="265" t="s">
        <v>202</v>
      </c>
      <c r="E17" s="284">
        <v>3.5</v>
      </c>
      <c r="F17" s="260" t="s">
        <v>205</v>
      </c>
      <c r="G17" s="274">
        <f>IFERROR(INDEX(q_ann,MATCH(TechGroup_NormUnit_Table[[#This Row],[LeakageLookupKey]],Dropdown_Leakage_Device_Type,0)),0)</f>
        <v>5.2999999999999999E-2</v>
      </c>
      <c r="H17" s="274">
        <f>IFERROR(INDEX(q_EOL,MATCH(TechGroup_NormUnit_Table[[#This Row],[LeakageLookupKey]],Dropdown_Leakage_Device_Type,0)),0)</f>
        <v>0.8</v>
      </c>
      <c r="I17" s="275">
        <f>IFERROR(INDEX(t_EOL,MATCH(TechGroup_NormUnit_Table[[#This Row],[LeakageLookupKey]],Dropdown_Leakage_Device_Type,0)),0)</f>
        <v>3</v>
      </c>
      <c r="N17" s="276" t="str">
        <v>Water heater, CapOut-kBtuh</v>
      </c>
      <c r="O17" s="259">
        <f t="shared" si="0"/>
        <v>6</v>
      </c>
      <c r="P17" s="373">
        <f t="shared" si="2"/>
        <v>3</v>
      </c>
      <c r="Q17" s="382" t="str">
        <f>""</f>
        <v/>
      </c>
      <c r="R17" s="374" t="str">
        <f t="shared" si="1"/>
        <v>User specified</v>
      </c>
      <c r="S17" s="260" t="str" cm="1">
        <f t="array" ref="S17:T17">IFERROR(TRANSPOSE(_xlfn.UNIQUE(_xlfn._xlws.FILTER(TechGroup_NormUnit_Table[DropdownRefrigTech],TechGroup_NormUnit_Table[TechGroup and NormUnit]=N17))),"")</f>
        <v>Large Water Heater, Multifamily/Commercial - Heat Pump</v>
      </c>
      <c r="T17" s="260" t="str">
        <v>Large Water Heater, Multifamily/Commercial - Natural Gas</v>
      </c>
      <c r="U17" s="260"/>
      <c r="V17" s="260"/>
      <c r="W17" s="260"/>
      <c r="X17" s="260"/>
      <c r="Y17" s="260"/>
      <c r="Z17" s="260"/>
      <c r="AA17" s="260"/>
      <c r="AB17" s="260"/>
      <c r="AC17" s="260"/>
      <c r="AD17" s="260"/>
      <c r="AE17" s="260"/>
      <c r="AF17" s="260"/>
      <c r="AG17" s="260"/>
      <c r="AH17" s="260"/>
      <c r="AI17" s="260"/>
      <c r="AJ17" s="260"/>
      <c r="AK17" s="260"/>
      <c r="AL17" s="277"/>
      <c r="AM17" s="260"/>
    </row>
    <row r="18" spans="2:39" ht="45" x14ac:dyDescent="0.25">
      <c r="B18" s="259" t="s">
        <v>200</v>
      </c>
      <c r="C18" s="264" t="s">
        <v>206</v>
      </c>
      <c r="D18" s="265" t="s">
        <v>202</v>
      </c>
      <c r="E18" s="367">
        <v>1.54</v>
      </c>
      <c r="F18" s="260" t="s">
        <v>203</v>
      </c>
      <c r="G18" s="274">
        <f>IFERROR(INDEX(q_ann,MATCH(TechGroup_NormUnit_Table[[#This Row],[LeakageLookupKey]],Dropdown_Leakage_Device_Type,0)),0)</f>
        <v>0.02</v>
      </c>
      <c r="H18" s="274">
        <f>IFERROR(INDEX(q_EOL,MATCH(TechGroup_NormUnit_Table[[#This Row],[LeakageLookupKey]],Dropdown_Leakage_Device_Type,0)),0)</f>
        <v>0.98499999999999999</v>
      </c>
      <c r="I18" s="275">
        <f>IFERROR(INDEX(t_EOL,MATCH(TechGroup_NormUnit_Table[[#This Row],[LeakageLookupKey]],Dropdown_Leakage_Device_Type,0)),0)</f>
        <v>12</v>
      </c>
      <c r="N18" s="276" t="str">
        <v>Water heater, each</v>
      </c>
      <c r="O18" s="259">
        <f t="shared" si="0"/>
        <v>7</v>
      </c>
      <c r="P18" s="373">
        <f t="shared" si="2"/>
        <v>7</v>
      </c>
      <c r="Q18" s="382" t="str">
        <f>""</f>
        <v/>
      </c>
      <c r="R18" s="374" t="str">
        <f t="shared" si="1"/>
        <v>User specified</v>
      </c>
      <c r="S18" s="260" t="str" cm="1">
        <f t="array" ref="S18:X18">IFERROR(TRANSPOSE(_xlfn.UNIQUE(_xlfn._xlws.FILTER(TechGroup_NormUnit_Table[DropdownRefrigTech],TechGroup_NormUnit_Table[TechGroup and NormUnit]=N18))),"")</f>
        <v>Water Heater, Residential - Heat Pump</v>
      </c>
      <c r="T18" s="260" t="str">
        <v>Water Heater, Residential - Natural Gas</v>
      </c>
      <c r="U18" s="260" t="str">
        <v>Water Heater, Residential - Conventional Electric</v>
      </c>
      <c r="V18" s="260" t="str">
        <v>Water Heater, Commercial - Heat Pump</v>
      </c>
      <c r="W18" s="260" t="str">
        <v>Water Heater, Commercial - Natural Gas</v>
      </c>
      <c r="X18" s="260" t="str">
        <v>Water Heater, Commercial - Conventional Electric</v>
      </c>
      <c r="Y18" s="260"/>
      <c r="Z18" s="260"/>
      <c r="AA18" s="260"/>
      <c r="AB18" s="260"/>
      <c r="AC18" s="260"/>
      <c r="AD18" s="260"/>
      <c r="AE18" s="260"/>
      <c r="AF18" s="260"/>
      <c r="AG18" s="260"/>
      <c r="AH18" s="260"/>
      <c r="AI18" s="260"/>
      <c r="AJ18" s="260"/>
      <c r="AK18" s="260"/>
      <c r="AL18" s="277"/>
      <c r="AM18" s="260"/>
    </row>
    <row r="19" spans="2:39" x14ac:dyDescent="0.25">
      <c r="B19" s="259" t="s">
        <v>200</v>
      </c>
      <c r="C19" s="264" t="s">
        <v>207</v>
      </c>
      <c r="D19" s="265" t="s">
        <v>192</v>
      </c>
      <c r="E19" s="284">
        <v>0</v>
      </c>
      <c r="F19" s="260" t="s">
        <v>192</v>
      </c>
      <c r="G19" s="274">
        <f>IFERROR(INDEX(q_ann,MATCH(TechGroup_NormUnit_Table[[#This Row],[LeakageLookupKey]],Dropdown_Leakage_Device_Type,0)),0)</f>
        <v>0</v>
      </c>
      <c r="H19" s="274">
        <f>IFERROR(INDEX(q_EOL,MATCH(TechGroup_NormUnit_Table[[#This Row],[LeakageLookupKey]],Dropdown_Leakage_Device_Type,0)),0)</f>
        <v>0</v>
      </c>
      <c r="I19" s="275">
        <f>IFERROR(INDEX(t_EOL,MATCH(TechGroup_NormUnit_Table[[#This Row],[LeakageLookupKey]],Dropdown_Leakage_Device_Type,0)),0)</f>
        <v>0</v>
      </c>
      <c r="N19" s="276"/>
      <c r="O19" s="259">
        <f t="shared" si="0"/>
        <v>8</v>
      </c>
      <c r="P19" s="373">
        <f t="shared" si="2"/>
        <v>2</v>
      </c>
      <c r="Q19" s="382" t="str">
        <f>""</f>
        <v/>
      </c>
      <c r="R19" s="374" t="str">
        <f t="shared" si="1"/>
        <v>User specified</v>
      </c>
      <c r="S19" s="260" t="str" cm="1">
        <f t="array" ref="S19">IFERROR(_xlfn.HSTACK(TRANSPOSE(_xlfn.UNIQUE(_xlfn._xlws.FILTER(TechGroup_NormUnit_Table[DropdownRefrigTech],TechGroup_NormUnit_Table[TechGroup and NormUnit]=N19))),const_userspec),"")</f>
        <v/>
      </c>
      <c r="T19" s="260"/>
      <c r="U19" s="260"/>
      <c r="V19" s="260"/>
      <c r="W19" s="260"/>
      <c r="X19" s="260"/>
      <c r="Y19" s="260"/>
      <c r="Z19" s="260"/>
      <c r="AA19" s="260"/>
      <c r="AB19" s="260"/>
      <c r="AC19" s="260"/>
      <c r="AD19" s="260"/>
      <c r="AE19" s="260"/>
      <c r="AF19" s="260"/>
      <c r="AG19" s="260"/>
      <c r="AH19" s="260"/>
      <c r="AI19" s="260"/>
      <c r="AJ19" s="260"/>
      <c r="AK19" s="260"/>
      <c r="AL19" s="277"/>
      <c r="AM19" s="260"/>
    </row>
    <row r="20" spans="2:39" x14ac:dyDescent="0.25">
      <c r="B20" s="259" t="s">
        <v>200</v>
      </c>
      <c r="C20" s="264" t="s">
        <v>208</v>
      </c>
      <c r="D20" s="265" t="s">
        <v>192</v>
      </c>
      <c r="E20" s="284">
        <v>0</v>
      </c>
      <c r="F20" s="260" t="s">
        <v>192</v>
      </c>
      <c r="G20" s="274">
        <f>IFERROR(INDEX(q_ann,MATCH(TechGroup_NormUnit_Table[[#This Row],[LeakageLookupKey]],Dropdown_Leakage_Device_Type,0)),0)</f>
        <v>0</v>
      </c>
      <c r="H20" s="274">
        <f>IFERROR(INDEX(q_EOL,MATCH(TechGroup_NormUnit_Table[[#This Row],[LeakageLookupKey]],Dropdown_Leakage_Device_Type,0)),0)</f>
        <v>0</v>
      </c>
      <c r="I20" s="275">
        <f>IFERROR(INDEX(t_EOL,MATCH(TechGroup_NormUnit_Table[[#This Row],[LeakageLookupKey]],Dropdown_Leakage_Device_Type,0)),0)</f>
        <v>0</v>
      </c>
      <c r="N20" s="276"/>
      <c r="O20" s="259">
        <f t="shared" si="0"/>
        <v>9</v>
      </c>
      <c r="P20" s="373">
        <f t="shared" si="2"/>
        <v>2</v>
      </c>
      <c r="Q20" s="382" t="str">
        <f>""</f>
        <v/>
      </c>
      <c r="R20" s="374" t="str">
        <f t="shared" si="1"/>
        <v>User specified</v>
      </c>
      <c r="S20" s="260" t="str" cm="1">
        <f t="array" ref="S20">IFERROR(_xlfn.HSTACK(TRANSPOSE(_xlfn.UNIQUE(_xlfn._xlws.FILTER(TechGroup_NormUnit_Table[DropdownRefrigTech],TechGroup_NormUnit_Table[TechGroup and NormUnit]=N20))),const_userspec),"")</f>
        <v/>
      </c>
      <c r="T20" s="260"/>
      <c r="U20" s="260"/>
      <c r="V20" s="260"/>
      <c r="W20" s="260"/>
      <c r="X20" s="260"/>
      <c r="Y20" s="260"/>
      <c r="Z20" s="260"/>
      <c r="AA20" s="260"/>
      <c r="AB20" s="260"/>
      <c r="AC20" s="260"/>
      <c r="AD20" s="260"/>
      <c r="AE20" s="260"/>
      <c r="AF20" s="260"/>
      <c r="AG20" s="260"/>
      <c r="AH20" s="260"/>
      <c r="AI20" s="260"/>
      <c r="AJ20" s="260"/>
      <c r="AK20" s="260"/>
      <c r="AL20" s="277"/>
      <c r="AM20" s="260"/>
    </row>
    <row r="21" spans="2:39" ht="30" x14ac:dyDescent="0.25">
      <c r="B21" s="259" t="s">
        <v>200</v>
      </c>
      <c r="C21" s="264" t="s">
        <v>209</v>
      </c>
      <c r="D21" s="265" t="s">
        <v>192</v>
      </c>
      <c r="E21" s="284">
        <v>0</v>
      </c>
      <c r="F21" s="260" t="s">
        <v>192</v>
      </c>
      <c r="G21" s="274">
        <f>IFERROR(INDEX(q_ann,MATCH(TechGroup_NormUnit_Table[[#This Row],[LeakageLookupKey]],Dropdown_Leakage_Device_Type,0)),0)</f>
        <v>0</v>
      </c>
      <c r="H21" s="274">
        <f>IFERROR(INDEX(q_EOL,MATCH(TechGroup_NormUnit_Table[[#This Row],[LeakageLookupKey]],Dropdown_Leakage_Device_Type,0)),0)</f>
        <v>0</v>
      </c>
      <c r="I21" s="275">
        <f>IFERROR(INDEX(t_EOL,MATCH(TechGroup_NormUnit_Table[[#This Row],[LeakageLookupKey]],Dropdown_Leakage_Device_Type,0)),0)</f>
        <v>0</v>
      </c>
      <c r="N21" s="276"/>
      <c r="O21" s="259">
        <f t="shared" si="0"/>
        <v>10</v>
      </c>
      <c r="P21" s="373">
        <f t="shared" si="2"/>
        <v>2</v>
      </c>
      <c r="Q21" s="382" t="str">
        <f>""</f>
        <v/>
      </c>
      <c r="R21" s="374" t="str">
        <f t="shared" si="1"/>
        <v>User specified</v>
      </c>
      <c r="S21" s="260" t="str" cm="1">
        <f t="array" ref="S21">IFERROR(_xlfn.HSTACK(TRANSPOSE(_xlfn.UNIQUE(_xlfn._xlws.FILTER(TechGroup_NormUnit_Table[DropdownRefrigTech],TechGroup_NormUnit_Table[TechGroup and NormUnit]=N21))),const_userspec),"")</f>
        <v/>
      </c>
      <c r="T21" s="260"/>
      <c r="U21" s="260"/>
      <c r="V21" s="260"/>
      <c r="W21" s="260"/>
      <c r="X21" s="260"/>
      <c r="Y21" s="260"/>
      <c r="Z21" s="260"/>
      <c r="AA21" s="260"/>
      <c r="AB21" s="260"/>
      <c r="AC21" s="260"/>
      <c r="AD21" s="260"/>
      <c r="AE21" s="260"/>
      <c r="AF21" s="260"/>
      <c r="AG21" s="260"/>
      <c r="AH21" s="260"/>
      <c r="AI21" s="260"/>
      <c r="AJ21" s="260"/>
      <c r="AK21" s="260"/>
      <c r="AL21" s="277"/>
      <c r="AM21" s="260"/>
    </row>
    <row r="22" spans="2:39" x14ac:dyDescent="0.25">
      <c r="B22" s="259" t="s">
        <v>200</v>
      </c>
      <c r="C22" s="264" t="s">
        <v>210</v>
      </c>
      <c r="D22" s="265" t="s">
        <v>202</v>
      </c>
      <c r="E22" s="284">
        <v>3.5</v>
      </c>
      <c r="F22" s="260" t="s">
        <v>205</v>
      </c>
      <c r="G22" s="274">
        <f>IFERROR(INDEX(q_ann,MATCH(TechGroup_NormUnit_Table[[#This Row],[LeakageLookupKey]],Dropdown_Leakage_Device_Type,0)),0)</f>
        <v>5.2999999999999999E-2</v>
      </c>
      <c r="H22" s="274">
        <f>IFERROR(INDEX(q_EOL,MATCH(TechGroup_NormUnit_Table[[#This Row],[LeakageLookupKey]],Dropdown_Leakage_Device_Type,0)),0)</f>
        <v>0.8</v>
      </c>
      <c r="I22" s="275">
        <f>IFERROR(INDEX(t_EOL,MATCH(TechGroup_NormUnit_Table[[#This Row],[LeakageLookupKey]],Dropdown_Leakage_Device_Type,0)),0)</f>
        <v>3</v>
      </c>
      <c r="N22" s="276"/>
      <c r="O22" s="259">
        <f t="shared" si="0"/>
        <v>11</v>
      </c>
      <c r="P22" s="373">
        <f t="shared" si="2"/>
        <v>2</v>
      </c>
      <c r="Q22" s="382" t="str">
        <f>""</f>
        <v/>
      </c>
      <c r="R22" s="374" t="str">
        <f t="shared" si="1"/>
        <v>User specified</v>
      </c>
      <c r="S22" s="260" t="str" cm="1">
        <f t="array" ref="S22">IFERROR(_xlfn.HSTACK(TRANSPOSE(_xlfn.UNIQUE(_xlfn._xlws.FILTER(TechGroup_NormUnit_Table[DropdownRefrigTech],TechGroup_NormUnit_Table[TechGroup and NormUnit]=N22))),const_userspec),"")</f>
        <v/>
      </c>
      <c r="T22" s="260"/>
      <c r="U22" s="260"/>
      <c r="V22" s="260"/>
      <c r="W22" s="260"/>
      <c r="X22" s="260"/>
      <c r="Y22" s="260"/>
      <c r="Z22" s="260"/>
      <c r="AA22" s="260"/>
      <c r="AB22" s="260"/>
      <c r="AC22" s="260"/>
      <c r="AD22" s="260"/>
      <c r="AE22" s="260"/>
      <c r="AF22" s="260"/>
      <c r="AG22" s="260"/>
      <c r="AH22" s="260"/>
      <c r="AI22" s="260"/>
      <c r="AJ22" s="260"/>
      <c r="AK22" s="260"/>
      <c r="AL22" s="277"/>
      <c r="AM22" s="260"/>
    </row>
    <row r="23" spans="2:39" x14ac:dyDescent="0.25">
      <c r="B23" s="259" t="s">
        <v>200</v>
      </c>
      <c r="C23" s="264" t="s">
        <v>211</v>
      </c>
      <c r="D23" s="265" t="s">
        <v>202</v>
      </c>
      <c r="E23" s="284">
        <v>3.2</v>
      </c>
      <c r="F23" s="260" t="s">
        <v>212</v>
      </c>
      <c r="G23" s="274">
        <f>IFERROR(INDEX(q_ann,MATCH(TechGroup_NormUnit_Table[[#This Row],[LeakageLookupKey]],Dropdown_Leakage_Device_Type,0)),0)</f>
        <v>0.05</v>
      </c>
      <c r="H23" s="274">
        <f>IFERROR(INDEX(q_EOL,MATCH(TechGroup_NormUnit_Table[[#This Row],[LeakageLookupKey]],Dropdown_Leakage_Device_Type,0)),0)</f>
        <v>0.8</v>
      </c>
      <c r="I23" s="275">
        <f>IFERROR(INDEX(t_EOL,MATCH(TechGroup_NormUnit_Table[[#This Row],[LeakageLookupKey]],Dropdown_Leakage_Device_Type,0)),0)</f>
        <v>3</v>
      </c>
      <c r="N23" s="276"/>
      <c r="O23" s="259">
        <f t="shared" si="0"/>
        <v>12</v>
      </c>
      <c r="P23" s="373">
        <f t="shared" si="2"/>
        <v>2</v>
      </c>
      <c r="Q23" s="382" t="str">
        <f>""</f>
        <v/>
      </c>
      <c r="R23" s="374" t="str">
        <f t="shared" si="1"/>
        <v>User specified</v>
      </c>
      <c r="S23" s="260" t="str" cm="1">
        <f t="array" ref="S23">IFERROR(_xlfn.HSTACK(TRANSPOSE(_xlfn.UNIQUE(_xlfn._xlws.FILTER(TechGroup_NormUnit_Table[DropdownRefrigTech],TechGroup_NormUnit_Table[TechGroup and NormUnit]=N23))),const_userspec),"")</f>
        <v/>
      </c>
      <c r="T23" s="260"/>
      <c r="U23" s="260"/>
      <c r="V23" s="260"/>
      <c r="W23" s="260"/>
      <c r="X23" s="260"/>
      <c r="Y23" s="260"/>
      <c r="Z23" s="260"/>
      <c r="AA23" s="260"/>
      <c r="AB23" s="260"/>
      <c r="AC23" s="260"/>
      <c r="AD23" s="260"/>
      <c r="AE23" s="260"/>
      <c r="AF23" s="260"/>
      <c r="AG23" s="260"/>
      <c r="AH23" s="260"/>
      <c r="AI23" s="260"/>
      <c r="AJ23" s="260"/>
      <c r="AK23" s="260"/>
      <c r="AL23" s="277"/>
      <c r="AM23" s="260"/>
    </row>
    <row r="24" spans="2:39" ht="45" x14ac:dyDescent="0.25">
      <c r="B24" s="259" t="s">
        <v>200</v>
      </c>
      <c r="C24" s="264" t="s">
        <v>213</v>
      </c>
      <c r="D24" s="265" t="s">
        <v>202</v>
      </c>
      <c r="E24" s="284">
        <v>3.5</v>
      </c>
      <c r="F24" s="260" t="s">
        <v>214</v>
      </c>
      <c r="G24" s="274">
        <f>IFERROR(INDEX(q_ann,MATCH(TechGroup_NormUnit_Table[[#This Row],[LeakageLookupKey]],Dropdown_Leakage_Device_Type,0)),0)</f>
        <v>4.7E-2</v>
      </c>
      <c r="H24" s="274">
        <f>IFERROR(INDEX(q_EOL,MATCH(TechGroup_NormUnit_Table[[#This Row],[LeakageLookupKey]],Dropdown_Leakage_Device_Type,0)),0)</f>
        <v>0.56000000000000005</v>
      </c>
      <c r="I24" s="275">
        <f>IFERROR(INDEX(t_EOL,MATCH(TechGroup_NormUnit_Table[[#This Row],[LeakageLookupKey]],Dropdown_Leakage_Device_Type,0)),0)</f>
        <v>0</v>
      </c>
      <c r="N24" s="276"/>
      <c r="O24" s="259">
        <f t="shared" si="0"/>
        <v>13</v>
      </c>
      <c r="P24" s="373">
        <f t="shared" si="2"/>
        <v>2</v>
      </c>
      <c r="Q24" s="382" t="str">
        <f>""</f>
        <v/>
      </c>
      <c r="R24" s="374" t="str">
        <f t="shared" si="1"/>
        <v>User specified</v>
      </c>
      <c r="S24" s="260" t="str" cm="1">
        <f t="array" ref="S24">IFERROR(_xlfn.HSTACK(TRANSPOSE(_xlfn.UNIQUE(_xlfn._xlws.FILTER(TechGroup_NormUnit_Table[DropdownRefrigTech],TechGroup_NormUnit_Table[TechGroup and NormUnit]=N24))),const_userspec),"")</f>
        <v/>
      </c>
      <c r="T24" s="260"/>
      <c r="U24" s="260"/>
      <c r="V24" s="260"/>
      <c r="W24" s="260"/>
      <c r="X24" s="260"/>
      <c r="Y24" s="260"/>
      <c r="Z24" s="260"/>
      <c r="AA24" s="260"/>
      <c r="AB24" s="260"/>
      <c r="AC24" s="260"/>
      <c r="AD24" s="260"/>
      <c r="AE24" s="260"/>
      <c r="AF24" s="260"/>
      <c r="AG24" s="260"/>
      <c r="AH24" s="260"/>
      <c r="AI24" s="260"/>
      <c r="AJ24" s="260"/>
      <c r="AK24" s="260"/>
      <c r="AL24" s="277"/>
      <c r="AM24" s="260"/>
    </row>
    <row r="25" spans="2:39" ht="45" x14ac:dyDescent="0.25">
      <c r="B25" s="259" t="s">
        <v>200</v>
      </c>
      <c r="C25" s="264" t="s">
        <v>215</v>
      </c>
      <c r="D25" s="265" t="s">
        <v>202</v>
      </c>
      <c r="E25" s="284">
        <v>3.2</v>
      </c>
      <c r="F25" s="260" t="s">
        <v>214</v>
      </c>
      <c r="G25" s="274">
        <f>IFERROR(INDEX(q_ann,MATCH(TechGroup_NormUnit_Table[[#This Row],[LeakageLookupKey]],Dropdown_Leakage_Device_Type,0)),0)</f>
        <v>4.7E-2</v>
      </c>
      <c r="H25" s="274">
        <f>IFERROR(INDEX(q_EOL,MATCH(TechGroup_NormUnit_Table[[#This Row],[LeakageLookupKey]],Dropdown_Leakage_Device_Type,0)),0)</f>
        <v>0.56000000000000005</v>
      </c>
      <c r="I25" s="275">
        <f>IFERROR(INDEX(t_EOL,MATCH(TechGroup_NormUnit_Table[[#This Row],[LeakageLookupKey]],Dropdown_Leakage_Device_Type,0)),0)</f>
        <v>0</v>
      </c>
      <c r="N25" s="276"/>
      <c r="O25" s="259">
        <f t="shared" si="0"/>
        <v>14</v>
      </c>
      <c r="P25" s="373">
        <f t="shared" si="2"/>
        <v>2</v>
      </c>
      <c r="Q25" s="382" t="str">
        <f>""</f>
        <v/>
      </c>
      <c r="R25" s="374" t="str">
        <f t="shared" si="1"/>
        <v>User specified</v>
      </c>
      <c r="S25" s="260" t="str" cm="1">
        <f t="array" ref="S25">IFERROR(_xlfn.HSTACK(TRANSPOSE(_xlfn.UNIQUE(_xlfn._xlws.FILTER(TechGroup_NormUnit_Table[DropdownRefrigTech],TechGroup_NormUnit_Table[TechGroup and NormUnit]=N25))),const_userspec),"")</f>
        <v/>
      </c>
      <c r="T25" s="260"/>
      <c r="U25" s="260"/>
      <c r="V25" s="260"/>
      <c r="W25" s="260"/>
      <c r="X25" s="260"/>
      <c r="Y25" s="260"/>
      <c r="Z25" s="260"/>
      <c r="AA25" s="260"/>
      <c r="AB25" s="260"/>
      <c r="AC25" s="260"/>
      <c r="AD25" s="260"/>
      <c r="AE25" s="260"/>
      <c r="AF25" s="260"/>
      <c r="AG25" s="260"/>
      <c r="AH25" s="260"/>
      <c r="AI25" s="260"/>
      <c r="AJ25" s="260"/>
      <c r="AK25" s="260"/>
      <c r="AL25" s="277"/>
      <c r="AM25" s="260"/>
    </row>
    <row r="26" spans="2:39" ht="30" x14ac:dyDescent="0.25">
      <c r="B26" s="259" t="s">
        <v>200</v>
      </c>
      <c r="C26" s="264" t="s">
        <v>216</v>
      </c>
      <c r="D26" s="265" t="s">
        <v>202</v>
      </c>
      <c r="E26" s="284">
        <v>3.5</v>
      </c>
      <c r="F26" s="260" t="s">
        <v>217</v>
      </c>
      <c r="G26" s="274">
        <f>IFERROR(INDEX(q_ann,MATCH(TechGroup_NormUnit_Table[[#This Row],[LeakageLookupKey]],Dropdown_Leakage_Device_Type,0)),0)</f>
        <v>7.0000000000000007E-2</v>
      </c>
      <c r="H26" s="274">
        <f>IFERROR(INDEX(q_EOL,MATCH(TechGroup_NormUnit_Table[[#This Row],[LeakageLookupKey]],Dropdown_Leakage_Device_Type,0)),0)</f>
        <v>0.2</v>
      </c>
      <c r="I26" s="275">
        <f>IFERROR(INDEX(t_EOL,MATCH(TechGroup_NormUnit_Table[[#This Row],[LeakageLookupKey]],Dropdown_Leakage_Device_Type,0)),0)</f>
        <v>0</v>
      </c>
      <c r="N26" s="276"/>
      <c r="O26" s="259">
        <f t="shared" si="0"/>
        <v>15</v>
      </c>
      <c r="P26" s="373">
        <f t="shared" si="2"/>
        <v>2</v>
      </c>
      <c r="Q26" s="382" t="str">
        <f>""</f>
        <v/>
      </c>
      <c r="R26" s="374" t="str">
        <f t="shared" si="1"/>
        <v>User specified</v>
      </c>
      <c r="S26" s="260" t="str" cm="1">
        <f t="array" ref="S26">IFERROR(_xlfn.HSTACK(TRANSPOSE(_xlfn.UNIQUE(_xlfn._xlws.FILTER(TechGroup_NormUnit_Table[DropdownRefrigTech],TechGroup_NormUnit_Table[TechGroup and NormUnit]=N26))),const_userspec),"")</f>
        <v/>
      </c>
      <c r="T26" s="260"/>
      <c r="U26" s="260"/>
      <c r="V26" s="260"/>
      <c r="W26" s="260"/>
      <c r="X26" s="260"/>
      <c r="Y26" s="260"/>
      <c r="Z26" s="260"/>
      <c r="AA26" s="260"/>
      <c r="AB26" s="260"/>
      <c r="AC26" s="260"/>
      <c r="AD26" s="260"/>
      <c r="AE26" s="260"/>
      <c r="AF26" s="260"/>
      <c r="AG26" s="260"/>
      <c r="AH26" s="260"/>
      <c r="AI26" s="260"/>
      <c r="AJ26" s="260"/>
      <c r="AK26" s="260"/>
      <c r="AL26" s="277"/>
      <c r="AM26" s="260"/>
    </row>
    <row r="27" spans="2:39" ht="30" x14ac:dyDescent="0.25">
      <c r="B27" s="259" t="s">
        <v>200</v>
      </c>
      <c r="C27" s="264" t="s">
        <v>218</v>
      </c>
      <c r="D27" s="265" t="s">
        <v>202</v>
      </c>
      <c r="E27" s="284">
        <v>3.2</v>
      </c>
      <c r="F27" s="260" t="s">
        <v>217</v>
      </c>
      <c r="G27" s="274">
        <f>IFERROR(INDEX(q_ann,MATCH(TechGroup_NormUnit_Table[[#This Row],[LeakageLookupKey]],Dropdown_Leakage_Device_Type,0)),0)</f>
        <v>7.0000000000000007E-2</v>
      </c>
      <c r="H27" s="274">
        <f>IFERROR(INDEX(q_EOL,MATCH(TechGroup_NormUnit_Table[[#This Row],[LeakageLookupKey]],Dropdown_Leakage_Device_Type,0)),0)</f>
        <v>0.2</v>
      </c>
      <c r="I27" s="275">
        <f>IFERROR(INDEX(t_EOL,MATCH(TechGroup_NormUnit_Table[[#This Row],[LeakageLookupKey]],Dropdown_Leakage_Device_Type,0)),0)</f>
        <v>0</v>
      </c>
      <c r="N27" s="276"/>
      <c r="O27" s="259">
        <f t="shared" si="0"/>
        <v>16</v>
      </c>
      <c r="P27" s="373">
        <f t="shared" si="2"/>
        <v>2</v>
      </c>
      <c r="Q27" s="382" t="str">
        <f>""</f>
        <v/>
      </c>
      <c r="R27" s="374" t="str">
        <f t="shared" si="1"/>
        <v>User specified</v>
      </c>
      <c r="S27" s="260" t="str" cm="1">
        <f t="array" ref="S27">IFERROR(_xlfn.HSTACK(TRANSPOSE(_xlfn.UNIQUE(_xlfn._xlws.FILTER(TechGroup_NormUnit_Table[DropdownRefrigTech],TechGroup_NormUnit_Table[TechGroup and NormUnit]=N27))),const_userspec),"")</f>
        <v/>
      </c>
      <c r="T27" s="260"/>
      <c r="U27" s="260"/>
      <c r="V27" s="260"/>
      <c r="W27" s="260"/>
      <c r="X27" s="260"/>
      <c r="Y27" s="260"/>
      <c r="Z27" s="260"/>
      <c r="AA27" s="260"/>
      <c r="AB27" s="260"/>
      <c r="AC27" s="260"/>
      <c r="AD27" s="260"/>
      <c r="AE27" s="260"/>
      <c r="AF27" s="260"/>
      <c r="AG27" s="260"/>
      <c r="AH27" s="260"/>
      <c r="AI27" s="260"/>
      <c r="AJ27" s="260"/>
      <c r="AK27" s="260"/>
      <c r="AL27" s="277"/>
      <c r="AM27" s="260"/>
    </row>
    <row r="28" spans="2:39" x14ac:dyDescent="0.25">
      <c r="B28" s="259" t="s">
        <v>219</v>
      </c>
      <c r="C28" s="264" t="s">
        <v>220</v>
      </c>
      <c r="D28" s="265" t="s">
        <v>202</v>
      </c>
      <c r="E28" s="284">
        <v>5.375</v>
      </c>
      <c r="F28" s="260" t="s">
        <v>221</v>
      </c>
      <c r="G28" s="274">
        <f>IFERROR(INDEX(q_ann,MATCH(TechGroup_NormUnit_Table[[#This Row],[LeakageLookupKey]],Dropdown_Leakage_Device_Type,0)),0)</f>
        <v>0.01</v>
      </c>
      <c r="H28" s="274">
        <f>IFERROR(INDEX(q_EOL,MATCH(TechGroup_NormUnit_Table[[#This Row],[LeakageLookupKey]],Dropdown_Leakage_Device_Type,0)),0)</f>
        <v>1</v>
      </c>
      <c r="I28" s="275">
        <f>IFERROR(INDEX(t_EOL,MATCH(TechGroup_NormUnit_Table[[#This Row],[LeakageLookupKey]],Dropdown_Leakage_Device_Type,0)),0)</f>
        <v>14</v>
      </c>
      <c r="N28" s="276"/>
      <c r="O28" s="259">
        <f t="shared" si="0"/>
        <v>17</v>
      </c>
      <c r="P28" s="373">
        <f t="shared" si="2"/>
        <v>2</v>
      </c>
      <c r="Q28" s="382" t="str">
        <f>""</f>
        <v/>
      </c>
      <c r="R28" s="374" t="str">
        <f t="shared" si="1"/>
        <v>User specified</v>
      </c>
      <c r="S28" s="260" t="str" cm="1">
        <f t="array" ref="S28">IFERROR(_xlfn.HSTACK(TRANSPOSE(_xlfn.UNIQUE(_xlfn._xlws.FILTER(TechGroup_NormUnit_Table[DropdownRefrigTech],TechGroup_NormUnit_Table[TechGroup and NormUnit]=N28))),const_userspec),"")</f>
        <v/>
      </c>
      <c r="T28" s="260"/>
      <c r="U28" s="260"/>
      <c r="V28" s="260"/>
      <c r="W28" s="260"/>
      <c r="X28" s="260"/>
      <c r="Y28" s="260"/>
      <c r="Z28" s="260"/>
      <c r="AA28" s="260"/>
      <c r="AB28" s="260"/>
      <c r="AC28" s="260"/>
      <c r="AD28" s="260"/>
      <c r="AE28" s="260"/>
      <c r="AF28" s="260"/>
      <c r="AG28" s="260"/>
      <c r="AH28" s="260"/>
      <c r="AI28" s="260"/>
      <c r="AJ28" s="260"/>
      <c r="AK28" s="260"/>
      <c r="AL28" s="277"/>
      <c r="AM28" s="260"/>
    </row>
    <row r="29" spans="2:39" x14ac:dyDescent="0.25">
      <c r="B29" s="259" t="s">
        <v>219</v>
      </c>
      <c r="C29" s="264" t="s">
        <v>222</v>
      </c>
      <c r="D29" s="265" t="s">
        <v>192</v>
      </c>
      <c r="E29" s="284">
        <v>0</v>
      </c>
      <c r="F29" s="260" t="s">
        <v>192</v>
      </c>
      <c r="G29" s="274">
        <f>IFERROR(INDEX(q_ann,MATCH(TechGroup_NormUnit_Table[[#This Row],[LeakageLookupKey]],Dropdown_Leakage_Device_Type,0)),0)</f>
        <v>0</v>
      </c>
      <c r="H29" s="274">
        <f>IFERROR(INDEX(q_EOL,MATCH(TechGroup_NormUnit_Table[[#This Row],[LeakageLookupKey]],Dropdown_Leakage_Device_Type,0)),0)</f>
        <v>0</v>
      </c>
      <c r="I29" s="275">
        <f>IFERROR(INDEX(t_EOL,MATCH(TechGroup_NormUnit_Table[[#This Row],[LeakageLookupKey]],Dropdown_Leakage_Device_Type,0)),0)</f>
        <v>0</v>
      </c>
      <c r="N29" s="276"/>
      <c r="O29" s="259">
        <f t="shared" si="0"/>
        <v>18</v>
      </c>
      <c r="P29" s="373">
        <f t="shared" si="2"/>
        <v>2</v>
      </c>
      <c r="Q29" s="382" t="str">
        <f>""</f>
        <v/>
      </c>
      <c r="R29" s="374" t="str">
        <f t="shared" si="1"/>
        <v>User specified</v>
      </c>
      <c r="S29" s="260" t="str" cm="1">
        <f t="array" ref="S29">IFERROR(_xlfn.HSTACK(TRANSPOSE(_xlfn.UNIQUE(_xlfn._xlws.FILTER(TechGroup_NormUnit_Table[DropdownRefrigTech],TechGroup_NormUnit_Table[TechGroup and NormUnit]=N29))),const_userspec),"")</f>
        <v/>
      </c>
      <c r="T29" s="260"/>
      <c r="U29" s="260"/>
      <c r="V29" s="260"/>
      <c r="W29" s="260"/>
      <c r="X29" s="260"/>
      <c r="Y29" s="260"/>
      <c r="Z29" s="260"/>
      <c r="AA29" s="260"/>
      <c r="AB29" s="260"/>
      <c r="AC29" s="260"/>
      <c r="AD29" s="260"/>
      <c r="AE29" s="260"/>
      <c r="AF29" s="260"/>
      <c r="AG29" s="260"/>
      <c r="AH29" s="260"/>
      <c r="AI29" s="260"/>
      <c r="AJ29" s="260"/>
      <c r="AK29" s="260"/>
      <c r="AL29" s="277"/>
      <c r="AM29" s="260"/>
    </row>
    <row r="30" spans="2:39" x14ac:dyDescent="0.25">
      <c r="B30" s="259" t="s">
        <v>223</v>
      </c>
      <c r="C30" s="264" t="s">
        <v>224</v>
      </c>
      <c r="D30" s="266" t="s">
        <v>196</v>
      </c>
      <c r="E30" s="284">
        <v>2.4</v>
      </c>
      <c r="F30" s="260" t="s">
        <v>221</v>
      </c>
      <c r="G30" s="274">
        <f>IFERROR(INDEX(q_ann,MATCH(TechGroup_NormUnit_Table[[#This Row],[LeakageLookupKey]],Dropdown_Leakage_Device_Type,0)),0)</f>
        <v>0.01</v>
      </c>
      <c r="H30" s="274">
        <f>IFERROR(INDEX(q_EOL,MATCH(TechGroup_NormUnit_Table[[#This Row],[LeakageLookupKey]],Dropdown_Leakage_Device_Type,0)),0)</f>
        <v>1</v>
      </c>
      <c r="I30" s="275">
        <f>IFERROR(INDEX(t_EOL,MATCH(TechGroup_NormUnit_Table[[#This Row],[LeakageLookupKey]],Dropdown_Leakage_Device_Type,0)),0)</f>
        <v>14</v>
      </c>
      <c r="N30" s="276"/>
      <c r="O30" s="259">
        <f t="shared" si="0"/>
        <v>19</v>
      </c>
      <c r="P30" s="373">
        <f t="shared" si="2"/>
        <v>2</v>
      </c>
      <c r="Q30" s="382" t="str">
        <f>""</f>
        <v/>
      </c>
      <c r="R30" s="374" t="str">
        <f t="shared" si="1"/>
        <v>User specified</v>
      </c>
      <c r="S30" s="260" t="str" cm="1">
        <f t="array" ref="S30">IFERROR(_xlfn.HSTACK(TRANSPOSE(_xlfn.UNIQUE(_xlfn._xlws.FILTER(TechGroup_NormUnit_Table[DropdownRefrigTech],TechGroup_NormUnit_Table[TechGroup and NormUnit]=N30))),const_userspec),"")</f>
        <v/>
      </c>
      <c r="T30" s="260"/>
      <c r="U30" s="260"/>
      <c r="V30" s="260"/>
      <c r="W30" s="260"/>
      <c r="X30" s="260"/>
      <c r="Y30" s="260"/>
      <c r="Z30" s="260"/>
      <c r="AA30" s="260"/>
      <c r="AB30" s="260"/>
      <c r="AC30" s="260"/>
      <c r="AD30" s="260"/>
      <c r="AE30" s="260"/>
      <c r="AF30" s="260"/>
      <c r="AG30" s="260"/>
      <c r="AH30" s="260"/>
      <c r="AI30" s="260"/>
      <c r="AJ30" s="260"/>
      <c r="AK30" s="260"/>
      <c r="AL30" s="277"/>
      <c r="AM30" s="260"/>
    </row>
    <row r="31" spans="2:39" x14ac:dyDescent="0.25">
      <c r="B31" s="259" t="s">
        <v>223</v>
      </c>
      <c r="C31" s="264" t="s">
        <v>225</v>
      </c>
      <c r="D31" s="265" t="s">
        <v>192</v>
      </c>
      <c r="E31" s="284">
        <v>0</v>
      </c>
      <c r="F31" s="260" t="s">
        <v>192</v>
      </c>
      <c r="G31" s="274">
        <f>IFERROR(INDEX(q_ann,MATCH(TechGroup_NormUnit_Table[[#This Row],[LeakageLookupKey]],Dropdown_Leakage_Device_Type,0)),0)</f>
        <v>0</v>
      </c>
      <c r="H31" s="274">
        <f>IFERROR(INDEX(q_EOL,MATCH(TechGroup_NormUnit_Table[[#This Row],[LeakageLookupKey]],Dropdown_Leakage_Device_Type,0)),0)</f>
        <v>0</v>
      </c>
      <c r="I31" s="275">
        <f>IFERROR(INDEX(t_EOL,MATCH(TechGroup_NormUnit_Table[[#This Row],[LeakageLookupKey]],Dropdown_Leakage_Device_Type,0)),0)</f>
        <v>0</v>
      </c>
      <c r="N31" s="276"/>
      <c r="O31" s="259">
        <f t="shared" si="0"/>
        <v>20</v>
      </c>
      <c r="P31" s="373">
        <f t="shared" si="2"/>
        <v>2</v>
      </c>
      <c r="Q31" s="382" t="str">
        <f>""</f>
        <v/>
      </c>
      <c r="R31" s="374" t="str">
        <f t="shared" si="1"/>
        <v>User specified</v>
      </c>
      <c r="S31" s="260" t="str" cm="1">
        <f t="array" ref="S31">IFERROR(_xlfn.HSTACK(TRANSPOSE(_xlfn.UNIQUE(_xlfn._xlws.FILTER(TechGroup_NormUnit_Table[DropdownRefrigTech],TechGroup_NormUnit_Table[TechGroup and NormUnit]=N31))),const_userspec),"")</f>
        <v/>
      </c>
      <c r="T31" s="260"/>
      <c r="U31" s="260"/>
      <c r="V31" s="260"/>
      <c r="W31" s="260"/>
      <c r="X31" s="260"/>
      <c r="Y31" s="260"/>
      <c r="Z31" s="260"/>
      <c r="AA31" s="260"/>
      <c r="AB31" s="260"/>
      <c r="AC31" s="260"/>
      <c r="AD31" s="260"/>
      <c r="AE31" s="260"/>
      <c r="AF31" s="260"/>
      <c r="AG31" s="260"/>
      <c r="AH31" s="260"/>
      <c r="AI31" s="260"/>
      <c r="AJ31" s="260"/>
      <c r="AK31" s="260"/>
      <c r="AL31" s="277"/>
      <c r="AM31" s="260"/>
    </row>
    <row r="32" spans="2:39" x14ac:dyDescent="0.25">
      <c r="B32" s="259" t="s">
        <v>223</v>
      </c>
      <c r="C32" s="264" t="s">
        <v>226</v>
      </c>
      <c r="D32" s="265" t="s">
        <v>192</v>
      </c>
      <c r="E32" s="284">
        <v>0</v>
      </c>
      <c r="F32" s="260" t="s">
        <v>192</v>
      </c>
      <c r="G32" s="274">
        <f>IFERROR(INDEX(q_ann,MATCH(TechGroup_NormUnit_Table[[#This Row],[LeakageLookupKey]],Dropdown_Leakage_Device_Type,0)),0)</f>
        <v>0</v>
      </c>
      <c r="H32" s="274">
        <f>IFERROR(INDEX(q_EOL,MATCH(TechGroup_NormUnit_Table[[#This Row],[LeakageLookupKey]],Dropdown_Leakage_Device_Type,0)),0)</f>
        <v>0</v>
      </c>
      <c r="I32" s="275">
        <f>IFERROR(INDEX(t_EOL,MATCH(TechGroup_NormUnit_Table[[#This Row],[LeakageLookupKey]],Dropdown_Leakage_Device_Type,0)),0)</f>
        <v>0</v>
      </c>
      <c r="N32" s="276"/>
      <c r="O32" s="259">
        <f t="shared" si="0"/>
        <v>21</v>
      </c>
      <c r="P32" s="373">
        <f t="shared" si="2"/>
        <v>2</v>
      </c>
      <c r="Q32" s="382" t="str">
        <f>""</f>
        <v/>
      </c>
      <c r="R32" s="374" t="str">
        <f t="shared" si="1"/>
        <v>User specified</v>
      </c>
      <c r="S32" s="260" t="str" cm="1">
        <f t="array" ref="S32">IFERROR(_xlfn.HSTACK(TRANSPOSE(_xlfn.UNIQUE(_xlfn._xlws.FILTER(TechGroup_NormUnit_Table[DropdownRefrigTech],TechGroup_NormUnit_Table[TechGroup and NormUnit]=N32))),const_userspec),"")</f>
        <v/>
      </c>
      <c r="T32" s="260"/>
      <c r="U32" s="260"/>
      <c r="V32" s="260"/>
      <c r="W32" s="260"/>
      <c r="X32" s="260"/>
      <c r="Y32" s="260"/>
      <c r="Z32" s="260"/>
      <c r="AA32" s="260"/>
      <c r="AB32" s="260"/>
      <c r="AC32" s="260"/>
      <c r="AD32" s="260"/>
      <c r="AE32" s="260"/>
      <c r="AF32" s="260"/>
      <c r="AG32" s="260"/>
      <c r="AH32" s="260"/>
      <c r="AI32" s="260"/>
      <c r="AJ32" s="260"/>
      <c r="AK32" s="260"/>
      <c r="AL32" s="277"/>
      <c r="AM32" s="260"/>
    </row>
    <row r="33" spans="2:39" ht="30" x14ac:dyDescent="0.25">
      <c r="B33" s="259" t="s">
        <v>227</v>
      </c>
      <c r="C33" s="264" t="s">
        <v>228</v>
      </c>
      <c r="D33" s="266" t="s">
        <v>196</v>
      </c>
      <c r="E33" s="284">
        <v>0.19273764650506497</v>
      </c>
      <c r="F33" s="260" t="s">
        <v>221</v>
      </c>
      <c r="G33" s="274">
        <f>IFERROR(INDEX(q_ann,MATCH(TechGroup_NormUnit_Table[[#This Row],[LeakageLookupKey]],Dropdown_Leakage_Device_Type,0)),0)</f>
        <v>0.01</v>
      </c>
      <c r="H33" s="274">
        <f>IFERROR(INDEX(q_EOL,MATCH(TechGroup_NormUnit_Table[[#This Row],[LeakageLookupKey]],Dropdown_Leakage_Device_Type,0)),0)</f>
        <v>1</v>
      </c>
      <c r="I33" s="275">
        <f>IFERROR(INDEX(t_EOL,MATCH(TechGroup_NormUnit_Table[[#This Row],[LeakageLookupKey]],Dropdown_Leakage_Device_Type,0)),0)</f>
        <v>14</v>
      </c>
      <c r="N33" s="276"/>
      <c r="O33" s="259">
        <f t="shared" si="0"/>
        <v>22</v>
      </c>
      <c r="P33" s="373">
        <f t="shared" si="2"/>
        <v>2</v>
      </c>
      <c r="Q33" s="382" t="str">
        <f>""</f>
        <v/>
      </c>
      <c r="R33" s="374" t="str">
        <f t="shared" si="1"/>
        <v>User specified</v>
      </c>
      <c r="S33" s="260" t="str" cm="1">
        <f t="array" ref="S33">IFERROR(_xlfn.HSTACK(TRANSPOSE(_xlfn.UNIQUE(_xlfn._xlws.FILTER(TechGroup_NormUnit_Table[DropdownRefrigTech],TechGroup_NormUnit_Table[TechGroup and NormUnit]=N33))),const_userspec),"")</f>
        <v/>
      </c>
      <c r="T33" s="260"/>
      <c r="U33" s="260"/>
      <c r="V33" s="260"/>
      <c r="W33" s="260"/>
      <c r="X33" s="260"/>
      <c r="Y33" s="260"/>
      <c r="Z33" s="260"/>
      <c r="AA33" s="260"/>
      <c r="AB33" s="260"/>
      <c r="AC33" s="260"/>
      <c r="AD33" s="260"/>
      <c r="AE33" s="260"/>
      <c r="AF33" s="260"/>
      <c r="AG33" s="260"/>
      <c r="AH33" s="260"/>
      <c r="AI33" s="260"/>
      <c r="AJ33" s="260"/>
      <c r="AK33" s="260"/>
      <c r="AL33" s="277"/>
      <c r="AM33" s="260"/>
    </row>
    <row r="34" spans="2:39" ht="30" x14ac:dyDescent="0.25">
      <c r="B34" s="259" t="s">
        <v>227</v>
      </c>
      <c r="C34" s="264" t="s">
        <v>229</v>
      </c>
      <c r="D34" s="266" t="s">
        <v>192</v>
      </c>
      <c r="E34" s="284">
        <v>0</v>
      </c>
      <c r="F34" s="260" t="s">
        <v>192</v>
      </c>
      <c r="G34" s="274">
        <f>IFERROR(INDEX(q_ann,MATCH(TechGroup_NormUnit_Table[[#This Row],[LeakageLookupKey]],Dropdown_Leakage_Device_Type,0)),0)</f>
        <v>0</v>
      </c>
      <c r="H34" s="274">
        <f>IFERROR(INDEX(q_EOL,MATCH(TechGroup_NormUnit_Table[[#This Row],[LeakageLookupKey]],Dropdown_Leakage_Device_Type,0)),0)</f>
        <v>0</v>
      </c>
      <c r="I34" s="275">
        <f>IFERROR(INDEX(t_EOL,MATCH(TechGroup_NormUnit_Table[[#This Row],[LeakageLookupKey]],Dropdown_Leakage_Device_Type,0)),0)</f>
        <v>0</v>
      </c>
      <c r="N34" s="276"/>
      <c r="O34" s="259">
        <f t="shared" si="0"/>
        <v>23</v>
      </c>
      <c r="P34" s="373">
        <f t="shared" si="2"/>
        <v>2</v>
      </c>
      <c r="Q34" s="382" t="str">
        <f>""</f>
        <v/>
      </c>
      <c r="R34" s="374" t="str">
        <f t="shared" si="1"/>
        <v>User specified</v>
      </c>
      <c r="S34" s="260" t="str" cm="1">
        <f t="array" ref="S34">IFERROR(_xlfn.HSTACK(TRANSPOSE(_xlfn.UNIQUE(_xlfn._xlws.FILTER(TechGroup_NormUnit_Table[DropdownRefrigTech],TechGroup_NormUnit_Table[TechGroup and NormUnit]=N34))),const_userspec),"")</f>
        <v/>
      </c>
      <c r="T34" s="260"/>
      <c r="U34" s="260"/>
      <c r="V34" s="260"/>
      <c r="W34" s="260"/>
      <c r="X34" s="260"/>
      <c r="Y34" s="260"/>
      <c r="Z34" s="260"/>
      <c r="AA34" s="260"/>
      <c r="AB34" s="260"/>
      <c r="AC34" s="260"/>
      <c r="AD34" s="260"/>
      <c r="AE34" s="260"/>
      <c r="AF34" s="260"/>
      <c r="AG34" s="260"/>
      <c r="AH34" s="260"/>
      <c r="AI34" s="260"/>
      <c r="AJ34" s="260"/>
      <c r="AK34" s="260"/>
      <c r="AL34" s="277"/>
      <c r="AM34" s="260"/>
    </row>
    <row r="35" spans="2:39" x14ac:dyDescent="0.25">
      <c r="B35" s="259" t="s">
        <v>223</v>
      </c>
      <c r="C35" s="264" t="s">
        <v>230</v>
      </c>
      <c r="D35" s="266" t="s">
        <v>196</v>
      </c>
      <c r="E35" s="284">
        <v>3.3</v>
      </c>
      <c r="F35" s="260" t="s">
        <v>221</v>
      </c>
      <c r="G35" s="274">
        <f>IFERROR(INDEX(q_ann,MATCH(TechGroup_NormUnit_Table[[#This Row],[LeakageLookupKey]],Dropdown_Leakage_Device_Type,0)),0)</f>
        <v>0.01</v>
      </c>
      <c r="H35" s="274">
        <f>IFERROR(INDEX(q_EOL,MATCH(TechGroup_NormUnit_Table[[#This Row],[LeakageLookupKey]],Dropdown_Leakage_Device_Type,0)),0)</f>
        <v>1</v>
      </c>
      <c r="I35" s="275">
        <f>IFERROR(INDEX(t_EOL,MATCH(TechGroup_NormUnit_Table[[#This Row],[LeakageLookupKey]],Dropdown_Leakage_Device_Type,0)),0)</f>
        <v>14</v>
      </c>
      <c r="N35" s="276"/>
      <c r="O35" s="259">
        <f t="shared" si="0"/>
        <v>24</v>
      </c>
      <c r="P35" s="373">
        <f t="shared" si="2"/>
        <v>2</v>
      </c>
      <c r="Q35" s="382" t="str">
        <f>""</f>
        <v/>
      </c>
      <c r="R35" s="374" t="str">
        <f t="shared" si="1"/>
        <v>User specified</v>
      </c>
      <c r="S35" s="260" t="str" cm="1">
        <f t="array" ref="S35">IFERROR(_xlfn.HSTACK(TRANSPOSE(_xlfn.UNIQUE(_xlfn._xlws.FILTER(TechGroup_NormUnit_Table[DropdownRefrigTech],TechGroup_NormUnit_Table[TechGroup and NormUnit]=N35))),const_userspec),"")</f>
        <v/>
      </c>
      <c r="T35" s="260"/>
      <c r="U35" s="260"/>
      <c r="V35" s="260"/>
      <c r="W35" s="260"/>
      <c r="X35" s="260"/>
      <c r="Y35" s="260"/>
      <c r="Z35" s="260"/>
      <c r="AA35" s="260"/>
      <c r="AB35" s="260"/>
      <c r="AC35" s="260"/>
      <c r="AD35" s="260"/>
      <c r="AE35" s="260"/>
      <c r="AF35" s="260"/>
      <c r="AG35" s="260"/>
      <c r="AH35" s="260"/>
      <c r="AI35" s="260"/>
      <c r="AJ35" s="260"/>
      <c r="AK35" s="260"/>
      <c r="AL35" s="277"/>
      <c r="AM35" s="260"/>
    </row>
    <row r="36" spans="2:39" x14ac:dyDescent="0.25">
      <c r="B36" s="259" t="s">
        <v>223</v>
      </c>
      <c r="C36" s="264" t="s">
        <v>231</v>
      </c>
      <c r="D36" s="265" t="s">
        <v>192</v>
      </c>
      <c r="E36" s="284">
        <v>0</v>
      </c>
      <c r="F36" s="260" t="s">
        <v>192</v>
      </c>
      <c r="G36" s="274">
        <f>IFERROR(INDEX(q_ann,MATCH(TechGroup_NormUnit_Table[[#This Row],[LeakageLookupKey]],Dropdown_Leakage_Device_Type,0)),0)</f>
        <v>0</v>
      </c>
      <c r="H36" s="274">
        <f>IFERROR(INDEX(q_EOL,MATCH(TechGroup_NormUnit_Table[[#This Row],[LeakageLookupKey]],Dropdown_Leakage_Device_Type,0)),0)</f>
        <v>0</v>
      </c>
      <c r="I36" s="275">
        <f>IFERROR(INDEX(t_EOL,MATCH(TechGroup_NormUnit_Table[[#This Row],[LeakageLookupKey]],Dropdown_Leakage_Device_Type,0)),0)</f>
        <v>0</v>
      </c>
      <c r="N36" s="276"/>
      <c r="O36" s="259">
        <f t="shared" si="0"/>
        <v>25</v>
      </c>
      <c r="P36" s="373">
        <f t="shared" si="2"/>
        <v>2</v>
      </c>
      <c r="Q36" s="382" t="str">
        <f>""</f>
        <v/>
      </c>
      <c r="R36" s="374" t="str">
        <f t="shared" si="1"/>
        <v>User specified</v>
      </c>
      <c r="S36" s="260" t="str" cm="1">
        <f t="array" ref="S36">IFERROR(_xlfn.HSTACK(TRANSPOSE(_xlfn.UNIQUE(_xlfn._xlws.FILTER(TechGroup_NormUnit_Table[DropdownRefrigTech],TechGroup_NormUnit_Table[TechGroup and NormUnit]=N36))),const_userspec),"")</f>
        <v/>
      </c>
      <c r="T36" s="260"/>
      <c r="U36" s="260"/>
      <c r="V36" s="260"/>
      <c r="W36" s="260"/>
      <c r="X36" s="260"/>
      <c r="Y36" s="260"/>
      <c r="Z36" s="260"/>
      <c r="AA36" s="260"/>
      <c r="AB36" s="260"/>
      <c r="AC36" s="260"/>
      <c r="AD36" s="260"/>
      <c r="AE36" s="260"/>
      <c r="AF36" s="260"/>
      <c r="AG36" s="260"/>
      <c r="AH36" s="260"/>
      <c r="AI36" s="260"/>
      <c r="AJ36" s="260"/>
      <c r="AK36" s="260"/>
      <c r="AL36" s="277"/>
      <c r="AM36" s="260"/>
    </row>
    <row r="37" spans="2:39" x14ac:dyDescent="0.25">
      <c r="B37" s="259" t="s">
        <v>223</v>
      </c>
      <c r="C37" s="264" t="s">
        <v>232</v>
      </c>
      <c r="D37" s="265" t="s">
        <v>192</v>
      </c>
      <c r="E37" s="284">
        <v>0</v>
      </c>
      <c r="F37" s="260" t="s">
        <v>192</v>
      </c>
      <c r="G37" s="274">
        <f>IFERROR(INDEX(q_ann,MATCH(TechGroup_NormUnit_Table[[#This Row],[LeakageLookupKey]],Dropdown_Leakage_Device_Type,0)),0)</f>
        <v>0</v>
      </c>
      <c r="H37" s="274">
        <f>IFERROR(INDEX(q_EOL,MATCH(TechGroup_NormUnit_Table[[#This Row],[LeakageLookupKey]],Dropdown_Leakage_Device_Type,0)),0)</f>
        <v>0</v>
      </c>
      <c r="I37" s="275">
        <f>IFERROR(INDEX(t_EOL,MATCH(TechGroup_NormUnit_Table[[#This Row],[LeakageLookupKey]],Dropdown_Leakage_Device_Type,0)),0)</f>
        <v>0</v>
      </c>
      <c r="N37" s="276"/>
      <c r="O37" s="259">
        <f t="shared" si="0"/>
        <v>26</v>
      </c>
      <c r="P37" s="373">
        <f t="shared" si="2"/>
        <v>2</v>
      </c>
      <c r="Q37" s="382" t="str">
        <f>""</f>
        <v/>
      </c>
      <c r="R37" s="374" t="str">
        <f t="shared" si="1"/>
        <v>User specified</v>
      </c>
      <c r="S37" s="260" t="str" cm="1">
        <f t="array" ref="S37">IFERROR(_xlfn.HSTACK(TRANSPOSE(_xlfn.UNIQUE(_xlfn._xlws.FILTER(TechGroup_NormUnit_Table[DropdownRefrigTech],TechGroup_NormUnit_Table[TechGroup and NormUnit]=N37))),const_userspec),"")</f>
        <v/>
      </c>
      <c r="T37" s="260"/>
      <c r="U37" s="260"/>
      <c r="V37" s="260"/>
      <c r="W37" s="260"/>
      <c r="X37" s="260"/>
      <c r="Y37" s="260"/>
      <c r="Z37" s="260"/>
      <c r="AA37" s="260"/>
      <c r="AB37" s="260"/>
      <c r="AC37" s="260"/>
      <c r="AD37" s="260"/>
      <c r="AE37" s="260"/>
      <c r="AF37" s="260"/>
      <c r="AG37" s="260"/>
      <c r="AH37" s="260"/>
      <c r="AI37" s="260"/>
      <c r="AJ37" s="260"/>
      <c r="AK37" s="260"/>
      <c r="AL37" s="277"/>
      <c r="AM37" s="260"/>
    </row>
    <row r="38" spans="2:39" x14ac:dyDescent="0.25">
      <c r="N38" s="276"/>
      <c r="O38" s="259">
        <f t="shared" si="0"/>
        <v>27</v>
      </c>
      <c r="P38" s="373">
        <f t="shared" si="2"/>
        <v>2</v>
      </c>
      <c r="Q38" s="382" t="str">
        <f>""</f>
        <v/>
      </c>
      <c r="R38" s="374" t="str">
        <f t="shared" si="1"/>
        <v>User specified</v>
      </c>
      <c r="S38" s="260" t="str" cm="1">
        <f t="array" ref="S38">IFERROR(_xlfn.HSTACK(TRANSPOSE(_xlfn.UNIQUE(_xlfn._xlws.FILTER(TechGroup_NormUnit_Table[DropdownRefrigTech],TechGroup_NormUnit_Table[TechGroup and NormUnit]=N38))),const_userspec),"")</f>
        <v/>
      </c>
      <c r="T38" s="260"/>
      <c r="U38" s="260"/>
      <c r="V38" s="260"/>
      <c r="W38" s="260"/>
      <c r="X38" s="260"/>
      <c r="Y38" s="260"/>
      <c r="Z38" s="260"/>
      <c r="AA38" s="260"/>
      <c r="AB38" s="260"/>
      <c r="AC38" s="260"/>
      <c r="AD38" s="260"/>
      <c r="AE38" s="260"/>
      <c r="AF38" s="260"/>
      <c r="AG38" s="260"/>
      <c r="AH38" s="260"/>
      <c r="AI38" s="260"/>
      <c r="AJ38" s="260"/>
      <c r="AK38" s="260"/>
      <c r="AL38" s="277"/>
      <c r="AM38" s="260"/>
    </row>
    <row r="39" spans="2:39" x14ac:dyDescent="0.25">
      <c r="N39" s="276"/>
      <c r="O39" s="259">
        <f t="shared" si="0"/>
        <v>28</v>
      </c>
      <c r="P39" s="373">
        <f t="shared" si="2"/>
        <v>2</v>
      </c>
      <c r="Q39" s="382" t="str">
        <f>""</f>
        <v/>
      </c>
      <c r="R39" s="374" t="str">
        <f t="shared" si="1"/>
        <v>User specified</v>
      </c>
      <c r="S39" s="260" t="str" cm="1">
        <f t="array" ref="S39">IFERROR(_xlfn.HSTACK(TRANSPOSE(_xlfn.UNIQUE(_xlfn._xlws.FILTER(TechGroup_NormUnit_Table[DropdownRefrigTech],TechGroup_NormUnit_Table[TechGroup and NormUnit]=N39))),const_userspec),"")</f>
        <v/>
      </c>
      <c r="T39" s="260"/>
      <c r="U39" s="260"/>
      <c r="V39" s="260"/>
      <c r="W39" s="260"/>
      <c r="X39" s="260"/>
      <c r="Y39" s="260"/>
      <c r="Z39" s="260"/>
      <c r="AA39" s="260"/>
      <c r="AB39" s="260"/>
      <c r="AC39" s="260"/>
      <c r="AD39" s="260"/>
      <c r="AE39" s="260"/>
      <c r="AF39" s="260"/>
      <c r="AG39" s="260"/>
      <c r="AH39" s="260"/>
      <c r="AI39" s="260"/>
      <c r="AJ39" s="260"/>
      <c r="AK39" s="260"/>
      <c r="AL39" s="277"/>
      <c r="AM39" s="260"/>
    </row>
    <row r="40" spans="2:39" x14ac:dyDescent="0.25">
      <c r="N40" s="276"/>
      <c r="O40" s="259">
        <f t="shared" si="0"/>
        <v>29</v>
      </c>
      <c r="P40" s="373">
        <f t="shared" si="2"/>
        <v>2</v>
      </c>
      <c r="Q40" s="382" t="str">
        <f>""</f>
        <v/>
      </c>
      <c r="R40" s="374" t="str">
        <f t="shared" si="1"/>
        <v>User specified</v>
      </c>
      <c r="S40" s="260" t="str" cm="1">
        <f t="array" ref="S40">IFERROR(_xlfn.HSTACK(TRANSPOSE(_xlfn.UNIQUE(_xlfn._xlws.FILTER(TechGroup_NormUnit_Table[DropdownRefrigTech],TechGroup_NormUnit_Table[TechGroup and NormUnit]=N40))),const_userspec),"")</f>
        <v/>
      </c>
      <c r="T40" s="260"/>
      <c r="U40" s="260"/>
      <c r="V40" s="260"/>
      <c r="W40" s="260"/>
      <c r="X40" s="260"/>
      <c r="Y40" s="260"/>
      <c r="Z40" s="260"/>
      <c r="AA40" s="260"/>
      <c r="AB40" s="260"/>
      <c r="AC40" s="260"/>
      <c r="AD40" s="260"/>
      <c r="AE40" s="260"/>
      <c r="AF40" s="260"/>
      <c r="AG40" s="260"/>
      <c r="AH40" s="260"/>
      <c r="AI40" s="260"/>
      <c r="AJ40" s="260"/>
      <c r="AK40" s="260"/>
      <c r="AL40" s="277"/>
      <c r="AM40" s="260"/>
    </row>
    <row r="41" spans="2:39" ht="15.75" thickBot="1" x14ac:dyDescent="0.3">
      <c r="N41" s="279"/>
      <c r="O41" s="278">
        <f t="shared" si="0"/>
        <v>30</v>
      </c>
      <c r="P41" s="377">
        <f t="shared" si="2"/>
        <v>2</v>
      </c>
      <c r="Q41" s="383" t="str">
        <f>""</f>
        <v/>
      </c>
      <c r="R41" s="378" t="str">
        <f t="shared" si="1"/>
        <v>User specified</v>
      </c>
      <c r="S41" s="280" t="str" cm="1">
        <f t="array" ref="S41">IFERROR(_xlfn.HSTACK(TRANSPOSE(_xlfn.UNIQUE(_xlfn._xlws.FILTER(TechGroup_NormUnit_Table[DropdownRefrigTech],TechGroup_NormUnit_Table[TechGroup and NormUnit]=N41))),const_userspec),"")</f>
        <v/>
      </c>
      <c r="T41" s="280"/>
      <c r="U41" s="280"/>
      <c r="V41" s="280"/>
      <c r="W41" s="280"/>
      <c r="X41" s="280"/>
      <c r="Y41" s="280"/>
      <c r="Z41" s="280"/>
      <c r="AA41" s="280"/>
      <c r="AB41" s="280"/>
      <c r="AC41" s="280"/>
      <c r="AD41" s="280"/>
      <c r="AE41" s="280"/>
      <c r="AF41" s="280"/>
      <c r="AG41" s="280"/>
      <c r="AH41" s="280"/>
      <c r="AI41" s="280"/>
      <c r="AJ41" s="280"/>
      <c r="AK41" s="280"/>
      <c r="AL41" s="281"/>
      <c r="AM41" s="260"/>
    </row>
  </sheetData>
  <sheetProtection algorithmName="SHA-512" hashValue="AY65nGfxpjeoO/VY1JLeNfzGyWimerWoyF/YygfSKVpjyxfDxIt/MxKL0mAiKnhbhksbwEujg3NewX9N+V8F9w==" saltValue="fJDsGIouyjmcVJI6b4hWxQ==" spinCount="100000" sheet="1" formatColumns="0" formatRows="0" autoFilter="0"/>
  <mergeCells count="4">
    <mergeCell ref="B3:E9"/>
    <mergeCell ref="F3:G9"/>
    <mergeCell ref="M3:Q5"/>
    <mergeCell ref="M6:Q8"/>
  </mergeCells>
  <dataValidations count="2">
    <dataValidation type="list" allowBlank="1" showInputMessage="1" showErrorMessage="1" sqref="D12:D37" xr:uid="{4FE32EED-6F12-4DBC-82EE-A05E0D0C019F}">
      <formula1>RefrigDropdownList</formula1>
    </dataValidation>
    <dataValidation type="list" allowBlank="1" showInputMessage="1" showErrorMessage="1" sqref="F12:F37" xr:uid="{72F3C213-56C3-4D92-BA74-1D3C98C19FCE}">
      <formula1>Dropdown_Leakage_Device_Type</formula1>
    </dataValidation>
  </dataValidation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1329-63FB-413B-AB6D-C3150A080AC3}">
  <sheetPr codeName="Sheet6">
    <tabColor theme="3" tint="0.39997558519241921"/>
  </sheetPr>
  <dimension ref="B2:G21"/>
  <sheetViews>
    <sheetView zoomScale="80" zoomScaleNormal="80" workbookViewId="0"/>
  </sheetViews>
  <sheetFormatPr defaultRowHeight="15" x14ac:dyDescent="0.25"/>
  <cols>
    <col min="2" max="2" width="16" customWidth="1"/>
    <col min="3" max="3" width="12.5703125" customWidth="1"/>
    <col min="4" max="7" width="20.7109375" customWidth="1"/>
    <col min="8" max="8" width="16" bestFit="1" customWidth="1"/>
  </cols>
  <sheetData>
    <row r="2" spans="2:7" ht="20.25" thickBot="1" x14ac:dyDescent="0.35">
      <c r="B2" s="156" t="s">
        <v>233</v>
      </c>
      <c r="C2" s="156"/>
      <c r="D2" s="156"/>
    </row>
    <row r="3" spans="2:7" ht="15.75" thickTop="1" x14ac:dyDescent="0.25"/>
    <row r="4" spans="2:7" ht="45.75" thickBot="1" x14ac:dyDescent="0.3">
      <c r="B4" s="184" t="s">
        <v>234</v>
      </c>
      <c r="C4" s="196" t="s">
        <v>235</v>
      </c>
    </row>
    <row r="5" spans="2:7" x14ac:dyDescent="0.25">
      <c r="B5" s="185" t="s">
        <v>236</v>
      </c>
      <c r="C5" s="186">
        <f>'ACC Inputs'!$E$7</f>
        <v>7.3400000000000007E-2</v>
      </c>
    </row>
    <row r="6" spans="2:7" x14ac:dyDescent="0.25">
      <c r="B6" s="167" t="s">
        <v>237</v>
      </c>
      <c r="C6" s="187">
        <f>'ACC Inputs'!$E$8</f>
        <v>7.6799999999999993E-2</v>
      </c>
    </row>
    <row r="7" spans="2:7" ht="15.75" thickBot="1" x14ac:dyDescent="0.3">
      <c r="B7" s="188" t="s">
        <v>238</v>
      </c>
      <c r="C7" s="189">
        <f>'ACC Inputs'!$E$9</f>
        <v>7.5499999999999998E-2</v>
      </c>
    </row>
    <row r="8" spans="2:7" ht="15.75" thickTop="1" x14ac:dyDescent="0.25">
      <c r="B8" s="185" t="s">
        <v>80</v>
      </c>
      <c r="C8" s="186">
        <f>G19</f>
        <v>7.5399999999999995E-2</v>
      </c>
    </row>
    <row r="9" spans="2:7" x14ac:dyDescent="0.25">
      <c r="B9" s="141"/>
      <c r="C9" s="190"/>
    </row>
    <row r="10" spans="2:7" ht="18" thickBot="1" x14ac:dyDescent="0.35">
      <c r="B10" s="191" t="s">
        <v>239</v>
      </c>
      <c r="C10" s="191"/>
      <c r="D10" s="191"/>
      <c r="E10" s="191"/>
      <c r="F10" s="191"/>
      <c r="G10" s="191"/>
    </row>
    <row r="11" spans="2:7" ht="15.75" thickTop="1" x14ac:dyDescent="0.25"/>
    <row r="12" spans="2:7" ht="75.75" thickBot="1" x14ac:dyDescent="0.3">
      <c r="B12" s="168" t="s">
        <v>240</v>
      </c>
      <c r="C12" s="178" t="s">
        <v>241</v>
      </c>
      <c r="D12" s="169" t="s">
        <v>242</v>
      </c>
      <c r="E12" s="169" t="s">
        <v>243</v>
      </c>
      <c r="F12" s="169" t="s">
        <v>244</v>
      </c>
      <c r="G12" s="169" t="s">
        <v>245</v>
      </c>
    </row>
    <row r="13" spans="2:7" x14ac:dyDescent="0.25">
      <c r="B13" s="170" t="s">
        <v>236</v>
      </c>
      <c r="C13" s="180">
        <v>7.3400000000000007E-2</v>
      </c>
      <c r="D13" s="171">
        <v>0.44500000000000001</v>
      </c>
      <c r="E13" s="171">
        <v>0.37530000000000002</v>
      </c>
      <c r="F13" s="171">
        <v>0.35749999999999998</v>
      </c>
      <c r="G13" s="171">
        <v>0.36220000000000002</v>
      </c>
    </row>
    <row r="14" spans="2:7" x14ac:dyDescent="0.25">
      <c r="B14" s="174" t="s">
        <v>237</v>
      </c>
      <c r="C14" s="181">
        <v>7.6799999999999993E-2</v>
      </c>
      <c r="D14" s="172">
        <v>0.4</v>
      </c>
      <c r="E14" s="172">
        <v>0.499</v>
      </c>
      <c r="F14" s="172">
        <v>0.51170000000000004</v>
      </c>
      <c r="G14" s="172">
        <v>0.51870000000000005</v>
      </c>
    </row>
    <row r="15" spans="2:7" ht="15.75" thickBot="1" x14ac:dyDescent="0.3">
      <c r="B15" s="175" t="s">
        <v>238</v>
      </c>
      <c r="C15" s="182">
        <v>7.5499999999999998E-2</v>
      </c>
      <c r="D15" s="173">
        <v>0.155</v>
      </c>
      <c r="E15" s="173">
        <v>0.12570000000000001</v>
      </c>
      <c r="F15" s="173">
        <v>0.1308</v>
      </c>
      <c r="G15" s="173">
        <v>0.1191</v>
      </c>
    </row>
    <row r="16" spans="2:7" ht="15.75" thickTop="1" x14ac:dyDescent="0.25">
      <c r="B16" s="176" t="s">
        <v>80</v>
      </c>
      <c r="C16" s="176"/>
      <c r="D16" s="171">
        <f>SUM(D13:D15)</f>
        <v>1</v>
      </c>
      <c r="E16" s="171">
        <f t="shared" ref="E16:G16" si="0">SUM(E13:E15)</f>
        <v>1</v>
      </c>
      <c r="F16" s="171">
        <f t="shared" si="0"/>
        <v>1</v>
      </c>
      <c r="G16" s="171">
        <f t="shared" si="0"/>
        <v>1</v>
      </c>
    </row>
    <row r="17" spans="2:7" x14ac:dyDescent="0.25">
      <c r="B17" s="177"/>
      <c r="C17" s="177"/>
      <c r="D17" s="177"/>
      <c r="E17" s="177"/>
      <c r="F17" s="177"/>
      <c r="G17" s="177"/>
    </row>
    <row r="18" spans="2:7" x14ac:dyDescent="0.25">
      <c r="B18" s="174" t="s">
        <v>246</v>
      </c>
      <c r="C18" s="192"/>
      <c r="D18" s="193" t="s">
        <v>247</v>
      </c>
      <c r="E18" s="193" t="s">
        <v>248</v>
      </c>
      <c r="F18" s="193" t="s">
        <v>249</v>
      </c>
      <c r="G18" s="194" t="s">
        <v>250</v>
      </c>
    </row>
    <row r="19" spans="2:7" x14ac:dyDescent="0.25">
      <c r="B19" s="174" t="s">
        <v>251</v>
      </c>
      <c r="C19" s="5"/>
      <c r="D19" s="183">
        <f>ROUND(SUMPRODUCT($C$13:$C$15,D$13:D$15),4)</f>
        <v>7.51E-2</v>
      </c>
      <c r="E19" s="183">
        <f t="shared" ref="E19:G19" si="1">ROUND(SUMPRODUCT($C$13:$C$15,E$13:E$15),4)</f>
        <v>7.5399999999999995E-2</v>
      </c>
      <c r="F19" s="183">
        <f t="shared" si="1"/>
        <v>7.5399999999999995E-2</v>
      </c>
      <c r="G19" s="195">
        <f t="shared" si="1"/>
        <v>7.5399999999999995E-2</v>
      </c>
    </row>
    <row r="20" spans="2:7" x14ac:dyDescent="0.25">
      <c r="B20" s="179"/>
      <c r="D20" s="157"/>
      <c r="E20" s="157"/>
      <c r="F20" s="157"/>
      <c r="G20" s="157"/>
    </row>
    <row r="21" spans="2:7" x14ac:dyDescent="0.25">
      <c r="B21" t="s">
        <v>252</v>
      </c>
    </row>
  </sheetData>
  <sheetProtection algorithmName="SHA-512" hashValue="KX05Y+mcjGTamSBccznxfjT/p0dOh/beVtqG3lqYDW3mvNyL4jGSujixsaER56g8DZt5S3xHsgTZMLCT2IA4UQ==" saltValue="+p3ffgriefKX90H8oeYzBQ==" spinCount="100000" sheet="1" objects="1" scenarios="1" formatColumns="0" formatRows="0"/>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8275-7B1D-4F95-8EB5-09AE63FE2474}">
  <sheetPr codeName="Sheet4">
    <tabColor theme="3" tint="0.39997558519241921"/>
  </sheetPr>
  <dimension ref="B2:AA78"/>
  <sheetViews>
    <sheetView zoomScale="90" zoomScaleNormal="90" workbookViewId="0">
      <pane xSplit="2" ySplit="5" topLeftCell="C6" activePane="bottomRight" state="frozen"/>
      <selection pane="topRight" activeCell="C1" sqref="C1"/>
      <selection pane="bottomLeft" activeCell="A6" sqref="A6"/>
      <selection pane="bottomRight" activeCell="H19" sqref="H19"/>
    </sheetView>
  </sheetViews>
  <sheetFormatPr defaultColWidth="9.28515625" defaultRowHeight="15" x14ac:dyDescent="0.25"/>
  <cols>
    <col min="1" max="1" width="9.28515625" style="145"/>
    <col min="2" max="2" width="54.7109375" style="145" bestFit="1" customWidth="1"/>
    <col min="3" max="3" width="14.28515625" style="145" customWidth="1"/>
    <col min="4" max="4" width="14.42578125" style="145" customWidth="1"/>
    <col min="5" max="5" width="60" style="145" customWidth="1"/>
    <col min="6" max="6" width="15.42578125" style="145" customWidth="1"/>
    <col min="7" max="7" width="12.5703125" style="145" bestFit="1" customWidth="1"/>
    <col min="8" max="8" width="83.5703125" style="145" customWidth="1"/>
    <col min="9" max="14" width="9.28515625" style="145"/>
    <col min="15" max="15" width="10.28515625" style="145" customWidth="1"/>
    <col min="16" max="16" width="18.42578125" style="145" bestFit="1" customWidth="1"/>
    <col min="17" max="22" width="9.28515625" style="145"/>
    <col min="23" max="23" width="12.28515625" style="145" bestFit="1" customWidth="1"/>
    <col min="24" max="24" width="12.5703125" style="145" bestFit="1" customWidth="1"/>
    <col min="25" max="39" width="9.28515625" style="145"/>
    <col min="40" max="47" width="9.28515625" style="145" customWidth="1"/>
    <col min="48" max="16384" width="9.28515625" style="145"/>
  </cols>
  <sheetData>
    <row r="2" spans="2:8" ht="20.25" thickBot="1" x14ac:dyDescent="0.3">
      <c r="B2" s="144" t="s">
        <v>253</v>
      </c>
    </row>
    <row r="3" spans="2:8" ht="15.75" thickTop="1" x14ac:dyDescent="0.25"/>
    <row r="5" spans="2:8" ht="51" customHeight="1" x14ac:dyDescent="0.25">
      <c r="B5" s="146" t="s">
        <v>254</v>
      </c>
      <c r="C5" s="147" t="s">
        <v>183</v>
      </c>
      <c r="D5" s="147" t="s">
        <v>255</v>
      </c>
      <c r="E5" s="146" t="s">
        <v>256</v>
      </c>
      <c r="F5" s="147" t="s">
        <v>257</v>
      </c>
      <c r="G5" s="147" t="s">
        <v>258</v>
      </c>
      <c r="H5" s="147" t="s">
        <v>259</v>
      </c>
    </row>
    <row r="6" spans="2:8" ht="75" x14ac:dyDescent="0.25">
      <c r="B6" s="148" t="s">
        <v>195</v>
      </c>
      <c r="C6" s="148" t="s">
        <v>260</v>
      </c>
      <c r="D6" s="149" t="s">
        <v>261</v>
      </c>
      <c r="E6" s="4" t="s">
        <v>262</v>
      </c>
      <c r="F6" s="404">
        <f>'Refrigerant Leakage'!$D$22</f>
        <v>0.88200000000000001</v>
      </c>
      <c r="G6" s="150" t="s">
        <v>263</v>
      </c>
      <c r="H6" s="151" t="s">
        <v>264</v>
      </c>
    </row>
    <row r="7" spans="2:8" ht="15" customHeight="1" x14ac:dyDescent="0.25">
      <c r="B7" s="148" t="s">
        <v>204</v>
      </c>
      <c r="C7" s="148" t="s">
        <v>202</v>
      </c>
      <c r="D7" s="148"/>
      <c r="E7" s="537" t="s">
        <v>265</v>
      </c>
      <c r="F7" s="405">
        <v>3.5</v>
      </c>
      <c r="G7" s="150" t="s">
        <v>266</v>
      </c>
      <c r="H7" s="151" t="s">
        <v>267</v>
      </c>
    </row>
    <row r="8" spans="2:8" ht="30" x14ac:dyDescent="0.25">
      <c r="B8" s="148" t="s">
        <v>206</v>
      </c>
      <c r="C8" s="148" t="s">
        <v>202</v>
      </c>
      <c r="D8" s="148"/>
      <c r="E8" s="537"/>
      <c r="F8" s="405">
        <f>'Refrigerant Leakage'!$D$28/1</f>
        <v>1.54</v>
      </c>
      <c r="G8" s="150" t="s">
        <v>266</v>
      </c>
      <c r="H8" s="151" t="s">
        <v>891</v>
      </c>
    </row>
    <row r="9" spans="2:8" ht="15" customHeight="1" x14ac:dyDescent="0.25">
      <c r="B9" s="148" t="s">
        <v>210</v>
      </c>
      <c r="C9" s="148" t="s">
        <v>202</v>
      </c>
      <c r="D9" s="148"/>
      <c r="E9" s="537"/>
      <c r="F9" s="405">
        <f>F7</f>
        <v>3.5</v>
      </c>
      <c r="G9" s="150" t="s">
        <v>266</v>
      </c>
      <c r="H9" s="151"/>
    </row>
    <row r="10" spans="2:8" ht="30" x14ac:dyDescent="0.25">
      <c r="B10" s="148" t="s">
        <v>211</v>
      </c>
      <c r="C10" s="148" t="s">
        <v>202</v>
      </c>
      <c r="D10" s="148"/>
      <c r="E10" s="537"/>
      <c r="F10" s="405">
        <f>ROUND($F$7*('Refrigerant Leakage'!$D$29/'Refrigerant Leakage'!$D$30),2)</f>
        <v>3.2</v>
      </c>
      <c r="G10" s="150" t="s">
        <v>266</v>
      </c>
      <c r="H10" s="151" t="s">
        <v>268</v>
      </c>
    </row>
    <row r="11" spans="2:8" ht="15" customHeight="1" x14ac:dyDescent="0.25">
      <c r="B11" s="148" t="s">
        <v>269</v>
      </c>
      <c r="C11" s="148" t="s">
        <v>202</v>
      </c>
      <c r="D11" s="148"/>
      <c r="E11" s="537"/>
      <c r="F11" s="405">
        <f>F9</f>
        <v>3.5</v>
      </c>
      <c r="G11" s="150" t="s">
        <v>266</v>
      </c>
      <c r="H11" s="151"/>
    </row>
    <row r="12" spans="2:8" ht="30" x14ac:dyDescent="0.25">
      <c r="B12" s="148" t="s">
        <v>270</v>
      </c>
      <c r="C12" s="148" t="s">
        <v>202</v>
      </c>
      <c r="D12" s="148"/>
      <c r="E12" s="537"/>
      <c r="F12" s="405">
        <f>F10</f>
        <v>3.2</v>
      </c>
      <c r="G12" s="150" t="s">
        <v>266</v>
      </c>
      <c r="H12" s="151" t="s">
        <v>268</v>
      </c>
    </row>
    <row r="13" spans="2:8" ht="37.5" customHeight="1" x14ac:dyDescent="0.25">
      <c r="B13" s="148" t="s">
        <v>220</v>
      </c>
      <c r="C13" s="148" t="s">
        <v>202</v>
      </c>
      <c r="D13" s="148"/>
      <c r="E13" s="151" t="s">
        <v>960</v>
      </c>
      <c r="F13" s="405">
        <f>Y38</f>
        <v>5.375</v>
      </c>
      <c r="G13" s="150" t="s">
        <v>263</v>
      </c>
      <c r="H13" s="151" t="s">
        <v>271</v>
      </c>
    </row>
    <row r="14" spans="2:8" ht="25.5" customHeight="1" x14ac:dyDescent="0.25">
      <c r="B14" s="148" t="s">
        <v>224</v>
      </c>
      <c r="C14" s="150" t="s">
        <v>272</v>
      </c>
      <c r="D14" s="150" t="s">
        <v>273</v>
      </c>
      <c r="E14" s="444" t="s">
        <v>274</v>
      </c>
      <c r="F14" s="405">
        <f>'Refrigerant Leakage'!$D$21</f>
        <v>2.4</v>
      </c>
      <c r="G14" s="150" t="s">
        <v>263</v>
      </c>
      <c r="H14" s="151" t="s">
        <v>264</v>
      </c>
    </row>
    <row r="15" spans="2:8" ht="60" x14ac:dyDescent="0.25">
      <c r="B15" s="148" t="s">
        <v>228</v>
      </c>
      <c r="C15" s="150" t="s">
        <v>275</v>
      </c>
      <c r="D15" s="150"/>
      <c r="E15" s="444"/>
      <c r="F15" s="405">
        <f>R26</f>
        <v>0.19273764650506497</v>
      </c>
      <c r="G15" s="151" t="s">
        <v>276</v>
      </c>
      <c r="H15" s="152" t="s">
        <v>277</v>
      </c>
    </row>
    <row r="16" spans="2:8" ht="23.25" customHeight="1" x14ac:dyDescent="0.25">
      <c r="B16" s="148" t="s">
        <v>230</v>
      </c>
      <c r="C16" s="148" t="s">
        <v>278</v>
      </c>
      <c r="D16" s="148"/>
      <c r="E16" s="444"/>
      <c r="F16" s="405">
        <v>3.3</v>
      </c>
      <c r="G16" s="150" t="s">
        <v>263</v>
      </c>
      <c r="H16" s="152" t="s">
        <v>279</v>
      </c>
    </row>
    <row r="17" spans="2:27" ht="30" x14ac:dyDescent="0.25">
      <c r="B17" s="150" t="s">
        <v>280</v>
      </c>
      <c r="C17" s="150" t="s">
        <v>281</v>
      </c>
      <c r="D17" s="150"/>
      <c r="E17" s="150"/>
      <c r="F17" s="405">
        <f>F7</f>
        <v>3.5</v>
      </c>
      <c r="G17" s="150" t="s">
        <v>263</v>
      </c>
      <c r="H17" s="151" t="s">
        <v>282</v>
      </c>
      <c r="N17" s="145" t="s">
        <v>283</v>
      </c>
    </row>
    <row r="19" spans="2:27" x14ac:dyDescent="0.25">
      <c r="O19" s="145" t="s">
        <v>284</v>
      </c>
      <c r="P19" s="145" t="s">
        <v>285</v>
      </c>
      <c r="Q19" s="145" t="s">
        <v>286</v>
      </c>
      <c r="R19" s="145" t="s">
        <v>287</v>
      </c>
    </row>
    <row r="20" spans="2:27" x14ac:dyDescent="0.25">
      <c r="O20" s="145" t="s">
        <v>288</v>
      </c>
      <c r="P20" s="153">
        <v>27450</v>
      </c>
      <c r="Q20" s="145">
        <v>7</v>
      </c>
      <c r="R20" s="154">
        <f>Q20/(P20/1000)</f>
        <v>0.25500910746812389</v>
      </c>
    </row>
    <row r="21" spans="2:27" x14ac:dyDescent="0.25">
      <c r="O21" s="145" t="s">
        <v>289</v>
      </c>
      <c r="P21" s="153">
        <v>63225</v>
      </c>
      <c r="Q21" s="145">
        <v>14</v>
      </c>
      <c r="R21" s="154">
        <f t="shared" ref="R21:R25" si="0">Q21/(P21/1000)</f>
        <v>0.22143139580862001</v>
      </c>
    </row>
    <row r="22" spans="2:27" x14ac:dyDescent="0.25">
      <c r="O22" s="145" t="s">
        <v>290</v>
      </c>
      <c r="P22" s="153">
        <v>110725</v>
      </c>
      <c r="Q22" s="145">
        <v>21</v>
      </c>
      <c r="R22" s="154">
        <f t="shared" si="0"/>
        <v>0.18965906525174983</v>
      </c>
    </row>
    <row r="23" spans="2:27" x14ac:dyDescent="0.25">
      <c r="O23" s="145" t="s">
        <v>291</v>
      </c>
      <c r="P23" s="153">
        <v>144275</v>
      </c>
      <c r="Q23" s="145">
        <v>25</v>
      </c>
      <c r="R23" s="154">
        <f t="shared" si="0"/>
        <v>0.17328019407381737</v>
      </c>
    </row>
    <row r="24" spans="2:27" x14ac:dyDescent="0.25">
      <c r="O24" s="145" t="s">
        <v>292</v>
      </c>
      <c r="P24" s="153">
        <v>224675</v>
      </c>
      <c r="Q24" s="145">
        <v>30</v>
      </c>
      <c r="R24" s="154">
        <f t="shared" si="0"/>
        <v>0.13352620451763658</v>
      </c>
    </row>
    <row r="25" spans="2:27" x14ac:dyDescent="0.25">
      <c r="O25" s="145" t="s">
        <v>293</v>
      </c>
      <c r="P25" s="153">
        <v>272450</v>
      </c>
      <c r="Q25" s="145">
        <v>50</v>
      </c>
      <c r="R25" s="154">
        <f t="shared" si="0"/>
        <v>0.18351991191044228</v>
      </c>
    </row>
    <row r="26" spans="2:27" x14ac:dyDescent="0.25">
      <c r="O26" s="145" t="s">
        <v>294</v>
      </c>
      <c r="R26" s="154">
        <f>AVERAGE(R20:R25)</f>
        <v>0.19273764650506497</v>
      </c>
    </row>
    <row r="31" spans="2:27" x14ac:dyDescent="0.25">
      <c r="I31" s="145" t="s">
        <v>271</v>
      </c>
    </row>
    <row r="32" spans="2:27" x14ac:dyDescent="0.25">
      <c r="AA32" s="145" t="s">
        <v>295</v>
      </c>
    </row>
    <row r="34" spans="23:25" x14ac:dyDescent="0.25">
      <c r="W34" s="145" t="s">
        <v>284</v>
      </c>
      <c r="X34" s="145" t="s">
        <v>296</v>
      </c>
      <c r="Y34" s="145" t="s">
        <v>297</v>
      </c>
    </row>
    <row r="35" spans="23:25" x14ac:dyDescent="0.25">
      <c r="W35" s="145" t="s">
        <v>298</v>
      </c>
      <c r="X35" s="153">
        <v>50000</v>
      </c>
      <c r="Y35" s="145">
        <v>3</v>
      </c>
    </row>
    <row r="36" spans="23:25" x14ac:dyDescent="0.25">
      <c r="W36" s="145" t="s">
        <v>299</v>
      </c>
      <c r="X36" s="153">
        <v>65000</v>
      </c>
      <c r="Y36" s="145">
        <f>3+(14/16)</f>
        <v>3.875</v>
      </c>
    </row>
    <row r="37" spans="23:25" x14ac:dyDescent="0.25">
      <c r="W37" s="145" t="s">
        <v>300</v>
      </c>
      <c r="X37" s="153">
        <v>85000</v>
      </c>
      <c r="Y37" s="145">
        <f>4+(2/16)</f>
        <v>4.125</v>
      </c>
    </row>
    <row r="38" spans="23:25" x14ac:dyDescent="0.25">
      <c r="W38" s="145" t="s">
        <v>301</v>
      </c>
      <c r="X38" s="153">
        <v>110000</v>
      </c>
      <c r="Y38" s="145">
        <f>5+6/16</f>
        <v>5.375</v>
      </c>
    </row>
    <row r="39" spans="23:25" x14ac:dyDescent="0.25">
      <c r="W39" s="145" t="s">
        <v>302</v>
      </c>
      <c r="X39" s="153">
        <v>140000</v>
      </c>
      <c r="Y39" s="155">
        <f>5+13.5/16</f>
        <v>5.84375</v>
      </c>
    </row>
    <row r="78" spans="9:9" x14ac:dyDescent="0.25">
      <c r="I78" s="145" t="s">
        <v>303</v>
      </c>
    </row>
  </sheetData>
  <sheetProtection algorithmName="SHA-512" hashValue="lg1GHxXizWxJtMzrfNEmEcmNNZ4u5HTJdeIf5dM0E0gew+J5vNbkLZG6/Eob1B52KRc7ZTZ74I764LlaixD8ig==" saltValue="y4nL6fdnfJmOwoJZkXqvvQ==" spinCount="100000" sheet="1" formatColumns="0" formatRows="0" autoFilter="0"/>
  <mergeCells count="2">
    <mergeCell ref="E7:E12"/>
    <mergeCell ref="E14:E16"/>
  </mergeCells>
  <hyperlinks>
    <hyperlink ref="H16" r:id="rId1" xr:uid="{ACA40368-D338-448B-9DF4-AD99C6935EF6}"/>
    <hyperlink ref="H15" r:id="rId2" xr:uid="{39DF3E3F-209D-4DDB-865B-3AC09EFAC50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401A51F6C42C4DA61146B04C474542" ma:contentTypeVersion="19" ma:contentTypeDescription="Create a new document." ma:contentTypeScope="" ma:versionID="b076966323e73818c5df8f79c810d168">
  <xsd:schema xmlns:xsd="http://www.w3.org/2001/XMLSchema" xmlns:xs="http://www.w3.org/2001/XMLSchema" xmlns:p="http://schemas.microsoft.com/office/2006/metadata/properties" xmlns:ns2="b913732f-4b51-4ad4-a4ee-43401a2fbb20" xmlns:ns3="1a4733e3-839b-4ef1-b07a-5b4db22dbe80" targetNamespace="http://schemas.microsoft.com/office/2006/metadata/properties" ma:root="true" ma:fieldsID="f4dcc5b26d653852951d51cf48d4dab9" ns2:_="" ns3:_="">
    <xsd:import namespace="b913732f-4b51-4ad4-a4ee-43401a2fbb20"/>
    <xsd:import namespace="1a4733e3-839b-4ef1-b07a-5b4db22dbe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3732f-4b51-4ad4-a4ee-43401a2fbb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0b031d9-ae19-48d6-a524-e417b27e88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4733e3-839b-4ef1-b07a-5b4db22dbe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5225fcd-6b5d-4034-ab4a-56f8bb43570b}" ma:internalName="TaxCatchAll" ma:showField="CatchAllData" ma:web="1a4733e3-839b-4ef1-b07a-5b4db22dbe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a4733e3-839b-4ef1-b07a-5b4db22dbe80">
      <UserInfo>
        <DisplayName/>
        <AccountId xsi:nil="true"/>
        <AccountType/>
      </UserInfo>
    </SharedWithUsers>
    <lcf76f155ced4ddcb4097134ff3c332f xmlns="b913732f-4b51-4ad4-a4ee-43401a2fbb20">
      <Terms xmlns="http://schemas.microsoft.com/office/infopath/2007/PartnerControls"/>
    </lcf76f155ced4ddcb4097134ff3c332f>
    <TaxCatchAll xmlns="1a4733e3-839b-4ef1-b07a-5b4db22dbe80" xsi:nil="true"/>
  </documentManagement>
</p:properties>
</file>

<file path=customXml/itemProps1.xml><?xml version="1.0" encoding="utf-8"?>
<ds:datastoreItem xmlns:ds="http://schemas.openxmlformats.org/officeDocument/2006/customXml" ds:itemID="{57CF8394-642D-4702-BDAF-9F23D21611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3732f-4b51-4ad4-a4ee-43401a2fbb20"/>
    <ds:schemaRef ds:uri="1a4733e3-839b-4ef1-b07a-5b4db22dbe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B53656-8AE5-489F-85B5-D742E090A7AB}">
  <ds:schemaRefs>
    <ds:schemaRef ds:uri="http://schemas.microsoft.com/sharepoint/v3/contenttype/forms"/>
  </ds:schemaRefs>
</ds:datastoreItem>
</file>

<file path=customXml/itemProps3.xml><?xml version="1.0" encoding="utf-8"?>
<ds:datastoreItem xmlns:ds="http://schemas.openxmlformats.org/officeDocument/2006/customXml" ds:itemID="{89D806A4-61D9-4E70-89CD-65DE816242A7}">
  <ds:schemaRefs>
    <ds:schemaRef ds:uri="http://purl.org/dc/terms/"/>
    <ds:schemaRef ds:uri="http://schemas.microsoft.com/office/2006/documentManagement/types"/>
    <ds:schemaRef ds:uri="b913732f-4b51-4ad4-a4ee-43401a2fbb20"/>
    <ds:schemaRef ds:uri="http://purl.org/dc/elements/1.1/"/>
    <ds:schemaRef ds:uri="1a4733e3-839b-4ef1-b07a-5b4db22dbe80"/>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vt:i4>
      </vt:variant>
    </vt:vector>
  </HeadingPairs>
  <TitlesOfParts>
    <vt:vector size="52" baseType="lpstr">
      <vt:lpstr>Cover Sheet</vt:lpstr>
      <vt:lpstr>eTRM export</vt:lpstr>
      <vt:lpstr>User Inputs &gt;&gt;&gt;</vt:lpstr>
      <vt:lpstr>Deemed Dashboard</vt:lpstr>
      <vt:lpstr>User Specified Device Type</vt:lpstr>
      <vt:lpstr>Model Inputs &gt;&gt;&gt;</vt:lpstr>
      <vt:lpstr>Predefined Device Types</vt:lpstr>
      <vt:lpstr>Statewide WACC</vt:lpstr>
      <vt:lpstr>Refrig Type Research 2021</vt:lpstr>
      <vt:lpstr>Constants</vt:lpstr>
      <vt:lpstr>Named Ranges</vt:lpstr>
      <vt:lpstr>2022 Refrigerant ACC &gt;&gt;&gt;</vt:lpstr>
      <vt:lpstr>E3 Dashboard</vt:lpstr>
      <vt:lpstr>ACC Inputs</vt:lpstr>
      <vt:lpstr>Refrigerant Leakage</vt:lpstr>
      <vt:lpstr>Refrigerant GWPs</vt:lpstr>
      <vt:lpstr>Change Log</vt:lpstr>
      <vt:lpstr>ACC_Dollar_Year</vt:lpstr>
      <vt:lpstr>ACC_Inflation_Rate</vt:lpstr>
      <vt:lpstr>const_100_yr</vt:lpstr>
      <vt:lpstr>const_20_yr</vt:lpstr>
      <vt:lpstr>const_AR</vt:lpstr>
      <vt:lpstr>const_device_e3none</vt:lpstr>
      <vt:lpstr>const_device_nonrefrig</vt:lpstr>
      <vt:lpstr>const_NC</vt:lpstr>
      <vt:lpstr>const_NR</vt:lpstr>
      <vt:lpstr>const_tg_none</vt:lpstr>
      <vt:lpstr>const_userspec</vt:lpstr>
      <vt:lpstr>Dropdown_Claim_Year</vt:lpstr>
      <vt:lpstr>Dropdown_Existing_Device_Installation_Yr</vt:lpstr>
      <vt:lpstr>Dropdown_GWP_Time_Horizon</vt:lpstr>
      <vt:lpstr>Dropdown_Leakage_Device_Type</vt:lpstr>
      <vt:lpstr>Dropdown_MAT</vt:lpstr>
      <vt:lpstr>DropdownRefrigTech</vt:lpstr>
      <vt:lpstr>DY</vt:lpstr>
      <vt:lpstr>GHG_Adder_dollar_per_tonne</vt:lpstr>
      <vt:lpstr>GHG_Adder_Yr1</vt:lpstr>
      <vt:lpstr>GWP_Values_100_year_AR4</vt:lpstr>
      <vt:lpstr>GWP_Values_20_year_AR4</vt:lpstr>
      <vt:lpstr>Password</vt:lpstr>
      <vt:lpstr>pounds_per_metric_ton</vt:lpstr>
      <vt:lpstr>'Refrigerant GWPs'!Print_Area</vt:lpstr>
      <vt:lpstr>q_ann</vt:lpstr>
      <vt:lpstr>q_EOL</vt:lpstr>
      <vt:lpstr>RefrigDropdownList</vt:lpstr>
      <vt:lpstr>t_EOL</vt:lpstr>
      <vt:lpstr>tg_category1</vt:lpstr>
      <vt:lpstr>TG_dropdown_values</vt:lpstr>
      <vt:lpstr>TG_dropdown_with_blank</vt:lpstr>
      <vt:lpstr>tg_numcategories</vt:lpstr>
      <vt:lpstr>tgrows_1</vt:lpstr>
      <vt:lpstr>WACC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Cutter</dc:creator>
  <cp:keywords/>
  <dc:description/>
  <cp:lastModifiedBy>Murray, Rachel</cp:lastModifiedBy>
  <cp:revision/>
  <dcterms:created xsi:type="dcterms:W3CDTF">2020-04-23T22:41:59Z</dcterms:created>
  <dcterms:modified xsi:type="dcterms:W3CDTF">2023-08-25T23:33:20Z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0x0101002B401A51F6C42C4DA61146B04C474542</vt:lpwstr>
  </property>
  <property fmtid="{D5CDD505-2E9C-101B-9397-08002B2CF9AE}" pid="3" name="{A44787D4-0540-4523-9961-78E4036D8C6D}">
    <vt:lpwstr>{29011BCD-9810-4FE4-BF91-FFD64CECF023}</vt:lpwstr>
  </property>
  <property fmtid="{D5CDD505-2E9C-101B-9397-08002B2CF9AE}" pid="4" name="Order">
    <vt:r8>76500</vt:r8>
  </property>
  <property fmtid="{D5CDD505-2E9C-101B-9397-08002B2CF9AE}" pid="5" name="ComplianceAssetId">
    <vt:lpwstr/>
  </property>
  <property fmtid="{D5CDD505-2E9C-101B-9397-08002B2CF9AE}" pid="6" name="MediaServiceImageTags">
    <vt:lpwstr/>
  </property>
  <property fmtid="{D5CDD505-2E9C-101B-9397-08002B2CF9AE}" pid="7" name="MSIP_Label_57c84fa2-b2bb-403e-b8d4-2e71c559e792_Enabled">
    <vt:lpwstr>true</vt:lpwstr>
  </property>
  <property fmtid="{D5CDD505-2E9C-101B-9397-08002B2CF9AE}" pid="8" name="MSIP_Label_57c84fa2-b2bb-403e-b8d4-2e71c559e792_SetDate">
    <vt:lpwstr>2023-07-19T01:39:18Z</vt:lpwstr>
  </property>
  <property fmtid="{D5CDD505-2E9C-101B-9397-08002B2CF9AE}" pid="9" name="MSIP_Label_57c84fa2-b2bb-403e-b8d4-2e71c559e792_Method">
    <vt:lpwstr>Privileged</vt:lpwstr>
  </property>
  <property fmtid="{D5CDD505-2E9C-101B-9397-08002B2CF9AE}" pid="10" name="MSIP_Label_57c84fa2-b2bb-403e-b8d4-2e71c559e792_Name">
    <vt:lpwstr>DNV_Open</vt:lpwstr>
  </property>
  <property fmtid="{D5CDD505-2E9C-101B-9397-08002B2CF9AE}" pid="11" name="MSIP_Label_57c84fa2-b2bb-403e-b8d4-2e71c559e792_SiteId">
    <vt:lpwstr>adf10e2b-b6e9-41d6-be2f-c12bb566019c</vt:lpwstr>
  </property>
  <property fmtid="{D5CDD505-2E9C-101B-9397-08002B2CF9AE}" pid="12" name="MSIP_Label_57c84fa2-b2bb-403e-b8d4-2e71c559e792_ActionId">
    <vt:lpwstr>39eddbc6-dad5-4e13-924e-1f39ad65c8e9</vt:lpwstr>
  </property>
  <property fmtid="{D5CDD505-2E9C-101B-9397-08002B2CF9AE}" pid="13" name="MSIP_Label_57c84fa2-b2bb-403e-b8d4-2e71c559e792_ContentBits">
    <vt:lpwstr>0</vt:lpwstr>
  </property>
</Properties>
</file>