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codeName="ThisWorkbook"/>
  <mc:AlternateContent xmlns:mc="http://schemas.openxmlformats.org/markup-compatibility/2006">
    <mc:Choice Requires="x15">
      <x15ac:absPath xmlns:x15ac="http://schemas.microsoft.com/office/spreadsheetml/2010/11/ac" url="\\sf5filesrv91\userdata\PB3\Refrigerant\"/>
    </mc:Choice>
  </mc:AlternateContent>
  <xr:revisionPtr revIDLastSave="0" documentId="8_{2B41C7F6-6ADE-412A-AFB2-AD17AB9FAA84}" xr6:coauthVersionLast="47" xr6:coauthVersionMax="47" xr10:uidLastSave="{00000000-0000-0000-0000-000000000000}"/>
  <bookViews>
    <workbookView xWindow="-108" yWindow="-108" windowWidth="23256" windowHeight="14016" activeTab="2" xr2:uid="{2CB500BD-72E9-42E6-9D27-1451DE59609D}"/>
  </bookViews>
  <sheets>
    <sheet name="Cover Sheet" sheetId="25" r:id="rId1"/>
    <sheet name="eTRM export" sheetId="23" r:id="rId2"/>
    <sheet name="Deemed Dashboard" sheetId="12" r:id="rId3"/>
    <sheet name="Refrig Type Research" sheetId="20" r:id="rId4"/>
    <sheet name="Refrig Type Defaults" sheetId="22" r:id="rId5"/>
    <sheet name="Constants" sheetId="18" state="hidden" r:id="rId6"/>
    <sheet name="WACC" sheetId="24" r:id="rId7"/>
    <sheet name="E3 Dashboard" sheetId="7" r:id="rId8"/>
    <sheet name="ACC Inputs" sheetId="8" r:id="rId9"/>
    <sheet name="Refrigerant Leakage" sheetId="10" r:id="rId10"/>
    <sheet name="Refrigerant GWPs" sheetId="11" r:id="rId11"/>
  </sheets>
  <externalReferences>
    <externalReference r:id="rId12"/>
    <externalReference r:id="rId13"/>
  </externalReferences>
  <definedNames>
    <definedName name="__123Graph_A" localSheetId="3" hidden="1">[1]Sheet1!#REF!</definedName>
    <definedName name="__123Graph_A" localSheetId="10" hidden="1">[1]Sheet1!#REF!</definedName>
    <definedName name="__123Graph_A" localSheetId="9" hidden="1">[1]Sheet1!#REF!</definedName>
    <definedName name="__123Graph_A" hidden="1">[1]Sheet1!#REF!</definedName>
    <definedName name="__123Graph_ADA" localSheetId="3" hidden="1">[1]Sheet1!#REF!</definedName>
    <definedName name="__123Graph_ADA" localSheetId="10" hidden="1">[1]Sheet1!#REF!</definedName>
    <definedName name="__123Graph_ADA" localSheetId="9" hidden="1">[1]Sheet1!#REF!</definedName>
    <definedName name="__123Graph_ADA" hidden="1">[1]Sheet1!#REF!</definedName>
    <definedName name="__123Graph_ADEPREC2" localSheetId="3" hidden="1">[1]Sheet1!#REF!</definedName>
    <definedName name="__123Graph_ADEPREC2" localSheetId="10" hidden="1">[1]Sheet1!#REF!</definedName>
    <definedName name="__123Graph_ADEPREC2" localSheetId="9" hidden="1">[1]Sheet1!#REF!</definedName>
    <definedName name="__123Graph_ADEPREC2" hidden="1">[1]Sheet1!#REF!</definedName>
    <definedName name="__123Graph_ATREND" localSheetId="3" hidden="1">[1]Sheet1!#REF!</definedName>
    <definedName name="__123Graph_ATREND" localSheetId="10" hidden="1">[1]Sheet1!#REF!</definedName>
    <definedName name="__123Graph_ATREND" localSheetId="9" hidden="1">[1]Sheet1!#REF!</definedName>
    <definedName name="__123Graph_ATREND" hidden="1">[1]Sheet1!#REF!</definedName>
    <definedName name="__123Graph_B" localSheetId="3" hidden="1">[1]Sheet1!#REF!</definedName>
    <definedName name="__123Graph_B" localSheetId="10" hidden="1">[1]Sheet1!#REF!</definedName>
    <definedName name="__123Graph_B" localSheetId="9" hidden="1">[1]Sheet1!#REF!</definedName>
    <definedName name="__123Graph_B" hidden="1">[1]Sheet1!#REF!</definedName>
    <definedName name="__123Graph_BTREND" localSheetId="10" hidden="1">[1]Sheet1!#REF!</definedName>
    <definedName name="__123Graph_BTREND" localSheetId="9" hidden="1">[1]Sheet1!#REF!</definedName>
    <definedName name="__123Graph_BTREND" hidden="1">[1]Sheet1!#REF!</definedName>
    <definedName name="__123Graph_C" localSheetId="10" hidden="1">[1]Sheet1!#REF!</definedName>
    <definedName name="__123Graph_C" localSheetId="9" hidden="1">[1]Sheet1!#REF!</definedName>
    <definedName name="__123Graph_C" hidden="1">[1]Sheet1!#REF!</definedName>
    <definedName name="__123Graph_CTREND" localSheetId="10" hidden="1">[1]Sheet1!#REF!</definedName>
    <definedName name="__123Graph_CTREND" localSheetId="9" hidden="1">[1]Sheet1!#REF!</definedName>
    <definedName name="__123Graph_CTREND" hidden="1">[1]Sheet1!#REF!</definedName>
    <definedName name="__123Graph_X" localSheetId="10" hidden="1">[1]Sheet1!#REF!</definedName>
    <definedName name="__123Graph_X" localSheetId="9" hidden="1">[1]Sheet1!#REF!</definedName>
    <definedName name="__123Graph_X" hidden="1">[1]Sheet1!#REF!</definedName>
    <definedName name="__123Graph_XTREND" localSheetId="10" hidden="1">[1]Sheet1!#REF!</definedName>
    <definedName name="__123Graph_XTREND" localSheetId="9" hidden="1">[1]Sheet1!#REF!</definedName>
    <definedName name="__123Graph_XTREND" hidden="1">[1]Sheet1!#REF!</definedName>
    <definedName name="__FDS_HYPERLINK_TOGGLE_STATE__" hidden="1">"ON"</definedName>
    <definedName name="_1__123Graph_A_FABP_L.WK1_FAB" localSheetId="3" hidden="1">[1]Sheet1!#REF!</definedName>
    <definedName name="_1__123Graph_A_FABP_L.WK1_FAB" localSheetId="10" hidden="1">[1]Sheet1!#REF!</definedName>
    <definedName name="_1__123Graph_A_FABP_L.WK1_FAB" localSheetId="9" hidden="1">[1]Sheet1!#REF!</definedName>
    <definedName name="_1__123Graph_A_FABP_L.WK1_FAB" hidden="1">[1]Sheet1!#REF!</definedName>
    <definedName name="_2__123Graph_ADEPREC" localSheetId="3" hidden="1">[1]Sheet1!#REF!</definedName>
    <definedName name="_2__123Graph_ADEPREC" localSheetId="10" hidden="1">[1]Sheet1!#REF!</definedName>
    <definedName name="_2__123Graph_ADEPREC" localSheetId="9" hidden="1">[1]Sheet1!#REF!</definedName>
    <definedName name="_2__123Graph_ADEPREC" hidden="1">[1]Sheet1!#REF!</definedName>
    <definedName name="_3__123Graph_B_FABP_L.WK1_FAB" localSheetId="10" hidden="1">[1]Sheet1!#REF!</definedName>
    <definedName name="_3__123Graph_B_FABP_L.WK1_FAB" localSheetId="9" hidden="1">[1]Sheet1!#REF!</definedName>
    <definedName name="_3__123Graph_B_FABP_L.WK1_FAB" hidden="1">[1]Sheet1!#REF!</definedName>
    <definedName name="_4__123Graph_C_FABP_L.WK1_FAB" localSheetId="10" hidden="1">[1]Sheet1!#REF!</definedName>
    <definedName name="_4__123Graph_C_FABP_L.WK1_FAB" localSheetId="9" hidden="1">[1]Sheet1!#REF!</definedName>
    <definedName name="_4__123Graph_C_FABP_L.WK1_FAB" hidden="1">[1]Sheet1!#REF!</definedName>
    <definedName name="_5__123Graph_X_FABP_L.WK1_FAB" localSheetId="10" hidden="1">[1]Sheet1!#REF!</definedName>
    <definedName name="_5__123Graph_X_FABP_L.WK1_FAB" localSheetId="9" hidden="1">[1]Sheet1!#REF!</definedName>
    <definedName name="_5__123Graph_X_FABP_L.WK1_FAB" hidden="1">[1]Sheet1!#REF!</definedName>
    <definedName name="_Fill" localSheetId="3" hidden="1">#REF!</definedName>
    <definedName name="_Fill" localSheetId="10" hidden="1">#REF!</definedName>
    <definedName name="_Fill" localSheetId="9" hidden="1">#REF!</definedName>
    <definedName name="_Fill" hidden="1">#REF!</definedName>
    <definedName name="_xlnm._FilterDatabase" localSheetId="10" hidden="1">'Refrigerant GWPs'!$A$1:$WVM$162</definedName>
    <definedName name="_Key1" localSheetId="3" hidden="1">#REF!</definedName>
    <definedName name="_Key1" localSheetId="10" hidden="1">#REF!</definedName>
    <definedName name="_Key1" localSheetId="9" hidden="1">#REF!</definedName>
    <definedName name="_Key1" hidden="1">#REF!</definedName>
    <definedName name="_Key2" localSheetId="3" hidden="1">#REF!</definedName>
    <definedName name="_Key2" localSheetId="10" hidden="1">#REF!</definedName>
    <definedName name="_Key2" localSheetId="9" hidden="1">#REF!</definedName>
    <definedName name="_Key2" hidden="1">#REF!</definedName>
    <definedName name="_Order1" hidden="1">255</definedName>
    <definedName name="_Order2" hidden="1">255</definedName>
    <definedName name="_Sort" localSheetId="3" hidden="1">#REF!</definedName>
    <definedName name="_Sort" localSheetId="10" hidden="1">#REF!</definedName>
    <definedName name="_Sort" localSheetId="9" hidden="1">#REF!</definedName>
    <definedName name="_Sort" hidden="1">#REF!</definedName>
    <definedName name="_Table2_In1" localSheetId="3" hidden="1">#REF!</definedName>
    <definedName name="_Table2_In1" localSheetId="10" hidden="1">#REF!</definedName>
    <definedName name="_Table2_In1" localSheetId="9" hidden="1">#REF!</definedName>
    <definedName name="_Table2_In1" hidden="1">#REF!</definedName>
    <definedName name="_Table2_In2" localSheetId="3" hidden="1">#REF!</definedName>
    <definedName name="_Table2_In2" localSheetId="10" hidden="1">#REF!</definedName>
    <definedName name="_Table2_In2" localSheetId="9" hidden="1">#REF!</definedName>
    <definedName name="_Table2_In2" hidden="1">#REF!</definedName>
    <definedName name="_Table2_Out" hidden="1">#REF!</definedName>
    <definedName name="anscount" hidden="1">3</definedName>
    <definedName name="asd" localSheetId="3" hidden="1">[1]Sheet1!#REF!</definedName>
    <definedName name="asd" localSheetId="10" hidden="1">[1]Sheet1!#REF!</definedName>
    <definedName name="asd" localSheetId="9" hidden="1">[1]Sheet1!#REF!</definedName>
    <definedName name="asd" hidden="1">[1]Sheet1!#REF!</definedName>
    <definedName name="asdf" localSheetId="3" hidden="1">[1]Sheet1!#REF!</definedName>
    <definedName name="asdf" localSheetId="10" hidden="1">[1]Sheet1!#REF!</definedName>
    <definedName name="asdf" localSheetId="9" hidden="1">[1]Sheet1!#REF!</definedName>
    <definedName name="asdf" hidden="1">[1]Sheet1!#REF!</definedName>
    <definedName name="BLPB1" hidden="1">'[2]One-Pager'!$A$5</definedName>
    <definedName name="BLPB2" hidden="1">'[2]One-Pager'!$B$5</definedName>
    <definedName name="BLPB3" hidden="1">'[2]One-Pager'!$A$6</definedName>
    <definedName name="BLPB4" hidden="1">'[2]One-Pager'!$A$2</definedName>
    <definedName name="BLPB5" hidden="1">'[2]One-Pager'!$Q$3</definedName>
    <definedName name="BLPB6" hidden="1">'[2]One-Pager'!$I$2</definedName>
    <definedName name="BLPB7" hidden="1">'[2]One-Pager'!$G$2</definedName>
    <definedName name="BLPB8" hidden="1">'[2]One-Pager'!$F$6</definedName>
    <definedName name="BLPH1" localSheetId="3" hidden="1">#REF!</definedName>
    <definedName name="BLPH1" localSheetId="10" hidden="1">#REF!</definedName>
    <definedName name="BLPH1" localSheetId="9" hidden="1">#REF!</definedName>
    <definedName name="BLPH1" hidden="1">#REF!</definedName>
    <definedName name="BLPH10" localSheetId="3" hidden="1">#REF!</definedName>
    <definedName name="BLPH10" localSheetId="10" hidden="1">#REF!</definedName>
    <definedName name="BLPH10" localSheetId="9" hidden="1">#REF!</definedName>
    <definedName name="BLPH10" hidden="1">#REF!</definedName>
    <definedName name="BLPH11" localSheetId="3" hidden="1">#REF!</definedName>
    <definedName name="BLPH11" localSheetId="10" hidden="1">#REF!</definedName>
    <definedName name="BLPH11" localSheetId="9" hidden="1">#REF!</definedName>
    <definedName name="BLPH11" hidden="1">#REF!</definedName>
    <definedName name="BLPH12" hidden="1">#REF!</definedName>
    <definedName name="BLPH13" hidden="1">#REF!</definedName>
    <definedName name="BLPH14"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LPH9" hidden="1">#REF!</definedName>
    <definedName name="const_later">Constants!$AH$28:$BL$28</definedName>
    <definedName name="const_once">Constants!$AH$45:$BL$45</definedName>
    <definedName name="const_ones">Constants!$C$27:$AG$27</definedName>
    <definedName name="const_repeat_after">Constants!$M$55</definedName>
    <definedName name="Dropdown_Claim_Year">Constants!$F$5:$F$14</definedName>
    <definedName name="Dropdown_Leakage_Device_Type">'Refrigerant Leakage'!$B$2:$B$41</definedName>
    <definedName name="Dropdown_MAT">Constants!$H$5:$H$7</definedName>
    <definedName name="DropdownRefrigTech">'Refrig Type Defaults'!$B$5:$B$27</definedName>
    <definedName name="DY">'Deemed Dashboard'!$B$3</definedName>
    <definedName name="Earnings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ings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ings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ings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DP_0_1_aU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2_1_aDrv" hidden="1">#REF!</definedName>
    <definedName name="FDP_163_1_aD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6_1aUdv1" hidden="1">#REF!</definedName>
    <definedName name="FDP_197_1_aUdv" hidden="1">#REF!</definedName>
    <definedName name="FDP_198_1_aUdv" hidden="1">#REF!</definedName>
    <definedName name="FDP_199_1_aUd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4_1_aUrv" hidden="1">#REF!</definedName>
    <definedName name="FDP_25_1_aUrv" hidden="1">#REF!</definedName>
    <definedName name="FDP_26_1_aUrv" hidden="1">#REF!</definedName>
    <definedName name="FDP_27_1_aUrv" hidden="1">#REF!</definedName>
    <definedName name="FDP_28_1_aUrv" hidden="1">#REF!</definedName>
    <definedName name="FDP_29_1_aDrv" hidden="1">#REF!</definedName>
    <definedName name="FDP_3_1_aUrv" hidden="1">#REF!</definedName>
    <definedName name="FDP_30_1_aUrv" hidden="1">#REF!</definedName>
    <definedName name="FDP_31_1_aU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Urv" hidden="1">#REF!</definedName>
    <definedName name="FDP_40_1_aUrv" hidden="1">#REF!</definedName>
    <definedName name="FDP_41_1_aSrv" hidden="1">#REF!</definedName>
    <definedName name="FDP_42_1_aS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Urv" hidden="1">#REF!</definedName>
    <definedName name="FDP_60_1_aUrv" hidden="1">#REF!</definedName>
    <definedName name="FDP_61_1_aSrv" hidden="1">#REF!</definedName>
    <definedName name="FDP_62_1_aSrv" hidden="1">#REF!</definedName>
    <definedName name="FDP_63_1_aUrv" hidden="1">#REF!</definedName>
    <definedName name="FDP_64_1_aSrv" hidden="1">#REF!</definedName>
    <definedName name="FDP_65_1_aSrv" hidden="1">#REF!</definedName>
    <definedName name="FDP_66_1_aUrv" hidden="1">#REF!</definedName>
    <definedName name="FDP_67_1_aUrv" hidden="1">#REF!</definedName>
    <definedName name="FDP_68_1_aUrv" hidden="1">#REF!</definedName>
    <definedName name="FDP_69_1_aUrv" hidden="1">#REF!</definedName>
    <definedName name="FDP_7_1_aUrv" hidden="1">#REF!</definedName>
    <definedName name="FDP_70_1_aDrv" hidden="1">#REF!</definedName>
    <definedName name="FDP_71_1_aUrv" hidden="1">#REF!</definedName>
    <definedName name="FDP_72_1_aD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0_1_aUrv" hidden="1">#REF!</definedName>
    <definedName name="FDP_81_1_aSrv" hidden="1">#REF!</definedName>
    <definedName name="FDP_82_1_aUrv" hidden="1">#REF!</definedName>
    <definedName name="FDP_83_1_aSrv" hidden="1">#REF!</definedName>
    <definedName name="FDP_84_1_aUrv" hidden="1">#REF!</definedName>
    <definedName name="FDP_85_1_aUrv" hidden="1">#REF!</definedName>
    <definedName name="FDP_86_1_aUrv" hidden="1">#REF!</definedName>
    <definedName name="FDP_87_1_aSrv" hidden="1">#REF!</definedName>
    <definedName name="FDP_88_1_aUrv" hidden="1">#REF!</definedName>
    <definedName name="FDP_89_1_aSrv" hidden="1">#REF!</definedName>
    <definedName name="FDP_9_1_aD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GHG_Adder_dollar_per_tonne">'ACC Inputs'!$B$4:$AG$4</definedName>
    <definedName name="GHG_Adder_Yr1">'ACC Inputs'!$B$3</definedName>
    <definedName name="GWP_Values_100_year_AR4">'Refrigerant GWPs'!$D$2:$D$156</definedName>
    <definedName name="GWP_Values_20_year_AR4">'Refrigerant GWPs'!$E$2:$E$156</definedName>
    <definedName name="HTML_CodePage" hidden="1">1252</definedName>
    <definedName name="HTML_Control" localSheetId="3" hidden="1">{"'Summary'!$A$1:$J$24"}</definedName>
    <definedName name="HTML_Control" localSheetId="10" hidden="1">{"'Summary'!$A$1:$J$24"}</definedName>
    <definedName name="HTML_Control" localSheetId="9" hidden="1">{"'Summary'!$A$1:$J$24"}</definedName>
    <definedName name="HTML_Control" hidden="1">{"'Summary'!$A$1:$J$24"}</definedName>
    <definedName name="HTML_Description" hidden="1">""</definedName>
    <definedName name="HTML_Email" hidden="1">""</definedName>
    <definedName name="HTML_Header" hidden="1">""</definedName>
    <definedName name="HTML_LastUpdate" hidden="1">"10/13/1999"</definedName>
    <definedName name="HTML_LineAfter" hidden="1">FALSE</definedName>
    <definedName name="HTML_LineBefore" hidden="1">FALSE</definedName>
    <definedName name="HTML_Name" hidden="1">"Sharim Chaudhury"</definedName>
    <definedName name="HTML_OBDlg2" hidden="1">TRUE</definedName>
    <definedName name="HTML_OBDlg4" hidden="1">TRUE</definedName>
    <definedName name="HTML_OS" hidden="1">0</definedName>
    <definedName name="HTML_PathFile" hidden="1">"W:\19991013\default.htm"</definedName>
    <definedName name="HTML_Title" hidden="1">"Daily MTM  Report"</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FAX" hidden="1">"c2100"</definedName>
    <definedName name="IQ_BOARD_MEMBER_OFFICE" hidden="1">"c2098"</definedName>
    <definedName name="IQ_BOARD_MEMBER_PHONE" hidden="1">"c2099"</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100000</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UTSTANDING_FILING_DATE_TOTAL" hidden="1">"c2107"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EST" hidden="1">"IQ_REVENUE_EST"</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39146.6970023148</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LASTCLOSE" hidden="1">"c1855"</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limcount" hidden="1">3</definedName>
    <definedName name="pounds_per_metric_ton">Constants!$C$4</definedName>
    <definedName name="_xlnm.Print_Area" localSheetId="10">'Refrigerant GWPs'!$A$1:$E$162</definedName>
    <definedName name="q_ann">'Refrigerant Leakage'!$E$2:$E$41</definedName>
    <definedName name="q_EOL">'Refrigerant Leakage'!$F$2:$F$41</definedName>
    <definedName name="RefrigDropdownList">'Refrigerant GWPs'!$A$2:$A$156</definedName>
    <definedName name="sencount" hidden="1">1</definedName>
    <definedName name="solargraph" localSheetId="3" hidden="1">[1]Sheet1!#REF!</definedName>
    <definedName name="solargraph" localSheetId="10" hidden="1">[1]Sheet1!#REF!</definedName>
    <definedName name="solargraph" localSheetId="9" hidden="1">[1]Sheet1!#REF!</definedName>
    <definedName name="solargraph" hidden="1">[1]Sheet1!#REF!</definedName>
    <definedName name="solver_adj" localSheetId="3" hidden="1">#REF!</definedName>
    <definedName name="solver_adj" localSheetId="10" hidden="1">#REF!</definedName>
    <definedName name="solver_adj" localSheetId="9" hidden="1">#REF!</definedName>
    <definedName name="solver_adj" hidden="1">#REF!</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opt" localSheetId="3" hidden="1">#REF!</definedName>
    <definedName name="solver_opt" localSheetId="10" hidden="1">#REF!</definedName>
    <definedName name="solver_opt" localSheetId="9" hidden="1">#REF!</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definedName>
    <definedName name="t_EOL">'Refrigerant Leakage'!$G$2:$G$41</definedName>
    <definedName name="WACC">'Deemed Dashboard'!$B$6</definedName>
    <definedName name="wrn.ALL." localSheetId="3" hidden="1">{#N/A,#N/A,FALSE,"ASSUMPTIONS";#N/A,#N/A,FALSE,"Valuation Summary";"page1",#N/A,FALSE,"PRESENTATION";"page2",#N/A,FALSE,"PRESENTATION";#N/A,#N/A,FALSE,"ORIGINAL_ROLLBACK"}</definedName>
    <definedName name="wrn.ALL." localSheetId="10" hidden="1">{#N/A,#N/A,FALSE,"ASSUMPTIONS";#N/A,#N/A,FALSE,"Valuation Summary";"page1",#N/A,FALSE,"PRESENTATION";"page2",#N/A,FALSE,"PRESENTATION";#N/A,#N/A,FALSE,"ORIGINAL_ROLLBACK"}</definedName>
    <definedName name="wrn.ALL." localSheetId="9" hidden="1">{#N/A,#N/A,FALSE,"ASSUMPTIONS";#N/A,#N/A,FALSE,"Valuation Summary";"page1",#N/A,FALSE,"PRESENTATION";"page2",#N/A,FALSE,"PRESENTATION";#N/A,#N/A,FALSE,"ORIGINAL_ROLLBACK"}</definedName>
    <definedName name="wrn.ALL." hidden="1">{#N/A,#N/A,FALSE,"ASSUMPTIONS";#N/A,#N/A,FALSE,"Valuation Summary";"page1",#N/A,FALSE,"PRESENTATION";"page2",#N/A,FALSE,"PRESENTATION";#N/A,#N/A,FALSE,"ORIGINAL_ROLLBACK"}</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ullReport." localSheetId="3"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llReport." localSheetId="10"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llReport." localSheetId="9"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Y97SBP." localSheetId="3" hidden="1">{#N/A,#N/A,FALSE,"FY97";#N/A,#N/A,FALSE,"FY98";#N/A,#N/A,FALSE,"FY99";#N/A,#N/A,FALSE,"FY00";#N/A,#N/A,FALSE,"FY01"}</definedName>
    <definedName name="wrn.FY97SBP." localSheetId="10" hidden="1">{#N/A,#N/A,FALSE,"FY97";#N/A,#N/A,FALSE,"FY98";#N/A,#N/A,FALSE,"FY99";#N/A,#N/A,FALSE,"FY00";#N/A,#N/A,FALSE,"FY01"}</definedName>
    <definedName name="wrn.FY97SBP." localSheetId="9" hidden="1">{#N/A,#N/A,FALSE,"FY97";#N/A,#N/A,FALSE,"FY98";#N/A,#N/A,FALSE,"FY99";#N/A,#N/A,FALSE,"FY00";#N/A,#N/A,FALSE,"FY01"}</definedName>
    <definedName name="wrn.FY97SBP." hidden="1">{#N/A,#N/A,FALSE,"FY97";#N/A,#N/A,FALSE,"FY98";#N/A,#N/A,FALSE,"FY99";#N/A,#N/A,FALSE,"FY00";#N/A,#N/A,FALSE,"FY01"}</definedName>
    <definedName name="wrn.PRES_OUT." localSheetId="3" hidden="1">{"page1",#N/A,FALSE,"PRESENTATION";"page2",#N/A,FALSE,"PRESENTATION";#N/A,#N/A,FALSE,"Valuation Summary"}</definedName>
    <definedName name="wrn.PRES_OUT." localSheetId="10" hidden="1">{"page1",#N/A,FALSE,"PRESENTATION";"page2",#N/A,FALSE,"PRESENTATION";#N/A,#N/A,FALSE,"Valuation Summary"}</definedName>
    <definedName name="wrn.PRES_OUT." localSheetId="9" hidden="1">{"page1",#N/A,FALSE,"PRESENTATION";"page2",#N/A,FALSE,"PRESENTATION";#N/A,#N/A,FALSE,"Valuation Summary"}</definedName>
    <definedName name="wrn.PRES_OUT." hidden="1">{"page1",#N/A,FALSE,"PRESENTATION";"page2",#N/A,FALSE,"PRESENTATION";#N/A,#N/A,FALSE,"Valuation Summary"}</definedName>
    <definedName name="wrn.Presentation._.Version._.but._.No._.WC._.Slide." localSheetId="3"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esentation._.Version._.but._.No._.WC._.Slide." localSheetId="10"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esentation._.Version._.but._.No._.WC._.Slide." localSheetId="9"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esentation._.Version._.but._.No._.WC._.Slide."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int._.1_8." localSheetId="3"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1_8." localSheetId="10"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1_8." localSheetId="9"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1_8."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9_16." localSheetId="3"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9_16." localSheetId="10"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9_16." localSheetId="9"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9_16."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CURRENT._.PAGE." localSheetId="3" hidden="1">{"CURRENT",#N/A,FALSE,"REGISTER"}</definedName>
    <definedName name="wrn.PRINT_CURRENT._.PAGE." localSheetId="10" hidden="1">{"CURRENT",#N/A,FALSE,"REGISTER"}</definedName>
    <definedName name="wrn.PRINT_CURRENT._.PAGE." localSheetId="9" hidden="1">{"CURRENT",#N/A,FALSE,"REGISTER"}</definedName>
    <definedName name="wrn.PRINT_CURRENT._.PAGE." hidden="1">{"CURRENT",#N/A,FALSE,"REGISTER"}</definedName>
    <definedName name="wrn.PRINT_HISTORY." localSheetId="3" hidden="1">{"HISTORY",#N/A,FALSE,"REGISTER"}</definedName>
    <definedName name="wrn.PRINT_HISTORY." localSheetId="10" hidden="1">{"HISTORY",#N/A,FALSE,"REGISTER"}</definedName>
    <definedName name="wrn.PRINT_HISTORY." localSheetId="9" hidden="1">{"HISTORY",#N/A,FALSE,"REGISTER"}</definedName>
    <definedName name="wrn.PRINT_HISTORY." hidden="1">{"HISTORY",#N/A,FALSE,"REGISTER"}</definedName>
    <definedName name="wrn.printall." localSheetId="3" hidden="1">{"page1",#N/A,FALSE,"DCM";"page2",#N/A,FALSE,"DCM";"page3",#N/A,FALSE,"DCM";"page4",#N/A,FALSE,"DCM";"page5",#N/A,FALSE,"DCM";"page6",#N/A,FALSE,"DCM";"page7",#N/A,FALSE,"DCM";"page8",#N/A,FALSE,"DCM"}</definedName>
    <definedName name="wrn.printall." localSheetId="10" hidden="1">{"page1",#N/A,FALSE,"DCM";"page2",#N/A,FALSE,"DCM";"page3",#N/A,FALSE,"DCM";"page4",#N/A,FALSE,"DCM";"page5",#N/A,FALSE,"DCM";"page6",#N/A,FALSE,"DCM";"page7",#N/A,FALSE,"DCM";"page8",#N/A,FALSE,"DCM"}</definedName>
    <definedName name="wrn.printall." localSheetId="9" hidden="1">{"page1",#N/A,FALSE,"DCM";"page2",#N/A,FALSE,"DCM";"page3",#N/A,FALSE,"DCM";"page4",#N/A,FALSE,"DCM";"page5",#N/A,FALSE,"DCM";"page6",#N/A,FALSE,"DCM";"page7",#N/A,FALSE,"DCM";"page8",#N/A,FALSE,"DCM"}</definedName>
    <definedName name="wrn.printall." hidden="1">{"page1",#N/A,FALSE,"DCM";"page2",#N/A,FALSE,"DCM";"page3",#N/A,FALSE,"DCM";"page4",#N/A,FALSE,"DCM";"page5",#N/A,FALSE,"DCM";"page6",#N/A,FALSE,"DCM";"page7",#N/A,FALSE,"DCM";"page8",#N/A,FALSE,"DCM"}</definedName>
    <definedName name="wrn.sum1." localSheetId="3" hidden="1">{"Summary","1",FALSE,"Summary"}</definedName>
    <definedName name="wrn.sum1." localSheetId="10" hidden="1">{"Summary","1",FALSE,"Summary"}</definedName>
    <definedName name="wrn.sum1." localSheetId="9" hidden="1">{"Summary","1",FALSE,"Summary"}</definedName>
    <definedName name="wrn.sum1." hidden="1">{"Summary","1",FALSE,"Summary"}</definedName>
    <definedName name="wrn.Summary." localSheetId="3" hidden="1">{"page1",#N/A,FALSE,"DCM";"page3",#N/A,FALSE,"DCM"}</definedName>
    <definedName name="wrn.Summary." localSheetId="10" hidden="1">{"page1",#N/A,FALSE,"DCM";"page3",#N/A,FALSE,"DCM"}</definedName>
    <definedName name="wrn.Summary." localSheetId="9" hidden="1">{"page1",#N/A,FALSE,"DCM";"page3",#N/A,FALSE,"DCM"}</definedName>
    <definedName name="wrn.Summary." hidden="1">{"page1",#N/A,FALSE,"DCM";"page3",#N/A,FALSE,"DCM"}</definedName>
    <definedName name="wrn.Working._.Version." localSheetId="3"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ing._.Version." localSheetId="10"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ing._.Version." localSheetId="9"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ing._.Version."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papers." localSheetId="3" hidden="1">{#N/A,#N/A,FALSE,"Inputs And Assumptions";#N/A,#N/A,FALSE,"Revenue Allocation";#N/A,#N/A,FALSE,"RSP Surch Allocations";#N/A,#N/A,FALSE,"Generation Calculations";#N/A,#N/A,FALSE,"Test Year 2001 Sales and Revs."}</definedName>
    <definedName name="wrn.workpapers." localSheetId="10" hidden="1">{#N/A,#N/A,FALSE,"Inputs And Assumptions";#N/A,#N/A,FALSE,"Revenue Allocation";#N/A,#N/A,FALSE,"RSP Surch Allocations";#N/A,#N/A,FALSE,"Generation Calculations";#N/A,#N/A,FALSE,"Test Year 2001 Sales and Revs."}</definedName>
    <definedName name="wrn.workpapers." localSheetId="9" hidden="1">{#N/A,#N/A,FALSE,"Inputs And Assumptions";#N/A,#N/A,FALSE,"Revenue Allocation";#N/A,#N/A,FALSE,"RSP Surch Allocations";#N/A,#N/A,FALSE,"Generation Calculations";#N/A,#N/A,FALSE,"Test Year 2001 Sales and Revs."}</definedName>
    <definedName name="wrn.workpapers." hidden="1">{#N/A,#N/A,FALSE,"Inputs And Assumptions";#N/A,#N/A,FALSE,"Revenue Allocation";#N/A,#N/A,FALSE,"RSP Surch Allocations";#N/A,#N/A,FALSE,"Generation Calculations";#N/A,#N/A,FALSE,"Test Year 2001 Sales and Revs."}</definedName>
    <definedName name="wrn1.fullreport" localSheetId="3"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fullreport" localSheetId="10"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fullreport" localSheetId="9"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printall" localSheetId="3" hidden="1">{"page1",#N/A,FALSE,"DCM";"page2",#N/A,FALSE,"DCM";"page3",#N/A,FALSE,"DCM";"page4",#N/A,FALSE,"DCM";"page5",#N/A,FALSE,"DCM";"page6",#N/A,FALSE,"DCM";"page7",#N/A,FALSE,"DCM";"page8",#N/A,FALSE,"DCM"}</definedName>
    <definedName name="wrn1.printall" localSheetId="10" hidden="1">{"page1",#N/A,FALSE,"DCM";"page2",#N/A,FALSE,"DCM";"page3",#N/A,FALSE,"DCM";"page4",#N/A,FALSE,"DCM";"page5",#N/A,FALSE,"DCM";"page6",#N/A,FALSE,"DCM";"page7",#N/A,FALSE,"DCM";"page8",#N/A,FALSE,"DCM"}</definedName>
    <definedName name="wrn1.printall" localSheetId="9" hidden="1">{"page1",#N/A,FALSE,"DCM";"page2",#N/A,FALSE,"DCM";"page3",#N/A,FALSE,"DCM";"page4",#N/A,FALSE,"DCM";"page5",#N/A,FALSE,"DCM";"page6",#N/A,FALSE,"DCM";"page7",#N/A,FALSE,"DCM";"page8",#N/A,FALSE,"DCM"}</definedName>
    <definedName name="wrn1.printall" hidden="1">{"page1",#N/A,FALSE,"DCM";"page2",#N/A,FALSE,"DCM";"page3",#N/A,FALSE,"DCM";"page4",#N/A,FALSE,"DCM";"page5",#N/A,FALSE,"DCM";"page6",#N/A,FALSE,"DCM";"page7",#N/A,FALSE,"DCM";"page8",#N/A,FALSE,"DCM"}</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X10" i="12" l="1"/>
  <c r="AX11" i="12"/>
  <c r="AX12" i="12"/>
  <c r="AX13" i="12"/>
  <c r="AX14" i="12"/>
  <c r="AX15" i="12"/>
  <c r="AX16" i="12"/>
  <c r="AX17" i="12"/>
  <c r="AX18" i="12"/>
  <c r="AX19" i="12"/>
  <c r="AX20" i="12"/>
  <c r="AX21" i="12"/>
  <c r="AX22" i="12"/>
  <c r="AX23" i="12"/>
  <c r="AX24" i="12"/>
  <c r="AX25" i="12"/>
  <c r="AX26" i="12"/>
  <c r="AX27" i="12"/>
  <c r="AX28" i="12"/>
  <c r="AX29" i="12"/>
  <c r="AX30" i="12"/>
  <c r="AX31" i="12"/>
  <c r="AX32" i="12"/>
  <c r="AX33" i="12"/>
  <c r="AX34" i="12"/>
  <c r="AX35" i="12"/>
  <c r="AX36" i="12"/>
  <c r="AX37" i="12"/>
  <c r="AX38" i="12"/>
  <c r="AX39" i="12"/>
  <c r="AX40" i="12"/>
  <c r="AX41" i="12"/>
  <c r="AX42" i="12"/>
  <c r="AX43" i="12"/>
  <c r="AX44" i="12"/>
  <c r="AX45" i="12"/>
  <c r="AX46" i="12"/>
  <c r="AX47" i="12"/>
  <c r="AX48" i="12"/>
  <c r="AX49" i="12"/>
  <c r="AX50" i="12"/>
  <c r="AX51" i="12"/>
  <c r="AX52" i="12"/>
  <c r="AX53" i="12"/>
  <c r="AX54" i="12"/>
  <c r="AX55" i="12"/>
  <c r="AX56" i="12"/>
  <c r="AX57" i="12"/>
  <c r="AX58" i="12"/>
  <c r="AX59" i="12"/>
  <c r="AX60" i="12"/>
  <c r="AX61" i="12"/>
  <c r="AX62" i="12"/>
  <c r="AX63" i="12"/>
  <c r="AX64" i="12"/>
  <c r="AX65" i="12"/>
  <c r="AX66" i="12"/>
  <c r="AX67" i="12"/>
  <c r="AX68" i="12"/>
  <c r="AX69" i="12"/>
  <c r="AX70" i="12"/>
  <c r="AX71" i="12"/>
  <c r="AX72" i="12"/>
  <c r="AX73" i="12"/>
  <c r="AX74" i="12"/>
  <c r="AX75" i="12"/>
  <c r="AX76" i="12"/>
  <c r="AX77" i="12"/>
  <c r="AX78" i="12"/>
  <c r="AX79" i="12"/>
  <c r="AX80" i="12"/>
  <c r="AX81" i="12"/>
  <c r="AX82" i="12"/>
  <c r="AX83" i="12"/>
  <c r="AX84" i="12"/>
  <c r="AX85" i="12"/>
  <c r="AX86" i="12"/>
  <c r="AX87" i="12"/>
  <c r="AX88" i="12"/>
  <c r="AX89" i="12"/>
  <c r="AX90" i="12"/>
  <c r="AX91" i="12"/>
  <c r="AX92" i="12"/>
  <c r="AX93" i="12"/>
  <c r="AX94" i="12"/>
  <c r="AX95" i="12"/>
  <c r="AX96" i="12"/>
  <c r="AX97" i="12"/>
  <c r="AX98" i="12"/>
  <c r="AX99" i="12"/>
  <c r="AX100" i="12"/>
  <c r="AX101" i="12"/>
  <c r="AX102" i="12"/>
  <c r="AX103" i="12"/>
  <c r="AX104" i="12"/>
  <c r="AX105" i="12"/>
  <c r="AX106" i="12"/>
  <c r="AX107" i="12"/>
  <c r="AX108" i="12"/>
  <c r="AX109" i="12"/>
  <c r="AW10" i="12"/>
  <c r="AW11" i="12"/>
  <c r="AW12" i="12"/>
  <c r="AW13" i="12"/>
  <c r="AW14" i="12"/>
  <c r="AW15" i="12"/>
  <c r="AW16" i="12"/>
  <c r="AW17" i="12"/>
  <c r="AW18" i="12"/>
  <c r="AW19" i="12"/>
  <c r="AW20" i="12"/>
  <c r="AW21" i="12"/>
  <c r="AW22" i="12"/>
  <c r="AW23" i="12"/>
  <c r="AW24" i="12"/>
  <c r="AW25" i="12"/>
  <c r="AW26" i="12"/>
  <c r="AW27" i="12"/>
  <c r="AW28" i="12"/>
  <c r="AW29" i="12"/>
  <c r="AW30" i="12"/>
  <c r="AW31" i="12"/>
  <c r="AW32" i="12"/>
  <c r="AW33" i="12"/>
  <c r="AW34" i="12"/>
  <c r="AW35" i="12"/>
  <c r="AW36" i="12"/>
  <c r="AW37" i="12"/>
  <c r="AW38" i="12"/>
  <c r="AW39" i="12"/>
  <c r="AW40" i="12"/>
  <c r="AW41" i="12"/>
  <c r="AW42" i="12"/>
  <c r="AW43" i="12"/>
  <c r="AW44" i="12"/>
  <c r="AW45" i="12"/>
  <c r="AW46" i="12"/>
  <c r="AW47" i="12"/>
  <c r="AW48" i="12"/>
  <c r="AW49" i="12"/>
  <c r="AW50" i="12"/>
  <c r="AW51" i="12"/>
  <c r="AW52" i="12"/>
  <c r="AW53" i="12"/>
  <c r="AW54" i="12"/>
  <c r="AW55" i="12"/>
  <c r="AW56" i="12"/>
  <c r="AW57" i="12"/>
  <c r="AW58" i="12"/>
  <c r="AW59" i="12"/>
  <c r="AW60" i="12"/>
  <c r="AW61" i="12"/>
  <c r="AW62" i="12"/>
  <c r="AW63" i="12"/>
  <c r="AW64" i="12"/>
  <c r="AW65" i="12"/>
  <c r="AW66" i="12"/>
  <c r="AW67" i="12"/>
  <c r="AW68" i="12"/>
  <c r="AW69" i="12"/>
  <c r="AW70" i="12"/>
  <c r="AW71" i="12"/>
  <c r="AW72" i="12"/>
  <c r="AW73" i="12"/>
  <c r="AW74" i="12"/>
  <c r="AW75" i="12"/>
  <c r="AW76" i="12"/>
  <c r="AW77" i="12"/>
  <c r="AW78" i="12"/>
  <c r="AW79" i="12"/>
  <c r="AW80" i="12"/>
  <c r="AW81" i="12"/>
  <c r="AW82" i="12"/>
  <c r="AW83" i="12"/>
  <c r="AW84" i="12"/>
  <c r="AW85" i="12"/>
  <c r="AW86" i="12"/>
  <c r="AW87" i="12"/>
  <c r="AW88" i="12"/>
  <c r="AW89" i="12"/>
  <c r="AW90" i="12"/>
  <c r="AW91" i="12"/>
  <c r="AW92" i="12"/>
  <c r="AW93" i="12"/>
  <c r="AW94" i="12"/>
  <c r="AW95" i="12"/>
  <c r="AW96" i="12"/>
  <c r="AW97" i="12"/>
  <c r="AW98" i="12"/>
  <c r="AW99" i="12"/>
  <c r="AW100" i="12"/>
  <c r="AW101" i="12"/>
  <c r="AW102" i="12"/>
  <c r="AW103" i="12"/>
  <c r="AW104" i="12"/>
  <c r="AW105" i="12"/>
  <c r="AW106" i="12"/>
  <c r="AW107" i="12"/>
  <c r="AW108" i="12"/>
  <c r="AW109" i="12"/>
  <c r="G12" i="22"/>
  <c r="H12" i="22"/>
  <c r="I12" i="22"/>
  <c r="G13" i="22"/>
  <c r="H13" i="22"/>
  <c r="I13" i="22"/>
  <c r="AQ10" i="12" a="1"/>
  <c r="AQ10" i="12" s="1"/>
  <c r="AQ11" i="12" a="1"/>
  <c r="AQ11" i="12" s="1"/>
  <c r="AQ12" i="12" a="1"/>
  <c r="AQ12" i="12" s="1"/>
  <c r="AQ13" i="12" a="1"/>
  <c r="AQ13" i="12" s="1"/>
  <c r="AQ18" i="12" a="1"/>
  <c r="AQ18" i="12" s="1"/>
  <c r="AQ19" i="12" a="1"/>
  <c r="AQ19" i="12" s="1"/>
  <c r="AQ20" i="12" a="1"/>
  <c r="AQ20" i="12" s="1"/>
  <c r="AQ21" i="12" a="1"/>
  <c r="AQ21" i="12" s="1"/>
  <c r="AQ22" i="12" a="1"/>
  <c r="AQ22" i="12" s="1"/>
  <c r="AQ23" i="12" a="1"/>
  <c r="AQ23" i="12" s="1"/>
  <c r="AQ24" i="12" a="1"/>
  <c r="AQ24" i="12" s="1"/>
  <c r="AQ25" i="12" a="1"/>
  <c r="AQ25" i="12" s="1"/>
  <c r="AQ26" i="12" a="1"/>
  <c r="AQ26" i="12" s="1"/>
  <c r="AQ27" i="12" a="1"/>
  <c r="AQ27" i="12" s="1"/>
  <c r="AQ28" i="12" a="1"/>
  <c r="AQ28" i="12" s="1"/>
  <c r="AQ29" i="12" a="1"/>
  <c r="AQ29" i="12" s="1"/>
  <c r="AQ30" i="12" a="1"/>
  <c r="AQ30" i="12" s="1"/>
  <c r="AQ31" i="12" a="1"/>
  <c r="AQ31" i="12" s="1"/>
  <c r="AQ32" i="12" a="1"/>
  <c r="AQ32" i="12" s="1"/>
  <c r="AQ33" i="12" a="1"/>
  <c r="AQ33" i="12" s="1"/>
  <c r="AQ34" i="12" a="1"/>
  <c r="AQ34" i="12" s="1"/>
  <c r="AQ35" i="12" a="1"/>
  <c r="AQ35" i="12" s="1"/>
  <c r="AQ36" i="12" a="1"/>
  <c r="AQ36" i="12" s="1"/>
  <c r="AQ37" i="12" a="1"/>
  <c r="AQ37" i="12" s="1"/>
  <c r="AQ38" i="12" a="1"/>
  <c r="AQ38" i="12" s="1"/>
  <c r="AQ39" i="12" a="1"/>
  <c r="AQ39" i="12" s="1"/>
  <c r="AQ40" i="12" a="1"/>
  <c r="AQ40" i="12" s="1"/>
  <c r="AQ41" i="12" a="1"/>
  <c r="AQ41" i="12" s="1"/>
  <c r="AQ42" i="12" a="1"/>
  <c r="AQ42" i="12" s="1"/>
  <c r="AQ43" i="12" a="1"/>
  <c r="AQ43" i="12" s="1"/>
  <c r="AQ44" i="12" a="1"/>
  <c r="AQ44" i="12" s="1"/>
  <c r="AQ45" i="12" a="1"/>
  <c r="AQ45" i="12" s="1"/>
  <c r="AQ46" i="12" a="1"/>
  <c r="AQ46" i="12" s="1"/>
  <c r="AQ47" i="12" a="1"/>
  <c r="AQ47" i="12" s="1"/>
  <c r="AQ48" i="12" a="1"/>
  <c r="AQ48" i="12" s="1"/>
  <c r="AQ49" i="12" a="1"/>
  <c r="AQ49" i="12" s="1"/>
  <c r="AQ50" i="12" a="1"/>
  <c r="AQ50" i="12" s="1"/>
  <c r="AQ51" i="12" a="1"/>
  <c r="AQ51" i="12" s="1"/>
  <c r="AQ52" i="12" a="1"/>
  <c r="AQ52" i="12" s="1"/>
  <c r="AQ53" i="12" a="1"/>
  <c r="AQ53" i="12" s="1"/>
  <c r="AQ54" i="12" a="1"/>
  <c r="AQ54" i="12" s="1"/>
  <c r="AQ55" i="12" a="1"/>
  <c r="AQ55" i="12" s="1"/>
  <c r="AQ56" i="12" a="1"/>
  <c r="AQ56" i="12" s="1"/>
  <c r="AQ57" i="12" a="1"/>
  <c r="AQ57" i="12" s="1"/>
  <c r="AQ58" i="12" a="1"/>
  <c r="AQ58" i="12" s="1"/>
  <c r="AQ59" i="12" a="1"/>
  <c r="AQ59" i="12" s="1"/>
  <c r="AQ60" i="12" a="1"/>
  <c r="AQ60" i="12" s="1"/>
  <c r="AQ61" i="12" a="1"/>
  <c r="AQ61" i="12" s="1"/>
  <c r="AQ62" i="12" a="1"/>
  <c r="AQ62" i="12" s="1"/>
  <c r="AQ63" i="12" a="1"/>
  <c r="AQ63" i="12" s="1"/>
  <c r="AQ64" i="12" a="1"/>
  <c r="AQ64" i="12" s="1"/>
  <c r="AQ65" i="12" a="1"/>
  <c r="AQ65" i="12" s="1"/>
  <c r="AQ66" i="12" a="1"/>
  <c r="AQ66" i="12" s="1"/>
  <c r="AQ67" i="12" a="1"/>
  <c r="AQ67" i="12" s="1"/>
  <c r="AQ68" i="12" a="1"/>
  <c r="AQ68" i="12" s="1"/>
  <c r="AQ69" i="12" a="1"/>
  <c r="AQ69" i="12" s="1"/>
  <c r="AQ70" i="12" a="1"/>
  <c r="AQ70" i="12" s="1"/>
  <c r="AQ71" i="12" a="1"/>
  <c r="AQ71" i="12" s="1"/>
  <c r="AQ72" i="12" a="1"/>
  <c r="AQ72" i="12" s="1"/>
  <c r="AQ73" i="12" a="1"/>
  <c r="AQ73" i="12" s="1"/>
  <c r="AQ74" i="12" a="1"/>
  <c r="AQ74" i="12" s="1"/>
  <c r="AQ75" i="12" a="1"/>
  <c r="AQ75" i="12" s="1"/>
  <c r="AQ76" i="12" a="1"/>
  <c r="AQ76" i="12" s="1"/>
  <c r="AQ77" i="12" a="1"/>
  <c r="AQ77" i="12" s="1"/>
  <c r="AQ78" i="12" a="1"/>
  <c r="AQ78" i="12" s="1"/>
  <c r="AQ79" i="12" a="1"/>
  <c r="AQ79" i="12" s="1"/>
  <c r="AQ80" i="12" a="1"/>
  <c r="AQ80" i="12" s="1"/>
  <c r="AQ81" i="12" a="1"/>
  <c r="AQ81" i="12" s="1"/>
  <c r="AQ82" i="12" a="1"/>
  <c r="AQ82" i="12" s="1"/>
  <c r="AQ83" i="12" a="1"/>
  <c r="AQ83" i="12" s="1"/>
  <c r="AQ84" i="12" a="1"/>
  <c r="AQ84" i="12" s="1"/>
  <c r="AQ85" i="12" a="1"/>
  <c r="AQ85" i="12" s="1"/>
  <c r="AQ86" i="12" a="1"/>
  <c r="AQ86" i="12" s="1"/>
  <c r="AQ87" i="12" a="1"/>
  <c r="AQ87" i="12" s="1"/>
  <c r="AQ88" i="12" a="1"/>
  <c r="AQ88" i="12" s="1"/>
  <c r="AQ89" i="12" a="1"/>
  <c r="AQ89" i="12" s="1"/>
  <c r="AQ90" i="12" a="1"/>
  <c r="AQ90" i="12" s="1"/>
  <c r="AQ91" i="12" a="1"/>
  <c r="AQ91" i="12" s="1"/>
  <c r="AQ92" i="12" a="1"/>
  <c r="AQ92" i="12" s="1"/>
  <c r="AQ93" i="12" a="1"/>
  <c r="AQ93" i="12" s="1"/>
  <c r="AQ94" i="12" a="1"/>
  <c r="AQ94" i="12" s="1"/>
  <c r="AQ95" i="12" a="1"/>
  <c r="AQ95" i="12" s="1"/>
  <c r="AQ96" i="12" a="1"/>
  <c r="AQ96" i="12" s="1"/>
  <c r="AQ97" i="12" a="1"/>
  <c r="AQ97" i="12" s="1"/>
  <c r="AQ98" i="12" a="1"/>
  <c r="AQ98" i="12" s="1"/>
  <c r="AQ99" i="12" a="1"/>
  <c r="AQ99" i="12" s="1"/>
  <c r="AQ100" i="12" a="1"/>
  <c r="AQ100" i="12" s="1"/>
  <c r="AQ101" i="12" a="1"/>
  <c r="AQ101" i="12" s="1"/>
  <c r="AQ102" i="12" a="1"/>
  <c r="AQ102" i="12" s="1"/>
  <c r="AQ103" i="12" a="1"/>
  <c r="AQ103" i="12" s="1"/>
  <c r="AQ104" i="12" a="1"/>
  <c r="AQ104" i="12" s="1"/>
  <c r="AQ105" i="12" a="1"/>
  <c r="AQ105" i="12" s="1"/>
  <c r="AQ106" i="12" a="1"/>
  <c r="AQ106" i="12" s="1"/>
  <c r="AQ107" i="12" a="1"/>
  <c r="AQ107" i="12" s="1"/>
  <c r="AQ108" i="12" a="1"/>
  <c r="AQ108" i="12" s="1"/>
  <c r="AQ109" i="12" a="1"/>
  <c r="AQ109" i="12" s="1"/>
  <c r="AR14" i="12" a="1"/>
  <c r="AR14" i="12" s="1"/>
  <c r="AR15" i="12" a="1"/>
  <c r="AR15" i="12" s="1"/>
  <c r="AR16" i="12" a="1"/>
  <c r="AR16" i="12" s="1"/>
  <c r="AR17" i="12" a="1"/>
  <c r="AR17" i="12" s="1"/>
  <c r="AO14" i="12" a="1"/>
  <c r="AO14" i="12" s="1"/>
  <c r="BA14" i="12" s="1"/>
  <c r="AO15" i="12" a="1"/>
  <c r="AO15" i="12" s="1"/>
  <c r="BA15" i="12" s="1"/>
  <c r="AO16" i="12" a="1"/>
  <c r="AO16" i="12" s="1"/>
  <c r="AO17" i="12" a="1"/>
  <c r="AO17" i="12" s="1"/>
  <c r="BA17" i="12" s="1"/>
  <c r="AN10" i="12" a="1"/>
  <c r="AN10" i="12" s="1"/>
  <c r="AZ10" i="12" s="1"/>
  <c r="AN11" i="12" a="1"/>
  <c r="AN11" i="12" s="1"/>
  <c r="AN12" i="12" a="1"/>
  <c r="AN12" i="12" s="1"/>
  <c r="AZ12" i="12" s="1"/>
  <c r="AN13" i="12" a="1"/>
  <c r="AN13" i="12" s="1"/>
  <c r="AZ13" i="12" s="1"/>
  <c r="AN18" i="12" a="1"/>
  <c r="AN18" i="12" s="1"/>
  <c r="AZ18" i="12" s="1"/>
  <c r="AN19" i="12" a="1"/>
  <c r="AN19" i="12" s="1"/>
  <c r="AN20" i="12" a="1"/>
  <c r="AN20" i="12" s="1"/>
  <c r="AZ20" i="12" s="1"/>
  <c r="AN21" i="12" a="1"/>
  <c r="AN21" i="12" s="1"/>
  <c r="AZ21" i="12" s="1"/>
  <c r="AN22" i="12" a="1"/>
  <c r="AN22" i="12" s="1"/>
  <c r="AZ22" i="12" s="1"/>
  <c r="AN23" i="12" a="1"/>
  <c r="AN23" i="12" s="1"/>
  <c r="AZ23" i="12" s="1"/>
  <c r="AN24" i="12" a="1"/>
  <c r="AN24" i="12" s="1"/>
  <c r="AZ24" i="12" s="1"/>
  <c r="AN25" i="12" a="1"/>
  <c r="AN25" i="12" s="1"/>
  <c r="AZ25" i="12" s="1"/>
  <c r="AN26" i="12" a="1"/>
  <c r="AN26" i="12" s="1"/>
  <c r="AZ26" i="12" s="1"/>
  <c r="AN27" i="12" a="1"/>
  <c r="AN27" i="12" s="1"/>
  <c r="AZ27" i="12" s="1"/>
  <c r="AN28" i="12" a="1"/>
  <c r="AN28" i="12" s="1"/>
  <c r="AZ28" i="12" s="1"/>
  <c r="AN29" i="12" a="1"/>
  <c r="AN29" i="12" s="1"/>
  <c r="AZ29" i="12" s="1"/>
  <c r="AN30" i="12" a="1"/>
  <c r="AN30" i="12" s="1"/>
  <c r="AN31" i="12" a="1"/>
  <c r="AN31" i="12" s="1"/>
  <c r="AZ31" i="12" s="1"/>
  <c r="AN32" i="12" a="1"/>
  <c r="AN32" i="12" s="1"/>
  <c r="AZ32" i="12" s="1"/>
  <c r="AN33" i="12" a="1"/>
  <c r="AN33" i="12" s="1"/>
  <c r="AZ33" i="12" s="1"/>
  <c r="AN34" i="12" a="1"/>
  <c r="AN34" i="12" s="1"/>
  <c r="AZ34" i="12" s="1"/>
  <c r="AN35" i="12" a="1"/>
  <c r="AN35" i="12" s="1"/>
  <c r="AZ35" i="12" s="1"/>
  <c r="AN36" i="12" a="1"/>
  <c r="AN36" i="12" s="1"/>
  <c r="AZ36" i="12" s="1"/>
  <c r="AN37" i="12" a="1"/>
  <c r="AN37" i="12" s="1"/>
  <c r="AZ37" i="12" s="1"/>
  <c r="AN38" i="12" a="1"/>
  <c r="AN38" i="12" s="1"/>
  <c r="AZ38" i="12" s="1"/>
  <c r="AN39" i="12" a="1"/>
  <c r="AN39" i="12" s="1"/>
  <c r="AZ39" i="12" s="1"/>
  <c r="AN40" i="12" a="1"/>
  <c r="AN40" i="12" s="1"/>
  <c r="AZ40" i="12" s="1"/>
  <c r="AN41" i="12" a="1"/>
  <c r="AN41" i="12" s="1"/>
  <c r="AZ41" i="12" s="1"/>
  <c r="AN42" i="12" a="1"/>
  <c r="AN42" i="12" s="1"/>
  <c r="AZ42" i="12" s="1"/>
  <c r="AN43" i="12" a="1"/>
  <c r="AN43" i="12" s="1"/>
  <c r="AZ43" i="12" s="1"/>
  <c r="AN44" i="12" a="1"/>
  <c r="AN44" i="12" s="1"/>
  <c r="AZ44" i="12" s="1"/>
  <c r="AN45" i="12" a="1"/>
  <c r="AN45" i="12" s="1"/>
  <c r="AZ45" i="12" s="1"/>
  <c r="AN46" i="12" a="1"/>
  <c r="AN46" i="12" s="1"/>
  <c r="AZ46" i="12" s="1"/>
  <c r="AN47" i="12" a="1"/>
  <c r="AN47" i="12" s="1"/>
  <c r="AZ47" i="12" s="1"/>
  <c r="AN48" i="12" a="1"/>
  <c r="AN48" i="12" s="1"/>
  <c r="AZ48" i="12" s="1"/>
  <c r="AN49" i="12" a="1"/>
  <c r="AN49" i="12" s="1"/>
  <c r="AZ49" i="12" s="1"/>
  <c r="AN50" i="12" a="1"/>
  <c r="AN50" i="12" s="1"/>
  <c r="AZ50" i="12" s="1"/>
  <c r="AN51" i="12" a="1"/>
  <c r="AN51" i="12" s="1"/>
  <c r="AZ51" i="12" s="1"/>
  <c r="AN52" i="12" a="1"/>
  <c r="AN52" i="12" s="1"/>
  <c r="AZ52" i="12" s="1"/>
  <c r="AN53" i="12" a="1"/>
  <c r="AN53" i="12" s="1"/>
  <c r="AZ53" i="12" s="1"/>
  <c r="AN54" i="12" a="1"/>
  <c r="AN54" i="12" s="1"/>
  <c r="AZ54" i="12" s="1"/>
  <c r="AN55" i="12" a="1"/>
  <c r="AN55" i="12" s="1"/>
  <c r="AZ55" i="12" s="1"/>
  <c r="AN56" i="12" a="1"/>
  <c r="AN56" i="12" s="1"/>
  <c r="AZ56" i="12" s="1"/>
  <c r="AN57" i="12" a="1"/>
  <c r="AN57" i="12" s="1"/>
  <c r="AZ57" i="12" s="1"/>
  <c r="AN58" i="12" a="1"/>
  <c r="AN58" i="12" s="1"/>
  <c r="AZ58" i="12" s="1"/>
  <c r="AN59" i="12" a="1"/>
  <c r="AN59" i="12" s="1"/>
  <c r="AZ59" i="12" s="1"/>
  <c r="AN60" i="12" a="1"/>
  <c r="AN60" i="12" s="1"/>
  <c r="AZ60" i="12" s="1"/>
  <c r="AN61" i="12" a="1"/>
  <c r="AN61" i="12" s="1"/>
  <c r="AZ61" i="12" s="1"/>
  <c r="AN62" i="12" a="1"/>
  <c r="AN62" i="12" s="1"/>
  <c r="AZ62" i="12" s="1"/>
  <c r="AN63" i="12" a="1"/>
  <c r="AN63" i="12" s="1"/>
  <c r="AZ63" i="12" s="1"/>
  <c r="AN64" i="12" a="1"/>
  <c r="AN64" i="12" s="1"/>
  <c r="AZ64" i="12" s="1"/>
  <c r="AN65" i="12" a="1"/>
  <c r="AN65" i="12" s="1"/>
  <c r="AZ65" i="12" s="1"/>
  <c r="AN66" i="12" a="1"/>
  <c r="AN66" i="12" s="1"/>
  <c r="AN67" i="12" a="1"/>
  <c r="AN67" i="12" s="1"/>
  <c r="AZ67" i="12" s="1"/>
  <c r="AN68" i="12" a="1"/>
  <c r="AN68" i="12" s="1"/>
  <c r="AZ68" i="12" s="1"/>
  <c r="AN69" i="12" a="1"/>
  <c r="AN69" i="12" s="1"/>
  <c r="AZ69" i="12" s="1"/>
  <c r="AN70" i="12" a="1"/>
  <c r="AN70" i="12" s="1"/>
  <c r="AN71" i="12" a="1"/>
  <c r="AN71" i="12" s="1"/>
  <c r="AZ71" i="12" s="1"/>
  <c r="AN72" i="12" a="1"/>
  <c r="AN72" i="12" s="1"/>
  <c r="AZ72" i="12" s="1"/>
  <c r="AN73" i="12" a="1"/>
  <c r="AN73" i="12" s="1"/>
  <c r="AZ73" i="12" s="1"/>
  <c r="AN74" i="12" a="1"/>
  <c r="AN74" i="12" s="1"/>
  <c r="AZ74" i="12" s="1"/>
  <c r="AN75" i="12" a="1"/>
  <c r="AN75" i="12" s="1"/>
  <c r="AZ75" i="12" s="1"/>
  <c r="AN76" i="12" a="1"/>
  <c r="AN76" i="12" s="1"/>
  <c r="AZ76" i="12" s="1"/>
  <c r="AN77" i="12" a="1"/>
  <c r="AN77" i="12" s="1"/>
  <c r="AZ77" i="12" s="1"/>
  <c r="AN78" i="12" a="1"/>
  <c r="AN78" i="12" s="1"/>
  <c r="AZ78" i="12" s="1"/>
  <c r="AN79" i="12" a="1"/>
  <c r="AN79" i="12" s="1"/>
  <c r="AZ79" i="12" s="1"/>
  <c r="AN80" i="12" a="1"/>
  <c r="AN80" i="12" s="1"/>
  <c r="AZ80" i="12" s="1"/>
  <c r="AN81" i="12" a="1"/>
  <c r="AN81" i="12" s="1"/>
  <c r="AZ81" i="12" s="1"/>
  <c r="AN82" i="12" a="1"/>
  <c r="AN82" i="12" s="1"/>
  <c r="AZ82" i="12" s="1"/>
  <c r="AN83" i="12" a="1"/>
  <c r="AN83" i="12" s="1"/>
  <c r="AZ83" i="12" s="1"/>
  <c r="AN84" i="12" a="1"/>
  <c r="AN84" i="12" s="1"/>
  <c r="AZ84" i="12" s="1"/>
  <c r="AN85" i="12" a="1"/>
  <c r="AN85" i="12" s="1"/>
  <c r="AZ85" i="12" s="1"/>
  <c r="AN86" i="12" a="1"/>
  <c r="AN86" i="12" s="1"/>
  <c r="AZ86" i="12" s="1"/>
  <c r="AN87" i="12" a="1"/>
  <c r="AN87" i="12" s="1"/>
  <c r="AZ87" i="12" s="1"/>
  <c r="AN88" i="12" a="1"/>
  <c r="AN88" i="12" s="1"/>
  <c r="AZ88" i="12" s="1"/>
  <c r="AN89" i="12" a="1"/>
  <c r="AN89" i="12" s="1"/>
  <c r="AZ89" i="12" s="1"/>
  <c r="AN90" i="12" a="1"/>
  <c r="AN90" i="12" s="1"/>
  <c r="AZ90" i="12" s="1"/>
  <c r="AN91" i="12" a="1"/>
  <c r="AN91" i="12" s="1"/>
  <c r="AZ91" i="12" s="1"/>
  <c r="AN92" i="12" a="1"/>
  <c r="AN92" i="12" s="1"/>
  <c r="AZ92" i="12" s="1"/>
  <c r="AN93" i="12" a="1"/>
  <c r="AN93" i="12" s="1"/>
  <c r="AZ93" i="12" s="1"/>
  <c r="AN94" i="12" a="1"/>
  <c r="AN94" i="12" s="1"/>
  <c r="AZ94" i="12" s="1"/>
  <c r="AN95" i="12" a="1"/>
  <c r="AN95" i="12" s="1"/>
  <c r="AZ95" i="12" s="1"/>
  <c r="AN96" i="12" a="1"/>
  <c r="AN96" i="12" s="1"/>
  <c r="AZ96" i="12" s="1"/>
  <c r="AN97" i="12" a="1"/>
  <c r="AN97" i="12" s="1"/>
  <c r="AZ97" i="12" s="1"/>
  <c r="AN98" i="12" a="1"/>
  <c r="AN98" i="12" s="1"/>
  <c r="AZ98" i="12" s="1"/>
  <c r="AN99" i="12" a="1"/>
  <c r="AN99" i="12" s="1"/>
  <c r="AZ99" i="12" s="1"/>
  <c r="AN100" i="12" a="1"/>
  <c r="AN100" i="12" s="1"/>
  <c r="AZ100" i="12" s="1"/>
  <c r="AN101" i="12" a="1"/>
  <c r="AN101" i="12" s="1"/>
  <c r="AZ101" i="12" s="1"/>
  <c r="AN102" i="12" a="1"/>
  <c r="AN102" i="12" s="1"/>
  <c r="AZ102" i="12" s="1"/>
  <c r="AN103" i="12" a="1"/>
  <c r="AN103" i="12" s="1"/>
  <c r="AZ103" i="12" s="1"/>
  <c r="AN104" i="12" a="1"/>
  <c r="AN104" i="12" s="1"/>
  <c r="AZ104" i="12" s="1"/>
  <c r="AN105" i="12" a="1"/>
  <c r="AN105" i="12" s="1"/>
  <c r="AZ105" i="12" s="1"/>
  <c r="AN106" i="12" a="1"/>
  <c r="AN106" i="12" s="1"/>
  <c r="AZ106" i="12" s="1"/>
  <c r="AN107" i="12" a="1"/>
  <c r="AN107" i="12" s="1"/>
  <c r="AZ107" i="12" s="1"/>
  <c r="AN108" i="12" a="1"/>
  <c r="AN108" i="12" s="1"/>
  <c r="AZ108" i="12" s="1"/>
  <c r="AN109" i="12" a="1"/>
  <c r="AN109" i="12" s="1"/>
  <c r="AZ109" i="12" s="1"/>
  <c r="E11" i="12"/>
  <c r="E12" i="12"/>
  <c r="E13" i="12"/>
  <c r="E14" i="12"/>
  <c r="E15" i="12"/>
  <c r="E16" i="12"/>
  <c r="E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4" i="12"/>
  <c r="E55" i="12"/>
  <c r="E56" i="12"/>
  <c r="E57" i="12"/>
  <c r="E58" i="12"/>
  <c r="E59" i="12"/>
  <c r="E60" i="12"/>
  <c r="E61" i="12"/>
  <c r="E62" i="12"/>
  <c r="E63" i="12"/>
  <c r="E64" i="12"/>
  <c r="E65" i="12"/>
  <c r="E66" i="12"/>
  <c r="E67" i="12"/>
  <c r="E68" i="12"/>
  <c r="E69" i="12"/>
  <c r="E70" i="12"/>
  <c r="E71" i="12"/>
  <c r="E72" i="12"/>
  <c r="E73" i="12"/>
  <c r="E74" i="12"/>
  <c r="E75" i="12"/>
  <c r="E76" i="12"/>
  <c r="E77" i="12"/>
  <c r="E78" i="12"/>
  <c r="E79" i="12"/>
  <c r="E80" i="12"/>
  <c r="E81" i="12"/>
  <c r="E82" i="12"/>
  <c r="E83" i="12"/>
  <c r="E84" i="12"/>
  <c r="E85" i="12"/>
  <c r="E86" i="12"/>
  <c r="E87" i="12"/>
  <c r="E88" i="12"/>
  <c r="E89" i="12"/>
  <c r="E90" i="12"/>
  <c r="E91" i="12"/>
  <c r="E92" i="12"/>
  <c r="E93" i="12"/>
  <c r="E94" i="12"/>
  <c r="E95" i="12"/>
  <c r="E96" i="12"/>
  <c r="E97" i="12"/>
  <c r="E98" i="12"/>
  <c r="E99" i="12"/>
  <c r="E100" i="12"/>
  <c r="E101" i="12"/>
  <c r="E102" i="12"/>
  <c r="E103" i="12"/>
  <c r="E104" i="12"/>
  <c r="E105" i="12"/>
  <c r="E106" i="12"/>
  <c r="E107" i="12"/>
  <c r="E108" i="12"/>
  <c r="E109" i="12"/>
  <c r="E10" i="12"/>
  <c r="H9" i="24"/>
  <c r="B6" i="12"/>
  <c r="BA16" i="12" l="1"/>
  <c r="AZ19" i="12"/>
  <c r="AZ11" i="12"/>
  <c r="AZ66" i="12"/>
  <c r="AZ30" i="12"/>
  <c r="AZ70" i="12"/>
  <c r="A39" i="12"/>
  <c r="J39" i="12"/>
  <c r="AE39" i="12" s="1" a="1"/>
  <c r="AE39" i="12" s="1"/>
  <c r="K39" i="12"/>
  <c r="AF39" i="12" s="1" a="1"/>
  <c r="AF39" i="12" s="1"/>
  <c r="L39" i="12"/>
  <c r="AG39" i="12" s="1" a="1"/>
  <c r="AG39" i="12" s="1"/>
  <c r="M39" i="12"/>
  <c r="N39" i="12"/>
  <c r="O39" i="12"/>
  <c r="P39" i="12"/>
  <c r="Q39" i="12"/>
  <c r="R39" i="12"/>
  <c r="S39" i="12"/>
  <c r="T39" i="12"/>
  <c r="U39" i="12"/>
  <c r="Y39" i="12"/>
  <c r="Z39" i="12"/>
  <c r="AA39" i="12"/>
  <c r="AT39" i="12"/>
  <c r="AY39" i="12"/>
  <c r="A40" i="12"/>
  <c r="J40" i="12"/>
  <c r="AE40" i="12" s="1" a="1"/>
  <c r="AE40" i="12" s="1"/>
  <c r="K40" i="12"/>
  <c r="AF40" i="12" s="1" a="1"/>
  <c r="AF40" i="12" s="1"/>
  <c r="L40" i="12"/>
  <c r="AG40" i="12" s="1" a="1"/>
  <c r="AG40" i="12" s="1"/>
  <c r="M40" i="12"/>
  <c r="N40" i="12"/>
  <c r="O40" i="12"/>
  <c r="P40" i="12"/>
  <c r="Q40" i="12"/>
  <c r="R40" i="12"/>
  <c r="S40" i="12"/>
  <c r="T40" i="12"/>
  <c r="U40" i="12"/>
  <c r="Y40" i="12"/>
  <c r="Z40" i="12"/>
  <c r="AA40" i="12"/>
  <c r="AT40" i="12"/>
  <c r="AY40" i="12"/>
  <c r="A41" i="12"/>
  <c r="J41" i="12"/>
  <c r="AE41" i="12" s="1" a="1"/>
  <c r="AE41" i="12" s="1"/>
  <c r="K41" i="12"/>
  <c r="AF41" i="12" s="1" a="1"/>
  <c r="AF41" i="12" s="1"/>
  <c r="L41" i="12"/>
  <c r="AG41" i="12" s="1" a="1"/>
  <c r="AG41" i="12" s="1"/>
  <c r="M41" i="12"/>
  <c r="N41" i="12"/>
  <c r="O41" i="12"/>
  <c r="P41" i="12"/>
  <c r="Q41" i="12"/>
  <c r="R41" i="12"/>
  <c r="S41" i="12"/>
  <c r="T41" i="12"/>
  <c r="U41" i="12"/>
  <c r="Y41" i="12"/>
  <c r="Z41" i="12"/>
  <c r="AA41" i="12"/>
  <c r="AT41" i="12"/>
  <c r="AY41" i="12"/>
  <c r="A42" i="12"/>
  <c r="J42" i="12"/>
  <c r="AE42" i="12" s="1" a="1"/>
  <c r="AE42" i="12" s="1"/>
  <c r="K42" i="12"/>
  <c r="AF42" i="12" s="1" a="1"/>
  <c r="AF42" i="12" s="1"/>
  <c r="L42" i="12"/>
  <c r="AG42" i="12" s="1" a="1"/>
  <c r="AG42" i="12" s="1"/>
  <c r="M42" i="12"/>
  <c r="N42" i="12"/>
  <c r="O42" i="12"/>
  <c r="P42" i="12"/>
  <c r="Q42" i="12"/>
  <c r="R42" i="12"/>
  <c r="S42" i="12"/>
  <c r="T42" i="12"/>
  <c r="U42" i="12"/>
  <c r="Y42" i="12"/>
  <c r="Z42" i="12"/>
  <c r="AA42" i="12"/>
  <c r="AT42" i="12"/>
  <c r="AY42" i="12"/>
  <c r="A43" i="12"/>
  <c r="J43" i="12"/>
  <c r="AE43" i="12" s="1" a="1"/>
  <c r="AE43" i="12" s="1"/>
  <c r="K43" i="12"/>
  <c r="AF43" i="12" s="1" a="1"/>
  <c r="AF43" i="12" s="1"/>
  <c r="L43" i="12"/>
  <c r="AG43" i="12" s="1" a="1"/>
  <c r="AG43" i="12" s="1"/>
  <c r="M43" i="12"/>
  <c r="N43" i="12"/>
  <c r="O43" i="12"/>
  <c r="P43" i="12"/>
  <c r="V43" i="12" s="1"/>
  <c r="Q43" i="12"/>
  <c r="R43" i="12"/>
  <c r="S43" i="12"/>
  <c r="T43" i="12"/>
  <c r="U43" i="12"/>
  <c r="Y43" i="12"/>
  <c r="Z43" i="12"/>
  <c r="AA43" i="12"/>
  <c r="AT43" i="12"/>
  <c r="AY43" i="12"/>
  <c r="A44" i="12"/>
  <c r="J44" i="12"/>
  <c r="AE44" i="12" s="1" a="1"/>
  <c r="AE44" i="12" s="1"/>
  <c r="K44" i="12"/>
  <c r="AF44" i="12" s="1" a="1"/>
  <c r="AF44" i="12" s="1"/>
  <c r="L44" i="12"/>
  <c r="AG44" i="12" s="1" a="1"/>
  <c r="AG44" i="12" s="1"/>
  <c r="M44" i="12"/>
  <c r="N44" i="12"/>
  <c r="O44" i="12"/>
  <c r="P44" i="12"/>
  <c r="Q44" i="12"/>
  <c r="R44" i="12"/>
  <c r="S44" i="12"/>
  <c r="T44" i="12"/>
  <c r="U44" i="12"/>
  <c r="Y44" i="12"/>
  <c r="Z44" i="12"/>
  <c r="AA44" i="12"/>
  <c r="AT44" i="12"/>
  <c r="AY44" i="12"/>
  <c r="A45" i="12"/>
  <c r="J45" i="12"/>
  <c r="AE45" i="12" s="1" a="1"/>
  <c r="AE45" i="12" s="1"/>
  <c r="K45" i="12"/>
  <c r="AF45" i="12" s="1" a="1"/>
  <c r="AF45" i="12" s="1"/>
  <c r="L45" i="12"/>
  <c r="AG45" i="12" s="1" a="1"/>
  <c r="AG45" i="12" s="1"/>
  <c r="M45" i="12"/>
  <c r="N45" i="12"/>
  <c r="O45" i="12"/>
  <c r="P45" i="12"/>
  <c r="Q45" i="12"/>
  <c r="R45" i="12"/>
  <c r="S45" i="12"/>
  <c r="T45" i="12"/>
  <c r="U45" i="12"/>
  <c r="Y45" i="12"/>
  <c r="Z45" i="12"/>
  <c r="AA45" i="12"/>
  <c r="AT45" i="12"/>
  <c r="AY45" i="12"/>
  <c r="A46" i="12"/>
  <c r="J46" i="12"/>
  <c r="AE46" i="12" s="1" a="1"/>
  <c r="AE46" i="12" s="1"/>
  <c r="K46" i="12"/>
  <c r="AF46" i="12" s="1" a="1"/>
  <c r="AF46" i="12" s="1"/>
  <c r="L46" i="12"/>
  <c r="AG46" i="12" s="1" a="1"/>
  <c r="AG46" i="12" s="1"/>
  <c r="M46" i="12"/>
  <c r="N46" i="12"/>
  <c r="O46" i="12"/>
  <c r="P46" i="12"/>
  <c r="Q46" i="12"/>
  <c r="R46" i="12"/>
  <c r="S46" i="12"/>
  <c r="T46" i="12"/>
  <c r="U46" i="12"/>
  <c r="Y46" i="12"/>
  <c r="Z46" i="12"/>
  <c r="AA46" i="12"/>
  <c r="AT46" i="12"/>
  <c r="AY46" i="12"/>
  <c r="A47" i="12"/>
  <c r="J47" i="12"/>
  <c r="AE47" i="12" s="1" a="1"/>
  <c r="AE47" i="12" s="1"/>
  <c r="K47" i="12"/>
  <c r="AF47" i="12" s="1" a="1"/>
  <c r="AF47" i="12" s="1"/>
  <c r="L47" i="12"/>
  <c r="AG47" i="12" s="1" a="1"/>
  <c r="AG47" i="12" s="1"/>
  <c r="M47" i="12"/>
  <c r="N47" i="12"/>
  <c r="O47" i="12"/>
  <c r="P47" i="12"/>
  <c r="Q47" i="12"/>
  <c r="R47" i="12"/>
  <c r="S47" i="12"/>
  <c r="T47" i="12"/>
  <c r="U47" i="12"/>
  <c r="Y47" i="12"/>
  <c r="Z47" i="12"/>
  <c r="AA47" i="12"/>
  <c r="AT47" i="12"/>
  <c r="AY47" i="12"/>
  <c r="A48" i="12"/>
  <c r="J48" i="12"/>
  <c r="AE48" i="12" s="1" a="1"/>
  <c r="AE48" i="12" s="1"/>
  <c r="K48" i="12"/>
  <c r="AF48" i="12" s="1" a="1"/>
  <c r="AF48" i="12" s="1"/>
  <c r="L48" i="12"/>
  <c r="AG48" i="12" s="1" a="1"/>
  <c r="AG48" i="12" s="1"/>
  <c r="M48" i="12"/>
  <c r="N48" i="12"/>
  <c r="O48" i="12"/>
  <c r="P48" i="12"/>
  <c r="Q48" i="12"/>
  <c r="R48" i="12"/>
  <c r="S48" i="12"/>
  <c r="T48" i="12"/>
  <c r="U48" i="12"/>
  <c r="Y48" i="12"/>
  <c r="Z48" i="12"/>
  <c r="AA48" i="12"/>
  <c r="AT48" i="12"/>
  <c r="AY48" i="12"/>
  <c r="A49" i="12"/>
  <c r="J49" i="12"/>
  <c r="AE49" i="12" s="1" a="1"/>
  <c r="AE49" i="12" s="1"/>
  <c r="K49" i="12"/>
  <c r="AF49" i="12" s="1" a="1"/>
  <c r="AF49" i="12" s="1"/>
  <c r="L49" i="12"/>
  <c r="AG49" i="12" s="1" a="1"/>
  <c r="AG49" i="12" s="1"/>
  <c r="M49" i="12"/>
  <c r="N49" i="12"/>
  <c r="O49" i="12"/>
  <c r="P49" i="12"/>
  <c r="Q49" i="12"/>
  <c r="R49" i="12"/>
  <c r="S49" i="12"/>
  <c r="T49" i="12"/>
  <c r="U49" i="12"/>
  <c r="Y49" i="12"/>
  <c r="Z49" i="12"/>
  <c r="AA49" i="12"/>
  <c r="AT49" i="12"/>
  <c r="AY49" i="12"/>
  <c r="A50" i="12"/>
  <c r="J50" i="12"/>
  <c r="AE50" i="12" s="1" a="1"/>
  <c r="AE50" i="12" s="1"/>
  <c r="K50" i="12"/>
  <c r="AF50" i="12" s="1" a="1"/>
  <c r="AF50" i="12" s="1"/>
  <c r="L50" i="12"/>
  <c r="AG50" i="12" s="1" a="1"/>
  <c r="AG50" i="12" s="1"/>
  <c r="M50" i="12"/>
  <c r="N50" i="12"/>
  <c r="O50" i="12"/>
  <c r="P50" i="12"/>
  <c r="Q50" i="12"/>
  <c r="R50" i="12"/>
  <c r="S50" i="12"/>
  <c r="T50" i="12"/>
  <c r="U50" i="12"/>
  <c r="Y50" i="12"/>
  <c r="Z50" i="12"/>
  <c r="AA50" i="12"/>
  <c r="AT50" i="12"/>
  <c r="AY50" i="12"/>
  <c r="A51" i="12"/>
  <c r="J51" i="12"/>
  <c r="AE51" i="12" s="1" a="1"/>
  <c r="AE51" i="12" s="1"/>
  <c r="K51" i="12"/>
  <c r="AF51" i="12" s="1" a="1"/>
  <c r="AF51" i="12" s="1"/>
  <c r="L51" i="12"/>
  <c r="AG51" i="12" s="1" a="1"/>
  <c r="AG51" i="12" s="1"/>
  <c r="M51" i="12"/>
  <c r="N51" i="12"/>
  <c r="O51" i="12"/>
  <c r="P51" i="12"/>
  <c r="Q51" i="12"/>
  <c r="R51" i="12"/>
  <c r="S51" i="12"/>
  <c r="T51" i="12"/>
  <c r="U51" i="12"/>
  <c r="Y51" i="12"/>
  <c r="Z51" i="12"/>
  <c r="AA51" i="12"/>
  <c r="AT51" i="12"/>
  <c r="AY51" i="12"/>
  <c r="A52" i="12"/>
  <c r="J52" i="12"/>
  <c r="AE52" i="12" s="1" a="1"/>
  <c r="AE52" i="12" s="1"/>
  <c r="K52" i="12"/>
  <c r="AF52" i="12" s="1" a="1"/>
  <c r="AF52" i="12" s="1"/>
  <c r="L52" i="12"/>
  <c r="AG52" i="12" s="1" a="1"/>
  <c r="AG52" i="12" s="1"/>
  <c r="M52" i="12"/>
  <c r="N52" i="12"/>
  <c r="O52" i="12"/>
  <c r="P52" i="12"/>
  <c r="Q52" i="12"/>
  <c r="R52" i="12"/>
  <c r="S52" i="12"/>
  <c r="T52" i="12"/>
  <c r="U52" i="12"/>
  <c r="Y52" i="12"/>
  <c r="Z52" i="12"/>
  <c r="AA52" i="12"/>
  <c r="AT52" i="12"/>
  <c r="AY52" i="12"/>
  <c r="A53" i="12"/>
  <c r="J53" i="12"/>
  <c r="AE53" i="12" s="1" a="1"/>
  <c r="AE53" i="12" s="1"/>
  <c r="K53" i="12"/>
  <c r="AF53" i="12" s="1" a="1"/>
  <c r="AF53" i="12" s="1"/>
  <c r="L53" i="12"/>
  <c r="AG53" i="12" s="1" a="1"/>
  <c r="AG53" i="12" s="1"/>
  <c r="M53" i="12"/>
  <c r="N53" i="12"/>
  <c r="O53" i="12"/>
  <c r="P53" i="12"/>
  <c r="Q53" i="12"/>
  <c r="R53" i="12"/>
  <c r="S53" i="12"/>
  <c r="T53" i="12"/>
  <c r="U53" i="12"/>
  <c r="Y53" i="12"/>
  <c r="Z53" i="12"/>
  <c r="AA53" i="12"/>
  <c r="AT53" i="12"/>
  <c r="AY53" i="12"/>
  <c r="A54" i="12"/>
  <c r="J54" i="12"/>
  <c r="AE54" i="12" s="1" a="1"/>
  <c r="AE54" i="12" s="1"/>
  <c r="K54" i="12"/>
  <c r="AF54" i="12" s="1" a="1"/>
  <c r="AF54" i="12" s="1"/>
  <c r="L54" i="12"/>
  <c r="AG54" i="12" s="1" a="1"/>
  <c r="AG54" i="12" s="1"/>
  <c r="M54" i="12"/>
  <c r="N54" i="12"/>
  <c r="O54" i="12"/>
  <c r="P54" i="12"/>
  <c r="Q54" i="12"/>
  <c r="R54" i="12"/>
  <c r="S54" i="12"/>
  <c r="T54" i="12"/>
  <c r="U54" i="12"/>
  <c r="Y54" i="12"/>
  <c r="Z54" i="12"/>
  <c r="AA54" i="12"/>
  <c r="AT54" i="12"/>
  <c r="AY54" i="12"/>
  <c r="A55" i="12"/>
  <c r="J55" i="12"/>
  <c r="AE55" i="12" s="1" a="1"/>
  <c r="AE55" i="12" s="1"/>
  <c r="K55" i="12"/>
  <c r="AF55" i="12" s="1" a="1"/>
  <c r="AF55" i="12" s="1"/>
  <c r="L55" i="12"/>
  <c r="AG55" i="12" s="1" a="1"/>
  <c r="AG55" i="12" s="1"/>
  <c r="M55" i="12"/>
  <c r="N55" i="12"/>
  <c r="O55" i="12"/>
  <c r="P55" i="12"/>
  <c r="Q55" i="12"/>
  <c r="R55" i="12"/>
  <c r="S55" i="12"/>
  <c r="T55" i="12"/>
  <c r="U55" i="12"/>
  <c r="Y55" i="12"/>
  <c r="Z55" i="12"/>
  <c r="AA55" i="12"/>
  <c r="AT55" i="12"/>
  <c r="AY55" i="12"/>
  <c r="A56" i="12"/>
  <c r="J56" i="12"/>
  <c r="AE56" i="12" s="1" a="1"/>
  <c r="AE56" i="12" s="1"/>
  <c r="K56" i="12"/>
  <c r="AF56" i="12" s="1" a="1"/>
  <c r="AF56" i="12" s="1"/>
  <c r="L56" i="12"/>
  <c r="AG56" i="12" s="1" a="1"/>
  <c r="AG56" i="12" s="1"/>
  <c r="M56" i="12"/>
  <c r="N56" i="12"/>
  <c r="O56" i="12"/>
  <c r="P56" i="12"/>
  <c r="Q56" i="12"/>
  <c r="R56" i="12"/>
  <c r="S56" i="12"/>
  <c r="T56" i="12"/>
  <c r="U56" i="12"/>
  <c r="Y56" i="12"/>
  <c r="Z56" i="12"/>
  <c r="AA56" i="12"/>
  <c r="AT56" i="12"/>
  <c r="AY56" i="12"/>
  <c r="A57" i="12"/>
  <c r="J57" i="12"/>
  <c r="AE57" i="12" s="1" a="1"/>
  <c r="AE57" i="12" s="1"/>
  <c r="K57" i="12"/>
  <c r="AF57" i="12" s="1" a="1"/>
  <c r="AF57" i="12" s="1"/>
  <c r="L57" i="12"/>
  <c r="AG57" i="12" s="1" a="1"/>
  <c r="AG57" i="12" s="1"/>
  <c r="M57" i="12"/>
  <c r="N57" i="12"/>
  <c r="O57" i="12"/>
  <c r="P57" i="12"/>
  <c r="Q57" i="12"/>
  <c r="R57" i="12"/>
  <c r="S57" i="12"/>
  <c r="T57" i="12"/>
  <c r="U57" i="12"/>
  <c r="Y57" i="12"/>
  <c r="Z57" i="12"/>
  <c r="AA57" i="12"/>
  <c r="AT57" i="12"/>
  <c r="AY57" i="12"/>
  <c r="A58" i="12"/>
  <c r="J58" i="12"/>
  <c r="AE58" i="12" s="1" a="1"/>
  <c r="AE58" i="12" s="1"/>
  <c r="K58" i="12"/>
  <c r="AF58" i="12" s="1" a="1"/>
  <c r="AF58" i="12" s="1"/>
  <c r="L58" i="12"/>
  <c r="AG58" i="12" s="1" a="1"/>
  <c r="AG58" i="12" s="1"/>
  <c r="M58" i="12"/>
  <c r="N58" i="12"/>
  <c r="O58" i="12"/>
  <c r="P58" i="12"/>
  <c r="Q58" i="12"/>
  <c r="R58" i="12"/>
  <c r="S58" i="12"/>
  <c r="T58" i="12"/>
  <c r="U58" i="12"/>
  <c r="Y58" i="12"/>
  <c r="Z58" i="12"/>
  <c r="AA58" i="12"/>
  <c r="AT58" i="12"/>
  <c r="AY58" i="12"/>
  <c r="A59" i="12"/>
  <c r="J59" i="12"/>
  <c r="AE59" i="12" s="1" a="1"/>
  <c r="AE59" i="12" s="1"/>
  <c r="K59" i="12"/>
  <c r="AF59" i="12" s="1" a="1"/>
  <c r="AF59" i="12" s="1"/>
  <c r="L59" i="12"/>
  <c r="AG59" i="12" s="1" a="1"/>
  <c r="AG59" i="12" s="1"/>
  <c r="M59" i="12"/>
  <c r="N59" i="12"/>
  <c r="O59" i="12"/>
  <c r="P59" i="12"/>
  <c r="Q59" i="12"/>
  <c r="R59" i="12"/>
  <c r="S59" i="12"/>
  <c r="T59" i="12"/>
  <c r="U59" i="12"/>
  <c r="Y59" i="12"/>
  <c r="Z59" i="12"/>
  <c r="AA59" i="12"/>
  <c r="AT59" i="12"/>
  <c r="AY59" i="12"/>
  <c r="A60" i="12"/>
  <c r="J60" i="12"/>
  <c r="AE60" i="12" s="1" a="1"/>
  <c r="AE60" i="12" s="1"/>
  <c r="K60" i="12"/>
  <c r="AF60" i="12" s="1" a="1"/>
  <c r="AF60" i="12" s="1"/>
  <c r="L60" i="12"/>
  <c r="AG60" i="12" s="1" a="1"/>
  <c r="AG60" i="12" s="1"/>
  <c r="M60" i="12"/>
  <c r="N60" i="12"/>
  <c r="O60" i="12"/>
  <c r="P60" i="12"/>
  <c r="Q60" i="12"/>
  <c r="R60" i="12"/>
  <c r="S60" i="12"/>
  <c r="T60" i="12"/>
  <c r="U60" i="12"/>
  <c r="Y60" i="12"/>
  <c r="Z60" i="12"/>
  <c r="AA60" i="12"/>
  <c r="AT60" i="12"/>
  <c r="AY60" i="12"/>
  <c r="A61" i="12"/>
  <c r="J61" i="12"/>
  <c r="AE61" i="12" s="1" a="1"/>
  <c r="AE61" i="12" s="1"/>
  <c r="K61" i="12"/>
  <c r="AF61" i="12" s="1" a="1"/>
  <c r="AF61" i="12" s="1"/>
  <c r="L61" i="12"/>
  <c r="AG61" i="12" s="1" a="1"/>
  <c r="AG61" i="12" s="1"/>
  <c r="M61" i="12"/>
  <c r="N61" i="12"/>
  <c r="O61" i="12"/>
  <c r="P61" i="12"/>
  <c r="Q61" i="12"/>
  <c r="R61" i="12"/>
  <c r="S61" i="12"/>
  <c r="T61" i="12"/>
  <c r="U61" i="12"/>
  <c r="Y61" i="12"/>
  <c r="Z61" i="12"/>
  <c r="AA61" i="12"/>
  <c r="AT61" i="12"/>
  <c r="AY61" i="12"/>
  <c r="A62" i="12"/>
  <c r="J62" i="12"/>
  <c r="AE62" i="12" s="1" a="1"/>
  <c r="AE62" i="12" s="1"/>
  <c r="K62" i="12"/>
  <c r="AF62" i="12" s="1" a="1"/>
  <c r="AF62" i="12" s="1"/>
  <c r="L62" i="12"/>
  <c r="AG62" i="12" s="1" a="1"/>
  <c r="AG62" i="12" s="1"/>
  <c r="M62" i="12"/>
  <c r="N62" i="12"/>
  <c r="O62" i="12"/>
  <c r="P62" i="12"/>
  <c r="Q62" i="12"/>
  <c r="R62" i="12"/>
  <c r="S62" i="12"/>
  <c r="T62" i="12"/>
  <c r="U62" i="12"/>
  <c r="Y62" i="12"/>
  <c r="Z62" i="12"/>
  <c r="AA62" i="12"/>
  <c r="AT62" i="12"/>
  <c r="AY62" i="12"/>
  <c r="A63" i="12"/>
  <c r="J63" i="12"/>
  <c r="AE63" i="12" s="1" a="1"/>
  <c r="AE63" i="12" s="1"/>
  <c r="K63" i="12"/>
  <c r="AF63" i="12" s="1" a="1"/>
  <c r="AF63" i="12" s="1"/>
  <c r="L63" i="12"/>
  <c r="AG63" i="12" s="1" a="1"/>
  <c r="AG63" i="12" s="1"/>
  <c r="M63" i="12"/>
  <c r="N63" i="12"/>
  <c r="O63" i="12"/>
  <c r="P63" i="12"/>
  <c r="Q63" i="12"/>
  <c r="R63" i="12"/>
  <c r="S63" i="12"/>
  <c r="T63" i="12"/>
  <c r="U63" i="12"/>
  <c r="Y63" i="12"/>
  <c r="Z63" i="12"/>
  <c r="AA63" i="12"/>
  <c r="AT63" i="12"/>
  <c r="AY63" i="12"/>
  <c r="A64" i="12"/>
  <c r="J64" i="12"/>
  <c r="AE64" i="12" s="1" a="1"/>
  <c r="AE64" i="12" s="1"/>
  <c r="K64" i="12"/>
  <c r="AF64" i="12" s="1" a="1"/>
  <c r="AF64" i="12" s="1"/>
  <c r="L64" i="12"/>
  <c r="AG64" i="12" s="1" a="1"/>
  <c r="AG64" i="12" s="1"/>
  <c r="M64" i="12"/>
  <c r="N64" i="12"/>
  <c r="O64" i="12"/>
  <c r="P64" i="12"/>
  <c r="Q64" i="12"/>
  <c r="R64" i="12"/>
  <c r="S64" i="12"/>
  <c r="T64" i="12"/>
  <c r="U64" i="12"/>
  <c r="Y64" i="12"/>
  <c r="Z64" i="12"/>
  <c r="AA64" i="12"/>
  <c r="AT64" i="12"/>
  <c r="AY64" i="12"/>
  <c r="A65" i="12"/>
  <c r="J65" i="12"/>
  <c r="AE65" i="12" s="1" a="1"/>
  <c r="AE65" i="12" s="1"/>
  <c r="K65" i="12"/>
  <c r="AF65" i="12" s="1" a="1"/>
  <c r="AF65" i="12" s="1"/>
  <c r="L65" i="12"/>
  <c r="AG65" i="12" s="1" a="1"/>
  <c r="AG65" i="12" s="1"/>
  <c r="M65" i="12"/>
  <c r="N65" i="12"/>
  <c r="O65" i="12"/>
  <c r="P65" i="12"/>
  <c r="Q65" i="12"/>
  <c r="R65" i="12"/>
  <c r="S65" i="12"/>
  <c r="T65" i="12"/>
  <c r="U65" i="12"/>
  <c r="Y65" i="12"/>
  <c r="Z65" i="12"/>
  <c r="AA65" i="12"/>
  <c r="AT65" i="12"/>
  <c r="AY65" i="12"/>
  <c r="A66" i="12"/>
  <c r="J66" i="12"/>
  <c r="AE66" i="12" s="1" a="1"/>
  <c r="AE66" i="12" s="1"/>
  <c r="K66" i="12"/>
  <c r="AF66" i="12" s="1" a="1"/>
  <c r="AF66" i="12" s="1"/>
  <c r="L66" i="12"/>
  <c r="AG66" i="12" s="1" a="1"/>
  <c r="AG66" i="12" s="1"/>
  <c r="M66" i="12"/>
  <c r="N66" i="12"/>
  <c r="O66" i="12"/>
  <c r="P66" i="12"/>
  <c r="Q66" i="12"/>
  <c r="R66" i="12"/>
  <c r="S66" i="12"/>
  <c r="T66" i="12"/>
  <c r="U66" i="12"/>
  <c r="Y66" i="12"/>
  <c r="Z66" i="12"/>
  <c r="AA66" i="12"/>
  <c r="AT66" i="12"/>
  <c r="AY66" i="12"/>
  <c r="A67" i="12"/>
  <c r="J67" i="12"/>
  <c r="AE67" i="12" s="1" a="1"/>
  <c r="AE67" i="12" s="1"/>
  <c r="K67" i="12"/>
  <c r="AF67" i="12" s="1" a="1"/>
  <c r="AF67" i="12" s="1"/>
  <c r="L67" i="12"/>
  <c r="AG67" i="12" s="1" a="1"/>
  <c r="AG67" i="12" s="1"/>
  <c r="M67" i="12"/>
  <c r="N67" i="12"/>
  <c r="O67" i="12"/>
  <c r="P67" i="12"/>
  <c r="Q67" i="12"/>
  <c r="R67" i="12"/>
  <c r="S67" i="12"/>
  <c r="T67" i="12"/>
  <c r="U67" i="12"/>
  <c r="Y67" i="12"/>
  <c r="Z67" i="12"/>
  <c r="AA67" i="12"/>
  <c r="AT67" i="12"/>
  <c r="AY67" i="12"/>
  <c r="A68" i="12"/>
  <c r="J68" i="12"/>
  <c r="AE68" i="12" s="1" a="1"/>
  <c r="AE68" i="12" s="1"/>
  <c r="K68" i="12"/>
  <c r="AF68" i="12" s="1" a="1"/>
  <c r="AF68" i="12" s="1"/>
  <c r="L68" i="12"/>
  <c r="AG68" i="12" s="1" a="1"/>
  <c r="AG68" i="12" s="1"/>
  <c r="M68" i="12"/>
  <c r="N68" i="12"/>
  <c r="O68" i="12"/>
  <c r="P68" i="12"/>
  <c r="Q68" i="12"/>
  <c r="R68" i="12"/>
  <c r="S68" i="12"/>
  <c r="T68" i="12"/>
  <c r="U68" i="12"/>
  <c r="Y68" i="12"/>
  <c r="Z68" i="12"/>
  <c r="AA68" i="12"/>
  <c r="AT68" i="12"/>
  <c r="AY68" i="12"/>
  <c r="A69" i="12"/>
  <c r="J69" i="12"/>
  <c r="AE69" i="12" s="1" a="1"/>
  <c r="AE69" i="12" s="1"/>
  <c r="K69" i="12"/>
  <c r="AF69" i="12" s="1" a="1"/>
  <c r="AF69" i="12" s="1"/>
  <c r="L69" i="12"/>
  <c r="AG69" i="12" s="1" a="1"/>
  <c r="AG69" i="12" s="1"/>
  <c r="M69" i="12"/>
  <c r="N69" i="12"/>
  <c r="O69" i="12"/>
  <c r="P69" i="12"/>
  <c r="Q69" i="12"/>
  <c r="R69" i="12"/>
  <c r="S69" i="12"/>
  <c r="T69" i="12"/>
  <c r="U69" i="12"/>
  <c r="Y69" i="12"/>
  <c r="Z69" i="12"/>
  <c r="AA69" i="12"/>
  <c r="AT69" i="12"/>
  <c r="AY69" i="12"/>
  <c r="A70" i="12"/>
  <c r="J70" i="12"/>
  <c r="AE70" i="12" s="1" a="1"/>
  <c r="AE70" i="12" s="1"/>
  <c r="K70" i="12"/>
  <c r="AF70" i="12" s="1" a="1"/>
  <c r="AF70" i="12" s="1"/>
  <c r="L70" i="12"/>
  <c r="AG70" i="12" s="1" a="1"/>
  <c r="AG70" i="12" s="1"/>
  <c r="M70" i="12"/>
  <c r="N70" i="12"/>
  <c r="O70" i="12"/>
  <c r="P70" i="12"/>
  <c r="Q70" i="12"/>
  <c r="R70" i="12"/>
  <c r="S70" i="12"/>
  <c r="T70" i="12"/>
  <c r="U70" i="12"/>
  <c r="Y70" i="12"/>
  <c r="Z70" i="12"/>
  <c r="AA70" i="12"/>
  <c r="AT70" i="12"/>
  <c r="AY70" i="12"/>
  <c r="A71" i="12"/>
  <c r="J71" i="12"/>
  <c r="AE71" i="12" s="1" a="1"/>
  <c r="AE71" i="12" s="1"/>
  <c r="K71" i="12"/>
  <c r="AF71" i="12" s="1" a="1"/>
  <c r="AF71" i="12" s="1"/>
  <c r="L71" i="12"/>
  <c r="AG71" i="12" s="1" a="1"/>
  <c r="AG71" i="12" s="1"/>
  <c r="M71" i="12"/>
  <c r="N71" i="12"/>
  <c r="O71" i="12"/>
  <c r="P71" i="12"/>
  <c r="Q71" i="12"/>
  <c r="R71" i="12"/>
  <c r="S71" i="12"/>
  <c r="T71" i="12"/>
  <c r="U71" i="12"/>
  <c r="Y71" i="12"/>
  <c r="Z71" i="12"/>
  <c r="AA71" i="12"/>
  <c r="AT71" i="12"/>
  <c r="AY71" i="12"/>
  <c r="A72" i="12"/>
  <c r="J72" i="12"/>
  <c r="AE72" i="12" s="1" a="1"/>
  <c r="AE72" i="12" s="1"/>
  <c r="K72" i="12"/>
  <c r="AF72" i="12" s="1" a="1"/>
  <c r="AF72" i="12" s="1"/>
  <c r="L72" i="12"/>
  <c r="AG72" i="12" s="1" a="1"/>
  <c r="AG72" i="12" s="1"/>
  <c r="M72" i="12"/>
  <c r="N72" i="12"/>
  <c r="O72" i="12"/>
  <c r="P72" i="12"/>
  <c r="Q72" i="12"/>
  <c r="R72" i="12"/>
  <c r="S72" i="12"/>
  <c r="T72" i="12"/>
  <c r="U72" i="12"/>
  <c r="Y72" i="12"/>
  <c r="Z72" i="12"/>
  <c r="AA72" i="12"/>
  <c r="AT72" i="12"/>
  <c r="AY72" i="12"/>
  <c r="A73" i="12"/>
  <c r="J73" i="12"/>
  <c r="AE73" i="12" s="1" a="1"/>
  <c r="AE73" i="12" s="1"/>
  <c r="K73" i="12"/>
  <c r="AF73" i="12" s="1" a="1"/>
  <c r="AF73" i="12" s="1"/>
  <c r="L73" i="12"/>
  <c r="AG73" i="12" s="1" a="1"/>
  <c r="AG73" i="12" s="1"/>
  <c r="M73" i="12"/>
  <c r="N73" i="12"/>
  <c r="O73" i="12"/>
  <c r="P73" i="12"/>
  <c r="Q73" i="12"/>
  <c r="R73" i="12"/>
  <c r="S73" i="12"/>
  <c r="T73" i="12"/>
  <c r="U73" i="12"/>
  <c r="Y73" i="12"/>
  <c r="Z73" i="12"/>
  <c r="AA73" i="12"/>
  <c r="AT73" i="12"/>
  <c r="AY73" i="12"/>
  <c r="A74" i="12"/>
  <c r="J74" i="12"/>
  <c r="AE74" i="12" s="1" a="1"/>
  <c r="AE74" i="12" s="1"/>
  <c r="K74" i="12"/>
  <c r="AF74" i="12" s="1" a="1"/>
  <c r="AF74" i="12" s="1"/>
  <c r="L74" i="12"/>
  <c r="AG74" i="12" s="1" a="1"/>
  <c r="AG74" i="12" s="1"/>
  <c r="M74" i="12"/>
  <c r="N74" i="12"/>
  <c r="O74" i="12"/>
  <c r="P74" i="12"/>
  <c r="Q74" i="12"/>
  <c r="R74" i="12"/>
  <c r="S74" i="12"/>
  <c r="T74" i="12"/>
  <c r="U74" i="12"/>
  <c r="Y74" i="12"/>
  <c r="Z74" i="12"/>
  <c r="AA74" i="12"/>
  <c r="AT74" i="12"/>
  <c r="AY74" i="12"/>
  <c r="A75" i="12"/>
  <c r="J75" i="12"/>
  <c r="AE75" i="12" s="1" a="1"/>
  <c r="AE75" i="12" s="1"/>
  <c r="K75" i="12"/>
  <c r="AF75" i="12" s="1" a="1"/>
  <c r="AF75" i="12" s="1"/>
  <c r="L75" i="12"/>
  <c r="AG75" i="12" s="1" a="1"/>
  <c r="AG75" i="12" s="1"/>
  <c r="M75" i="12"/>
  <c r="N75" i="12"/>
  <c r="O75" i="12"/>
  <c r="P75" i="12"/>
  <c r="Q75" i="12"/>
  <c r="R75" i="12"/>
  <c r="S75" i="12"/>
  <c r="T75" i="12"/>
  <c r="U75" i="12"/>
  <c r="Y75" i="12"/>
  <c r="Z75" i="12"/>
  <c r="AA75" i="12"/>
  <c r="AT75" i="12"/>
  <c r="AY75" i="12"/>
  <c r="A76" i="12"/>
  <c r="J76" i="12"/>
  <c r="AE76" i="12" s="1" a="1"/>
  <c r="AE76" i="12" s="1"/>
  <c r="K76" i="12"/>
  <c r="AF76" i="12" s="1" a="1"/>
  <c r="AF76" i="12" s="1"/>
  <c r="L76" i="12"/>
  <c r="AG76" i="12" s="1" a="1"/>
  <c r="AG76" i="12" s="1"/>
  <c r="M76" i="12"/>
  <c r="N76" i="12"/>
  <c r="O76" i="12"/>
  <c r="P76" i="12"/>
  <c r="Q76" i="12"/>
  <c r="R76" i="12"/>
  <c r="S76" i="12"/>
  <c r="T76" i="12"/>
  <c r="U76" i="12"/>
  <c r="Y76" i="12"/>
  <c r="Z76" i="12"/>
  <c r="AA76" i="12"/>
  <c r="AT76" i="12"/>
  <c r="AY76" i="12"/>
  <c r="A77" i="12"/>
  <c r="J77" i="12"/>
  <c r="AE77" i="12" s="1" a="1"/>
  <c r="AE77" i="12" s="1"/>
  <c r="K77" i="12"/>
  <c r="AF77" i="12" s="1" a="1"/>
  <c r="AF77" i="12" s="1"/>
  <c r="L77" i="12"/>
  <c r="AG77" i="12" s="1" a="1"/>
  <c r="AG77" i="12" s="1"/>
  <c r="M77" i="12"/>
  <c r="N77" i="12"/>
  <c r="O77" i="12"/>
  <c r="P77" i="12"/>
  <c r="Q77" i="12"/>
  <c r="R77" i="12"/>
  <c r="S77" i="12"/>
  <c r="T77" i="12"/>
  <c r="U77" i="12"/>
  <c r="Y77" i="12"/>
  <c r="Z77" i="12"/>
  <c r="AA77" i="12"/>
  <c r="AT77" i="12"/>
  <c r="AY77" i="12"/>
  <c r="A78" i="12"/>
  <c r="J78" i="12"/>
  <c r="AE78" i="12" s="1" a="1"/>
  <c r="AE78" i="12" s="1"/>
  <c r="K78" i="12"/>
  <c r="AF78" i="12" s="1" a="1"/>
  <c r="AF78" i="12" s="1"/>
  <c r="L78" i="12"/>
  <c r="AG78" i="12" s="1" a="1"/>
  <c r="AG78" i="12" s="1"/>
  <c r="M78" i="12"/>
  <c r="N78" i="12"/>
  <c r="O78" i="12"/>
  <c r="P78" i="12"/>
  <c r="Q78" i="12"/>
  <c r="R78" i="12"/>
  <c r="S78" i="12"/>
  <c r="T78" i="12"/>
  <c r="U78" i="12"/>
  <c r="Y78" i="12"/>
  <c r="Z78" i="12"/>
  <c r="AA78" i="12"/>
  <c r="AT78" i="12"/>
  <c r="AY78" i="12"/>
  <c r="A79" i="12"/>
  <c r="J79" i="12"/>
  <c r="AE79" i="12" s="1" a="1"/>
  <c r="AE79" i="12" s="1"/>
  <c r="K79" i="12"/>
  <c r="AF79" i="12" s="1" a="1"/>
  <c r="AF79" i="12" s="1"/>
  <c r="L79" i="12"/>
  <c r="AG79" i="12" s="1" a="1"/>
  <c r="AG79" i="12" s="1"/>
  <c r="M79" i="12"/>
  <c r="N79" i="12"/>
  <c r="O79" i="12"/>
  <c r="P79" i="12"/>
  <c r="Q79" i="12"/>
  <c r="R79" i="12"/>
  <c r="S79" i="12"/>
  <c r="T79" i="12"/>
  <c r="U79" i="12"/>
  <c r="Y79" i="12"/>
  <c r="Z79" i="12"/>
  <c r="AA79" i="12"/>
  <c r="AT79" i="12"/>
  <c r="AY79" i="12"/>
  <c r="A80" i="12"/>
  <c r="J80" i="12"/>
  <c r="AE80" i="12" s="1" a="1"/>
  <c r="AE80" i="12" s="1"/>
  <c r="K80" i="12"/>
  <c r="AF80" i="12" s="1" a="1"/>
  <c r="AF80" i="12" s="1"/>
  <c r="L80" i="12"/>
  <c r="AG80" i="12" s="1" a="1"/>
  <c r="AG80" i="12" s="1"/>
  <c r="M80" i="12"/>
  <c r="N80" i="12"/>
  <c r="O80" i="12"/>
  <c r="P80" i="12"/>
  <c r="Q80" i="12"/>
  <c r="R80" i="12"/>
  <c r="S80" i="12"/>
  <c r="T80" i="12"/>
  <c r="U80" i="12"/>
  <c r="Y80" i="12"/>
  <c r="Z80" i="12"/>
  <c r="AA80" i="12"/>
  <c r="AT80" i="12"/>
  <c r="AY80" i="12"/>
  <c r="A81" i="12"/>
  <c r="J81" i="12"/>
  <c r="AE81" i="12" s="1" a="1"/>
  <c r="AE81" i="12" s="1"/>
  <c r="K81" i="12"/>
  <c r="AF81" i="12" s="1" a="1"/>
  <c r="AF81" i="12" s="1"/>
  <c r="L81" i="12"/>
  <c r="AG81" i="12" s="1" a="1"/>
  <c r="AG81" i="12" s="1"/>
  <c r="M81" i="12"/>
  <c r="N81" i="12"/>
  <c r="O81" i="12"/>
  <c r="P81" i="12"/>
  <c r="V81" i="12" s="1"/>
  <c r="AB81" i="12" s="1"/>
  <c r="Q81" i="12"/>
  <c r="R81" i="12"/>
  <c r="S81" i="12"/>
  <c r="T81" i="12"/>
  <c r="U81" i="12"/>
  <c r="Y81" i="12"/>
  <c r="Z81" i="12"/>
  <c r="AA81" i="12"/>
  <c r="AT81" i="12"/>
  <c r="AY81" i="12"/>
  <c r="A82" i="12"/>
  <c r="J82" i="12"/>
  <c r="AE82" i="12" s="1" a="1"/>
  <c r="AE82" i="12" s="1"/>
  <c r="K82" i="12"/>
  <c r="AF82" i="12" s="1" a="1"/>
  <c r="AF82" i="12" s="1"/>
  <c r="L82" i="12"/>
  <c r="AG82" i="12" s="1" a="1"/>
  <c r="AG82" i="12" s="1"/>
  <c r="M82" i="12"/>
  <c r="N82" i="12"/>
  <c r="O82" i="12"/>
  <c r="P82" i="12"/>
  <c r="Q82" i="12"/>
  <c r="R82" i="12"/>
  <c r="S82" i="12"/>
  <c r="T82" i="12"/>
  <c r="U82" i="12"/>
  <c r="Y82" i="12"/>
  <c r="Z82" i="12"/>
  <c r="AA82" i="12"/>
  <c r="AT82" i="12"/>
  <c r="AY82" i="12"/>
  <c r="A83" i="12"/>
  <c r="J83" i="12"/>
  <c r="AE83" i="12" s="1" a="1"/>
  <c r="AE83" i="12" s="1"/>
  <c r="K83" i="12"/>
  <c r="AF83" i="12" s="1" a="1"/>
  <c r="AF83" i="12" s="1"/>
  <c r="L83" i="12"/>
  <c r="AG83" i="12" s="1" a="1"/>
  <c r="AG83" i="12" s="1"/>
  <c r="M83" i="12"/>
  <c r="N83" i="12"/>
  <c r="O83" i="12"/>
  <c r="P83" i="12"/>
  <c r="Q83" i="12"/>
  <c r="R83" i="12"/>
  <c r="S83" i="12"/>
  <c r="T83" i="12"/>
  <c r="U83" i="12"/>
  <c r="Y83" i="12"/>
  <c r="Z83" i="12"/>
  <c r="AA83" i="12"/>
  <c r="AT83" i="12"/>
  <c r="AY83" i="12"/>
  <c r="A84" i="12"/>
  <c r="J84" i="12"/>
  <c r="AE84" i="12" s="1" a="1"/>
  <c r="AE84" i="12" s="1"/>
  <c r="K84" i="12"/>
  <c r="AF84" i="12" s="1" a="1"/>
  <c r="AF84" i="12" s="1"/>
  <c r="L84" i="12"/>
  <c r="AG84" i="12" s="1" a="1"/>
  <c r="AG84" i="12" s="1"/>
  <c r="M84" i="12"/>
  <c r="N84" i="12"/>
  <c r="O84" i="12"/>
  <c r="P84" i="12"/>
  <c r="Q84" i="12"/>
  <c r="R84" i="12"/>
  <c r="S84" i="12"/>
  <c r="T84" i="12"/>
  <c r="U84" i="12"/>
  <c r="Y84" i="12"/>
  <c r="Z84" i="12"/>
  <c r="AA84" i="12"/>
  <c r="AT84" i="12"/>
  <c r="AY84" i="12"/>
  <c r="A85" i="12"/>
  <c r="J85" i="12"/>
  <c r="AE85" i="12" s="1" a="1"/>
  <c r="AE85" i="12" s="1"/>
  <c r="K85" i="12"/>
  <c r="AF85" i="12" s="1" a="1"/>
  <c r="AF85" i="12" s="1"/>
  <c r="L85" i="12"/>
  <c r="AG85" i="12" s="1" a="1"/>
  <c r="AG85" i="12" s="1"/>
  <c r="M85" i="12"/>
  <c r="N85" i="12"/>
  <c r="O85" i="12"/>
  <c r="P85" i="12"/>
  <c r="Q85" i="12"/>
  <c r="R85" i="12"/>
  <c r="S85" i="12"/>
  <c r="T85" i="12"/>
  <c r="U85" i="12"/>
  <c r="Y85" i="12"/>
  <c r="Z85" i="12"/>
  <c r="AA85" i="12"/>
  <c r="AT85" i="12"/>
  <c r="AY85" i="12"/>
  <c r="A86" i="12"/>
  <c r="J86" i="12"/>
  <c r="AE86" i="12" s="1" a="1"/>
  <c r="AE86" i="12" s="1"/>
  <c r="K86" i="12"/>
  <c r="AF86" i="12" s="1" a="1"/>
  <c r="AF86" i="12" s="1"/>
  <c r="L86" i="12"/>
  <c r="AG86" i="12" s="1" a="1"/>
  <c r="AG86" i="12" s="1"/>
  <c r="M86" i="12"/>
  <c r="N86" i="12"/>
  <c r="O86" i="12"/>
  <c r="P86" i="12"/>
  <c r="Q86" i="12"/>
  <c r="R86" i="12"/>
  <c r="S86" i="12"/>
  <c r="T86" i="12"/>
  <c r="U86" i="12"/>
  <c r="Y86" i="12"/>
  <c r="Z86" i="12"/>
  <c r="AA86" i="12"/>
  <c r="AT86" i="12"/>
  <c r="AY86" i="12"/>
  <c r="A87" i="12"/>
  <c r="J87" i="12"/>
  <c r="AE87" i="12" s="1" a="1"/>
  <c r="AE87" i="12" s="1"/>
  <c r="K87" i="12"/>
  <c r="AF87" i="12" s="1" a="1"/>
  <c r="AF87" i="12" s="1"/>
  <c r="L87" i="12"/>
  <c r="AG87" i="12" s="1" a="1"/>
  <c r="AG87" i="12" s="1"/>
  <c r="M87" i="12"/>
  <c r="N87" i="12"/>
  <c r="O87" i="12"/>
  <c r="P87" i="12"/>
  <c r="Q87" i="12"/>
  <c r="R87" i="12"/>
  <c r="S87" i="12"/>
  <c r="T87" i="12"/>
  <c r="U87" i="12"/>
  <c r="Y87" i="12"/>
  <c r="Z87" i="12"/>
  <c r="AA87" i="12"/>
  <c r="AT87" i="12"/>
  <c r="AY87" i="12"/>
  <c r="A88" i="12"/>
  <c r="J88" i="12"/>
  <c r="AE88" i="12" s="1" a="1"/>
  <c r="AE88" i="12" s="1"/>
  <c r="K88" i="12"/>
  <c r="AF88" i="12" s="1" a="1"/>
  <c r="AF88" i="12" s="1"/>
  <c r="L88" i="12"/>
  <c r="AG88" i="12" s="1" a="1"/>
  <c r="AG88" i="12" s="1"/>
  <c r="M88" i="12"/>
  <c r="N88" i="12"/>
  <c r="O88" i="12"/>
  <c r="P88" i="12"/>
  <c r="Q88" i="12"/>
  <c r="R88" i="12"/>
  <c r="S88" i="12"/>
  <c r="T88" i="12"/>
  <c r="U88" i="12"/>
  <c r="Y88" i="12"/>
  <c r="Z88" i="12"/>
  <c r="AA88" i="12"/>
  <c r="AT88" i="12"/>
  <c r="AY88" i="12"/>
  <c r="A89" i="12"/>
  <c r="J89" i="12"/>
  <c r="AE89" i="12" s="1" a="1"/>
  <c r="AE89" i="12" s="1"/>
  <c r="K89" i="12"/>
  <c r="AF89" i="12" s="1" a="1"/>
  <c r="AF89" i="12" s="1"/>
  <c r="L89" i="12"/>
  <c r="AG89" i="12" s="1" a="1"/>
  <c r="AG89" i="12" s="1"/>
  <c r="M89" i="12"/>
  <c r="N89" i="12"/>
  <c r="O89" i="12"/>
  <c r="P89" i="12"/>
  <c r="Q89" i="12"/>
  <c r="R89" i="12"/>
  <c r="S89" i="12"/>
  <c r="T89" i="12"/>
  <c r="U89" i="12"/>
  <c r="Y89" i="12"/>
  <c r="Z89" i="12"/>
  <c r="AA89" i="12"/>
  <c r="AT89" i="12"/>
  <c r="AY89" i="12"/>
  <c r="A90" i="12"/>
  <c r="J90" i="12"/>
  <c r="AE90" i="12" s="1" a="1"/>
  <c r="AE90" i="12" s="1"/>
  <c r="K90" i="12"/>
  <c r="AF90" i="12" s="1" a="1"/>
  <c r="AF90" i="12" s="1"/>
  <c r="L90" i="12"/>
  <c r="AG90" i="12" s="1" a="1"/>
  <c r="AG90" i="12" s="1"/>
  <c r="M90" i="12"/>
  <c r="N90" i="12"/>
  <c r="O90" i="12"/>
  <c r="P90" i="12"/>
  <c r="Q90" i="12"/>
  <c r="R90" i="12"/>
  <c r="S90" i="12"/>
  <c r="T90" i="12"/>
  <c r="U90" i="12"/>
  <c r="Y90" i="12"/>
  <c r="Z90" i="12"/>
  <c r="AA90" i="12"/>
  <c r="AT90" i="12"/>
  <c r="AY90" i="12"/>
  <c r="A91" i="12"/>
  <c r="J91" i="12"/>
  <c r="AE91" i="12" s="1" a="1"/>
  <c r="AE91" i="12" s="1"/>
  <c r="K91" i="12"/>
  <c r="AF91" i="12" s="1" a="1"/>
  <c r="AF91" i="12" s="1"/>
  <c r="L91" i="12"/>
  <c r="AG91" i="12" s="1" a="1"/>
  <c r="AG91" i="12" s="1"/>
  <c r="M91" i="12"/>
  <c r="N91" i="12"/>
  <c r="O91" i="12"/>
  <c r="P91" i="12"/>
  <c r="Q91" i="12"/>
  <c r="R91" i="12"/>
  <c r="S91" i="12"/>
  <c r="T91" i="12"/>
  <c r="U91" i="12"/>
  <c r="Y91" i="12"/>
  <c r="Z91" i="12"/>
  <c r="AA91" i="12"/>
  <c r="AT91" i="12"/>
  <c r="AY91" i="12"/>
  <c r="A92" i="12"/>
  <c r="J92" i="12"/>
  <c r="AE92" i="12" s="1" a="1"/>
  <c r="AE92" i="12" s="1"/>
  <c r="K92" i="12"/>
  <c r="AF92" i="12" s="1" a="1"/>
  <c r="AF92" i="12" s="1"/>
  <c r="L92" i="12"/>
  <c r="AG92" i="12" s="1" a="1"/>
  <c r="AG92" i="12" s="1"/>
  <c r="M92" i="12"/>
  <c r="N92" i="12"/>
  <c r="O92" i="12"/>
  <c r="P92" i="12"/>
  <c r="Q92" i="12"/>
  <c r="R92" i="12"/>
  <c r="S92" i="12"/>
  <c r="T92" i="12"/>
  <c r="U92" i="12"/>
  <c r="Y92" i="12"/>
  <c r="Z92" i="12"/>
  <c r="AA92" i="12"/>
  <c r="AT92" i="12"/>
  <c r="AY92" i="12"/>
  <c r="A93" i="12"/>
  <c r="J93" i="12"/>
  <c r="AE93" i="12" s="1" a="1"/>
  <c r="AE93" i="12" s="1"/>
  <c r="K93" i="12"/>
  <c r="AF93" i="12" s="1" a="1"/>
  <c r="AF93" i="12" s="1"/>
  <c r="L93" i="12"/>
  <c r="AG93" i="12" s="1" a="1"/>
  <c r="AG93" i="12" s="1"/>
  <c r="M93" i="12"/>
  <c r="N93" i="12"/>
  <c r="O93" i="12"/>
  <c r="P93" i="12"/>
  <c r="Q93" i="12"/>
  <c r="R93" i="12"/>
  <c r="S93" i="12"/>
  <c r="T93" i="12"/>
  <c r="U93" i="12"/>
  <c r="Y93" i="12"/>
  <c r="Z93" i="12"/>
  <c r="AA93" i="12"/>
  <c r="AT93" i="12"/>
  <c r="AY93" i="12"/>
  <c r="A94" i="12"/>
  <c r="J94" i="12"/>
  <c r="AE94" i="12" s="1" a="1"/>
  <c r="AE94" i="12" s="1"/>
  <c r="K94" i="12"/>
  <c r="AF94" i="12" s="1" a="1"/>
  <c r="AF94" i="12" s="1"/>
  <c r="L94" i="12"/>
  <c r="AG94" i="12" s="1" a="1"/>
  <c r="AG94" i="12" s="1"/>
  <c r="M94" i="12"/>
  <c r="N94" i="12"/>
  <c r="O94" i="12"/>
  <c r="P94" i="12"/>
  <c r="Q94" i="12"/>
  <c r="R94" i="12"/>
  <c r="S94" i="12"/>
  <c r="T94" i="12"/>
  <c r="U94" i="12"/>
  <c r="Y94" i="12"/>
  <c r="Z94" i="12"/>
  <c r="AA94" i="12"/>
  <c r="AT94" i="12"/>
  <c r="AY94" i="12"/>
  <c r="A95" i="12"/>
  <c r="J95" i="12"/>
  <c r="AE95" i="12" s="1" a="1"/>
  <c r="AE95" i="12" s="1"/>
  <c r="K95" i="12"/>
  <c r="AF95" i="12" s="1" a="1"/>
  <c r="AF95" i="12" s="1"/>
  <c r="L95" i="12"/>
  <c r="AG95" i="12" s="1" a="1"/>
  <c r="AG95" i="12" s="1"/>
  <c r="M95" i="12"/>
  <c r="N95" i="12"/>
  <c r="O95" i="12"/>
  <c r="P95" i="12"/>
  <c r="Q95" i="12"/>
  <c r="R95" i="12"/>
  <c r="S95" i="12"/>
  <c r="T95" i="12"/>
  <c r="U95" i="12"/>
  <c r="Y95" i="12"/>
  <c r="Z95" i="12"/>
  <c r="AA95" i="12"/>
  <c r="AT95" i="12"/>
  <c r="AY95" i="12"/>
  <c r="A96" i="12"/>
  <c r="J96" i="12"/>
  <c r="AE96" i="12" s="1" a="1"/>
  <c r="AE96" i="12" s="1"/>
  <c r="K96" i="12"/>
  <c r="AF96" i="12" s="1" a="1"/>
  <c r="AF96" i="12" s="1"/>
  <c r="L96" i="12"/>
  <c r="AG96" i="12" s="1" a="1"/>
  <c r="AG96" i="12" s="1"/>
  <c r="M96" i="12"/>
  <c r="N96" i="12"/>
  <c r="O96" i="12"/>
  <c r="P96" i="12"/>
  <c r="Q96" i="12"/>
  <c r="R96" i="12"/>
  <c r="S96" i="12"/>
  <c r="T96" i="12"/>
  <c r="U96" i="12"/>
  <c r="Y96" i="12"/>
  <c r="Z96" i="12"/>
  <c r="AA96" i="12"/>
  <c r="AT96" i="12"/>
  <c r="AY96" i="12"/>
  <c r="A97" i="12"/>
  <c r="J97" i="12"/>
  <c r="AE97" i="12" s="1" a="1"/>
  <c r="AE97" i="12" s="1"/>
  <c r="K97" i="12"/>
  <c r="AF97" i="12" s="1" a="1"/>
  <c r="AF97" i="12" s="1"/>
  <c r="L97" i="12"/>
  <c r="AG97" i="12" s="1" a="1"/>
  <c r="AG97" i="12" s="1"/>
  <c r="M97" i="12"/>
  <c r="N97" i="12"/>
  <c r="O97" i="12"/>
  <c r="P97" i="12"/>
  <c r="Q97" i="12"/>
  <c r="R97" i="12"/>
  <c r="S97" i="12"/>
  <c r="T97" i="12"/>
  <c r="U97" i="12"/>
  <c r="Y97" i="12"/>
  <c r="Z97" i="12"/>
  <c r="AA97" i="12"/>
  <c r="AT97" i="12"/>
  <c r="AY97" i="12"/>
  <c r="A98" i="12"/>
  <c r="J98" i="12"/>
  <c r="AE98" i="12" s="1" a="1"/>
  <c r="AE98" i="12" s="1"/>
  <c r="K98" i="12"/>
  <c r="AF98" i="12" s="1" a="1"/>
  <c r="AF98" i="12" s="1"/>
  <c r="L98" i="12"/>
  <c r="AG98" i="12" s="1" a="1"/>
  <c r="AG98" i="12" s="1"/>
  <c r="M98" i="12"/>
  <c r="N98" i="12"/>
  <c r="O98" i="12"/>
  <c r="P98" i="12"/>
  <c r="Q98" i="12"/>
  <c r="R98" i="12"/>
  <c r="S98" i="12"/>
  <c r="T98" i="12"/>
  <c r="U98" i="12"/>
  <c r="Y98" i="12"/>
  <c r="Z98" i="12"/>
  <c r="AA98" i="12"/>
  <c r="AT98" i="12"/>
  <c r="AY98" i="12"/>
  <c r="A99" i="12"/>
  <c r="J99" i="12"/>
  <c r="AE99" i="12" s="1" a="1"/>
  <c r="AE99" i="12" s="1"/>
  <c r="K99" i="12"/>
  <c r="AF99" i="12" s="1" a="1"/>
  <c r="AF99" i="12" s="1"/>
  <c r="L99" i="12"/>
  <c r="AG99" i="12" s="1" a="1"/>
  <c r="AG99" i="12" s="1"/>
  <c r="M99" i="12"/>
  <c r="N99" i="12"/>
  <c r="O99" i="12"/>
  <c r="P99" i="12"/>
  <c r="Q99" i="12"/>
  <c r="R99" i="12"/>
  <c r="S99" i="12"/>
  <c r="T99" i="12"/>
  <c r="U99" i="12"/>
  <c r="Y99" i="12"/>
  <c r="Z99" i="12"/>
  <c r="AA99" i="12"/>
  <c r="AT99" i="12"/>
  <c r="AY99" i="12"/>
  <c r="A100" i="12"/>
  <c r="J100" i="12"/>
  <c r="AE100" i="12" s="1" a="1"/>
  <c r="AE100" i="12" s="1"/>
  <c r="K100" i="12"/>
  <c r="AF100" i="12" s="1" a="1"/>
  <c r="AF100" i="12" s="1"/>
  <c r="L100" i="12"/>
  <c r="AG100" i="12" s="1" a="1"/>
  <c r="AG100" i="12" s="1"/>
  <c r="M100" i="12"/>
  <c r="N100" i="12"/>
  <c r="O100" i="12"/>
  <c r="P100" i="12"/>
  <c r="Q100" i="12"/>
  <c r="R100" i="12"/>
  <c r="S100" i="12"/>
  <c r="T100" i="12"/>
  <c r="U100" i="12"/>
  <c r="Y100" i="12"/>
  <c r="Z100" i="12"/>
  <c r="AA100" i="12"/>
  <c r="AT100" i="12"/>
  <c r="AY100" i="12"/>
  <c r="A101" i="12"/>
  <c r="J101" i="12"/>
  <c r="AE101" i="12" s="1" a="1"/>
  <c r="AE101" i="12" s="1"/>
  <c r="K101" i="12"/>
  <c r="AF101" i="12" s="1" a="1"/>
  <c r="AF101" i="12" s="1"/>
  <c r="L101" i="12"/>
  <c r="AG101" i="12" s="1" a="1"/>
  <c r="AG101" i="12" s="1"/>
  <c r="M101" i="12"/>
  <c r="N101" i="12"/>
  <c r="O101" i="12"/>
  <c r="P101" i="12"/>
  <c r="Q101" i="12"/>
  <c r="R101" i="12"/>
  <c r="S101" i="12"/>
  <c r="T101" i="12"/>
  <c r="U101" i="12"/>
  <c r="Y101" i="12"/>
  <c r="Z101" i="12"/>
  <c r="AA101" i="12"/>
  <c r="AT101" i="12"/>
  <c r="AY101" i="12"/>
  <c r="A102" i="12"/>
  <c r="J102" i="12"/>
  <c r="AE102" i="12" s="1" a="1"/>
  <c r="AE102" i="12" s="1"/>
  <c r="K102" i="12"/>
  <c r="AF102" i="12" s="1" a="1"/>
  <c r="AF102" i="12" s="1"/>
  <c r="L102" i="12"/>
  <c r="AG102" i="12" s="1" a="1"/>
  <c r="AG102" i="12" s="1"/>
  <c r="M102" i="12"/>
  <c r="N102" i="12"/>
  <c r="O102" i="12"/>
  <c r="P102" i="12"/>
  <c r="Q102" i="12"/>
  <c r="R102" i="12"/>
  <c r="S102" i="12"/>
  <c r="T102" i="12"/>
  <c r="U102" i="12"/>
  <c r="Y102" i="12"/>
  <c r="Z102" i="12"/>
  <c r="AA102" i="12"/>
  <c r="AT102" i="12"/>
  <c r="AY102" i="12"/>
  <c r="A103" i="12"/>
  <c r="J103" i="12"/>
  <c r="AE103" i="12" s="1" a="1"/>
  <c r="AE103" i="12" s="1"/>
  <c r="K103" i="12"/>
  <c r="AF103" i="12" s="1" a="1"/>
  <c r="AF103" i="12" s="1"/>
  <c r="L103" i="12"/>
  <c r="AG103" i="12" s="1" a="1"/>
  <c r="AG103" i="12" s="1"/>
  <c r="M103" i="12"/>
  <c r="N103" i="12"/>
  <c r="O103" i="12"/>
  <c r="P103" i="12"/>
  <c r="Q103" i="12"/>
  <c r="R103" i="12"/>
  <c r="S103" i="12"/>
  <c r="T103" i="12"/>
  <c r="U103" i="12"/>
  <c r="Y103" i="12"/>
  <c r="Z103" i="12"/>
  <c r="AA103" i="12"/>
  <c r="AT103" i="12"/>
  <c r="AY103" i="12"/>
  <c r="A104" i="12"/>
  <c r="J104" i="12"/>
  <c r="AE104" i="12" s="1" a="1"/>
  <c r="AE104" i="12" s="1"/>
  <c r="K104" i="12"/>
  <c r="AF104" i="12" s="1" a="1"/>
  <c r="AF104" i="12" s="1"/>
  <c r="L104" i="12"/>
  <c r="AG104" i="12" s="1" a="1"/>
  <c r="AG104" i="12" s="1"/>
  <c r="M104" i="12"/>
  <c r="N104" i="12"/>
  <c r="O104" i="12"/>
  <c r="P104" i="12"/>
  <c r="Q104" i="12"/>
  <c r="R104" i="12"/>
  <c r="S104" i="12"/>
  <c r="T104" i="12"/>
  <c r="U104" i="12"/>
  <c r="Y104" i="12"/>
  <c r="Z104" i="12"/>
  <c r="AA104" i="12"/>
  <c r="AT104" i="12"/>
  <c r="AY104" i="12"/>
  <c r="A105" i="12"/>
  <c r="J105" i="12"/>
  <c r="AE105" i="12" s="1" a="1"/>
  <c r="AE105" i="12" s="1"/>
  <c r="K105" i="12"/>
  <c r="AF105" i="12" s="1" a="1"/>
  <c r="AF105" i="12" s="1"/>
  <c r="L105" i="12"/>
  <c r="AG105" i="12" s="1" a="1"/>
  <c r="AG105" i="12" s="1"/>
  <c r="M105" i="12"/>
  <c r="N105" i="12"/>
  <c r="O105" i="12"/>
  <c r="P105" i="12"/>
  <c r="Q105" i="12"/>
  <c r="R105" i="12"/>
  <c r="S105" i="12"/>
  <c r="T105" i="12"/>
  <c r="U105" i="12"/>
  <c r="Y105" i="12"/>
  <c r="Z105" i="12"/>
  <c r="AA105" i="12"/>
  <c r="AT105" i="12"/>
  <c r="AY105" i="12"/>
  <c r="A106" i="12"/>
  <c r="J106" i="12"/>
  <c r="AE106" i="12" s="1" a="1"/>
  <c r="AE106" i="12" s="1"/>
  <c r="K106" i="12"/>
  <c r="AF106" i="12" s="1" a="1"/>
  <c r="AF106" i="12" s="1"/>
  <c r="L106" i="12"/>
  <c r="AG106" i="12" s="1" a="1"/>
  <c r="AG106" i="12" s="1"/>
  <c r="M106" i="12"/>
  <c r="N106" i="12"/>
  <c r="O106" i="12"/>
  <c r="P106" i="12"/>
  <c r="Q106" i="12"/>
  <c r="R106" i="12"/>
  <c r="S106" i="12"/>
  <c r="T106" i="12"/>
  <c r="U106" i="12"/>
  <c r="Y106" i="12"/>
  <c r="Z106" i="12"/>
  <c r="AA106" i="12"/>
  <c r="AT106" i="12"/>
  <c r="AY106" i="12"/>
  <c r="A107" i="12"/>
  <c r="J107" i="12"/>
  <c r="AE107" i="12" s="1" a="1"/>
  <c r="AE107" i="12" s="1"/>
  <c r="K107" i="12"/>
  <c r="AF107" i="12" s="1" a="1"/>
  <c r="AF107" i="12" s="1"/>
  <c r="L107" i="12"/>
  <c r="AG107" i="12" s="1" a="1"/>
  <c r="AG107" i="12" s="1"/>
  <c r="M107" i="12"/>
  <c r="N107" i="12"/>
  <c r="O107" i="12"/>
  <c r="P107" i="12"/>
  <c r="Q107" i="12"/>
  <c r="R107" i="12"/>
  <c r="S107" i="12"/>
  <c r="T107" i="12"/>
  <c r="U107" i="12"/>
  <c r="Y107" i="12"/>
  <c r="Z107" i="12"/>
  <c r="AA107" i="12"/>
  <c r="AT107" i="12"/>
  <c r="AY107" i="12"/>
  <c r="A108" i="12"/>
  <c r="J108" i="12"/>
  <c r="AE108" i="12" s="1" a="1"/>
  <c r="AE108" i="12" s="1"/>
  <c r="K108" i="12"/>
  <c r="AF108" i="12" s="1" a="1"/>
  <c r="AF108" i="12" s="1"/>
  <c r="L108" i="12"/>
  <c r="AG108" i="12" s="1" a="1"/>
  <c r="AG108" i="12" s="1"/>
  <c r="M108" i="12"/>
  <c r="N108" i="12"/>
  <c r="O108" i="12"/>
  <c r="P108" i="12"/>
  <c r="Q108" i="12"/>
  <c r="R108" i="12"/>
  <c r="S108" i="12"/>
  <c r="T108" i="12"/>
  <c r="U108" i="12"/>
  <c r="Y108" i="12"/>
  <c r="Z108" i="12"/>
  <c r="AA108" i="12"/>
  <c r="AT108" i="12"/>
  <c r="AY108" i="12"/>
  <c r="A109" i="12"/>
  <c r="J109" i="12"/>
  <c r="AE109" i="12" s="1" a="1"/>
  <c r="AE109" i="12" s="1"/>
  <c r="K109" i="12"/>
  <c r="AF109" i="12" s="1" a="1"/>
  <c r="AF109" i="12" s="1"/>
  <c r="L109" i="12"/>
  <c r="AG109" i="12" s="1" a="1"/>
  <c r="AG109" i="12" s="1"/>
  <c r="M109" i="12"/>
  <c r="N109" i="12"/>
  <c r="O109" i="12"/>
  <c r="P109" i="12"/>
  <c r="Q109" i="12"/>
  <c r="R109" i="12"/>
  <c r="S109" i="12"/>
  <c r="T109" i="12"/>
  <c r="U109" i="12"/>
  <c r="Y109" i="12"/>
  <c r="Z109" i="12"/>
  <c r="AA109" i="12"/>
  <c r="AT109" i="12"/>
  <c r="AY109" i="12"/>
  <c r="A17" i="12"/>
  <c r="J17" i="12"/>
  <c r="AE17" i="12" s="1" a="1"/>
  <c r="AE17" i="12" s="1"/>
  <c r="K17" i="12"/>
  <c r="AF17" i="12" s="1" a="1"/>
  <c r="AF17" i="12" s="1"/>
  <c r="L17" i="12"/>
  <c r="AG17" i="12" s="1" a="1"/>
  <c r="AG17" i="12" s="1"/>
  <c r="N17" i="12"/>
  <c r="Q17" i="12"/>
  <c r="T17" i="12"/>
  <c r="Z17" i="12"/>
  <c r="AT17" i="12"/>
  <c r="AY17" i="12"/>
  <c r="A18" i="12"/>
  <c r="J18" i="12"/>
  <c r="AE18" i="12" s="1" a="1"/>
  <c r="AE18" i="12" s="1"/>
  <c r="K18" i="12"/>
  <c r="AF18" i="12" s="1" a="1"/>
  <c r="AF18" i="12" s="1"/>
  <c r="L18" i="12"/>
  <c r="AG18" i="12" s="1" a="1"/>
  <c r="AG18" i="12" s="1"/>
  <c r="M18" i="12"/>
  <c r="N18" i="12"/>
  <c r="O18" i="12"/>
  <c r="P18" i="12"/>
  <c r="Q18" i="12"/>
  <c r="R18" i="12"/>
  <c r="S18" i="12"/>
  <c r="T18" i="12"/>
  <c r="U18" i="12"/>
  <c r="Y18" i="12"/>
  <c r="Z18" i="12"/>
  <c r="AA18" i="12"/>
  <c r="AT18" i="12"/>
  <c r="AY18" i="12"/>
  <c r="A19" i="12"/>
  <c r="J19" i="12"/>
  <c r="AE19" i="12" s="1" a="1"/>
  <c r="AE19" i="12" s="1"/>
  <c r="K19" i="12"/>
  <c r="AF19" i="12" s="1" a="1"/>
  <c r="AF19" i="12" s="1"/>
  <c r="L19" i="12"/>
  <c r="AG19" i="12" s="1" a="1"/>
  <c r="AG19" i="12" s="1"/>
  <c r="M19" i="12"/>
  <c r="N19" i="12"/>
  <c r="O19" i="12"/>
  <c r="P19" i="12"/>
  <c r="Q19" i="12"/>
  <c r="R19" i="12"/>
  <c r="S19" i="12"/>
  <c r="T19" i="12"/>
  <c r="U19" i="12"/>
  <c r="Y19" i="12"/>
  <c r="Z19" i="12"/>
  <c r="AA19" i="12"/>
  <c r="AT19" i="12"/>
  <c r="AY19" i="12"/>
  <c r="A20" i="12"/>
  <c r="J20" i="12"/>
  <c r="AE20" i="12" s="1" a="1"/>
  <c r="AE20" i="12" s="1"/>
  <c r="K20" i="12"/>
  <c r="AF20" i="12" s="1" a="1"/>
  <c r="AF20" i="12" s="1"/>
  <c r="L20" i="12"/>
  <c r="AG20" i="12" s="1" a="1"/>
  <c r="AG20" i="12" s="1"/>
  <c r="M20" i="12"/>
  <c r="N20" i="12"/>
  <c r="O20" i="12"/>
  <c r="P20" i="12"/>
  <c r="Q20" i="12"/>
  <c r="R20" i="12"/>
  <c r="S20" i="12"/>
  <c r="T20" i="12"/>
  <c r="U20" i="12"/>
  <c r="Y20" i="12"/>
  <c r="Z20" i="12"/>
  <c r="AA20" i="12"/>
  <c r="AT20" i="12"/>
  <c r="AY20" i="12"/>
  <c r="A21" i="12"/>
  <c r="J21" i="12"/>
  <c r="AE21" i="12" s="1" a="1"/>
  <c r="AE21" i="12" s="1"/>
  <c r="K21" i="12"/>
  <c r="AF21" i="12" s="1" a="1"/>
  <c r="AF21" i="12" s="1"/>
  <c r="L21" i="12"/>
  <c r="AG21" i="12" s="1" a="1"/>
  <c r="AG21" i="12" s="1"/>
  <c r="M21" i="12"/>
  <c r="N21" i="12"/>
  <c r="O21" i="12"/>
  <c r="P21" i="12"/>
  <c r="Q21" i="12"/>
  <c r="R21" i="12"/>
  <c r="S21" i="12"/>
  <c r="T21" i="12"/>
  <c r="U21" i="12"/>
  <c r="Y21" i="12"/>
  <c r="Z21" i="12"/>
  <c r="AA21" i="12"/>
  <c r="AT21" i="12"/>
  <c r="AY21" i="12"/>
  <c r="A22" i="12"/>
  <c r="J22" i="12"/>
  <c r="AE22" i="12" s="1" a="1"/>
  <c r="AE22" i="12" s="1"/>
  <c r="K22" i="12"/>
  <c r="AF22" i="12" s="1" a="1"/>
  <c r="AF22" i="12" s="1"/>
  <c r="L22" i="12"/>
  <c r="AG22" i="12" s="1" a="1"/>
  <c r="AG22" i="12" s="1"/>
  <c r="M22" i="12"/>
  <c r="N22" i="12"/>
  <c r="O22" i="12"/>
  <c r="P22" i="12"/>
  <c r="Q22" i="12"/>
  <c r="R22" i="12"/>
  <c r="S22" i="12"/>
  <c r="T22" i="12"/>
  <c r="U22" i="12"/>
  <c r="Y22" i="12"/>
  <c r="Z22" i="12"/>
  <c r="AA22" i="12"/>
  <c r="AT22" i="12"/>
  <c r="AY22" i="12"/>
  <c r="A23" i="12"/>
  <c r="J23" i="12"/>
  <c r="AE23" i="12" s="1" a="1"/>
  <c r="AE23" i="12" s="1"/>
  <c r="K23" i="12"/>
  <c r="AF23" i="12" s="1" a="1"/>
  <c r="AF23" i="12" s="1"/>
  <c r="L23" i="12"/>
  <c r="AG23" i="12" s="1" a="1"/>
  <c r="AG23" i="12" s="1"/>
  <c r="M23" i="12"/>
  <c r="N23" i="12"/>
  <c r="O23" i="12"/>
  <c r="P23" i="12"/>
  <c r="Q23" i="12"/>
  <c r="R23" i="12"/>
  <c r="X23" i="12" s="1"/>
  <c r="S23" i="12"/>
  <c r="T23" i="12"/>
  <c r="U23" i="12"/>
  <c r="Y23" i="12"/>
  <c r="Z23" i="12"/>
  <c r="AA23" i="12"/>
  <c r="AT23" i="12"/>
  <c r="AY23" i="12"/>
  <c r="A24" i="12"/>
  <c r="J24" i="12"/>
  <c r="AE24" i="12" s="1" a="1"/>
  <c r="AE24" i="12" s="1"/>
  <c r="K24" i="12"/>
  <c r="AF24" i="12" s="1" a="1"/>
  <c r="AF24" i="12" s="1"/>
  <c r="L24" i="12"/>
  <c r="AG24" i="12" s="1" a="1"/>
  <c r="AG24" i="12" s="1"/>
  <c r="M24" i="12"/>
  <c r="N24" i="12"/>
  <c r="O24" i="12"/>
  <c r="P24" i="12"/>
  <c r="Q24" i="12"/>
  <c r="R24" i="12"/>
  <c r="S24" i="12"/>
  <c r="T24" i="12"/>
  <c r="U24" i="12"/>
  <c r="Y24" i="12"/>
  <c r="Z24" i="12"/>
  <c r="AA24" i="12"/>
  <c r="AT24" i="12"/>
  <c r="AY24" i="12"/>
  <c r="A25" i="12"/>
  <c r="J25" i="12"/>
  <c r="AE25" i="12" s="1" a="1"/>
  <c r="AE25" i="12" s="1"/>
  <c r="K25" i="12"/>
  <c r="AF25" i="12" s="1" a="1"/>
  <c r="AF25" i="12" s="1"/>
  <c r="L25" i="12"/>
  <c r="AG25" i="12" s="1" a="1"/>
  <c r="AG25" i="12" s="1"/>
  <c r="M25" i="12"/>
  <c r="N25" i="12"/>
  <c r="O25" i="12"/>
  <c r="P25" i="12"/>
  <c r="Q25" i="12"/>
  <c r="R25" i="12"/>
  <c r="S25" i="12"/>
  <c r="T25" i="12"/>
  <c r="U25" i="12"/>
  <c r="Y25" i="12"/>
  <c r="Z25" i="12"/>
  <c r="AA25" i="12"/>
  <c r="AT25" i="12"/>
  <c r="AY25" i="12"/>
  <c r="A26" i="12"/>
  <c r="J26" i="12"/>
  <c r="AE26" i="12" s="1" a="1"/>
  <c r="AE26" i="12" s="1"/>
  <c r="K26" i="12"/>
  <c r="AF26" i="12" s="1" a="1"/>
  <c r="AF26" i="12" s="1"/>
  <c r="L26" i="12"/>
  <c r="AG26" i="12" s="1" a="1"/>
  <c r="AG26" i="12" s="1"/>
  <c r="M26" i="12"/>
  <c r="N26" i="12"/>
  <c r="O26" i="12"/>
  <c r="P26" i="12"/>
  <c r="Q26" i="12"/>
  <c r="R26" i="12"/>
  <c r="S26" i="12"/>
  <c r="T26" i="12"/>
  <c r="U26" i="12"/>
  <c r="Y26" i="12"/>
  <c r="Z26" i="12"/>
  <c r="AA26" i="12"/>
  <c r="AT26" i="12"/>
  <c r="AY26" i="12"/>
  <c r="A27" i="12"/>
  <c r="J27" i="12"/>
  <c r="AE27" i="12" s="1" a="1"/>
  <c r="AE27" i="12" s="1"/>
  <c r="K27" i="12"/>
  <c r="AF27" i="12" s="1" a="1"/>
  <c r="AF27" i="12" s="1"/>
  <c r="L27" i="12"/>
  <c r="AG27" i="12" s="1" a="1"/>
  <c r="AG27" i="12" s="1"/>
  <c r="M27" i="12"/>
  <c r="N27" i="12"/>
  <c r="O27" i="12"/>
  <c r="P27" i="12"/>
  <c r="Q27" i="12"/>
  <c r="R27" i="12"/>
  <c r="S27" i="12"/>
  <c r="T27" i="12"/>
  <c r="U27" i="12"/>
  <c r="Y27" i="12"/>
  <c r="Z27" i="12"/>
  <c r="AA27" i="12"/>
  <c r="AT27" i="12"/>
  <c r="AY27" i="12"/>
  <c r="A28" i="12"/>
  <c r="J28" i="12"/>
  <c r="AE28" i="12" s="1" a="1"/>
  <c r="AE28" i="12" s="1"/>
  <c r="K28" i="12"/>
  <c r="AF28" i="12" s="1" a="1"/>
  <c r="AF28" i="12" s="1"/>
  <c r="L28" i="12"/>
  <c r="AG28" i="12" s="1" a="1"/>
  <c r="AG28" i="12" s="1"/>
  <c r="M28" i="12"/>
  <c r="N28" i="12"/>
  <c r="O28" i="12"/>
  <c r="P28" i="12"/>
  <c r="Q28" i="12"/>
  <c r="R28" i="12"/>
  <c r="S28" i="12"/>
  <c r="T28" i="12"/>
  <c r="U28" i="12"/>
  <c r="Y28" i="12"/>
  <c r="Z28" i="12"/>
  <c r="AA28" i="12"/>
  <c r="AT28" i="12"/>
  <c r="AY28" i="12"/>
  <c r="A29" i="12"/>
  <c r="J29" i="12"/>
  <c r="AE29" i="12" s="1" a="1"/>
  <c r="AE29" i="12" s="1"/>
  <c r="K29" i="12"/>
  <c r="AF29" i="12" s="1" a="1"/>
  <c r="AF29" i="12" s="1"/>
  <c r="L29" i="12"/>
  <c r="AG29" i="12" s="1" a="1"/>
  <c r="AG29" i="12" s="1"/>
  <c r="M29" i="12"/>
  <c r="N29" i="12"/>
  <c r="O29" i="12"/>
  <c r="P29" i="12"/>
  <c r="Q29" i="12"/>
  <c r="R29" i="12"/>
  <c r="S29" i="12"/>
  <c r="T29" i="12"/>
  <c r="U29" i="12"/>
  <c r="Y29" i="12"/>
  <c r="Z29" i="12"/>
  <c r="AA29" i="12"/>
  <c r="AT29" i="12"/>
  <c r="AY29" i="12"/>
  <c r="A30" i="12"/>
  <c r="J30" i="12"/>
  <c r="AE30" i="12" s="1" a="1"/>
  <c r="AE30" i="12" s="1"/>
  <c r="K30" i="12"/>
  <c r="AF30" i="12" s="1" a="1"/>
  <c r="AF30" i="12" s="1"/>
  <c r="L30" i="12"/>
  <c r="AG30" i="12" s="1" a="1"/>
  <c r="AG30" i="12" s="1"/>
  <c r="M30" i="12"/>
  <c r="N30" i="12"/>
  <c r="O30" i="12"/>
  <c r="P30" i="12"/>
  <c r="Q30" i="12"/>
  <c r="R30" i="12"/>
  <c r="S30" i="12"/>
  <c r="T30" i="12"/>
  <c r="U30" i="12"/>
  <c r="Y30" i="12"/>
  <c r="Z30" i="12"/>
  <c r="AA30" i="12"/>
  <c r="AT30" i="12"/>
  <c r="AY30" i="12"/>
  <c r="A31" i="12"/>
  <c r="J31" i="12"/>
  <c r="AE31" i="12" s="1" a="1"/>
  <c r="AE31" i="12" s="1"/>
  <c r="K31" i="12"/>
  <c r="AF31" i="12" s="1" a="1"/>
  <c r="AF31" i="12" s="1"/>
  <c r="L31" i="12"/>
  <c r="AG31" i="12" s="1" a="1"/>
  <c r="AG31" i="12" s="1"/>
  <c r="M31" i="12"/>
  <c r="N31" i="12"/>
  <c r="O31" i="12"/>
  <c r="P31" i="12"/>
  <c r="Q31" i="12"/>
  <c r="R31" i="12"/>
  <c r="S31" i="12"/>
  <c r="T31" i="12"/>
  <c r="U31" i="12"/>
  <c r="Y31" i="12"/>
  <c r="Z31" i="12"/>
  <c r="AA31" i="12"/>
  <c r="AT31" i="12"/>
  <c r="AY31" i="12"/>
  <c r="A32" i="12"/>
  <c r="J32" i="12"/>
  <c r="AE32" i="12" s="1" a="1"/>
  <c r="AE32" i="12" s="1"/>
  <c r="K32" i="12"/>
  <c r="AF32" i="12" s="1" a="1"/>
  <c r="AF32" i="12" s="1"/>
  <c r="L32" i="12"/>
  <c r="AG32" i="12" s="1" a="1"/>
  <c r="AG32" i="12" s="1"/>
  <c r="M32" i="12"/>
  <c r="N32" i="12"/>
  <c r="O32" i="12"/>
  <c r="P32" i="12"/>
  <c r="Q32" i="12"/>
  <c r="R32" i="12"/>
  <c r="X32" i="12" s="1"/>
  <c r="S32" i="12"/>
  <c r="T32" i="12"/>
  <c r="U32" i="12"/>
  <c r="Y32" i="12"/>
  <c r="Z32" i="12"/>
  <c r="AA32" i="12"/>
  <c r="AT32" i="12"/>
  <c r="AY32" i="12"/>
  <c r="A33" i="12"/>
  <c r="J33" i="12"/>
  <c r="AE33" i="12" s="1" a="1"/>
  <c r="AE33" i="12" s="1"/>
  <c r="K33" i="12"/>
  <c r="AF33" i="12" s="1" a="1"/>
  <c r="AF33" i="12" s="1"/>
  <c r="L33" i="12"/>
  <c r="AG33" i="12" s="1" a="1"/>
  <c r="AG33" i="12" s="1"/>
  <c r="M33" i="12"/>
  <c r="N33" i="12"/>
  <c r="O33" i="12"/>
  <c r="P33" i="12"/>
  <c r="Q33" i="12"/>
  <c r="R33" i="12"/>
  <c r="X33" i="12" s="1"/>
  <c r="S33" i="12"/>
  <c r="T33" i="12"/>
  <c r="U33" i="12"/>
  <c r="Y33" i="12"/>
  <c r="Z33" i="12"/>
  <c r="AA33" i="12"/>
  <c r="AT33" i="12"/>
  <c r="AY33" i="12"/>
  <c r="A34" i="12"/>
  <c r="J34" i="12"/>
  <c r="AE34" i="12" s="1" a="1"/>
  <c r="AE34" i="12" s="1"/>
  <c r="K34" i="12"/>
  <c r="AF34" i="12" s="1" a="1"/>
  <c r="AF34" i="12" s="1"/>
  <c r="L34" i="12"/>
  <c r="AG34" i="12" s="1" a="1"/>
  <c r="AG34" i="12" s="1"/>
  <c r="M34" i="12"/>
  <c r="N34" i="12"/>
  <c r="O34" i="12"/>
  <c r="P34" i="12"/>
  <c r="Q34" i="12"/>
  <c r="R34" i="12"/>
  <c r="S34" i="12"/>
  <c r="T34" i="12"/>
  <c r="U34" i="12"/>
  <c r="Y34" i="12"/>
  <c r="Z34" i="12"/>
  <c r="AA34" i="12"/>
  <c r="AT34" i="12"/>
  <c r="AY34" i="12"/>
  <c r="A35" i="12"/>
  <c r="J35" i="12"/>
  <c r="AE35" i="12" s="1" a="1"/>
  <c r="AE35" i="12" s="1"/>
  <c r="K35" i="12"/>
  <c r="AF35" i="12" s="1" a="1"/>
  <c r="AF35" i="12" s="1"/>
  <c r="L35" i="12"/>
  <c r="AG35" i="12" s="1" a="1"/>
  <c r="AG35" i="12" s="1"/>
  <c r="M35" i="12"/>
  <c r="N35" i="12"/>
  <c r="O35" i="12"/>
  <c r="P35" i="12"/>
  <c r="Q35" i="12"/>
  <c r="R35" i="12"/>
  <c r="S35" i="12"/>
  <c r="T35" i="12"/>
  <c r="U35" i="12"/>
  <c r="Y35" i="12"/>
  <c r="Z35" i="12"/>
  <c r="AA35" i="12"/>
  <c r="AT35" i="12"/>
  <c r="AY35" i="12"/>
  <c r="A36" i="12"/>
  <c r="J36" i="12"/>
  <c r="AE36" i="12" s="1" a="1"/>
  <c r="AE36" i="12" s="1"/>
  <c r="K36" i="12"/>
  <c r="AF36" i="12" s="1" a="1"/>
  <c r="AF36" i="12" s="1"/>
  <c r="L36" i="12"/>
  <c r="AG36" i="12" s="1" a="1"/>
  <c r="AG36" i="12" s="1"/>
  <c r="M36" i="12"/>
  <c r="N36" i="12"/>
  <c r="O36" i="12"/>
  <c r="P36" i="12"/>
  <c r="Q36" i="12"/>
  <c r="R36" i="12"/>
  <c r="S36" i="12"/>
  <c r="T36" i="12"/>
  <c r="U36" i="12"/>
  <c r="Y36" i="12"/>
  <c r="Z36" i="12"/>
  <c r="AA36" i="12"/>
  <c r="AT36" i="12"/>
  <c r="AY36" i="12"/>
  <c r="A37" i="12"/>
  <c r="J37" i="12"/>
  <c r="AE37" i="12" s="1" a="1"/>
  <c r="AE37" i="12" s="1"/>
  <c r="K37" i="12"/>
  <c r="AF37" i="12" s="1" a="1"/>
  <c r="AF37" i="12" s="1"/>
  <c r="L37" i="12"/>
  <c r="AG37" i="12" s="1" a="1"/>
  <c r="AG37" i="12" s="1"/>
  <c r="M37" i="12"/>
  <c r="N37" i="12"/>
  <c r="O37" i="12"/>
  <c r="P37" i="12"/>
  <c r="Q37" i="12"/>
  <c r="R37" i="12"/>
  <c r="S37" i="12"/>
  <c r="T37" i="12"/>
  <c r="U37" i="12"/>
  <c r="Y37" i="12"/>
  <c r="Z37" i="12"/>
  <c r="AA37" i="12"/>
  <c r="AT37" i="12"/>
  <c r="AY37" i="12"/>
  <c r="A38" i="12"/>
  <c r="J38" i="12"/>
  <c r="AE38" i="12" s="1" a="1"/>
  <c r="AE38" i="12" s="1"/>
  <c r="K38" i="12"/>
  <c r="AF38" i="12" s="1" a="1"/>
  <c r="AF38" i="12" s="1"/>
  <c r="L38" i="12"/>
  <c r="AG38" i="12" s="1" a="1"/>
  <c r="AG38" i="12" s="1"/>
  <c r="M38" i="12"/>
  <c r="N38" i="12"/>
  <c r="O38" i="12"/>
  <c r="P38" i="12"/>
  <c r="Q38" i="12"/>
  <c r="R38" i="12"/>
  <c r="S38" i="12"/>
  <c r="T38" i="12"/>
  <c r="U38" i="12"/>
  <c r="Y38" i="12"/>
  <c r="Z38" i="12"/>
  <c r="AA38" i="12"/>
  <c r="AT38" i="12"/>
  <c r="AY38" i="12"/>
  <c r="AT10" i="12"/>
  <c r="AT11" i="12"/>
  <c r="AT12" i="12"/>
  <c r="AT13" i="12"/>
  <c r="AT14" i="12"/>
  <c r="AT15" i="12"/>
  <c r="AT16" i="12"/>
  <c r="A2" i="23" a="1"/>
  <c r="A2" i="23" s="1"/>
  <c r="H5" i="24"/>
  <c r="H6" i="24"/>
  <c r="H7" i="24"/>
  <c r="H8" i="24"/>
  <c r="G7" i="24"/>
  <c r="G8" i="24"/>
  <c r="G6" i="24"/>
  <c r="E46" i="7"/>
  <c r="X37" i="12" l="1"/>
  <c r="V88" i="12"/>
  <c r="AB88" i="12" s="1"/>
  <c r="AK88" i="12" s="1"/>
  <c r="W33" i="12"/>
  <c r="AC33" i="12" s="1"/>
  <c r="AL33" i="12" s="1"/>
  <c r="AR33" i="12" s="1" a="1"/>
  <c r="AR33" i="12" s="1"/>
  <c r="V107" i="12"/>
  <c r="AB107" i="12" s="1"/>
  <c r="AK107" i="12" s="1"/>
  <c r="W18" i="12"/>
  <c r="AC18" i="12" s="1"/>
  <c r="AL18" i="12" s="1"/>
  <c r="AR18" i="12" s="1" a="1"/>
  <c r="AR18" i="12" s="1"/>
  <c r="W75" i="12"/>
  <c r="AC75" i="12" s="1"/>
  <c r="AL75" i="12" s="1"/>
  <c r="AR75" i="12" s="1" a="1"/>
  <c r="AR75" i="12" s="1"/>
  <c r="W62" i="12"/>
  <c r="AC62" i="12" s="1"/>
  <c r="AL62" i="12" s="1"/>
  <c r="AR62" i="12" s="1" a="1"/>
  <c r="AR62" i="12" s="1"/>
  <c r="X75" i="12"/>
  <c r="AD75" i="12" s="1"/>
  <c r="AM75" i="12" s="1"/>
  <c r="AS75" i="12" s="1" a="1"/>
  <c r="AS75" i="12" s="1"/>
  <c r="X109" i="12"/>
  <c r="AD109" i="12" s="1"/>
  <c r="AM109" i="12" s="1"/>
  <c r="AS109" i="12" s="1" a="1"/>
  <c r="AS109" i="12" s="1"/>
  <c r="X84" i="12"/>
  <c r="AD84" i="12" s="1"/>
  <c r="AM84" i="12" s="1"/>
  <c r="AS84" i="12" s="1" a="1"/>
  <c r="AS84" i="12" s="1"/>
  <c r="V65" i="12"/>
  <c r="AB65" i="12" s="1"/>
  <c r="AK65" i="12" s="1"/>
  <c r="V61" i="12"/>
  <c r="AB61" i="12" s="1"/>
  <c r="AK61" i="12" s="1"/>
  <c r="W58" i="12"/>
  <c r="AC58" i="12" s="1"/>
  <c r="AL58" i="12" s="1"/>
  <c r="AR58" i="12" s="1" a="1"/>
  <c r="AR58" i="12" s="1"/>
  <c r="W54" i="12"/>
  <c r="AC54" i="12" s="1"/>
  <c r="AL54" i="12" s="1"/>
  <c r="AR54" i="12" s="1" a="1"/>
  <c r="AR54" i="12" s="1"/>
  <c r="X42" i="12"/>
  <c r="AD42" i="12" s="1"/>
  <c r="AM42" i="12" s="1"/>
  <c r="AS42" i="12" s="1" a="1"/>
  <c r="AS42" i="12" s="1"/>
  <c r="AD33" i="12"/>
  <c r="AM33" i="12" s="1"/>
  <c r="AS33" i="12" s="1" a="1"/>
  <c r="AS33" i="12" s="1"/>
  <c r="W21" i="12"/>
  <c r="AC21" i="12" s="1"/>
  <c r="AL21" i="12" s="1"/>
  <c r="AR21" i="12" s="1" a="1"/>
  <c r="AR21" i="12" s="1"/>
  <c r="X19" i="12"/>
  <c r="AD19" i="12" s="1"/>
  <c r="AM19" i="12" s="1"/>
  <c r="AS19" i="12" s="1" a="1"/>
  <c r="AS19" i="12" s="1"/>
  <c r="W70" i="12"/>
  <c r="AC70" i="12" s="1"/>
  <c r="AL70" i="12" s="1"/>
  <c r="AR70" i="12" s="1" a="1"/>
  <c r="AR70" i="12" s="1"/>
  <c r="X68" i="12"/>
  <c r="AD68" i="12" s="1"/>
  <c r="AM68" i="12" s="1"/>
  <c r="AS68" i="12" s="1" a="1"/>
  <c r="AS68" i="12" s="1"/>
  <c r="X49" i="12"/>
  <c r="AD49" i="12" s="1"/>
  <c r="X106" i="12"/>
  <c r="AD106" i="12" s="1"/>
  <c r="AM106" i="12" s="1"/>
  <c r="AS106" i="12" s="1" a="1"/>
  <c r="AS106" i="12" s="1"/>
  <c r="AD37" i="12"/>
  <c r="AM37" i="12" s="1"/>
  <c r="AS37" i="12" s="1" a="1"/>
  <c r="AS37" i="12" s="1"/>
  <c r="V97" i="12"/>
  <c r="AB97" i="12" s="1"/>
  <c r="AK97" i="12" s="1"/>
  <c r="V53" i="12"/>
  <c r="AB53" i="12" s="1"/>
  <c r="AK53" i="12" s="1"/>
  <c r="V48" i="12"/>
  <c r="AB48" i="12" s="1"/>
  <c r="AK48" i="12" s="1"/>
  <c r="X46" i="12"/>
  <c r="AD46" i="12" s="1"/>
  <c r="AM46" i="12" s="1"/>
  <c r="AS46" i="12" s="1" a="1"/>
  <c r="AS46" i="12" s="1"/>
  <c r="X44" i="12"/>
  <c r="AD44" i="12" s="1"/>
  <c r="AM44" i="12" s="1"/>
  <c r="AS44" i="12" s="1" a="1"/>
  <c r="AS44" i="12" s="1"/>
  <c r="AJ45" i="12"/>
  <c r="AP45" i="12" s="1" a="1"/>
  <c r="AP45" i="12" s="1"/>
  <c r="W40" i="12"/>
  <c r="AC40" i="12" s="1"/>
  <c r="AL40" i="12" s="1"/>
  <c r="AR40" i="12" s="1" a="1"/>
  <c r="AR40" i="12" s="1"/>
  <c r="W103" i="12"/>
  <c r="AC103" i="12" s="1"/>
  <c r="AL103" i="12" s="1"/>
  <c r="AR103" i="12" s="1" a="1"/>
  <c r="AR103" i="12" s="1"/>
  <c r="W102" i="12"/>
  <c r="AC102" i="12" s="1"/>
  <c r="AL102" i="12" s="1"/>
  <c r="AR102" i="12" s="1" a="1"/>
  <c r="AR102" i="12" s="1"/>
  <c r="W98" i="12"/>
  <c r="AC98" i="12" s="1"/>
  <c r="AL98" i="12" s="1"/>
  <c r="AR98" i="12" s="1" a="1"/>
  <c r="AR98" i="12" s="1"/>
  <c r="AH88" i="12"/>
  <c r="X87" i="12"/>
  <c r="AD87" i="12" s="1"/>
  <c r="AM87" i="12" s="1"/>
  <c r="AS87" i="12" s="1" a="1"/>
  <c r="AS87" i="12" s="1"/>
  <c r="X83" i="12"/>
  <c r="AD83" i="12" s="1"/>
  <c r="AM83" i="12" s="1"/>
  <c r="AS83" i="12" s="1" a="1"/>
  <c r="AS83" i="12" s="1"/>
  <c r="V77" i="12"/>
  <c r="AB77" i="12" s="1"/>
  <c r="AK77" i="12" s="1"/>
  <c r="V74" i="12"/>
  <c r="AB74" i="12" s="1"/>
  <c r="AK74" i="12" s="1"/>
  <c r="X72" i="12"/>
  <c r="AD72" i="12" s="1"/>
  <c r="AM72" i="12" s="1"/>
  <c r="AS72" i="12" s="1" a="1"/>
  <c r="AS72" i="12" s="1"/>
  <c r="X67" i="12"/>
  <c r="AD67" i="12" s="1"/>
  <c r="AM67" i="12" s="1"/>
  <c r="AS67" i="12" s="1" a="1"/>
  <c r="AS67" i="12" s="1"/>
  <c r="X59" i="12"/>
  <c r="AD59" i="12" s="1"/>
  <c r="AM59" i="12" s="1"/>
  <c r="AS59" i="12" s="1" a="1"/>
  <c r="AS59" i="12" s="1"/>
  <c r="X48" i="12"/>
  <c r="AD48" i="12" s="1"/>
  <c r="AM48" i="12" s="1"/>
  <c r="AS48" i="12" s="1" a="1"/>
  <c r="AS48" i="12" s="1"/>
  <c r="V39" i="12"/>
  <c r="AB39" i="12" s="1"/>
  <c r="AK39" i="12" s="1"/>
  <c r="AJ72" i="12"/>
  <c r="AP72" i="12" s="1" a="1"/>
  <c r="AP72" i="12" s="1"/>
  <c r="AJ48" i="12"/>
  <c r="AP48" i="12" s="1" a="1"/>
  <c r="AP48" i="12" s="1"/>
  <c r="AJ47" i="12"/>
  <c r="AP47" i="12" s="1" a="1"/>
  <c r="AP47" i="12" s="1"/>
  <c r="AB43" i="12"/>
  <c r="AK43" i="12" s="1"/>
  <c r="AH39" i="12"/>
  <c r="AD32" i="12"/>
  <c r="AM32" i="12" s="1"/>
  <c r="AS32" i="12" s="1" a="1"/>
  <c r="AS32" i="12" s="1"/>
  <c r="AD23" i="12"/>
  <c r="AM23" i="12" s="1"/>
  <c r="AS23" i="12" s="1" a="1"/>
  <c r="AS23" i="12" s="1"/>
  <c r="W22" i="12"/>
  <c r="AC22" i="12" s="1"/>
  <c r="AL22" i="12" s="1"/>
  <c r="AR22" i="12" s="1" a="1"/>
  <c r="AR22" i="12" s="1"/>
  <c r="W108" i="12"/>
  <c r="AC108" i="12" s="1"/>
  <c r="AL108" i="12" s="1"/>
  <c r="AR108" i="12" s="1" a="1"/>
  <c r="AR108" i="12" s="1"/>
  <c r="AJ108" i="12"/>
  <c r="AP108" i="12" s="1" a="1"/>
  <c r="AP108" i="12" s="1"/>
  <c r="X96" i="12"/>
  <c r="AD96" i="12" s="1"/>
  <c r="AM96" i="12" s="1"/>
  <c r="AS96" i="12" s="1" a="1"/>
  <c r="AS96" i="12" s="1"/>
  <c r="AH96" i="12"/>
  <c r="W85" i="12"/>
  <c r="AC85" i="12" s="1"/>
  <c r="AL85" i="12" s="1"/>
  <c r="AR85" i="12" s="1" a="1"/>
  <c r="AR85" i="12" s="1"/>
  <c r="W69" i="12"/>
  <c r="AC69" i="12" s="1"/>
  <c r="AL69" i="12" s="1"/>
  <c r="AR69" i="12" s="1" a="1"/>
  <c r="AR69" i="12" s="1"/>
  <c r="W67" i="12"/>
  <c r="AC67" i="12" s="1"/>
  <c r="AL67" i="12" s="1"/>
  <c r="AR67" i="12" s="1" a="1"/>
  <c r="AR67" i="12" s="1"/>
  <c r="X45" i="12"/>
  <c r="AD45" i="12" s="1"/>
  <c r="AM45" i="12" s="1"/>
  <c r="AS45" i="12" s="1" a="1"/>
  <c r="AS45" i="12" s="1"/>
  <c r="AI44" i="12"/>
  <c r="AO44" i="12" s="1" a="1"/>
  <c r="AO44" i="12" s="1"/>
  <c r="AH65" i="12"/>
  <c r="X63" i="12"/>
  <c r="AD63" i="12" s="1"/>
  <c r="AM63" i="12" s="1"/>
  <c r="AS63" i="12" s="1" a="1"/>
  <c r="AS63" i="12" s="1"/>
  <c r="V58" i="12"/>
  <c r="AB58" i="12" s="1"/>
  <c r="AK58" i="12" s="1"/>
  <c r="X18" i="12"/>
  <c r="AD18" i="12" s="1"/>
  <c r="AM18" i="12" s="1"/>
  <c r="AS18" i="12" s="1" a="1"/>
  <c r="AS18" i="12" s="1"/>
  <c r="V109" i="12"/>
  <c r="AB109" i="12" s="1"/>
  <c r="AK109" i="12" s="1"/>
  <c r="V105" i="12"/>
  <c r="AB105" i="12" s="1"/>
  <c r="AK105" i="12" s="1"/>
  <c r="V92" i="12"/>
  <c r="AB92" i="12" s="1"/>
  <c r="AK92" i="12" s="1"/>
  <c r="AJ88" i="12"/>
  <c r="AP88" i="12" s="1" a="1"/>
  <c r="AP88" i="12" s="1"/>
  <c r="W82" i="12"/>
  <c r="AC82" i="12" s="1"/>
  <c r="AL82" i="12" s="1"/>
  <c r="AR82" i="12" s="1" a="1"/>
  <c r="AR82" i="12" s="1"/>
  <c r="W36" i="12"/>
  <c r="AC36" i="12" s="1"/>
  <c r="AL36" i="12" s="1"/>
  <c r="AR36" i="12" s="1" a="1"/>
  <c r="AR36" i="12" s="1"/>
  <c r="V35" i="12"/>
  <c r="AB35" i="12" s="1"/>
  <c r="V34" i="12"/>
  <c r="AB34" i="12" s="1"/>
  <c r="X26" i="12"/>
  <c r="AD26" i="12" s="1"/>
  <c r="AM26" i="12" s="1"/>
  <c r="AS26" i="12" s="1" a="1"/>
  <c r="AS26" i="12" s="1"/>
  <c r="AH98" i="12"/>
  <c r="W96" i="12"/>
  <c r="AC96" i="12" s="1"/>
  <c r="AL96" i="12" s="1"/>
  <c r="AR96" i="12" s="1" a="1"/>
  <c r="AR96" i="12" s="1"/>
  <c r="V95" i="12"/>
  <c r="AB95" i="12" s="1"/>
  <c r="AK95" i="12" s="1"/>
  <c r="AH92" i="12"/>
  <c r="X91" i="12"/>
  <c r="AD91" i="12" s="1"/>
  <c r="AM91" i="12" s="1"/>
  <c r="AS91" i="12" s="1" a="1"/>
  <c r="AS91" i="12" s="1"/>
  <c r="X90" i="12"/>
  <c r="AD90" i="12" s="1"/>
  <c r="AM90" i="12" s="1"/>
  <c r="AS90" i="12" s="1" a="1"/>
  <c r="AS90" i="12" s="1"/>
  <c r="W90" i="12"/>
  <c r="AC90" i="12" s="1"/>
  <c r="AL90" i="12" s="1"/>
  <c r="AR90" i="12" s="1" a="1"/>
  <c r="AR90" i="12" s="1"/>
  <c r="V85" i="12"/>
  <c r="AB85" i="12" s="1"/>
  <c r="AK85" i="12" s="1"/>
  <c r="V82" i="12"/>
  <c r="AB82" i="12" s="1"/>
  <c r="AK82" i="12" s="1"/>
  <c r="AI82" i="12"/>
  <c r="AO82" i="12" s="1" a="1"/>
  <c r="AO82" i="12" s="1"/>
  <c r="X79" i="12"/>
  <c r="AD79" i="12" s="1"/>
  <c r="AM79" i="12" s="1"/>
  <c r="AS79" i="12" s="1" a="1"/>
  <c r="AS79" i="12" s="1"/>
  <c r="W78" i="12"/>
  <c r="AC78" i="12" s="1"/>
  <c r="AL78" i="12" s="1"/>
  <c r="AR78" i="12" s="1" a="1"/>
  <c r="AR78" i="12" s="1"/>
  <c r="X76" i="12"/>
  <c r="AD76" i="12" s="1"/>
  <c r="AM76" i="12" s="1"/>
  <c r="AS76" i="12" s="1" a="1"/>
  <c r="AS76" i="12" s="1"/>
  <c r="AI75" i="12"/>
  <c r="AO75" i="12" s="1" a="1"/>
  <c r="AO75" i="12" s="1"/>
  <c r="V70" i="12"/>
  <c r="AB70" i="12" s="1"/>
  <c r="AK70" i="12" s="1"/>
  <c r="AI70" i="12"/>
  <c r="AO70" i="12" s="1" a="1"/>
  <c r="AO70" i="12" s="1"/>
  <c r="AH68" i="12"/>
  <c r="V66" i="12"/>
  <c r="AB66" i="12" s="1"/>
  <c r="AK66" i="12" s="1"/>
  <c r="W59" i="12"/>
  <c r="AC59" i="12" s="1"/>
  <c r="AL59" i="12" s="1"/>
  <c r="AR59" i="12" s="1" a="1"/>
  <c r="AR59" i="12" s="1"/>
  <c r="X55" i="12"/>
  <c r="AD55" i="12" s="1"/>
  <c r="AM55" i="12" s="1"/>
  <c r="AS55" i="12" s="1" a="1"/>
  <c r="AS55" i="12" s="1"/>
  <c r="V52" i="12"/>
  <c r="AB52" i="12" s="1"/>
  <c r="AK52" i="12" s="1"/>
  <c r="V51" i="12"/>
  <c r="AB51" i="12" s="1"/>
  <c r="AK51" i="12" s="1"/>
  <c r="X34" i="12"/>
  <c r="AD34" i="12" s="1"/>
  <c r="AM34" i="12" s="1"/>
  <c r="AS34" i="12" s="1" a="1"/>
  <c r="AS34" i="12" s="1"/>
  <c r="W104" i="12"/>
  <c r="AC104" i="12" s="1"/>
  <c r="AL104" i="12" s="1"/>
  <c r="AR104" i="12" s="1" a="1"/>
  <c r="AR104" i="12" s="1"/>
  <c r="V102" i="12"/>
  <c r="AB102" i="12" s="1"/>
  <c r="AK102" i="12" s="1"/>
  <c r="AJ102" i="12"/>
  <c r="AP102" i="12" s="1" a="1"/>
  <c r="AP102" i="12" s="1"/>
  <c r="W92" i="12"/>
  <c r="AC92" i="12" s="1"/>
  <c r="AL92" i="12" s="1"/>
  <c r="AR92" i="12" s="1" a="1"/>
  <c r="AR92" i="12" s="1"/>
  <c r="X82" i="12"/>
  <c r="AD82" i="12" s="1"/>
  <c r="AM82" i="12" s="1"/>
  <c r="AS82" i="12" s="1" a="1"/>
  <c r="AS82" i="12" s="1"/>
  <c r="W81" i="12"/>
  <c r="AC81" i="12" s="1"/>
  <c r="AL81" i="12" s="1"/>
  <c r="AR81" i="12" s="1" a="1"/>
  <c r="AR81" i="12" s="1"/>
  <c r="AH70" i="12"/>
  <c r="AJ55" i="12"/>
  <c r="AP55" i="12" s="1" a="1"/>
  <c r="AP55" i="12" s="1"/>
  <c r="W44" i="12"/>
  <c r="AC44" i="12" s="1"/>
  <c r="AH108" i="12"/>
  <c r="X29" i="12"/>
  <c r="AD29" i="12" s="1"/>
  <c r="AM29" i="12" s="1"/>
  <c r="AS29" i="12" s="1" a="1"/>
  <c r="AS29" i="12" s="1"/>
  <c r="X24" i="12"/>
  <c r="AD24" i="12" s="1"/>
  <c r="AM24" i="12" s="1"/>
  <c r="AS24" i="12" s="1" a="1"/>
  <c r="AS24" i="12" s="1"/>
  <c r="W23" i="12"/>
  <c r="AC23" i="12" s="1"/>
  <c r="AL23" i="12" s="1"/>
  <c r="AR23" i="12" s="1" a="1"/>
  <c r="AR23" i="12" s="1"/>
  <c r="W79" i="12"/>
  <c r="AC79" i="12" s="1"/>
  <c r="AL79" i="12" s="1"/>
  <c r="AR79" i="12" s="1" a="1"/>
  <c r="AR79" i="12" s="1"/>
  <c r="V73" i="12"/>
  <c r="AB73" i="12" s="1"/>
  <c r="AK73" i="12" s="1"/>
  <c r="X71" i="12"/>
  <c r="AD71" i="12" s="1"/>
  <c r="AM71" i="12" s="1"/>
  <c r="AS71" i="12" s="1" a="1"/>
  <c r="AS71" i="12" s="1"/>
  <c r="X56" i="12"/>
  <c r="AD56" i="12" s="1"/>
  <c r="AM56" i="12" s="1"/>
  <c r="AS56" i="12" s="1" a="1"/>
  <c r="AS56" i="12" s="1"/>
  <c r="W52" i="12"/>
  <c r="AC52" i="12" s="1"/>
  <c r="AL52" i="12" s="1"/>
  <c r="AR52" i="12" s="1" a="1"/>
  <c r="AR52" i="12" s="1"/>
  <c r="W48" i="12"/>
  <c r="V44" i="12"/>
  <c r="AB44" i="12" s="1"/>
  <c r="AK44" i="12" s="1"/>
  <c r="AI35" i="12"/>
  <c r="AO35" i="12" s="1" a="1"/>
  <c r="AO35" i="12" s="1"/>
  <c r="W32" i="12"/>
  <c r="AC32" i="12" s="1"/>
  <c r="AL32" i="12" s="1"/>
  <c r="AR32" i="12" s="1" a="1"/>
  <c r="AR32" i="12" s="1"/>
  <c r="AI25" i="12"/>
  <c r="AO25" i="12" s="1" a="1"/>
  <c r="AO25" i="12" s="1"/>
  <c r="W107" i="12"/>
  <c r="V100" i="12"/>
  <c r="AB100" i="12" s="1"/>
  <c r="AK100" i="12" s="1"/>
  <c r="AJ98" i="12"/>
  <c r="AP98" i="12" s="1" a="1"/>
  <c r="AP98" i="12" s="1"/>
  <c r="X97" i="12"/>
  <c r="AD97" i="12" s="1"/>
  <c r="AM97" i="12" s="1"/>
  <c r="AS97" i="12" s="1" a="1"/>
  <c r="AS97" i="12" s="1"/>
  <c r="AJ94" i="12"/>
  <c r="AP94" i="12" s="1" a="1"/>
  <c r="AP94" i="12" s="1"/>
  <c r="W93" i="12"/>
  <c r="AC93" i="12" s="1"/>
  <c r="AL93" i="12" s="1"/>
  <c r="AR93" i="12" s="1" a="1"/>
  <c r="AR93" i="12" s="1"/>
  <c r="V36" i="12"/>
  <c r="AB36" i="12" s="1"/>
  <c r="AK36" i="12" s="1"/>
  <c r="AI36" i="12"/>
  <c r="AO36" i="12" s="1" a="1"/>
  <c r="AO36" i="12" s="1"/>
  <c r="AH27" i="12"/>
  <c r="X105" i="12"/>
  <c r="AD105" i="12" s="1"/>
  <c r="AM105" i="12" s="1"/>
  <c r="AS105" i="12" s="1" a="1"/>
  <c r="AS105" i="12" s="1"/>
  <c r="X103" i="12"/>
  <c r="AD103" i="12" s="1"/>
  <c r="AM103" i="12" s="1"/>
  <c r="AS103" i="12" s="1" a="1"/>
  <c r="AS103" i="12" s="1"/>
  <c r="X99" i="12"/>
  <c r="AD99" i="12" s="1"/>
  <c r="AM99" i="12" s="1"/>
  <c r="AS99" i="12" s="1" a="1"/>
  <c r="AS99" i="12" s="1"/>
  <c r="W99" i="12"/>
  <c r="AC99" i="12" s="1"/>
  <c r="AL99" i="12" s="1"/>
  <c r="AR99" i="12" s="1" a="1"/>
  <c r="AR99" i="12" s="1"/>
  <c r="AI93" i="12"/>
  <c r="AO93" i="12" s="1" a="1"/>
  <c r="AO93" i="12" s="1"/>
  <c r="BA93" i="12" s="1"/>
  <c r="AJ90" i="12"/>
  <c r="AP90" i="12" s="1" a="1"/>
  <c r="AP90" i="12" s="1"/>
  <c r="V86" i="12"/>
  <c r="AB86" i="12" s="1"/>
  <c r="AK86" i="12" s="1"/>
  <c r="AI83" i="12"/>
  <c r="AO83" i="12" s="1" a="1"/>
  <c r="AO83" i="12" s="1"/>
  <c r="W77" i="12"/>
  <c r="AC77" i="12" s="1"/>
  <c r="AL77" i="12" s="1"/>
  <c r="AR77" i="12" s="1" a="1"/>
  <c r="AR77" i="12" s="1"/>
  <c r="AH74" i="12"/>
  <c r="AH73" i="12"/>
  <c r="W65" i="12"/>
  <c r="AC65" i="12" s="1"/>
  <c r="AL65" i="12" s="1"/>
  <c r="AR65" i="12" s="1" a="1"/>
  <c r="AR65" i="12" s="1"/>
  <c r="X64" i="12"/>
  <c r="AD64" i="12" s="1"/>
  <c r="AM64" i="12" s="1"/>
  <c r="AS64" i="12" s="1" a="1"/>
  <c r="AS64" i="12" s="1"/>
  <c r="V62" i="12"/>
  <c r="AB62" i="12" s="1"/>
  <c r="AK62" i="12" s="1"/>
  <c r="V57" i="12"/>
  <c r="AB57" i="12" s="1"/>
  <c r="AK57" i="12" s="1"/>
  <c r="V54" i="12"/>
  <c r="AB54" i="12" s="1"/>
  <c r="AK54" i="12" s="1"/>
  <c r="AI54" i="12"/>
  <c r="AO54" i="12" s="1" a="1"/>
  <c r="AO54" i="12" s="1"/>
  <c r="AI51" i="12"/>
  <c r="AO51" i="12" s="1" a="1"/>
  <c r="AO51" i="12" s="1"/>
  <c r="AH50" i="12"/>
  <c r="AI48" i="12"/>
  <c r="AO48" i="12" s="1" a="1"/>
  <c r="AO48" i="12" s="1"/>
  <c r="AH42" i="12"/>
  <c r="X41" i="12"/>
  <c r="AD41" i="12" s="1"/>
  <c r="AM41" i="12" s="1"/>
  <c r="AS41" i="12" s="1" a="1"/>
  <c r="AS41" i="12" s="1"/>
  <c r="V40" i="12"/>
  <c r="AB40" i="12" s="1"/>
  <c r="AK40" i="12" s="1"/>
  <c r="AI40" i="12"/>
  <c r="AO40" i="12" s="1" a="1"/>
  <c r="AO40" i="12" s="1"/>
  <c r="BA40" i="12" s="1"/>
  <c r="AH104" i="12"/>
  <c r="V101" i="12"/>
  <c r="AB101" i="12" s="1"/>
  <c r="AK101" i="12" s="1"/>
  <c r="AH100" i="12"/>
  <c r="V98" i="12"/>
  <c r="AB98" i="12" s="1"/>
  <c r="AK98" i="12" s="1"/>
  <c r="AJ96" i="12"/>
  <c r="AP96" i="12" s="1" a="1"/>
  <c r="AP96" i="12" s="1"/>
  <c r="X93" i="12"/>
  <c r="AD93" i="12" s="1"/>
  <c r="AM93" i="12" s="1"/>
  <c r="AS93" i="12" s="1" a="1"/>
  <c r="AS93" i="12" s="1"/>
  <c r="W74" i="12"/>
  <c r="AC74" i="12" s="1"/>
  <c r="AL74" i="12" s="1"/>
  <c r="AR74" i="12" s="1" a="1"/>
  <c r="AR74" i="12" s="1"/>
  <c r="AI71" i="12"/>
  <c r="AO71" i="12" s="1" a="1"/>
  <c r="AO71" i="12" s="1"/>
  <c r="V69" i="12"/>
  <c r="AB69" i="12" s="1"/>
  <c r="AK69" i="12" s="1"/>
  <c r="W66" i="12"/>
  <c r="AC66" i="12" s="1"/>
  <c r="AL66" i="12" s="1"/>
  <c r="AR66" i="12" s="1" a="1"/>
  <c r="AR66" i="12" s="1"/>
  <c r="V64" i="12"/>
  <c r="AB64" i="12" s="1"/>
  <c r="AK64" i="12" s="1"/>
  <c r="X62" i="12"/>
  <c r="AD62" i="12" s="1"/>
  <c r="AM62" i="12" s="1"/>
  <c r="AS62" i="12" s="1" a="1"/>
  <c r="AS62" i="12" s="1"/>
  <c r="W41" i="12"/>
  <c r="AC41" i="12" s="1"/>
  <c r="AL41" i="12" s="1"/>
  <c r="AR41" i="12" s="1" a="1"/>
  <c r="AR41" i="12" s="1"/>
  <c r="X40" i="12"/>
  <c r="AD40" i="12" s="1"/>
  <c r="AM40" i="12" s="1"/>
  <c r="AS40" i="12" s="1" a="1"/>
  <c r="AS40" i="12" s="1"/>
  <c r="AJ83" i="12"/>
  <c r="AP83" i="12" s="1" a="1"/>
  <c r="AP83" i="12" s="1"/>
  <c r="AJ75" i="12"/>
  <c r="AP75" i="12" s="1" a="1"/>
  <c r="AP75" i="12" s="1"/>
  <c r="AJ22" i="12"/>
  <c r="AP22" i="12" s="1" a="1"/>
  <c r="AP22" i="12" s="1"/>
  <c r="AJ104" i="12"/>
  <c r="AP104" i="12" s="1" a="1"/>
  <c r="AP104" i="12" s="1"/>
  <c r="AJ68" i="12"/>
  <c r="AP68" i="12" s="1" a="1"/>
  <c r="AP68" i="12" s="1"/>
  <c r="AI55" i="12"/>
  <c r="AO55" i="12" s="1" a="1"/>
  <c r="AO55" i="12" s="1"/>
  <c r="AI41" i="12"/>
  <c r="AO41" i="12" s="1" a="1"/>
  <c r="AO41" i="12" s="1"/>
  <c r="BA41" i="12" s="1"/>
  <c r="AH61" i="12"/>
  <c r="AH85" i="12"/>
  <c r="AH55" i="12"/>
  <c r="AH21" i="12"/>
  <c r="AJ92" i="12"/>
  <c r="AP92" i="12" s="1" a="1"/>
  <c r="AP92" i="12" s="1"/>
  <c r="AI91" i="12"/>
  <c r="AO91" i="12" s="1" a="1"/>
  <c r="AO91" i="12" s="1"/>
  <c r="V32" i="12"/>
  <c r="AB32" i="12" s="1"/>
  <c r="AK32" i="12" s="1"/>
  <c r="V31" i="12"/>
  <c r="AB31" i="12" s="1"/>
  <c r="AK31" i="12" s="1"/>
  <c r="W29" i="12"/>
  <c r="AC29" i="12" s="1"/>
  <c r="AL29" i="12" s="1"/>
  <c r="AR29" i="12" s="1" a="1"/>
  <c r="AR29" i="12" s="1"/>
  <c r="W28" i="12"/>
  <c r="AC28" i="12" s="1"/>
  <c r="AL28" i="12" s="1"/>
  <c r="AR28" i="12" s="1" a="1"/>
  <c r="AR28" i="12" s="1"/>
  <c r="X27" i="12"/>
  <c r="AD27" i="12" s="1"/>
  <c r="AM27" i="12" s="1"/>
  <c r="AS27" i="12" s="1" a="1"/>
  <c r="AS27" i="12" s="1"/>
  <c r="AJ107" i="12"/>
  <c r="AP107" i="12" s="1" a="1"/>
  <c r="AP107" i="12" s="1"/>
  <c r="AI105" i="12"/>
  <c r="AO105" i="12" s="1" a="1"/>
  <c r="AO105" i="12" s="1"/>
  <c r="AI34" i="12"/>
  <c r="AO34" i="12" s="1" a="1"/>
  <c r="AO34" i="12" s="1"/>
  <c r="AJ36" i="12"/>
  <c r="AP36" i="12" s="1" a="1"/>
  <c r="AP36" i="12" s="1"/>
  <c r="AJ37" i="12"/>
  <c r="AP37" i="12" s="1" a="1"/>
  <c r="AP37" i="12" s="1"/>
  <c r="AI29" i="12"/>
  <c r="AO29" i="12" s="1" a="1"/>
  <c r="AO29" i="12" s="1"/>
  <c r="BA29" i="12" s="1"/>
  <c r="AH28" i="12"/>
  <c r="AH26" i="12"/>
  <c r="AH102" i="12"/>
  <c r="AH99" i="12"/>
  <c r="W37" i="12"/>
  <c r="AC37" i="12" s="1"/>
  <c r="AL37" i="12" s="1"/>
  <c r="AR37" i="12" s="1" a="1"/>
  <c r="AR37" i="12" s="1"/>
  <c r="AH32" i="12"/>
  <c r="X38" i="12"/>
  <c r="AD38" i="12" s="1"/>
  <c r="AM38" i="12" s="1"/>
  <c r="AS38" i="12" s="1" a="1"/>
  <c r="AS38" i="12" s="1"/>
  <c r="AI109" i="12"/>
  <c r="AO109" i="12" s="1" a="1"/>
  <c r="AO109" i="12" s="1"/>
  <c r="AC107" i="12"/>
  <c r="AL107" i="12" s="1"/>
  <c r="AR107" i="12" s="1" a="1"/>
  <c r="AR107" i="12" s="1"/>
  <c r="AJ106" i="12"/>
  <c r="AP106" i="12" s="1" a="1"/>
  <c r="AP106" i="12" s="1"/>
  <c r="AI101" i="12"/>
  <c r="AO101" i="12" s="1" a="1"/>
  <c r="AO101" i="12" s="1"/>
  <c r="AJ100" i="12"/>
  <c r="AP100" i="12" s="1" a="1"/>
  <c r="AP100" i="12" s="1"/>
  <c r="V89" i="12"/>
  <c r="AB89" i="12" s="1"/>
  <c r="AK89" i="12" s="1"/>
  <c r="AJ26" i="12"/>
  <c r="AP26" i="12" s="1" a="1"/>
  <c r="AP26" i="12" s="1"/>
  <c r="AI26" i="12"/>
  <c r="AO26" i="12" s="1" a="1"/>
  <c r="AO26" i="12" s="1"/>
  <c r="W25" i="12"/>
  <c r="AC25" i="12" s="1"/>
  <c r="AL25" i="12" s="1"/>
  <c r="AR25" i="12" s="1" a="1"/>
  <c r="AR25" i="12" s="1"/>
  <c r="AH25" i="12"/>
  <c r="AI23" i="12"/>
  <c r="AO23" i="12" s="1" a="1"/>
  <c r="AO23" i="12" s="1"/>
  <c r="AH20" i="12"/>
  <c r="AJ109" i="12"/>
  <c r="AP109" i="12" s="1" a="1"/>
  <c r="AP109" i="12" s="1"/>
  <c r="V108" i="12"/>
  <c r="AB108" i="12" s="1"/>
  <c r="AK108" i="12" s="1"/>
  <c r="X104" i="12"/>
  <c r="AD104" i="12" s="1"/>
  <c r="AM104" i="12" s="1"/>
  <c r="AS104" i="12" s="1" a="1"/>
  <c r="AS104" i="12" s="1"/>
  <c r="X102" i="12"/>
  <c r="AD102" i="12" s="1"/>
  <c r="AM102" i="12" s="1"/>
  <c r="AS102" i="12" s="1" a="1"/>
  <c r="AS102" i="12" s="1"/>
  <c r="W101" i="12"/>
  <c r="AC101" i="12" s="1"/>
  <c r="AL101" i="12" s="1"/>
  <c r="AR101" i="12" s="1" a="1"/>
  <c r="AR101" i="12" s="1"/>
  <c r="X100" i="12"/>
  <c r="AD100" i="12" s="1"/>
  <c r="AM100" i="12" s="1"/>
  <c r="AS100" i="12" s="1" a="1"/>
  <c r="AS100" i="12" s="1"/>
  <c r="X98" i="12"/>
  <c r="AD98" i="12" s="1"/>
  <c r="AM98" i="12" s="1"/>
  <c r="AS98" i="12" s="1" a="1"/>
  <c r="AS98" i="12" s="1"/>
  <c r="V96" i="12"/>
  <c r="AB96" i="12" s="1"/>
  <c r="AK96" i="12" s="1"/>
  <c r="AJ95" i="12"/>
  <c r="AP95" i="12" s="1" a="1"/>
  <c r="AP95" i="12" s="1"/>
  <c r="X92" i="12"/>
  <c r="AD92" i="12" s="1"/>
  <c r="AM92" i="12" s="1"/>
  <c r="AS92" i="12" s="1" a="1"/>
  <c r="AS92" i="12" s="1"/>
  <c r="W91" i="12"/>
  <c r="AC91" i="12" s="1"/>
  <c r="AL91" i="12" s="1"/>
  <c r="AR91" i="12" s="1" a="1"/>
  <c r="AR91" i="12" s="1"/>
  <c r="V90" i="12"/>
  <c r="AB90" i="12" s="1"/>
  <c r="AK90" i="12" s="1"/>
  <c r="W89" i="12"/>
  <c r="AC89" i="12" s="1"/>
  <c r="AL89" i="12" s="1"/>
  <c r="AR89" i="12" s="1" a="1"/>
  <c r="AR89" i="12" s="1"/>
  <c r="X88" i="12"/>
  <c r="AD88" i="12" s="1"/>
  <c r="AM88" i="12" s="1"/>
  <c r="AS88" i="12" s="1" a="1"/>
  <c r="AS88" i="12" s="1"/>
  <c r="AJ80" i="12"/>
  <c r="AP80" i="12" s="1" a="1"/>
  <c r="AP80" i="12" s="1"/>
  <c r="AJ73" i="12"/>
  <c r="AP73" i="12" s="1" a="1"/>
  <c r="AP73" i="12" s="1"/>
  <c r="W71" i="12"/>
  <c r="AC71" i="12" s="1"/>
  <c r="AL71" i="12" s="1"/>
  <c r="AR71" i="12" s="1" a="1"/>
  <c r="AR71" i="12" s="1"/>
  <c r="W63" i="12"/>
  <c r="AC63" i="12" s="1"/>
  <c r="AL63" i="12" s="1"/>
  <c r="AR63" i="12" s="1" a="1"/>
  <c r="AR63" i="12" s="1"/>
  <c r="AI46" i="12"/>
  <c r="AO46" i="12" s="1" a="1"/>
  <c r="AO46" i="12" s="1"/>
  <c r="W45" i="12"/>
  <c r="AC45" i="12" s="1"/>
  <c r="AL45" i="12" s="1"/>
  <c r="AR45" i="12" s="1" a="1"/>
  <c r="AR45" i="12" s="1"/>
  <c r="AI87" i="12"/>
  <c r="AO87" i="12" s="1" a="1"/>
  <c r="AO87" i="12" s="1"/>
  <c r="AH86" i="12"/>
  <c r="AJ82" i="12"/>
  <c r="AP82" i="12" s="1" a="1"/>
  <c r="AP82" i="12" s="1"/>
  <c r="V45" i="12"/>
  <c r="AB45" i="12" s="1"/>
  <c r="AK45" i="12" s="1"/>
  <c r="AH45" i="12"/>
  <c r="X30" i="12"/>
  <c r="AD30" i="12" s="1"/>
  <c r="AM30" i="12" s="1"/>
  <c r="AS30" i="12" s="1" a="1"/>
  <c r="AS30" i="12" s="1"/>
  <c r="V28" i="12"/>
  <c r="AB28" i="12" s="1"/>
  <c r="AK28" i="12" s="1"/>
  <c r="AJ28" i="12"/>
  <c r="AP28" i="12" s="1" a="1"/>
  <c r="AP28" i="12" s="1"/>
  <c r="AI28" i="12"/>
  <c r="AO28" i="12" s="1" a="1"/>
  <c r="AO28" i="12" s="1"/>
  <c r="W26" i="12"/>
  <c r="AC26" i="12" s="1"/>
  <c r="AL26" i="12" s="1"/>
  <c r="AR26" i="12" s="1" a="1"/>
  <c r="AR26" i="12" s="1"/>
  <c r="V24" i="12"/>
  <c r="AB24" i="12" s="1"/>
  <c r="AK24" i="12" s="1"/>
  <c r="X22" i="12"/>
  <c r="AD22" i="12" s="1"/>
  <c r="AM22" i="12" s="1"/>
  <c r="AS22" i="12" s="1" a="1"/>
  <c r="AS22" i="12" s="1"/>
  <c r="AH22" i="12"/>
  <c r="AJ18" i="12"/>
  <c r="AP18" i="12" s="1" a="1"/>
  <c r="AP18" i="12" s="1"/>
  <c r="W109" i="12"/>
  <c r="AC109" i="12" s="1"/>
  <c r="AL109" i="12" s="1"/>
  <c r="AR109" i="12" s="1" a="1"/>
  <c r="AR109" i="12" s="1"/>
  <c r="X108" i="12"/>
  <c r="AD108" i="12" s="1"/>
  <c r="AM108" i="12" s="1"/>
  <c r="AS108" i="12" s="1" a="1"/>
  <c r="AS108" i="12" s="1"/>
  <c r="W105" i="12"/>
  <c r="AC105" i="12" s="1"/>
  <c r="AL105" i="12" s="1"/>
  <c r="AR105" i="12" s="1" a="1"/>
  <c r="AR105" i="12" s="1"/>
  <c r="V104" i="12"/>
  <c r="AB104" i="12" s="1"/>
  <c r="AK104" i="12" s="1"/>
  <c r="AJ101" i="12"/>
  <c r="AP101" i="12" s="1" a="1"/>
  <c r="AP101" i="12" s="1"/>
  <c r="V99" i="12"/>
  <c r="AB99" i="12" s="1"/>
  <c r="AK99" i="12" s="1"/>
  <c r="W97" i="12"/>
  <c r="AC97" i="12" s="1"/>
  <c r="AL97" i="12" s="1"/>
  <c r="AR97" i="12" s="1" a="1"/>
  <c r="AR97" i="12" s="1"/>
  <c r="X94" i="12"/>
  <c r="AD94" i="12" s="1"/>
  <c r="AM94" i="12" s="1"/>
  <c r="AS94" i="12" s="1" a="1"/>
  <c r="AS94" i="12" s="1"/>
  <c r="AH90" i="12"/>
  <c r="W86" i="12"/>
  <c r="AC86" i="12" s="1"/>
  <c r="AL86" i="12" s="1"/>
  <c r="AR86" i="12" s="1" a="1"/>
  <c r="AR86" i="12" s="1"/>
  <c r="AH82" i="12"/>
  <c r="V80" i="12"/>
  <c r="AB80" i="12" s="1"/>
  <c r="AK80" i="12" s="1"/>
  <c r="X78" i="12"/>
  <c r="AD78" i="12" s="1"/>
  <c r="AM78" i="12" s="1"/>
  <c r="AS78" i="12" s="1" a="1"/>
  <c r="AS78" i="12" s="1"/>
  <c r="AH78" i="12"/>
  <c r="AI68" i="12"/>
  <c r="AO68" i="12" s="1" a="1"/>
  <c r="AO68" i="12" s="1"/>
  <c r="AC48" i="12"/>
  <c r="AL48" i="12" s="1"/>
  <c r="AR48" i="12" s="1" a="1"/>
  <c r="AR48" i="12" s="1"/>
  <c r="AJ44" i="12"/>
  <c r="AP44" i="12" s="1" a="1"/>
  <c r="AP44" i="12" s="1"/>
  <c r="AH84" i="12"/>
  <c r="AI79" i="12"/>
  <c r="AO79" i="12" s="1" a="1"/>
  <c r="AO79" i="12" s="1"/>
  <c r="BA79" i="12" s="1"/>
  <c r="AJ67" i="12"/>
  <c r="AP67" i="12" s="1" a="1"/>
  <c r="AP67" i="12" s="1"/>
  <c r="AI67" i="12"/>
  <c r="AO67" i="12" s="1" a="1"/>
  <c r="AO67" i="12" s="1"/>
  <c r="BA67" i="12" s="1"/>
  <c r="AJ63" i="12"/>
  <c r="AP63" i="12" s="1" a="1"/>
  <c r="AP63" i="12" s="1"/>
  <c r="X60" i="12"/>
  <c r="AD60" i="12" s="1"/>
  <c r="AM60" i="12" s="1"/>
  <c r="AS60" i="12" s="1" a="1"/>
  <c r="AS60" i="12" s="1"/>
  <c r="AJ41" i="12"/>
  <c r="AP41" i="12" s="1" a="1"/>
  <c r="AP41" i="12" s="1"/>
  <c r="W39" i="12"/>
  <c r="AC39" i="12" s="1"/>
  <c r="AL39" i="12" s="1"/>
  <c r="AR39" i="12" s="1" a="1"/>
  <c r="AR39" i="12" s="1"/>
  <c r="W87" i="12"/>
  <c r="AC87" i="12" s="1"/>
  <c r="AJ84" i="12"/>
  <c r="AP84" i="12" s="1" a="1"/>
  <c r="AP84" i="12" s="1"/>
  <c r="V84" i="12"/>
  <c r="AB84" i="12" s="1"/>
  <c r="AK84" i="12" s="1"/>
  <c r="W83" i="12"/>
  <c r="AC83" i="12" s="1"/>
  <c r="AL83" i="12" s="1"/>
  <c r="AR83" i="12" s="1" a="1"/>
  <c r="AR83" i="12" s="1"/>
  <c r="X80" i="12"/>
  <c r="AD80" i="12" s="1"/>
  <c r="AM80" i="12" s="1"/>
  <c r="AS80" i="12" s="1" a="1"/>
  <c r="AS80" i="12" s="1"/>
  <c r="V78" i="12"/>
  <c r="AB78" i="12" s="1"/>
  <c r="AK78" i="12" s="1"/>
  <c r="AI78" i="12"/>
  <c r="AO78" i="12" s="1" a="1"/>
  <c r="AO78" i="12" s="1"/>
  <c r="V76" i="12"/>
  <c r="AB76" i="12" s="1"/>
  <c r="AK76" i="12" s="1"/>
  <c r="AJ76" i="12"/>
  <c r="AP76" i="12" s="1" a="1"/>
  <c r="AP76" i="12" s="1"/>
  <c r="AI74" i="12"/>
  <c r="AO74" i="12" s="1" a="1"/>
  <c r="AO74" i="12" s="1"/>
  <c r="X69" i="12"/>
  <c r="AD69" i="12" s="1"/>
  <c r="AM69" i="12" s="1"/>
  <c r="AS69" i="12" s="1" a="1"/>
  <c r="AS69" i="12" s="1"/>
  <c r="AH69" i="12"/>
  <c r="V68" i="12"/>
  <c r="AB68" i="12" s="1"/>
  <c r="AK68" i="12" s="1"/>
  <c r="W61" i="12"/>
  <c r="AC61" i="12" s="1"/>
  <c r="V60" i="12"/>
  <c r="AB60" i="12" s="1"/>
  <c r="AK60" i="12" s="1"/>
  <c r="AH58" i="12"/>
  <c r="AJ57" i="12"/>
  <c r="AP57" i="12" s="1" a="1"/>
  <c r="AP57" i="12" s="1"/>
  <c r="AH57" i="12"/>
  <c r="W55" i="12"/>
  <c r="AC55" i="12" s="1"/>
  <c r="AL55" i="12" s="1"/>
  <c r="AR55" i="12" s="1" a="1"/>
  <c r="AR55" i="12" s="1"/>
  <c r="X52" i="12"/>
  <c r="AD52" i="12" s="1"/>
  <c r="AM52" i="12" s="1"/>
  <c r="AS52" i="12" s="1" a="1"/>
  <c r="AS52" i="12" s="1"/>
  <c r="AH52" i="12"/>
  <c r="W51" i="12"/>
  <c r="AC51" i="12" s="1"/>
  <c r="AL51" i="12" s="1"/>
  <c r="AR51" i="12" s="1" a="1"/>
  <c r="AR51" i="12" s="1"/>
  <c r="X50" i="12"/>
  <c r="AD50" i="12" s="1"/>
  <c r="AM50" i="12" s="1"/>
  <c r="AS50" i="12" s="1" a="1"/>
  <c r="AS50" i="12" s="1"/>
  <c r="W49" i="12"/>
  <c r="AC49" i="12" s="1"/>
  <c r="AL49" i="12" s="1"/>
  <c r="AR49" i="12" s="1" a="1"/>
  <c r="AR49" i="12" s="1"/>
  <c r="AJ49" i="12"/>
  <c r="AP49" i="12" s="1" a="1"/>
  <c r="AP49" i="12" s="1"/>
  <c r="V47" i="12"/>
  <c r="AB47" i="12" s="1"/>
  <c r="AK47" i="12" s="1"/>
  <c r="V42" i="12"/>
  <c r="AB42" i="12" s="1"/>
  <c r="AK42" i="12" s="1"/>
  <c r="AI58" i="12"/>
  <c r="AO58" i="12" s="1" a="1"/>
  <c r="AO58" i="12" s="1"/>
  <c r="AI56" i="12"/>
  <c r="AO56" i="12" s="1" a="1"/>
  <c r="AO56" i="12" s="1"/>
  <c r="AH53" i="12"/>
  <c r="V50" i="12"/>
  <c r="AB50" i="12" s="1"/>
  <c r="AK50" i="12" s="1"/>
  <c r="AJ50" i="12"/>
  <c r="AP50" i="12" s="1" a="1"/>
  <c r="AP50" i="12" s="1"/>
  <c r="AI49" i="12"/>
  <c r="AO49" i="12" s="1" a="1"/>
  <c r="AO49" i="12" s="1"/>
  <c r="AI45" i="12"/>
  <c r="AO45" i="12" s="1" a="1"/>
  <c r="AO45" i="12" s="1"/>
  <c r="AJ40" i="12"/>
  <c r="AP40" i="12" s="1" a="1"/>
  <c r="AP40" i="12" s="1"/>
  <c r="AI19" i="12"/>
  <c r="AO19" i="12" s="1" a="1"/>
  <c r="AO19" i="12" s="1"/>
  <c r="AH38" i="12"/>
  <c r="W35" i="12"/>
  <c r="AC35" i="12" s="1"/>
  <c r="AL35" i="12" s="1"/>
  <c r="AR35" i="12" s="1" a="1"/>
  <c r="AR35" i="12" s="1"/>
  <c r="AK34" i="12"/>
  <c r="AI33" i="12"/>
  <c r="AO33" i="12" s="1" a="1"/>
  <c r="AO33" i="12" s="1"/>
  <c r="AJ32" i="12"/>
  <c r="AP32" i="12" s="1" a="1"/>
  <c r="AP32" i="12" s="1"/>
  <c r="AI32" i="12"/>
  <c r="AO32" i="12" s="1" a="1"/>
  <c r="AO32" i="12" s="1"/>
  <c r="BA32" i="12" s="1"/>
  <c r="V30" i="12"/>
  <c r="AB30" i="12" s="1"/>
  <c r="AK30" i="12" s="1"/>
  <c r="AJ30" i="12"/>
  <c r="AP30" i="12" s="1" a="1"/>
  <c r="AP30" i="12" s="1"/>
  <c r="AJ29" i="12"/>
  <c r="AP29" i="12" s="1" a="1"/>
  <c r="AP29" i="12" s="1"/>
  <c r="AJ27" i="12"/>
  <c r="AP27" i="12" s="1" a="1"/>
  <c r="AP27" i="12" s="1"/>
  <c r="V27" i="12"/>
  <c r="AB27" i="12" s="1"/>
  <c r="AK27" i="12" s="1"/>
  <c r="AJ24" i="12"/>
  <c r="AP24" i="12" s="1" a="1"/>
  <c r="AP24" i="12" s="1"/>
  <c r="AI22" i="12"/>
  <c r="AO22" i="12" s="1" a="1"/>
  <c r="AO22" i="12" s="1"/>
  <c r="AJ20" i="12"/>
  <c r="AP20" i="12" s="1" a="1"/>
  <c r="AP20" i="12" s="1"/>
  <c r="AH37" i="12"/>
  <c r="AH34" i="12"/>
  <c r="V38" i="12"/>
  <c r="AB38" i="12" s="1"/>
  <c r="AK38" i="12" s="1"/>
  <c r="X36" i="12"/>
  <c r="AD36" i="12" s="1"/>
  <c r="AM36" i="12" s="1"/>
  <c r="AS36" i="12" s="1" a="1"/>
  <c r="AS36" i="12" s="1"/>
  <c r="AI31" i="12"/>
  <c r="AO31" i="12" s="1" a="1"/>
  <c r="AO31" i="12" s="1"/>
  <c r="X28" i="12"/>
  <c r="AD28" i="12" s="1"/>
  <c r="AM28" i="12" s="1"/>
  <c r="AS28" i="12" s="1" a="1"/>
  <c r="AS28" i="12" s="1"/>
  <c r="AH24" i="12"/>
  <c r="V21" i="12"/>
  <c r="AB21" i="12" s="1"/>
  <c r="AK21" i="12" s="1"/>
  <c r="AI21" i="12"/>
  <c r="AO21" i="12" s="1" a="1"/>
  <c r="AO21" i="12" s="1"/>
  <c r="BA21" i="12" s="1"/>
  <c r="X20" i="12"/>
  <c r="AD20" i="12" s="1"/>
  <c r="AM20" i="12" s="1"/>
  <c r="AS20" i="12" s="1" a="1"/>
  <c r="AS20" i="12" s="1"/>
  <c r="W19" i="12"/>
  <c r="AC19" i="12" s="1"/>
  <c r="AL19" i="12" s="1"/>
  <c r="AR19" i="12" s="1" a="1"/>
  <c r="AR19" i="12" s="1"/>
  <c r="AJ19" i="12"/>
  <c r="AP19" i="12" s="1" a="1"/>
  <c r="AP19" i="12" s="1"/>
  <c r="V18" i="12"/>
  <c r="AB18" i="12" s="1"/>
  <c r="AK18" i="12" s="1"/>
  <c r="AI18" i="12"/>
  <c r="AO18" i="12" s="1" a="1"/>
  <c r="AO18" i="12" s="1"/>
  <c r="AH35" i="12"/>
  <c r="W31" i="12"/>
  <c r="AC31" i="12" s="1"/>
  <c r="AL31" i="12" s="1"/>
  <c r="AR31" i="12" s="1" a="1"/>
  <c r="AR31" i="12" s="1"/>
  <c r="AH30" i="12"/>
  <c r="W27" i="12"/>
  <c r="AC27" i="12" s="1"/>
  <c r="AL27" i="12" s="1"/>
  <c r="AR27" i="12" s="1" a="1"/>
  <c r="AR27" i="12" s="1"/>
  <c r="V25" i="12"/>
  <c r="AB25" i="12" s="1"/>
  <c r="AK25" i="12" s="1"/>
  <c r="AJ23" i="12"/>
  <c r="AP23" i="12" s="1" a="1"/>
  <c r="AP23" i="12" s="1"/>
  <c r="V22" i="12"/>
  <c r="AB22" i="12" s="1"/>
  <c r="AK22" i="12" s="1"/>
  <c r="V20" i="12"/>
  <c r="AB20" i="12" s="1"/>
  <c r="AK20" i="12" s="1"/>
  <c r="AH18" i="12"/>
  <c r="AI106" i="12"/>
  <c r="AO106" i="12" s="1" a="1"/>
  <c r="AO106" i="12" s="1"/>
  <c r="AH103" i="12"/>
  <c r="AI108" i="12"/>
  <c r="AO108" i="12" s="1" a="1"/>
  <c r="AO108" i="12" s="1"/>
  <c r="BA108" i="12" s="1"/>
  <c r="AI107" i="12"/>
  <c r="AO107" i="12" s="1" a="1"/>
  <c r="AO107" i="12" s="1"/>
  <c r="V106" i="12"/>
  <c r="AB106" i="12" s="1"/>
  <c r="AK106" i="12" s="1"/>
  <c r="AH105" i="12"/>
  <c r="AH107" i="12"/>
  <c r="V103" i="12"/>
  <c r="AB103" i="12" s="1"/>
  <c r="AK103" i="12" s="1"/>
  <c r="AJ103" i="12"/>
  <c r="AP103" i="12" s="1" a="1"/>
  <c r="AP103" i="12" s="1"/>
  <c r="AI102" i="12"/>
  <c r="AO102" i="12" s="1" a="1"/>
  <c r="AO102" i="12" s="1"/>
  <c r="AH101" i="12"/>
  <c r="W17" i="12"/>
  <c r="AC17" i="12" s="1"/>
  <c r="AL17" i="12" s="1"/>
  <c r="AH109" i="12"/>
  <c r="X107" i="12"/>
  <c r="AD107" i="12" s="1"/>
  <c r="AM107" i="12" s="1"/>
  <c r="AS107" i="12" s="1" a="1"/>
  <c r="AS107" i="12" s="1"/>
  <c r="AH106" i="12"/>
  <c r="W106" i="12"/>
  <c r="AC106" i="12" s="1"/>
  <c r="AL106" i="12" s="1"/>
  <c r="AR106" i="12" s="1" a="1"/>
  <c r="AR106" i="12" s="1"/>
  <c r="AJ105" i="12"/>
  <c r="AP105" i="12" s="1" a="1"/>
  <c r="AP105" i="12" s="1"/>
  <c r="AI104" i="12"/>
  <c r="AO104" i="12" s="1" a="1"/>
  <c r="AO104" i="12" s="1"/>
  <c r="BA104" i="12" s="1"/>
  <c r="AI103" i="12"/>
  <c r="AO103" i="12" s="1" a="1"/>
  <c r="AO103" i="12" s="1"/>
  <c r="AI100" i="12"/>
  <c r="AO100" i="12" s="1" a="1"/>
  <c r="AO100" i="12" s="1"/>
  <c r="X101" i="12"/>
  <c r="AD101" i="12" s="1"/>
  <c r="AM101" i="12" s="1"/>
  <c r="AS101" i="12" s="1" a="1"/>
  <c r="AS101" i="12" s="1"/>
  <c r="W100" i="12"/>
  <c r="AC100" i="12" s="1"/>
  <c r="AL100" i="12" s="1"/>
  <c r="AR100" i="12" s="1" a="1"/>
  <c r="AR100" i="12" s="1"/>
  <c r="AI94" i="12"/>
  <c r="AO94" i="12" s="1" a="1"/>
  <c r="AO94" i="12" s="1"/>
  <c r="AH93" i="12"/>
  <c r="AJ89" i="12"/>
  <c r="AP89" i="12" s="1" a="1"/>
  <c r="AP89" i="12" s="1"/>
  <c r="X89" i="12"/>
  <c r="AD89" i="12" s="1"/>
  <c r="AM89" i="12" s="1"/>
  <c r="AS89" i="12" s="1" a="1"/>
  <c r="AS89" i="12" s="1"/>
  <c r="AJ97" i="12"/>
  <c r="AP97" i="12" s="1" a="1"/>
  <c r="AP97" i="12" s="1"/>
  <c r="AI96" i="12"/>
  <c r="AO96" i="12" s="1" a="1"/>
  <c r="AO96" i="12" s="1"/>
  <c r="AI95" i="12"/>
  <c r="AO95" i="12" s="1" a="1"/>
  <c r="AO95" i="12" s="1"/>
  <c r="W95" i="12"/>
  <c r="AC95" i="12" s="1"/>
  <c r="AL95" i="12" s="1"/>
  <c r="AR95" i="12" s="1" a="1"/>
  <c r="AR95" i="12" s="1"/>
  <c r="V94" i="12"/>
  <c r="AB94" i="12" s="1"/>
  <c r="AK94" i="12" s="1"/>
  <c r="AH91" i="12"/>
  <c r="V91" i="12"/>
  <c r="AB91" i="12" s="1"/>
  <c r="AK91" i="12" s="1"/>
  <c r="AH87" i="12"/>
  <c r="V87" i="12"/>
  <c r="AB87" i="12" s="1"/>
  <c r="AK87" i="12" s="1"/>
  <c r="X86" i="12"/>
  <c r="AD86" i="12" s="1"/>
  <c r="AM86" i="12" s="1"/>
  <c r="AS86" i="12" s="1" a="1"/>
  <c r="AS86" i="12" s="1"/>
  <c r="AJ86" i="12"/>
  <c r="AP86" i="12" s="1" a="1"/>
  <c r="AP86" i="12" s="1"/>
  <c r="AI86" i="12"/>
  <c r="AO86" i="12" s="1" a="1"/>
  <c r="AO86" i="12" s="1"/>
  <c r="AI80" i="12"/>
  <c r="AO80" i="12" s="1" a="1"/>
  <c r="AO80" i="12" s="1"/>
  <c r="W80" i="12"/>
  <c r="AC80" i="12" s="1"/>
  <c r="AL80" i="12" s="1"/>
  <c r="AR80" i="12" s="1" a="1"/>
  <c r="AR80" i="12" s="1"/>
  <c r="AH80" i="12"/>
  <c r="AJ79" i="12"/>
  <c r="AP79" i="12" s="1" a="1"/>
  <c r="AP79" i="12" s="1"/>
  <c r="AI77" i="12"/>
  <c r="AO77" i="12" s="1" a="1"/>
  <c r="AO77" i="12" s="1"/>
  <c r="BA77" i="12" s="1"/>
  <c r="AI99" i="12"/>
  <c r="AO99" i="12" s="1" a="1"/>
  <c r="AO99" i="12" s="1"/>
  <c r="AH95" i="12"/>
  <c r="V93" i="12"/>
  <c r="AB93" i="12" s="1"/>
  <c r="AK93" i="12" s="1"/>
  <c r="AJ93" i="12"/>
  <c r="AP93" i="12" s="1" a="1"/>
  <c r="AP93" i="12" s="1"/>
  <c r="AI92" i="12"/>
  <c r="AO92" i="12" s="1" a="1"/>
  <c r="AO92" i="12" s="1"/>
  <c r="AI89" i="12"/>
  <c r="AO89" i="12" s="1" a="1"/>
  <c r="AO89" i="12" s="1"/>
  <c r="BA89" i="12" s="1"/>
  <c r="AH89" i="12"/>
  <c r="AI88" i="12"/>
  <c r="AO88" i="12" s="1" a="1"/>
  <c r="AO88" i="12" s="1"/>
  <c r="W88" i="12"/>
  <c r="AC88" i="12" s="1"/>
  <c r="AL88" i="12" s="1"/>
  <c r="AR88" i="12" s="1" a="1"/>
  <c r="AR88" i="12" s="1"/>
  <c r="AH77" i="12"/>
  <c r="AI69" i="12"/>
  <c r="AO69" i="12" s="1" a="1"/>
  <c r="AO69" i="12" s="1"/>
  <c r="BA69" i="12" s="1"/>
  <c r="AJ99" i="12"/>
  <c r="AP99" i="12" s="1" a="1"/>
  <c r="AP99" i="12" s="1"/>
  <c r="AI98" i="12"/>
  <c r="AO98" i="12" s="1" a="1"/>
  <c r="AO98" i="12" s="1"/>
  <c r="BA98" i="12" s="1"/>
  <c r="AI97" i="12"/>
  <c r="AO97" i="12" s="1" a="1"/>
  <c r="AO97" i="12" s="1"/>
  <c r="BA97" i="12" s="1"/>
  <c r="AH97" i="12"/>
  <c r="X95" i="12"/>
  <c r="AD95" i="12" s="1"/>
  <c r="AM95" i="12" s="1"/>
  <c r="AS95" i="12" s="1" a="1"/>
  <c r="AS95" i="12" s="1"/>
  <c r="AH94" i="12"/>
  <c r="W94" i="12"/>
  <c r="AC94" i="12" s="1"/>
  <c r="AL94" i="12" s="1"/>
  <c r="AR94" i="12" s="1" a="1"/>
  <c r="AR94" i="12" s="1"/>
  <c r="AJ91" i="12"/>
  <c r="AP91" i="12" s="1" a="1"/>
  <c r="AP91" i="12" s="1"/>
  <c r="AI90" i="12"/>
  <c r="AO90" i="12" s="1" a="1"/>
  <c r="AO90" i="12" s="1"/>
  <c r="AJ87" i="12"/>
  <c r="AP87" i="12" s="1" a="1"/>
  <c r="AP87" i="12" s="1"/>
  <c r="AL87" i="12"/>
  <c r="AR87" i="12" s="1" a="1"/>
  <c r="AR87" i="12" s="1"/>
  <c r="AI85" i="12"/>
  <c r="AO85" i="12" s="1" a="1"/>
  <c r="AO85" i="12" s="1"/>
  <c r="AJ81" i="12"/>
  <c r="AP81" i="12" s="1" a="1"/>
  <c r="AP81" i="12" s="1"/>
  <c r="X81" i="12"/>
  <c r="AD81" i="12" s="1"/>
  <c r="AM81" i="12" s="1"/>
  <c r="AS81" i="12" s="1" a="1"/>
  <c r="AS81" i="12" s="1"/>
  <c r="AI81" i="12"/>
  <c r="AO81" i="12" s="1" a="1"/>
  <c r="AO81" i="12" s="1"/>
  <c r="BA81" i="12" s="1"/>
  <c r="AJ78" i="12"/>
  <c r="AP78" i="12" s="1" a="1"/>
  <c r="AP78" i="12" s="1"/>
  <c r="AH76" i="12"/>
  <c r="AJ71" i="12"/>
  <c r="AP71" i="12" s="1" a="1"/>
  <c r="AP71" i="12" s="1"/>
  <c r="AH83" i="12"/>
  <c r="V83" i="12"/>
  <c r="AB83" i="12" s="1"/>
  <c r="AK83" i="12" s="1"/>
  <c r="AK81" i="12"/>
  <c r="AH75" i="12"/>
  <c r="X74" i="12"/>
  <c r="AD74" i="12" s="1"/>
  <c r="AM74" i="12" s="1"/>
  <c r="AS74" i="12" s="1" a="1"/>
  <c r="AS74" i="12" s="1"/>
  <c r="AJ74" i="12"/>
  <c r="AP74" i="12" s="1" a="1"/>
  <c r="AP74" i="12" s="1"/>
  <c r="W73" i="12"/>
  <c r="AC73" i="12" s="1"/>
  <c r="AL73" i="12" s="1"/>
  <c r="AR73" i="12" s="1" a="1"/>
  <c r="AR73" i="12" s="1"/>
  <c r="AI73" i="12"/>
  <c r="AO73" i="12" s="1" a="1"/>
  <c r="AO73" i="12" s="1"/>
  <c r="AI72" i="12"/>
  <c r="AO72" i="12" s="1" a="1"/>
  <c r="AO72" i="12" s="1"/>
  <c r="AJ85" i="12"/>
  <c r="AP85" i="12" s="1" a="1"/>
  <c r="AP85" i="12" s="1"/>
  <c r="X85" i="12"/>
  <c r="AD85" i="12" s="1"/>
  <c r="AM85" i="12" s="1"/>
  <c r="AS85" i="12" s="1" a="1"/>
  <c r="AS85" i="12" s="1"/>
  <c r="AI84" i="12"/>
  <c r="AO84" i="12" s="1" a="1"/>
  <c r="AO84" i="12" s="1"/>
  <c r="W84" i="12"/>
  <c r="AC84" i="12" s="1"/>
  <c r="AL84" i="12" s="1"/>
  <c r="AR84" i="12" s="1" a="1"/>
  <c r="AR84" i="12" s="1"/>
  <c r="V72" i="12"/>
  <c r="AB72" i="12" s="1"/>
  <c r="AK72" i="12" s="1"/>
  <c r="AH72" i="12"/>
  <c r="AH81" i="12"/>
  <c r="AH79" i="12"/>
  <c r="V79" i="12"/>
  <c r="AB79" i="12" s="1"/>
  <c r="AK79" i="12" s="1"/>
  <c r="AJ77" i="12"/>
  <c r="AP77" i="12" s="1" a="1"/>
  <c r="AP77" i="12" s="1"/>
  <c r="X77" i="12"/>
  <c r="AD77" i="12" s="1"/>
  <c r="AM77" i="12" s="1"/>
  <c r="AS77" i="12" s="1" a="1"/>
  <c r="AS77" i="12" s="1"/>
  <c r="AI76" i="12"/>
  <c r="AO76" i="12" s="1" a="1"/>
  <c r="AO76" i="12" s="1"/>
  <c r="AH71" i="12"/>
  <c r="X70" i="12"/>
  <c r="AD70" i="12" s="1"/>
  <c r="AM70" i="12" s="1"/>
  <c r="AS70" i="12" s="1" a="1"/>
  <c r="AS70" i="12" s="1"/>
  <c r="AJ70" i="12"/>
  <c r="AP70" i="12" s="1" a="1"/>
  <c r="AP70" i="12" s="1"/>
  <c r="AJ69" i="12"/>
  <c r="AP69" i="12" s="1" a="1"/>
  <c r="AP69" i="12" s="1"/>
  <c r="AI64" i="12"/>
  <c r="AO64" i="12" s="1" a="1"/>
  <c r="AO64" i="12" s="1"/>
  <c r="W64" i="12"/>
  <c r="AC64" i="12" s="1"/>
  <c r="AL64" i="12" s="1"/>
  <c r="AR64" i="12" s="1" a="1"/>
  <c r="AR64" i="12" s="1"/>
  <c r="AH64" i="12"/>
  <c r="AI61" i="12"/>
  <c r="AO61" i="12" s="1" a="1"/>
  <c r="AO61" i="12" s="1"/>
  <c r="AI52" i="12"/>
  <c r="AO52" i="12" s="1" a="1"/>
  <c r="AO52" i="12" s="1"/>
  <c r="W76" i="12"/>
  <c r="AC76" i="12" s="1"/>
  <c r="AL76" i="12" s="1"/>
  <c r="AR76" i="12" s="1" a="1"/>
  <c r="AR76" i="12" s="1"/>
  <c r="V75" i="12"/>
  <c r="AB75" i="12" s="1"/>
  <c r="AK75" i="12" s="1"/>
  <c r="X73" i="12"/>
  <c r="AD73" i="12" s="1"/>
  <c r="AM73" i="12" s="1"/>
  <c r="AS73" i="12" s="1" a="1"/>
  <c r="AS73" i="12" s="1"/>
  <c r="W72" i="12"/>
  <c r="AC72" i="12" s="1"/>
  <c r="AL72" i="12" s="1"/>
  <c r="AR72" i="12" s="1" a="1"/>
  <c r="AR72" i="12" s="1"/>
  <c r="V71" i="12"/>
  <c r="AB71" i="12" s="1"/>
  <c r="AK71" i="12" s="1"/>
  <c r="X66" i="12"/>
  <c r="AD66" i="12" s="1"/>
  <c r="AM66" i="12" s="1"/>
  <c r="AS66" i="12" s="1" a="1"/>
  <c r="AS66" i="12" s="1"/>
  <c r="AJ66" i="12"/>
  <c r="AP66" i="12" s="1" a="1"/>
  <c r="AP66" i="12" s="1"/>
  <c r="AI66" i="12"/>
  <c r="AO66" i="12" s="1" a="1"/>
  <c r="AO66" i="12" s="1"/>
  <c r="AI62" i="12"/>
  <c r="AO62" i="12" s="1" a="1"/>
  <c r="AO62" i="12" s="1"/>
  <c r="AJ65" i="12"/>
  <c r="AP65" i="12" s="1" a="1"/>
  <c r="AP65" i="12" s="1"/>
  <c r="X65" i="12"/>
  <c r="AD65" i="12" s="1"/>
  <c r="AM65" i="12" s="1"/>
  <c r="AS65" i="12" s="1" a="1"/>
  <c r="AS65" i="12" s="1"/>
  <c r="AI65" i="12"/>
  <c r="AO65" i="12" s="1" a="1"/>
  <c r="AO65" i="12" s="1"/>
  <c r="AI60" i="12"/>
  <c r="AO60" i="12" s="1" a="1"/>
  <c r="AO60" i="12" s="1"/>
  <c r="W60" i="12"/>
  <c r="AC60" i="12" s="1"/>
  <c r="AL60" i="12" s="1"/>
  <c r="AR60" i="12" s="1" a="1"/>
  <c r="AR60" i="12" s="1"/>
  <c r="AH60" i="12"/>
  <c r="AJ59" i="12"/>
  <c r="AP59" i="12" s="1" a="1"/>
  <c r="AP59" i="12" s="1"/>
  <c r="W68" i="12"/>
  <c r="AC68" i="12" s="1"/>
  <c r="AL68" i="12" s="1"/>
  <c r="AR68" i="12" s="1" a="1"/>
  <c r="AR68" i="12" s="1"/>
  <c r="AJ64" i="12"/>
  <c r="AP64" i="12" s="1" a="1"/>
  <c r="AP64" i="12" s="1"/>
  <c r="AH63" i="12"/>
  <c r="V63" i="12"/>
  <c r="AB63" i="12" s="1"/>
  <c r="AK63" i="12" s="1"/>
  <c r="AJ62" i="12"/>
  <c r="AP62" i="12" s="1" a="1"/>
  <c r="AP62" i="12" s="1"/>
  <c r="AH62" i="12"/>
  <c r="AL61" i="12"/>
  <c r="AR61" i="12" s="1" a="1"/>
  <c r="AR61" i="12" s="1"/>
  <c r="AI59" i="12"/>
  <c r="AO59" i="12" s="1" a="1"/>
  <c r="AO59" i="12" s="1"/>
  <c r="AJ53" i="12"/>
  <c r="AP53" i="12" s="1" a="1"/>
  <c r="AP53" i="12" s="1"/>
  <c r="AI47" i="12"/>
  <c r="AO47" i="12" s="1" a="1"/>
  <c r="AO47" i="12" s="1"/>
  <c r="W47" i="12"/>
  <c r="AC47" i="12" s="1"/>
  <c r="AL47" i="12" s="1"/>
  <c r="AR47" i="12" s="1" a="1"/>
  <c r="AR47" i="12" s="1"/>
  <c r="AH47" i="12"/>
  <c r="AJ60" i="12"/>
  <c r="AP60" i="12" s="1" a="1"/>
  <c r="AP60" i="12" s="1"/>
  <c r="AH59" i="12"/>
  <c r="X58" i="12"/>
  <c r="AD58" i="12" s="1"/>
  <c r="AM58" i="12" s="1"/>
  <c r="AS58" i="12" s="1" a="1"/>
  <c r="AS58" i="12" s="1"/>
  <c r="AJ58" i="12"/>
  <c r="AP58" i="12" s="1" a="1"/>
  <c r="AP58" i="12" s="1"/>
  <c r="AJ56" i="12"/>
  <c r="AP56" i="12" s="1" a="1"/>
  <c r="AP56" i="12" s="1"/>
  <c r="AH54" i="12"/>
  <c r="W53" i="12"/>
  <c r="AC53" i="12" s="1"/>
  <c r="AL53" i="12" s="1"/>
  <c r="AR53" i="12" s="1" a="1"/>
  <c r="AR53" i="12" s="1"/>
  <c r="AI53" i="12"/>
  <c r="AO53" i="12" s="1" a="1"/>
  <c r="AO53" i="12" s="1"/>
  <c r="AJ52" i="12"/>
  <c r="AP52" i="12" s="1" a="1"/>
  <c r="AP52" i="12" s="1"/>
  <c r="AH67" i="12"/>
  <c r="V67" i="12"/>
  <c r="AB67" i="12" s="1"/>
  <c r="AK67" i="12" s="1"/>
  <c r="AH66" i="12"/>
  <c r="AI63" i="12"/>
  <c r="AO63" i="12" s="1" a="1"/>
  <c r="AO63" i="12" s="1"/>
  <c r="AJ61" i="12"/>
  <c r="AP61" i="12" s="1" a="1"/>
  <c r="AP61" i="12" s="1"/>
  <c r="X61" i="12"/>
  <c r="AD61" i="12" s="1"/>
  <c r="AM61" i="12" s="1"/>
  <c r="AS61" i="12" s="1" a="1"/>
  <c r="AS61" i="12" s="1"/>
  <c r="W57" i="12"/>
  <c r="AC57" i="12" s="1"/>
  <c r="AL57" i="12" s="1"/>
  <c r="AR57" i="12" s="1" a="1"/>
  <c r="AR57" i="12" s="1"/>
  <c r="AI57" i="12"/>
  <c r="AO57" i="12" s="1" a="1"/>
  <c r="AO57" i="12" s="1"/>
  <c r="BA57" i="12" s="1"/>
  <c r="V56" i="12"/>
  <c r="AB56" i="12" s="1"/>
  <c r="AK56" i="12" s="1"/>
  <c r="AH56" i="12"/>
  <c r="X54" i="12"/>
  <c r="AD54" i="12" s="1"/>
  <c r="AM54" i="12" s="1"/>
  <c r="AS54" i="12" s="1" a="1"/>
  <c r="AS54" i="12" s="1"/>
  <c r="AJ54" i="12"/>
  <c r="AP54" i="12" s="1" a="1"/>
  <c r="AP54" i="12" s="1"/>
  <c r="AH51" i="12"/>
  <c r="AJ51" i="12"/>
  <c r="AP51" i="12" s="1" a="1"/>
  <c r="AP51" i="12" s="1"/>
  <c r="X51" i="12"/>
  <c r="AD51" i="12" s="1"/>
  <c r="AM51" i="12" s="1"/>
  <c r="AS51" i="12" s="1" a="1"/>
  <c r="AS51" i="12" s="1"/>
  <c r="AM49" i="12"/>
  <c r="AS49" i="12" s="1" a="1"/>
  <c r="AS49" i="12" s="1"/>
  <c r="V46" i="12"/>
  <c r="AB46" i="12" s="1"/>
  <c r="AK46" i="12" s="1"/>
  <c r="AH46" i="12"/>
  <c r="W43" i="12"/>
  <c r="AC43" i="12" s="1"/>
  <c r="AL43" i="12" s="1"/>
  <c r="AR43" i="12" s="1" a="1"/>
  <c r="AR43" i="12" s="1"/>
  <c r="AI43" i="12"/>
  <c r="AO43" i="12" s="1" a="1"/>
  <c r="AO43" i="12" s="1"/>
  <c r="AH43" i="12"/>
  <c r="AJ39" i="12"/>
  <c r="AP39" i="12" s="1" a="1"/>
  <c r="AP39" i="12" s="1"/>
  <c r="X39" i="12"/>
  <c r="AD39" i="12" s="1"/>
  <c r="AM39" i="12" s="1"/>
  <c r="AS39" i="12" s="1" a="1"/>
  <c r="AS39" i="12" s="1"/>
  <c r="AI39" i="12"/>
  <c r="AO39" i="12" s="1" a="1"/>
  <c r="AO39" i="12" s="1"/>
  <c r="BA39" i="12" s="1"/>
  <c r="V59" i="12"/>
  <c r="AB59" i="12" s="1"/>
  <c r="AK59" i="12" s="1"/>
  <c r="X57" i="12"/>
  <c r="AD57" i="12" s="1"/>
  <c r="AM57" i="12" s="1"/>
  <c r="AS57" i="12" s="1" a="1"/>
  <c r="AS57" i="12" s="1"/>
  <c r="W56" i="12"/>
  <c r="AC56" i="12" s="1"/>
  <c r="AL56" i="12" s="1"/>
  <c r="AR56" i="12" s="1" a="1"/>
  <c r="AR56" i="12" s="1"/>
  <c r="V55" i="12"/>
  <c r="AB55" i="12" s="1"/>
  <c r="AK55" i="12" s="1"/>
  <c r="X53" i="12"/>
  <c r="AD53" i="12" s="1"/>
  <c r="AM53" i="12" s="1"/>
  <c r="AS53" i="12" s="1" a="1"/>
  <c r="AS53" i="12" s="1"/>
  <c r="AI50" i="12"/>
  <c r="AO50" i="12" s="1" a="1"/>
  <c r="AO50" i="12" s="1"/>
  <c r="W50" i="12"/>
  <c r="AC50" i="12" s="1"/>
  <c r="AL50" i="12" s="1"/>
  <c r="AR50" i="12" s="1" a="1"/>
  <c r="AR50" i="12" s="1"/>
  <c r="AH49" i="12"/>
  <c r="V49" i="12"/>
  <c r="AB49" i="12" s="1"/>
  <c r="AK49" i="12" s="1"/>
  <c r="AH44" i="12"/>
  <c r="AJ42" i="12"/>
  <c r="AP42" i="12" s="1" a="1"/>
  <c r="AP42" i="12" s="1"/>
  <c r="AH41" i="12"/>
  <c r="V41" i="12"/>
  <c r="AB41" i="12" s="1"/>
  <c r="AK41" i="12" s="1"/>
  <c r="AH40" i="12"/>
  <c r="AH48" i="12"/>
  <c r="AJ46" i="12"/>
  <c r="AP46" i="12" s="1" a="1"/>
  <c r="AP46" i="12" s="1"/>
  <c r="AL44" i="12"/>
  <c r="AR44" i="12" s="1" a="1"/>
  <c r="AR44" i="12" s="1"/>
  <c r="AI42" i="12"/>
  <c r="AO42" i="12" s="1" a="1"/>
  <c r="AO42" i="12" s="1"/>
  <c r="W42" i="12"/>
  <c r="AC42" i="12" s="1"/>
  <c r="AL42" i="12" s="1"/>
  <c r="AR42" i="12" s="1" a="1"/>
  <c r="AR42" i="12" s="1"/>
  <c r="X47" i="12"/>
  <c r="AD47" i="12" s="1"/>
  <c r="AM47" i="12" s="1"/>
  <c r="AS47" i="12" s="1" a="1"/>
  <c r="AS47" i="12" s="1"/>
  <c r="W46" i="12"/>
  <c r="AC46" i="12" s="1"/>
  <c r="AL46" i="12" s="1"/>
  <c r="AR46" i="12" s="1" a="1"/>
  <c r="AR46" i="12" s="1"/>
  <c r="AJ43" i="12"/>
  <c r="AP43" i="12" s="1" a="1"/>
  <c r="AP43" i="12" s="1"/>
  <c r="X43" i="12"/>
  <c r="AD43" i="12" s="1"/>
  <c r="AM43" i="12" s="1"/>
  <c r="AS43" i="12" s="1" a="1"/>
  <c r="AS43" i="12" s="1"/>
  <c r="AJ38" i="12"/>
  <c r="AP38" i="12" s="1" a="1"/>
  <c r="AP38" i="12" s="1"/>
  <c r="AJ35" i="12"/>
  <c r="AP35" i="12" s="1" a="1"/>
  <c r="AP35" i="12" s="1"/>
  <c r="AI38" i="12"/>
  <c r="AO38" i="12" s="1" a="1"/>
  <c r="AO38" i="12" s="1"/>
  <c r="AI37" i="12"/>
  <c r="AO37" i="12" s="1" a="1"/>
  <c r="AO37" i="12" s="1"/>
  <c r="AH36" i="12"/>
  <c r="AK35" i="12"/>
  <c r="AJ34" i="12"/>
  <c r="AP34" i="12" s="1" a="1"/>
  <c r="AP34" i="12" s="1"/>
  <c r="AJ31" i="12"/>
  <c r="AP31" i="12" s="1" a="1"/>
  <c r="AP31" i="12" s="1"/>
  <c r="X31" i="12"/>
  <c r="AD31" i="12" s="1"/>
  <c r="AM31" i="12" s="1"/>
  <c r="AS31" i="12" s="1" a="1"/>
  <c r="AS31" i="12" s="1"/>
  <c r="W38" i="12"/>
  <c r="AC38" i="12" s="1"/>
  <c r="AL38" i="12" s="1"/>
  <c r="AR38" i="12" s="1" a="1"/>
  <c r="AR38" i="12" s="1"/>
  <c r="V37" i="12"/>
  <c r="AB37" i="12" s="1"/>
  <c r="AK37" i="12" s="1"/>
  <c r="X35" i="12"/>
  <c r="AD35" i="12" s="1"/>
  <c r="AM35" i="12" s="1"/>
  <c r="AS35" i="12" s="1" a="1"/>
  <c r="AS35" i="12" s="1"/>
  <c r="W34" i="12"/>
  <c r="AC34" i="12" s="1"/>
  <c r="AL34" i="12" s="1"/>
  <c r="AR34" i="12" s="1" a="1"/>
  <c r="AR34" i="12" s="1"/>
  <c r="AH31" i="12"/>
  <c r="AI30" i="12"/>
  <c r="AO30" i="12" s="1" a="1"/>
  <c r="AO30" i="12" s="1"/>
  <c r="W30" i="12"/>
  <c r="AC30" i="12" s="1"/>
  <c r="AL30" i="12" s="1"/>
  <c r="AR30" i="12" s="1" a="1"/>
  <c r="AR30" i="12" s="1"/>
  <c r="AH29" i="12"/>
  <c r="V29" i="12"/>
  <c r="AB29" i="12" s="1"/>
  <c r="AK29" i="12" s="1"/>
  <c r="AI27" i="12"/>
  <c r="AO27" i="12" s="1" a="1"/>
  <c r="AO27" i="12" s="1"/>
  <c r="AJ33" i="12"/>
  <c r="AP33" i="12" s="1" a="1"/>
  <c r="AP33" i="12" s="1"/>
  <c r="AH33" i="12"/>
  <c r="V33" i="12"/>
  <c r="AB33" i="12" s="1"/>
  <c r="AK33" i="12" s="1"/>
  <c r="AH23" i="12"/>
  <c r="V23" i="12"/>
  <c r="AB23" i="12" s="1"/>
  <c r="AK23" i="12" s="1"/>
  <c r="AI20" i="12"/>
  <c r="AO20" i="12" s="1" a="1"/>
  <c r="AO20" i="12" s="1"/>
  <c r="W20" i="12"/>
  <c r="AC20" i="12" s="1"/>
  <c r="AL20" i="12" s="1"/>
  <c r="AR20" i="12" s="1" a="1"/>
  <c r="AR20" i="12" s="1"/>
  <c r="AH19" i="12"/>
  <c r="V19" i="12"/>
  <c r="AB19" i="12" s="1"/>
  <c r="AK19" i="12" s="1"/>
  <c r="V26" i="12"/>
  <c r="AB26" i="12" s="1"/>
  <c r="AK26" i="12" s="1"/>
  <c r="AI24" i="12"/>
  <c r="AO24" i="12" s="1" a="1"/>
  <c r="AO24" i="12" s="1"/>
  <c r="W24" i="12"/>
  <c r="AC24" i="12" s="1"/>
  <c r="AL24" i="12" s="1"/>
  <c r="AR24" i="12" s="1" a="1"/>
  <c r="AR24" i="12" s="1"/>
  <c r="AI17" i="12"/>
  <c r="AJ25" i="12"/>
  <c r="AP25" i="12" s="1" a="1"/>
  <c r="AP25" i="12" s="1"/>
  <c r="X25" i="12"/>
  <c r="AD25" i="12" s="1"/>
  <c r="AM25" i="12" s="1"/>
  <c r="AS25" i="12" s="1" a="1"/>
  <c r="AS25" i="12" s="1"/>
  <c r="AJ21" i="12"/>
  <c r="AP21" i="12" s="1" a="1"/>
  <c r="AP21" i="12" s="1"/>
  <c r="X21" i="12"/>
  <c r="AD21" i="12" s="1"/>
  <c r="AM21" i="12" s="1"/>
  <c r="AS21" i="12" s="1" a="1"/>
  <c r="AS21" i="12" s="1"/>
  <c r="E8" i="22"/>
  <c r="L3" i="10"/>
  <c r="L4" i="10"/>
  <c r="L5" i="10"/>
  <c r="L6" i="10"/>
  <c r="L7" i="10"/>
  <c r="L8" i="10"/>
  <c r="L9" i="10"/>
  <c r="L10" i="10"/>
  <c r="L11" i="10"/>
  <c r="L12" i="10"/>
  <c r="L13" i="10"/>
  <c r="L14" i="10"/>
  <c r="L15" i="10"/>
  <c r="L16" i="10"/>
  <c r="L17" i="10"/>
  <c r="L18" i="10"/>
  <c r="L19" i="10"/>
  <c r="L20" i="10"/>
  <c r="L21" i="10"/>
  <c r="L22" i="10"/>
  <c r="L23" i="10"/>
  <c r="L24" i="10"/>
  <c r="L25" i="10"/>
  <c r="L26" i="10"/>
  <c r="L27" i="10"/>
  <c r="L28" i="10"/>
  <c r="L29" i="10"/>
  <c r="L30" i="10"/>
  <c r="L31" i="10"/>
  <c r="L32" i="10"/>
  <c r="L33" i="10"/>
  <c r="L34" i="10"/>
  <c r="L35" i="10"/>
  <c r="L36" i="10"/>
  <c r="L37" i="10"/>
  <c r="L38" i="10"/>
  <c r="L39" i="10"/>
  <c r="L40" i="10"/>
  <c r="L41" i="10"/>
  <c r="G8" i="22"/>
  <c r="H8" i="22"/>
  <c r="I8" i="22"/>
  <c r="BA78" i="12" l="1"/>
  <c r="BA58" i="12"/>
  <c r="BA23" i="12"/>
  <c r="BA43" i="12"/>
  <c r="BA63" i="12"/>
  <c r="BA18" i="12"/>
  <c r="BA33" i="12"/>
  <c r="BA82" i="12"/>
  <c r="BA19" i="12"/>
  <c r="BA88" i="12"/>
  <c r="BA66" i="12"/>
  <c r="BA52" i="12"/>
  <c r="BA36" i="12"/>
  <c r="BA75" i="12"/>
  <c r="BA54" i="12"/>
  <c r="BA55" i="12"/>
  <c r="BA71" i="12"/>
  <c r="BA48" i="12"/>
  <c r="BA31" i="12"/>
  <c r="BA46" i="12"/>
  <c r="BA44" i="12"/>
  <c r="BA106" i="12"/>
  <c r="BA102" i="12"/>
  <c r="BA27" i="12"/>
  <c r="BA74" i="12"/>
  <c r="BA28" i="12"/>
  <c r="BA64" i="12"/>
  <c r="BA30" i="12"/>
  <c r="BA61" i="12"/>
  <c r="BA76" i="12"/>
  <c r="BA95" i="12"/>
  <c r="BA24" i="12"/>
  <c r="BA84" i="12"/>
  <c r="BA73" i="12"/>
  <c r="BA99" i="12"/>
  <c r="BA96" i="12"/>
  <c r="BA100" i="12"/>
  <c r="BA83" i="12"/>
  <c r="BA60" i="12"/>
  <c r="BA80" i="12"/>
  <c r="BA109" i="12"/>
  <c r="BA34" i="12"/>
  <c r="BA37" i="12"/>
  <c r="BA50" i="12"/>
  <c r="BA53" i="12"/>
  <c r="BA47" i="12"/>
  <c r="BA65" i="12"/>
  <c r="BA62" i="12"/>
  <c r="BA72" i="12"/>
  <c r="BA90" i="12"/>
  <c r="BA86" i="12"/>
  <c r="BA94" i="12"/>
  <c r="BA103" i="12"/>
  <c r="BA45" i="12"/>
  <c r="BA68" i="12"/>
  <c r="BA26" i="12"/>
  <c r="BA101" i="12"/>
  <c r="BA91" i="12"/>
  <c r="BA51" i="12"/>
  <c r="BA20" i="12"/>
  <c r="BA42" i="12"/>
  <c r="BA59" i="12"/>
  <c r="BA25" i="12"/>
  <c r="BA38" i="12"/>
  <c r="BA85" i="12"/>
  <c r="BA92" i="12"/>
  <c r="BA107" i="12"/>
  <c r="BA22" i="12"/>
  <c r="BA49" i="12"/>
  <c r="BA56" i="12"/>
  <c r="BA87" i="12"/>
  <c r="BA105" i="12"/>
  <c r="BA35" i="12"/>
  <c r="BA70" i="12"/>
  <c r="BB34" i="12"/>
  <c r="BB93" i="12"/>
  <c r="BB32" i="12"/>
  <c r="BB42" i="12"/>
  <c r="BB20" i="12"/>
  <c r="BB86" i="12"/>
  <c r="BB99" i="12"/>
  <c r="BB46" i="12"/>
  <c r="BB22" i="12"/>
  <c r="BB64" i="12"/>
  <c r="BB97" i="12"/>
  <c r="BB109" i="12"/>
  <c r="AU40" i="12"/>
  <c r="AV40" i="12" s="1"/>
  <c r="BC40" i="12" s="1"/>
  <c r="BB41" i="12"/>
  <c r="BB44" i="12"/>
  <c r="BB47" i="12"/>
  <c r="AU104" i="12"/>
  <c r="AV104" i="12" s="1"/>
  <c r="BC104" i="12" s="1"/>
  <c r="BB30" i="12"/>
  <c r="AU43" i="12"/>
  <c r="AV43" i="12" s="1"/>
  <c r="BC43" i="12" s="1"/>
  <c r="BB60" i="12"/>
  <c r="BB67" i="12"/>
  <c r="BB70" i="12"/>
  <c r="BB105" i="12"/>
  <c r="BB50" i="12"/>
  <c r="BB103" i="12"/>
  <c r="BB92" i="12"/>
  <c r="BB36" i="12"/>
  <c r="AU106" i="12"/>
  <c r="AV106" i="12" s="1"/>
  <c r="BC106" i="12" s="1"/>
  <c r="AU100" i="12"/>
  <c r="AV100" i="12" s="1"/>
  <c r="BC100" i="12" s="1"/>
  <c r="BB69" i="12"/>
  <c r="BB85" i="12"/>
  <c r="BB58" i="12"/>
  <c r="AU74" i="12"/>
  <c r="AV74" i="12" s="1"/>
  <c r="BC74" i="12" s="1"/>
  <c r="AU87" i="12"/>
  <c r="AV87" i="12" s="1"/>
  <c r="BD87" i="12" s="1"/>
  <c r="AU96" i="12"/>
  <c r="AV96" i="12" s="1"/>
  <c r="BD96" i="12" s="1"/>
  <c r="AU101" i="12"/>
  <c r="AV101" i="12" s="1"/>
  <c r="BC101" i="12" s="1"/>
  <c r="AU83" i="12"/>
  <c r="AV83" i="12" s="1"/>
  <c r="BD83" i="12" s="1"/>
  <c r="AU45" i="12"/>
  <c r="AV45" i="12" s="1"/>
  <c r="BC45" i="12" s="1"/>
  <c r="AU41" i="12"/>
  <c r="AV41" i="12" s="1"/>
  <c r="BD41" i="12" s="1"/>
  <c r="AU53" i="12"/>
  <c r="AV53" i="12" s="1"/>
  <c r="BD53" i="12" s="1"/>
  <c r="AU48" i="12"/>
  <c r="AV48" i="12" s="1"/>
  <c r="BC48" i="12" s="1"/>
  <c r="AU55" i="12"/>
  <c r="AV55" i="12" s="1"/>
  <c r="BD55" i="12" s="1"/>
  <c r="AU73" i="12"/>
  <c r="AV73" i="12" s="1"/>
  <c r="BC73" i="12" s="1"/>
  <c r="AU77" i="12"/>
  <c r="AV77" i="12" s="1"/>
  <c r="BC77" i="12" s="1"/>
  <c r="BB68" i="12"/>
  <c r="AU82" i="12"/>
  <c r="AV82" i="12" s="1"/>
  <c r="BC82" i="12" s="1"/>
  <c r="BB71" i="12"/>
  <c r="BB88" i="12"/>
  <c r="AU108" i="12"/>
  <c r="AV108" i="12" s="1"/>
  <c r="BD108" i="12" s="1"/>
  <c r="AU33" i="12"/>
  <c r="AV33" i="12" s="1"/>
  <c r="BD33" i="12" s="1"/>
  <c r="AU58" i="12"/>
  <c r="AV58" i="12" s="1"/>
  <c r="BD58" i="12" s="1"/>
  <c r="AU86" i="12"/>
  <c r="AV86" i="12" s="1"/>
  <c r="BC86" i="12" s="1"/>
  <c r="BB75" i="12"/>
  <c r="BB21" i="12"/>
  <c r="AU24" i="12"/>
  <c r="AV24" i="12" s="1"/>
  <c r="BC24" i="12" s="1"/>
  <c r="AU20" i="12"/>
  <c r="AV20" i="12" s="1"/>
  <c r="BC20" i="12" s="1"/>
  <c r="BB43" i="12"/>
  <c r="AU44" i="12"/>
  <c r="AV44" i="12" s="1"/>
  <c r="BD44" i="12" s="1"/>
  <c r="BB51" i="12"/>
  <c r="BB54" i="12"/>
  <c r="AU61" i="12"/>
  <c r="AV61" i="12" s="1"/>
  <c r="BC61" i="12" s="1"/>
  <c r="AU65" i="12"/>
  <c r="AV65" i="12" s="1"/>
  <c r="BC65" i="12" s="1"/>
  <c r="AU66" i="12"/>
  <c r="AV66" i="12" s="1"/>
  <c r="BC66" i="12" s="1"/>
  <c r="AU52" i="12"/>
  <c r="AV52" i="12" s="1"/>
  <c r="BD52" i="12" s="1"/>
  <c r="BB77" i="12"/>
  <c r="AU75" i="12"/>
  <c r="AV75" i="12" s="1"/>
  <c r="BD75" i="12" s="1"/>
  <c r="AU85" i="12"/>
  <c r="AV85" i="12" s="1"/>
  <c r="BD85" i="12" s="1"/>
  <c r="AU71" i="12"/>
  <c r="AV71" i="12" s="1"/>
  <c r="BD71" i="12" s="1"/>
  <c r="BB83" i="12"/>
  <c r="AU94" i="12"/>
  <c r="AV94" i="12" s="1"/>
  <c r="BD94" i="12" s="1"/>
  <c r="BB96" i="12"/>
  <c r="AU102" i="12"/>
  <c r="AV102" i="12" s="1"/>
  <c r="BD102" i="12" s="1"/>
  <c r="BB40" i="12"/>
  <c r="AU39" i="12"/>
  <c r="AV39" i="12" s="1"/>
  <c r="BC39" i="12" s="1"/>
  <c r="AU54" i="12"/>
  <c r="AV54" i="12" s="1"/>
  <c r="BD54" i="12" s="1"/>
  <c r="BB57" i="12"/>
  <c r="BB63" i="12"/>
  <c r="AU76" i="12"/>
  <c r="AV76" i="12" s="1"/>
  <c r="BD76" i="12" s="1"/>
  <c r="AU78" i="12"/>
  <c r="AV78" i="12" s="1"/>
  <c r="BC78" i="12" s="1"/>
  <c r="AU81" i="12"/>
  <c r="AV81" i="12" s="1"/>
  <c r="BC81" i="12" s="1"/>
  <c r="BB91" i="12"/>
  <c r="BB73" i="12"/>
  <c r="AU79" i="12"/>
  <c r="AV79" i="12" s="1"/>
  <c r="BD79" i="12" s="1"/>
  <c r="AU57" i="12"/>
  <c r="AV57" i="12" s="1"/>
  <c r="BD57" i="12" s="1"/>
  <c r="BB49" i="12"/>
  <c r="AU62" i="12"/>
  <c r="AV62" i="12" s="1"/>
  <c r="BC62" i="12" s="1"/>
  <c r="BB82" i="12"/>
  <c r="AU88" i="12"/>
  <c r="AV88" i="12" s="1"/>
  <c r="BD88" i="12" s="1"/>
  <c r="AU92" i="12"/>
  <c r="AV92" i="12" s="1"/>
  <c r="BC92" i="12" s="1"/>
  <c r="BB37" i="12"/>
  <c r="BB102" i="12"/>
  <c r="BB48" i="12"/>
  <c r="BB98" i="12"/>
  <c r="AU98" i="12"/>
  <c r="AV98" i="12" s="1"/>
  <c r="AU25" i="12"/>
  <c r="AV25" i="12" s="1"/>
  <c r="BC25" i="12" s="1"/>
  <c r="BB90" i="12"/>
  <c r="AU90" i="12"/>
  <c r="AV90" i="12" s="1"/>
  <c r="BB19" i="12"/>
  <c r="AU67" i="12"/>
  <c r="AV67" i="12" s="1"/>
  <c r="AU72" i="12"/>
  <c r="AV72" i="12" s="1"/>
  <c r="BB76" i="12"/>
  <c r="BB108" i="12"/>
  <c r="AU80" i="12"/>
  <c r="AV80" i="12" s="1"/>
  <c r="AU30" i="12"/>
  <c r="AV30" i="12" s="1"/>
  <c r="BC30" i="12" s="1"/>
  <c r="AU36" i="12"/>
  <c r="AV36" i="12" s="1"/>
  <c r="BD36" i="12" s="1"/>
  <c r="AU42" i="12"/>
  <c r="AV42" i="12" s="1"/>
  <c r="AU46" i="12"/>
  <c r="AV46" i="12" s="1"/>
  <c r="AU50" i="12"/>
  <c r="AV50" i="12" s="1"/>
  <c r="BB39" i="12"/>
  <c r="BB45" i="12"/>
  <c r="BB52" i="12"/>
  <c r="BB56" i="12"/>
  <c r="BB53" i="12"/>
  <c r="BB59" i="12"/>
  <c r="BB66" i="12"/>
  <c r="BB72" i="12"/>
  <c r="BB78" i="12"/>
  <c r="BB81" i="12"/>
  <c r="AU91" i="12"/>
  <c r="AV91" i="12" s="1"/>
  <c r="AU68" i="12"/>
  <c r="AV68" i="12" s="1"/>
  <c r="BB89" i="12"/>
  <c r="BB101" i="12"/>
  <c r="BB107" i="12"/>
  <c r="AU103" i="12"/>
  <c r="AV103" i="12" s="1"/>
  <c r="BB106" i="12"/>
  <c r="BB104" i="12"/>
  <c r="BB94" i="12"/>
  <c r="AU51" i="12"/>
  <c r="AV51" i="12" s="1"/>
  <c r="AU49" i="12"/>
  <c r="AV49" i="12" s="1"/>
  <c r="AU56" i="12"/>
  <c r="AV56" i="12" s="1"/>
  <c r="AU63" i="12"/>
  <c r="AV63" i="12" s="1"/>
  <c r="BB55" i="12"/>
  <c r="AU84" i="12"/>
  <c r="AV84" i="12" s="1"/>
  <c r="BB95" i="12"/>
  <c r="AU64" i="12"/>
  <c r="AV64" i="12" s="1"/>
  <c r="AU27" i="12"/>
  <c r="AV27" i="12" s="1"/>
  <c r="BC27" i="12" s="1"/>
  <c r="AU95" i="12"/>
  <c r="AV95" i="12" s="1"/>
  <c r="AU70" i="12"/>
  <c r="AV70" i="12" s="1"/>
  <c r="AU89" i="12"/>
  <c r="AV89" i="12" s="1"/>
  <c r="AU47" i="12"/>
  <c r="AV47" i="12" s="1"/>
  <c r="AU59" i="12"/>
  <c r="AV59" i="12" s="1"/>
  <c r="BB25" i="12"/>
  <c r="BB24" i="12"/>
  <c r="AU29" i="12"/>
  <c r="AV29" i="12" s="1"/>
  <c r="BD29" i="12" s="1"/>
  <c r="BB31" i="12"/>
  <c r="BB61" i="12"/>
  <c r="BB62" i="12"/>
  <c r="AU60" i="12"/>
  <c r="AV60" i="12" s="1"/>
  <c r="BB65" i="12"/>
  <c r="BB80" i="12"/>
  <c r="BB74" i="12"/>
  <c r="BB84" i="12"/>
  <c r="BB87" i="12"/>
  <c r="AU69" i="12"/>
  <c r="AV69" i="12" s="1"/>
  <c r="BB79" i="12"/>
  <c r="AU97" i="12"/>
  <c r="AV97" i="12" s="1"/>
  <c r="AU107" i="12"/>
  <c r="AV107" i="12" s="1"/>
  <c r="AU99" i="12"/>
  <c r="AV99" i="12" s="1"/>
  <c r="AU93" i="12"/>
  <c r="AV93" i="12" s="1"/>
  <c r="BB100" i="12"/>
  <c r="AU109" i="12"/>
  <c r="AV109" i="12" s="1"/>
  <c r="AU105" i="12"/>
  <c r="AV105" i="12" s="1"/>
  <c r="AU28" i="12"/>
  <c r="AV28" i="12" s="1"/>
  <c r="BD28" i="12" s="1"/>
  <c r="AU35" i="12"/>
  <c r="AV35" i="12" s="1"/>
  <c r="BD35" i="12" s="1"/>
  <c r="BB38" i="12"/>
  <c r="AU34" i="12"/>
  <c r="AV34" i="12" s="1"/>
  <c r="BD34" i="12" s="1"/>
  <c r="AU26" i="12"/>
  <c r="AV26" i="12" s="1"/>
  <c r="BB26" i="12"/>
  <c r="AU22" i="12"/>
  <c r="AV22" i="12" s="1"/>
  <c r="BB28" i="12"/>
  <c r="AU19" i="12"/>
  <c r="AV19" i="12" s="1"/>
  <c r="AU21" i="12"/>
  <c r="AV21" i="12" s="1"/>
  <c r="AU23" i="12"/>
  <c r="AV23" i="12" s="1"/>
  <c r="AU32" i="12"/>
  <c r="AV32" i="12" s="1"/>
  <c r="BB23" i="12"/>
  <c r="AU38" i="12"/>
  <c r="AV38" i="12" s="1"/>
  <c r="BB29" i="12"/>
  <c r="AU37" i="12"/>
  <c r="AV37" i="12" s="1"/>
  <c r="BB33" i="12"/>
  <c r="BB27" i="12"/>
  <c r="AU31" i="12"/>
  <c r="AV31" i="12" s="1"/>
  <c r="BB35" i="12"/>
  <c r="B4" i="8" a="1"/>
  <c r="BC52" i="12" l="1"/>
  <c r="BC87" i="12"/>
  <c r="BD25" i="12"/>
  <c r="BD82" i="12"/>
  <c r="BC33" i="12"/>
  <c r="BD61" i="12"/>
  <c r="BD77" i="12"/>
  <c r="BD40" i="12"/>
  <c r="BC53" i="12"/>
  <c r="BD20" i="12"/>
  <c r="BC44" i="12"/>
  <c r="BC83" i="12"/>
  <c r="BC96" i="12"/>
  <c r="BD104" i="12"/>
  <c r="BC102" i="12"/>
  <c r="BC85" i="12"/>
  <c r="BC58" i="12"/>
  <c r="BC57" i="12"/>
  <c r="BD81" i="12"/>
  <c r="BD78" i="12"/>
  <c r="BD30" i="12"/>
  <c r="BD62" i="12"/>
  <c r="BC75" i="12"/>
  <c r="BC54" i="12"/>
  <c r="BD101" i="12"/>
  <c r="BD73" i="12"/>
  <c r="BC41" i="12"/>
  <c r="BD43" i="12"/>
  <c r="BC29" i="12"/>
  <c r="BC94" i="12"/>
  <c r="BC34" i="12"/>
  <c r="BC36" i="12"/>
  <c r="BC108" i="12"/>
  <c r="BC88" i="12"/>
  <c r="BD45" i="12"/>
  <c r="BC55" i="12"/>
  <c r="BD39" i="12"/>
  <c r="BD65" i="12"/>
  <c r="BD27" i="12"/>
  <c r="BD48" i="12"/>
  <c r="BC71" i="12"/>
  <c r="BC76" i="12"/>
  <c r="BD106" i="12"/>
  <c r="BD100" i="12"/>
  <c r="BD24" i="12"/>
  <c r="BD86" i="12"/>
  <c r="BD74" i="12"/>
  <c r="BD66" i="12"/>
  <c r="BD92" i="12"/>
  <c r="BC79" i="12"/>
  <c r="BC28" i="12"/>
  <c r="BC90" i="12"/>
  <c r="BD90" i="12"/>
  <c r="BC69" i="12"/>
  <c r="BD69" i="12"/>
  <c r="BC47" i="12"/>
  <c r="BD47" i="12"/>
  <c r="BD63" i="12"/>
  <c r="BC63" i="12"/>
  <c r="BD103" i="12"/>
  <c r="BC103" i="12"/>
  <c r="BD50" i="12"/>
  <c r="BC50" i="12"/>
  <c r="BD67" i="12"/>
  <c r="BC67" i="12"/>
  <c r="BD60" i="12"/>
  <c r="BC60" i="12"/>
  <c r="BC51" i="12"/>
  <c r="BD51" i="12"/>
  <c r="BD91" i="12"/>
  <c r="BC91" i="12"/>
  <c r="BD72" i="12"/>
  <c r="BC72" i="12"/>
  <c r="BD107" i="12"/>
  <c r="BC107" i="12"/>
  <c r="BD59" i="12"/>
  <c r="BC59" i="12"/>
  <c r="BC70" i="12"/>
  <c r="BD70" i="12"/>
  <c r="BC35" i="12"/>
  <c r="BD109" i="12"/>
  <c r="BC109" i="12"/>
  <c r="BC99" i="12"/>
  <c r="BD99" i="12"/>
  <c r="BD97" i="12"/>
  <c r="BC97" i="12"/>
  <c r="BD95" i="12"/>
  <c r="BC95" i="12"/>
  <c r="BC64" i="12"/>
  <c r="BD64" i="12"/>
  <c r="BC84" i="12"/>
  <c r="BD84" i="12"/>
  <c r="BD56" i="12"/>
  <c r="BC56" i="12"/>
  <c r="BD46" i="12"/>
  <c r="BC46" i="12"/>
  <c r="BC98" i="12"/>
  <c r="BD98" i="12"/>
  <c r="BD105" i="12"/>
  <c r="BC105" i="12"/>
  <c r="BD93" i="12"/>
  <c r="BC93" i="12"/>
  <c r="BC89" i="12"/>
  <c r="BD89" i="12"/>
  <c r="BD49" i="12"/>
  <c r="BC49" i="12"/>
  <c r="BC68" i="12"/>
  <c r="BD68" i="12"/>
  <c r="BD42" i="12"/>
  <c r="BC42" i="12"/>
  <c r="BC80" i="12"/>
  <c r="BD80" i="12"/>
  <c r="BC31" i="12"/>
  <c r="BD31" i="12"/>
  <c r="BD37" i="12"/>
  <c r="BC37" i="12"/>
  <c r="BD23" i="12"/>
  <c r="BC23" i="12"/>
  <c r="BC32" i="12"/>
  <c r="BD32" i="12"/>
  <c r="BC21" i="12"/>
  <c r="BD21" i="12"/>
  <c r="BC26" i="12"/>
  <c r="BD26" i="12"/>
  <c r="BD19" i="12"/>
  <c r="BC19" i="12"/>
  <c r="BC38" i="12"/>
  <c r="BD38" i="12"/>
  <c r="BC22" i="12"/>
  <c r="BD22" i="12"/>
  <c r="B4" i="8"/>
  <c r="P8" i="8"/>
  <c r="V6" i="8"/>
  <c r="U6" i="8"/>
  <c r="T6" i="8"/>
  <c r="S6" i="8"/>
  <c r="R6" i="8"/>
  <c r="Q6" i="8"/>
  <c r="P6" i="8"/>
  <c r="BB18" i="12" l="1"/>
  <c r="AU18" i="12"/>
  <c r="AV18" i="12" s="1"/>
  <c r="C52" i="18" a="1"/>
  <c r="C52" i="18" s="1"/>
  <c r="C51" i="18" a="1"/>
  <c r="C51" i="18" s="1"/>
  <c r="C50" i="18" a="1"/>
  <c r="C50" i="18" s="1"/>
  <c r="C49" i="18" a="1"/>
  <c r="C49" i="18" s="1"/>
  <c r="C48" i="18" a="1"/>
  <c r="C48" i="18" s="1"/>
  <c r="BD18" i="12" l="1"/>
  <c r="BC18" i="12"/>
  <c r="E44" i="7"/>
  <c r="I27" i="22" l="1"/>
  <c r="H27" i="22"/>
  <c r="G27" i="22"/>
  <c r="I26" i="22"/>
  <c r="H26" i="22"/>
  <c r="G26" i="22"/>
  <c r="I25" i="22"/>
  <c r="H25" i="22"/>
  <c r="G25" i="22"/>
  <c r="E25" i="22"/>
  <c r="I24" i="22"/>
  <c r="H24" i="22"/>
  <c r="G24" i="22"/>
  <c r="I23" i="22"/>
  <c r="H23" i="22"/>
  <c r="G23" i="22"/>
  <c r="E23" i="22"/>
  <c r="I22" i="22"/>
  <c r="H22" i="22"/>
  <c r="G22" i="22"/>
  <c r="I21" i="22"/>
  <c r="H21" i="22"/>
  <c r="G21" i="22"/>
  <c r="I20" i="22"/>
  <c r="H20" i="22"/>
  <c r="G20" i="22"/>
  <c r="E20" i="22"/>
  <c r="I19" i="22"/>
  <c r="H19" i="22"/>
  <c r="G19" i="22"/>
  <c r="I18" i="22"/>
  <c r="H18" i="22"/>
  <c r="G18" i="22"/>
  <c r="E18" i="22"/>
  <c r="I17" i="22"/>
  <c r="H17" i="22"/>
  <c r="G17" i="22"/>
  <c r="E17" i="22"/>
  <c r="I16" i="22"/>
  <c r="H16" i="22"/>
  <c r="G16" i="22"/>
  <c r="E16" i="22"/>
  <c r="I15" i="22"/>
  <c r="S17" i="12" s="1"/>
  <c r="H15" i="22"/>
  <c r="Y17" i="12" s="1"/>
  <c r="G15" i="22"/>
  <c r="P17" i="12" s="1"/>
  <c r="E15" i="22"/>
  <c r="M17" i="12" s="1"/>
  <c r="I14" i="22"/>
  <c r="U17" i="12" s="1"/>
  <c r="H14" i="22"/>
  <c r="AA17" i="12" s="1"/>
  <c r="G14" i="22"/>
  <c r="R17" i="12" s="1"/>
  <c r="E14" i="22"/>
  <c r="O17" i="12" s="1"/>
  <c r="I11" i="22"/>
  <c r="H11" i="22"/>
  <c r="G11" i="22"/>
  <c r="I10" i="22"/>
  <c r="H10" i="22"/>
  <c r="G10" i="22"/>
  <c r="E10" i="22"/>
  <c r="I9" i="22"/>
  <c r="H9" i="22"/>
  <c r="G9" i="22"/>
  <c r="E9" i="22"/>
  <c r="I7" i="22"/>
  <c r="H7" i="22"/>
  <c r="G7" i="22"/>
  <c r="I6" i="22"/>
  <c r="H6" i="22"/>
  <c r="G6" i="22"/>
  <c r="I5" i="22"/>
  <c r="H5" i="22"/>
  <c r="G5" i="22"/>
  <c r="E5" i="22"/>
  <c r="L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1" i="10"/>
  <c r="J10" i="10"/>
  <c r="J9" i="10"/>
  <c r="J8" i="10"/>
  <c r="J7" i="10"/>
  <c r="J6" i="10"/>
  <c r="J5" i="10"/>
  <c r="J4" i="10"/>
  <c r="J3" i="10"/>
  <c r="J2" i="10"/>
  <c r="K41" i="10"/>
  <c r="K40" i="10"/>
  <c r="K39" i="10"/>
  <c r="K38" i="10"/>
  <c r="K37" i="10"/>
  <c r="K36" i="10"/>
  <c r="K35" i="10"/>
  <c r="K34" i="10"/>
  <c r="K33" i="10"/>
  <c r="K32" i="10"/>
  <c r="K31" i="10"/>
  <c r="K30" i="10"/>
  <c r="K29" i="10"/>
  <c r="K28" i="10"/>
  <c r="K27" i="10"/>
  <c r="K26" i="10"/>
  <c r="K25" i="10"/>
  <c r="K24" i="10"/>
  <c r="K23" i="10"/>
  <c r="K22" i="10"/>
  <c r="K21" i="10"/>
  <c r="K20" i="10"/>
  <c r="K19" i="10"/>
  <c r="K18" i="10"/>
  <c r="K17" i="10"/>
  <c r="K16" i="10"/>
  <c r="K15" i="10"/>
  <c r="K14" i="10"/>
  <c r="K13" i="10"/>
  <c r="K12" i="10"/>
  <c r="K11" i="10"/>
  <c r="K10" i="10"/>
  <c r="K9" i="10"/>
  <c r="K8" i="10"/>
  <c r="K7" i="10"/>
  <c r="K6" i="10"/>
  <c r="K5" i="10"/>
  <c r="K4" i="10"/>
  <c r="K3" i="10"/>
  <c r="K2" i="10"/>
  <c r="AY16" i="12"/>
  <c r="AY15" i="12"/>
  <c r="AY14" i="12"/>
  <c r="AY13" i="12"/>
  <c r="AY12" i="12"/>
  <c r="AY11" i="12"/>
  <c r="AY10" i="12"/>
  <c r="AJ17" i="12" l="1"/>
  <c r="AP17" i="12" s="1" a="1"/>
  <c r="AP17" i="12" s="1"/>
  <c r="X17" i="12"/>
  <c r="AD17" i="12" s="1"/>
  <c r="AM17" i="12" s="1"/>
  <c r="AS17" i="12" s="1" a="1"/>
  <c r="AS17" i="12" s="1"/>
  <c r="V17" i="12"/>
  <c r="AB17" i="12" s="1"/>
  <c r="AK17" i="12" s="1"/>
  <c r="AQ17" i="12" s="1" a="1"/>
  <c r="AQ17" i="12" s="1"/>
  <c r="AH17" i="12"/>
  <c r="AN17" i="12" s="1" a="1"/>
  <c r="AN17" i="12" s="1"/>
  <c r="D2" i="23" a="1"/>
  <c r="D2" i="23" s="1"/>
  <c r="F14" i="20"/>
  <c r="F6" i="20"/>
  <c r="D33" i="18"/>
  <c r="M75" i="18" a="1"/>
  <c r="M75" i="18" s="1"/>
  <c r="M74" i="18" a="1"/>
  <c r="M74" i="18" s="1"/>
  <c r="M73" i="18" a="1"/>
  <c r="M73" i="18" s="1"/>
  <c r="M72" i="18" a="1"/>
  <c r="M72" i="18" s="1"/>
  <c r="M71" i="18" a="1"/>
  <c r="M71" i="18" s="1"/>
  <c r="M70" i="18" a="1"/>
  <c r="M70" i="18" s="1"/>
  <c r="M69" i="18" a="1"/>
  <c r="M69" i="18" s="1"/>
  <c r="M68" i="18" a="1"/>
  <c r="M68" i="18" s="1"/>
  <c r="M67" i="18" a="1"/>
  <c r="M67" i="18" s="1"/>
  <c r="M66" i="18" a="1"/>
  <c r="M66" i="18" s="1"/>
  <c r="M65" i="18" a="1"/>
  <c r="M65" i="18" s="1"/>
  <c r="M64" i="18" a="1"/>
  <c r="M64" i="18" s="1"/>
  <c r="M63" i="18" a="1"/>
  <c r="M63" i="18" s="1"/>
  <c r="M62" i="18" a="1"/>
  <c r="M62" i="18" s="1"/>
  <c r="M61" i="18" a="1"/>
  <c r="M61" i="18" s="1"/>
  <c r="M60" i="18" a="1"/>
  <c r="M60" i="18" s="1"/>
  <c r="D80" i="18" s="1"/>
  <c r="M59" i="18" a="1"/>
  <c r="M59" i="18" s="1"/>
  <c r="M58" i="18" a="1"/>
  <c r="M58" i="18" s="1"/>
  <c r="M57" i="18" a="1"/>
  <c r="M57" i="18" s="1"/>
  <c r="D82" i="18" s="1"/>
  <c r="M55" i="18" a="1"/>
  <c r="M55" i="18" s="1"/>
  <c r="M56" i="18" a="1"/>
  <c r="M56" i="18" s="1"/>
  <c r="C42" i="18" a="1"/>
  <c r="C42" i="18" s="1"/>
  <c r="C41" i="18" a="1"/>
  <c r="C41" i="18" s="1"/>
  <c r="C40" i="18" a="1"/>
  <c r="C40" i="18" s="1"/>
  <c r="C39" i="18" a="1"/>
  <c r="C39" i="18" s="1"/>
  <c r="C38" i="18" a="1"/>
  <c r="C38" i="18" s="1"/>
  <c r="C37" i="18" a="1"/>
  <c r="C37" i="18" s="1"/>
  <c r="C36" i="18" a="1"/>
  <c r="C36" i="18" s="1"/>
  <c r="AI60" i="7"/>
  <c r="AH60" i="7"/>
  <c r="AG60" i="7"/>
  <c r="AF60" i="7"/>
  <c r="AE60" i="7"/>
  <c r="AD60" i="7"/>
  <c r="AC60" i="7"/>
  <c r="AB60" i="7"/>
  <c r="AA60" i="7"/>
  <c r="Z60" i="7"/>
  <c r="Y60" i="7"/>
  <c r="X60" i="7"/>
  <c r="W60" i="7"/>
  <c r="V60" i="7"/>
  <c r="U60" i="7"/>
  <c r="T60" i="7"/>
  <c r="S60" i="7"/>
  <c r="R60" i="7"/>
  <c r="Q60" i="7"/>
  <c r="P60" i="7"/>
  <c r="O60" i="7"/>
  <c r="N60" i="7"/>
  <c r="M60" i="7"/>
  <c r="L60" i="7"/>
  <c r="K60" i="7"/>
  <c r="J60" i="7"/>
  <c r="I60" i="7"/>
  <c r="H60" i="7"/>
  <c r="G60" i="7"/>
  <c r="F60" i="7"/>
  <c r="E60" i="7"/>
  <c r="Y39" i="20"/>
  <c r="Y38" i="20"/>
  <c r="F13" i="20" s="1"/>
  <c r="Y37" i="20"/>
  <c r="Y36" i="20"/>
  <c r="AZ17" i="12" l="1"/>
  <c r="BB17" i="12"/>
  <c r="AU17" i="12"/>
  <c r="AV17" i="12" s="1"/>
  <c r="T10" i="12"/>
  <c r="U10" i="12"/>
  <c r="S13" i="12"/>
  <c r="T13" i="12"/>
  <c r="S16" i="12"/>
  <c r="S12" i="12"/>
  <c r="T16" i="12"/>
  <c r="T12" i="12"/>
  <c r="U16" i="12"/>
  <c r="U12" i="12"/>
  <c r="U13" i="12"/>
  <c r="S15" i="12"/>
  <c r="S11" i="12"/>
  <c r="T15" i="12"/>
  <c r="T11" i="12"/>
  <c r="U15" i="12"/>
  <c r="U11" i="12"/>
  <c r="S14" i="12"/>
  <c r="S10" i="12"/>
  <c r="T14" i="12"/>
  <c r="U14" i="12"/>
  <c r="BD17" i="12" l="1"/>
  <c r="BC17" i="12"/>
  <c r="H26" i="10"/>
  <c r="F8" i="20"/>
  <c r="R25" i="20"/>
  <c r="R24" i="20"/>
  <c r="R23" i="20"/>
  <c r="R22" i="20"/>
  <c r="R21" i="20"/>
  <c r="R20" i="20"/>
  <c r="F17" i="20"/>
  <c r="F9" i="20"/>
  <c r="R26" i="20" l="1"/>
  <c r="F15" i="20" s="1"/>
  <c r="F10" i="20"/>
  <c r="F11" i="20"/>
  <c r="F12" i="20" l="1"/>
  <c r="Q14" i="12"/>
  <c r="W14" i="12" s="1"/>
  <c r="Q10" i="12"/>
  <c r="W10" i="12" s="1"/>
  <c r="P11" i="12"/>
  <c r="V11" i="12" s="1"/>
  <c r="O10" i="12"/>
  <c r="O11" i="12"/>
  <c r="O12" i="12"/>
  <c r="O13" i="12"/>
  <c r="O14" i="12"/>
  <c r="O15" i="12"/>
  <c r="O16" i="12"/>
  <c r="L10" i="12"/>
  <c r="AG10" i="12" s="1" a="1"/>
  <c r="AG10" i="12" s="1"/>
  <c r="L11" i="12"/>
  <c r="AG11" i="12" s="1" a="1"/>
  <c r="AG11" i="12" s="1"/>
  <c r="L12" i="12"/>
  <c r="AG12" i="12" s="1" a="1"/>
  <c r="AG12" i="12" s="1"/>
  <c r="L13" i="12"/>
  <c r="AG13" i="12" s="1" a="1"/>
  <c r="AG13" i="12" s="1"/>
  <c r="L14" i="12"/>
  <c r="AG14" i="12" s="1" a="1"/>
  <c r="AG14" i="12" s="1"/>
  <c r="L15" i="12"/>
  <c r="AG15" i="12" s="1" a="1"/>
  <c r="AG15" i="12" s="1"/>
  <c r="L16" i="12"/>
  <c r="AG16" i="12" s="1" a="1"/>
  <c r="AG16" i="12" s="1"/>
  <c r="K10" i="12"/>
  <c r="AF10" i="12" s="1" a="1"/>
  <c r="AF10" i="12" s="1"/>
  <c r="K11" i="12"/>
  <c r="AF11" i="12" s="1" a="1"/>
  <c r="AF11" i="12" s="1"/>
  <c r="K12" i="12"/>
  <c r="AF12" i="12" s="1" a="1"/>
  <c r="AF12" i="12" s="1"/>
  <c r="K13" i="12"/>
  <c r="AF13" i="12" s="1" a="1"/>
  <c r="AF13" i="12" s="1"/>
  <c r="K14" i="12"/>
  <c r="AF14" i="12" s="1" a="1"/>
  <c r="AF14" i="12" s="1"/>
  <c r="K15" i="12"/>
  <c r="AF15" i="12" s="1" a="1"/>
  <c r="AF15" i="12" s="1"/>
  <c r="K16" i="12"/>
  <c r="AF16" i="12" s="1" a="1"/>
  <c r="AF16" i="12" s="1"/>
  <c r="J10" i="12"/>
  <c r="AE10" i="12" s="1" a="1"/>
  <c r="AE10" i="12" s="1"/>
  <c r="J11" i="12"/>
  <c r="AE11" i="12" s="1" a="1"/>
  <c r="AE11" i="12" s="1"/>
  <c r="J12" i="12"/>
  <c r="AE12" i="12" s="1" a="1"/>
  <c r="AE12" i="12" s="1"/>
  <c r="J13" i="12"/>
  <c r="AE13" i="12" s="1" a="1"/>
  <c r="AE13" i="12" s="1"/>
  <c r="J14" i="12"/>
  <c r="AE14" i="12" s="1" a="1"/>
  <c r="AE14" i="12" s="1"/>
  <c r="J15" i="12"/>
  <c r="AE15" i="12" s="1" a="1"/>
  <c r="AE15" i="12" s="1"/>
  <c r="J16" i="12"/>
  <c r="AE16" i="12" s="1" a="1"/>
  <c r="AE16" i="12" s="1"/>
  <c r="P16" i="12" l="1"/>
  <c r="V16" i="12" s="1"/>
  <c r="P14" i="12"/>
  <c r="V14" i="12" s="1"/>
  <c r="P12" i="12"/>
  <c r="V12" i="12" s="1"/>
  <c r="Q15" i="12"/>
  <c r="W15" i="12" s="1"/>
  <c r="P15" i="12"/>
  <c r="V15" i="12" s="1"/>
  <c r="P10" i="12"/>
  <c r="V10" i="12" s="1"/>
  <c r="R10" i="12"/>
  <c r="X10" i="12" s="1"/>
  <c r="Q16" i="12"/>
  <c r="W16" i="12" s="1"/>
  <c r="Q11" i="12"/>
  <c r="W11" i="12" s="1"/>
  <c r="P13" i="12"/>
  <c r="V13" i="12" s="1"/>
  <c r="Q13" i="12"/>
  <c r="W13" i="12" s="1"/>
  <c r="AA10" i="12"/>
  <c r="AA14" i="12"/>
  <c r="AA11" i="12"/>
  <c r="AA15" i="12"/>
  <c r="AA12" i="12"/>
  <c r="AA16" i="12"/>
  <c r="AA13" i="12"/>
  <c r="Z10" i="12"/>
  <c r="AC10" i="12" s="1"/>
  <c r="Z14" i="12"/>
  <c r="AC14" i="12" s="1"/>
  <c r="Y10" i="12"/>
  <c r="Y14" i="12"/>
  <c r="Z16" i="12"/>
  <c r="Y16" i="12"/>
  <c r="Z11" i="12"/>
  <c r="Z15" i="12"/>
  <c r="Y11" i="12"/>
  <c r="AB11" i="12" s="1"/>
  <c r="Y15" i="12"/>
  <c r="Z12" i="12"/>
  <c r="Y12" i="12"/>
  <c r="Z13" i="12"/>
  <c r="Y13" i="12"/>
  <c r="Q12" i="12"/>
  <c r="W12" i="12" s="1"/>
  <c r="M14" i="12"/>
  <c r="N14" i="12"/>
  <c r="M13" i="12"/>
  <c r="N13" i="12"/>
  <c r="M10" i="12"/>
  <c r="N10" i="12"/>
  <c r="M16" i="12"/>
  <c r="M12" i="12"/>
  <c r="N16" i="12"/>
  <c r="N12" i="12"/>
  <c r="R13" i="12"/>
  <c r="AJ13" i="12" s="1"/>
  <c r="M15" i="12"/>
  <c r="M11" i="12"/>
  <c r="N15" i="12"/>
  <c r="N11" i="12"/>
  <c r="R11" i="12"/>
  <c r="AJ11" i="12" s="1"/>
  <c r="R15" i="12"/>
  <c r="AJ15" i="12" s="1"/>
  <c r="R16" i="12"/>
  <c r="AJ16" i="12" s="1"/>
  <c r="R12" i="12"/>
  <c r="AJ12" i="12" s="1"/>
  <c r="R14" i="12"/>
  <c r="AJ14" i="12" s="1"/>
  <c r="AP16" i="12" l="1" a="1"/>
  <c r="AP16" i="12" s="1"/>
  <c r="AK11" i="12"/>
  <c r="AB14" i="12"/>
  <c r="AK14" i="12" s="1"/>
  <c r="AQ14" i="12" s="1" a="1"/>
  <c r="AQ14" i="12" s="1"/>
  <c r="AD10" i="12"/>
  <c r="AM10" i="12" s="1"/>
  <c r="AB10" i="12"/>
  <c r="AK10" i="12" s="1"/>
  <c r="AL14" i="12"/>
  <c r="AL10" i="12"/>
  <c r="AR10" i="12" s="1" a="1"/>
  <c r="AR10" i="12" s="1"/>
  <c r="AB16" i="12"/>
  <c r="AK16" i="12" s="1"/>
  <c r="AB15" i="12"/>
  <c r="AK15" i="12" s="1"/>
  <c r="AJ10" i="12"/>
  <c r="AC15" i="12"/>
  <c r="AL15" i="12" s="1"/>
  <c r="AB12" i="12"/>
  <c r="AK12" i="12" s="1"/>
  <c r="AC11" i="12"/>
  <c r="AL11" i="12" s="1"/>
  <c r="AI15" i="12"/>
  <c r="AI10" i="12"/>
  <c r="AO10" i="12" s="1" a="1"/>
  <c r="AO10" i="12" s="1"/>
  <c r="AH14" i="12"/>
  <c r="AH11" i="12"/>
  <c r="AI16" i="12"/>
  <c r="AI12" i="12"/>
  <c r="AO12" i="12" s="1" a="1"/>
  <c r="AO12" i="12" s="1"/>
  <c r="AH16" i="12"/>
  <c r="AH15" i="12"/>
  <c r="AH12" i="12"/>
  <c r="AC12" i="12"/>
  <c r="AL12" i="12" s="1"/>
  <c r="AR12" i="12" s="1" a="1"/>
  <c r="AR12" i="12" s="1"/>
  <c r="AI11" i="12"/>
  <c r="AI13" i="12"/>
  <c r="AI14" i="12"/>
  <c r="AC13" i="12"/>
  <c r="AL13" i="12" s="1"/>
  <c r="AR13" i="12" s="1" a="1"/>
  <c r="AR13" i="12" s="1"/>
  <c r="AC16" i="12"/>
  <c r="AL16" i="12" s="1"/>
  <c r="X12" i="12"/>
  <c r="AD12" i="12" s="1"/>
  <c r="AM12" i="12" s="1"/>
  <c r="X16" i="12"/>
  <c r="AD16" i="12" s="1"/>
  <c r="AM16" i="12" s="1"/>
  <c r="X13" i="12"/>
  <c r="AD13" i="12" s="1"/>
  <c r="AM13" i="12" s="1"/>
  <c r="AS13" i="12" s="1" a="1"/>
  <c r="AS13" i="12" s="1"/>
  <c r="X11" i="12"/>
  <c r="AD11" i="12" s="1"/>
  <c r="AM11" i="12" s="1"/>
  <c r="X14" i="12"/>
  <c r="AD14" i="12" s="1"/>
  <c r="AM14" i="12" s="1"/>
  <c r="X15" i="12"/>
  <c r="AD15" i="12" s="1"/>
  <c r="AM15" i="12" s="1"/>
  <c r="AB13" i="12"/>
  <c r="AK13" i="12" s="1"/>
  <c r="AH13" i="12"/>
  <c r="AH10" i="12"/>
  <c r="A10" i="12"/>
  <c r="A11" i="12"/>
  <c r="AP11" i="12" s="1" a="1"/>
  <c r="AP11" i="12" s="1"/>
  <c r="A12" i="12"/>
  <c r="AP12" i="12" s="1" a="1"/>
  <c r="AP12" i="12" s="1"/>
  <c r="A13" i="12"/>
  <c r="AP13" i="12" s="1" a="1"/>
  <c r="AP13" i="12" s="1"/>
  <c r="A14" i="12"/>
  <c r="AP14" i="12" s="1" a="1"/>
  <c r="AP14" i="12" s="1"/>
  <c r="A15" i="12"/>
  <c r="AP15" i="12" s="1" a="1"/>
  <c r="AP15" i="12" s="1"/>
  <c r="A16" i="12"/>
  <c r="BA10" i="12" l="1"/>
  <c r="BA12" i="12"/>
  <c r="AS15" i="12" a="1"/>
  <c r="AS15" i="12" s="1"/>
  <c r="BB15" i="12" s="1"/>
  <c r="AS16" i="12" a="1"/>
  <c r="AS16" i="12" s="1"/>
  <c r="BB16" i="12" s="1"/>
  <c r="AP10" i="12" a="1"/>
  <c r="AP10" i="12" s="1"/>
  <c r="AS14" i="12" a="1"/>
  <c r="AS14" i="12" s="1"/>
  <c r="BB14" i="12" s="1"/>
  <c r="AS12" i="12" a="1"/>
  <c r="AS12" i="12" s="1"/>
  <c r="AO13" i="12" a="1"/>
  <c r="AO13" i="12" s="1"/>
  <c r="BA13" i="12" s="1"/>
  <c r="AN15" i="12" a="1"/>
  <c r="AN15" i="12" s="1"/>
  <c r="AR11" i="12" a="1"/>
  <c r="AR11" i="12" s="1"/>
  <c r="AQ15" i="12" a="1"/>
  <c r="AQ15" i="12" s="1"/>
  <c r="AS11" i="12" a="1"/>
  <c r="AS11" i="12" s="1"/>
  <c r="AO11" i="12" a="1"/>
  <c r="AO11" i="12" s="1"/>
  <c r="AN16" i="12" a="1"/>
  <c r="AN16" i="12" s="1"/>
  <c r="AN14" i="12" a="1"/>
  <c r="AN14" i="12" s="1"/>
  <c r="AZ14" i="12" s="1"/>
  <c r="AQ16" i="12" a="1"/>
  <c r="AQ16" i="12" s="1"/>
  <c r="AS10" i="12" a="1"/>
  <c r="AS10" i="12" s="1"/>
  <c r="BA11" i="12" l="1"/>
  <c r="F2" i="23" s="1" a="1"/>
  <c r="F2" i="23" s="1"/>
  <c r="AZ16" i="12"/>
  <c r="AZ15" i="12"/>
  <c r="E2" i="23" s="1" a="1"/>
  <c r="E2" i="23" s="1"/>
  <c r="AU14" i="12"/>
  <c r="AV14" i="12" s="1"/>
  <c r="BC14" i="12" s="1"/>
  <c r="BB13" i="12"/>
  <c r="BB12" i="12"/>
  <c r="BB11" i="12"/>
  <c r="BB10" i="12"/>
  <c r="AU16" i="12"/>
  <c r="AV16" i="12" s="1"/>
  <c r="BD16" i="12" s="1"/>
  <c r="AU11" i="12"/>
  <c r="AV11" i="12" s="1"/>
  <c r="BD11" i="12" s="1"/>
  <c r="AU12" i="12"/>
  <c r="AV12" i="12" s="1"/>
  <c r="BD12" i="12" s="1"/>
  <c r="AU13" i="12"/>
  <c r="AV13" i="12" s="1"/>
  <c r="BC13" i="12" s="1"/>
  <c r="AU10" i="12"/>
  <c r="AV10" i="12" s="1"/>
  <c r="BC10" i="12" s="1"/>
  <c r="AU15" i="12"/>
  <c r="AV15" i="12" s="1"/>
  <c r="BC15" i="12" s="1"/>
  <c r="BD14" i="12" l="1"/>
  <c r="BD10" i="12"/>
  <c r="BC11" i="12"/>
  <c r="C2" i="23" a="1"/>
  <c r="C2" i="23" s="1"/>
  <c r="BC16" i="12"/>
  <c r="B2" i="23" a="1"/>
  <c r="B2" i="23" s="1"/>
  <c r="G2" i="23" a="1"/>
  <c r="G2" i="23" s="1"/>
  <c r="BC12" i="12"/>
  <c r="BD13" i="12"/>
  <c r="BD15" i="12"/>
  <c r="D35" i="7"/>
  <c r="H2" i="23" l="1" a="1"/>
  <c r="H2" i="23" s="1"/>
  <c r="I2" i="23" a="1"/>
  <c r="I2" i="23" s="1"/>
  <c r="D29" i="7"/>
  <c r="D23" i="7"/>
  <c r="E45" i="7" s="1"/>
  <c r="E49" i="7" l="1"/>
  <c r="E48" i="7"/>
  <c r="E47" i="7"/>
  <c r="AD56" i="7" l="1"/>
  <c r="AC57" i="7"/>
  <c r="M57" i="7"/>
  <c r="AC56" i="7"/>
  <c r="AB57" i="7"/>
  <c r="AB56" i="7"/>
  <c r="AI57" i="7"/>
  <c r="AA57" i="7"/>
  <c r="K57" i="7"/>
  <c r="L57" i="7"/>
  <c r="AI56" i="7"/>
  <c r="AA56" i="7"/>
  <c r="AH57" i="7"/>
  <c r="Z57" i="7"/>
  <c r="AH56" i="7"/>
  <c r="Z56" i="7"/>
  <c r="AG57" i="7"/>
  <c r="Y57" i="7"/>
  <c r="Q57" i="7"/>
  <c r="I57" i="7"/>
  <c r="AG56" i="7"/>
  <c r="AG58" i="7" s="1"/>
  <c r="Y56" i="7"/>
  <c r="Y58" i="7" s="1"/>
  <c r="AF57" i="7"/>
  <c r="H57" i="7"/>
  <c r="AF56" i="7"/>
  <c r="AE57" i="7"/>
  <c r="W57" i="7"/>
  <c r="O57" i="7"/>
  <c r="G57" i="7"/>
  <c r="AE56" i="7"/>
  <c r="AD57" i="7"/>
  <c r="V57" i="7"/>
  <c r="F57" i="7"/>
  <c r="AI58" i="7" l="1"/>
  <c r="AI61" i="7" s="1"/>
  <c r="AA58" i="7"/>
  <c r="AA61" i="7" s="1"/>
  <c r="AH58" i="7"/>
  <c r="AH61" i="7" s="1"/>
  <c r="AE58" i="7"/>
  <c r="AE61" i="7" s="1"/>
  <c r="Z58" i="7"/>
  <c r="Z61" i="7" s="1"/>
  <c r="AC58" i="7"/>
  <c r="AC61" i="7" s="1"/>
  <c r="AF58" i="7"/>
  <c r="AF61" i="7" s="1"/>
  <c r="AB58" i="7"/>
  <c r="AB61" i="7" s="1"/>
  <c r="AD58" i="7"/>
  <c r="AD61" i="7" s="1"/>
  <c r="Y61" i="7"/>
  <c r="AG61" i="7"/>
  <c r="G3" i="11"/>
  <c r="G4" i="11"/>
  <c r="G5"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3" i="11"/>
  <c r="G34" i="11"/>
  <c r="G35" i="11"/>
  <c r="G36" i="11"/>
  <c r="G37" i="11"/>
  <c r="G38" i="11"/>
  <c r="G39" i="11"/>
  <c r="G40" i="11"/>
  <c r="G41" i="11"/>
  <c r="G42" i="11"/>
  <c r="G43" i="11"/>
  <c r="G44" i="11"/>
  <c r="G45" i="11"/>
  <c r="G46" i="11"/>
  <c r="G47" i="11"/>
  <c r="G48" i="11"/>
  <c r="G49" i="11"/>
  <c r="G50" i="11"/>
  <c r="G51" i="11"/>
  <c r="G52" i="11"/>
  <c r="G53" i="11"/>
  <c r="G54" i="11"/>
  <c r="G55" i="11"/>
  <c r="G56" i="11"/>
  <c r="G57" i="11"/>
  <c r="G58" i="11"/>
  <c r="G59" i="11"/>
  <c r="G60" i="11"/>
  <c r="G61" i="11"/>
  <c r="G62" i="11"/>
  <c r="G63" i="11"/>
  <c r="G64" i="11"/>
  <c r="G65" i="11"/>
  <c r="G66" i="11"/>
  <c r="G67" i="11"/>
  <c r="G68" i="11"/>
  <c r="G69" i="11"/>
  <c r="G70" i="11"/>
  <c r="G71" i="11"/>
  <c r="G72" i="11"/>
  <c r="G73" i="11"/>
  <c r="G74" i="11"/>
  <c r="G75" i="11"/>
  <c r="G76" i="11"/>
  <c r="G77" i="11"/>
  <c r="G78" i="11"/>
  <c r="G79" i="11"/>
  <c r="G80" i="11"/>
  <c r="G81" i="11"/>
  <c r="G82" i="11"/>
  <c r="G83" i="11"/>
  <c r="G84" i="11"/>
  <c r="G85" i="11"/>
  <c r="G86" i="11"/>
  <c r="G87" i="11"/>
  <c r="G88" i="11"/>
  <c r="G89" i="11"/>
  <c r="G90" i="11"/>
  <c r="G91" i="11"/>
  <c r="G92" i="11"/>
  <c r="G93" i="11"/>
  <c r="G94" i="11"/>
  <c r="G95" i="11"/>
  <c r="G96" i="11"/>
  <c r="G97" i="11"/>
  <c r="G98" i="11"/>
  <c r="G99" i="11"/>
  <c r="G100" i="11"/>
  <c r="G101" i="11"/>
  <c r="G102" i="11"/>
  <c r="G103" i="11"/>
  <c r="G104" i="11"/>
  <c r="G105" i="11"/>
  <c r="G106" i="11"/>
  <c r="G107" i="11"/>
  <c r="G108" i="11"/>
  <c r="G109" i="11"/>
  <c r="G110" i="11"/>
  <c r="G111" i="11"/>
  <c r="G112" i="11"/>
  <c r="G113" i="11"/>
  <c r="G114" i="11"/>
  <c r="G115" i="11"/>
  <c r="G116" i="11"/>
  <c r="G117" i="11"/>
  <c r="G118" i="11"/>
  <c r="G119" i="11"/>
  <c r="G120" i="11"/>
  <c r="G121" i="11"/>
  <c r="G122" i="11"/>
  <c r="G123" i="11"/>
  <c r="G124" i="11"/>
  <c r="G125" i="11"/>
  <c r="G126" i="11"/>
  <c r="G127" i="11"/>
  <c r="G128" i="11"/>
  <c r="G129" i="11"/>
  <c r="G130" i="11"/>
  <c r="G131" i="11"/>
  <c r="G132" i="11"/>
  <c r="G133" i="11"/>
  <c r="G134" i="11"/>
  <c r="G135" i="11"/>
  <c r="G136" i="11"/>
  <c r="G137" i="11"/>
  <c r="G138" i="11"/>
  <c r="G139" i="11"/>
  <c r="G140" i="11"/>
  <c r="G141" i="11"/>
  <c r="G142" i="11"/>
  <c r="G143" i="11"/>
  <c r="G144" i="11"/>
  <c r="G145" i="11"/>
  <c r="G146" i="11"/>
  <c r="G147" i="11"/>
  <c r="G148" i="11"/>
  <c r="G149" i="11"/>
  <c r="G150" i="11"/>
  <c r="G151" i="11"/>
  <c r="G152" i="11"/>
  <c r="G153" i="11"/>
  <c r="G154" i="11"/>
  <c r="G2" i="11"/>
  <c r="C139" i="11"/>
  <c r="H40" i="10"/>
  <c r="I40" i="10" s="1"/>
  <c r="H39" i="10"/>
  <c r="I39" i="10" s="1"/>
  <c r="I38" i="10"/>
  <c r="H38" i="10"/>
  <c r="H37" i="10"/>
  <c r="I37" i="10" s="1"/>
  <c r="H36" i="10"/>
  <c r="I36" i="10" s="1"/>
  <c r="H35" i="10"/>
  <c r="I35" i="10" s="1"/>
  <c r="I34" i="10"/>
  <c r="H34" i="10"/>
  <c r="H33" i="10"/>
  <c r="I33" i="10" s="1"/>
  <c r="H32" i="10"/>
  <c r="I32" i="10" s="1"/>
  <c r="H31" i="10"/>
  <c r="I31" i="10" s="1"/>
  <c r="I30" i="10"/>
  <c r="H30" i="10"/>
  <c r="H29" i="10"/>
  <c r="I29" i="10" s="1"/>
  <c r="H28" i="10"/>
  <c r="I28" i="10" s="1"/>
  <c r="H27" i="10"/>
  <c r="I27" i="10" s="1"/>
  <c r="I26" i="10"/>
  <c r="H25" i="10"/>
  <c r="I25" i="10" s="1"/>
  <c r="H24" i="10"/>
  <c r="I24" i="10" s="1"/>
  <c r="H23" i="10"/>
  <c r="I23" i="10" s="1"/>
  <c r="H22" i="10"/>
  <c r="I22" i="10" s="1"/>
  <c r="H21" i="10"/>
  <c r="I21" i="10" s="1"/>
  <c r="H20" i="10"/>
  <c r="I20" i="10" s="1"/>
  <c r="H19" i="10"/>
  <c r="I19" i="10" s="1"/>
  <c r="H18" i="10"/>
  <c r="I18" i="10" s="1"/>
  <c r="H17" i="10"/>
  <c r="I17" i="10" s="1"/>
  <c r="H16" i="10"/>
  <c r="I16" i="10" s="1"/>
  <c r="H15" i="10"/>
  <c r="I15" i="10" s="1"/>
  <c r="H14" i="10"/>
  <c r="I14" i="10" s="1"/>
  <c r="H13" i="10"/>
  <c r="I13" i="10" s="1"/>
  <c r="H12" i="10"/>
  <c r="I12" i="10" s="1"/>
  <c r="H11" i="10"/>
  <c r="I11" i="10" s="1"/>
  <c r="H10" i="10"/>
  <c r="I10" i="10" s="1"/>
  <c r="H9" i="10"/>
  <c r="I9" i="10" s="1"/>
  <c r="H8" i="10"/>
  <c r="I8" i="10" s="1"/>
  <c r="H7" i="10"/>
  <c r="I7" i="10" s="1"/>
  <c r="H6" i="10"/>
  <c r="I6" i="10" s="1"/>
  <c r="H5" i="10"/>
  <c r="I5" i="10" s="1"/>
  <c r="H4" i="10"/>
  <c r="I4" i="10" s="1"/>
  <c r="H3" i="10"/>
  <c r="I3" i="10" s="1"/>
  <c r="H2" i="10"/>
  <c r="I2" i="10" s="1"/>
  <c r="B155" i="11" l="1" a="1"/>
  <c r="E51" i="7"/>
  <c r="N57" i="7" l="1"/>
  <c r="P57" i="7"/>
  <c r="E68" i="7" s="1"/>
  <c r="J57" i="7"/>
  <c r="E57" i="7"/>
  <c r="B155" i="11"/>
  <c r="R57" i="7"/>
  <c r="E50" i="7"/>
  <c r="U56" i="7" s="1"/>
  <c r="T56" i="7"/>
  <c r="X56" i="7"/>
  <c r="W56" i="7"/>
  <c r="V56" i="7"/>
  <c r="V58" i="7" l="1"/>
  <c r="V61" i="7" s="1"/>
  <c r="W58" i="7"/>
  <c r="W61" i="7" s="1"/>
  <c r="X57" i="7"/>
  <c r="U57" i="7"/>
  <c r="S57" i="7"/>
  <c r="T57" i="7"/>
  <c r="J56" i="7"/>
  <c r="J66" i="7" s="1"/>
  <c r="H56" i="7"/>
  <c r="H66" i="7" s="1"/>
  <c r="Q56" i="7"/>
  <c r="S56" i="7"/>
  <c r="P56" i="7"/>
  <c r="P66" i="7" s="1"/>
  <c r="E56" i="7"/>
  <c r="K56" i="7"/>
  <c r="K66" i="7" s="1"/>
  <c r="I56" i="7"/>
  <c r="I66" i="7" s="1"/>
  <c r="O56" i="7"/>
  <c r="O66" i="7" s="1"/>
  <c r="N56" i="7"/>
  <c r="N66" i="7" s="1"/>
  <c r="M56" i="7"/>
  <c r="M66" i="7" s="1"/>
  <c r="G56" i="7"/>
  <c r="G66" i="7" s="1"/>
  <c r="R56" i="7"/>
  <c r="F56" i="7"/>
  <c r="L56" i="7"/>
  <c r="L66" i="7" s="1"/>
  <c r="E66" i="7" l="1"/>
  <c r="E67" i="7" s="1"/>
  <c r="S58" i="7"/>
  <c r="S61" i="7" s="1"/>
  <c r="N58" i="7"/>
  <c r="N61" i="7" s="1"/>
  <c r="R58" i="7"/>
  <c r="R61" i="7" s="1"/>
  <c r="O58" i="7"/>
  <c r="O61" i="7" s="1"/>
  <c r="P58" i="7"/>
  <c r="P61" i="7" s="1"/>
  <c r="J58" i="7"/>
  <c r="J61" i="7" s="1"/>
  <c r="F58" i="7"/>
  <c r="F61" i="7" s="1"/>
  <c r="F62" i="7" s="1"/>
  <c r="G58" i="7"/>
  <c r="G61" i="7" s="1"/>
  <c r="I58" i="7"/>
  <c r="I61" i="7" s="1"/>
  <c r="L58" i="7"/>
  <c r="L61" i="7" s="1"/>
  <c r="M58" i="7"/>
  <c r="M61" i="7" s="1"/>
  <c r="K58" i="7"/>
  <c r="K61" i="7" s="1"/>
  <c r="Q58" i="7"/>
  <c r="Q61" i="7" s="1"/>
  <c r="X58" i="7"/>
  <c r="X61" i="7" s="1"/>
  <c r="E58" i="7"/>
  <c r="E61" i="7" s="1"/>
  <c r="H58" i="7"/>
  <c r="H61" i="7" s="1"/>
  <c r="T58" i="7"/>
  <c r="T61" i="7" s="1"/>
  <c r="U58" i="7"/>
  <c r="U61" i="7" s="1"/>
  <c r="E63" i="7" l="1"/>
  <c r="H19"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Fette</author>
    <author>tc={D4774442-580C-4851-BB9D-D3194ACC703E}</author>
  </authors>
  <commentList>
    <comment ref="AT2" authorId="0" shapeId="0" xr:uid="{3E24DF23-FC33-43E2-8535-73E6FEF99A51}">
      <text>
        <r>
          <rPr>
            <b/>
            <sz val="9"/>
            <color indexed="81"/>
            <rFont val="Tahoma"/>
            <family val="2"/>
          </rPr>
          <t xml:space="preserve">When Mat=AR,
</t>
        </r>
        <r>
          <rPr>
            <sz val="9"/>
            <color indexed="81"/>
            <rFont val="Tahoma"/>
            <family val="2"/>
          </rPr>
          <t>In the measure case there is end-of-life leakage in year 1 due to removal of the existing equipment.</t>
        </r>
      </text>
    </comment>
    <comment ref="C9" authorId="0" shapeId="0" xr:uid="{85D8B49F-C075-4F78-B6A7-8508892D5201}">
      <text>
        <r>
          <rPr>
            <b/>
            <sz val="9"/>
            <color indexed="81"/>
            <rFont val="Tahoma"/>
            <family val="2"/>
          </rPr>
          <t>Nicholas Fette:</t>
        </r>
        <r>
          <rPr>
            <sz val="9"/>
            <color indexed="81"/>
            <rFont val="Tahoma"/>
            <family val="2"/>
          </rPr>
          <t xml:space="preserve">
Enter the normalizing unit from the workpaper. Refrigerant quantities and NPV costs should all be normalized by the same unit. This field is an identifier only and is not referenced by any calculations.</t>
        </r>
      </text>
    </comment>
    <comment ref="E9" authorId="0" shapeId="0" xr:uid="{79D4095A-1189-496D-A0EC-48DF17A5F78A}">
      <text>
        <r>
          <rPr>
            <sz val="9"/>
            <color indexed="81"/>
            <rFont val="Tahoma"/>
            <family val="2"/>
          </rPr>
          <t xml:space="preserve">RUL Placeholder (not curently used in calculations)
</t>
        </r>
      </text>
    </comment>
    <comment ref="AO9" authorId="1" shapeId="0" xr:uid="{D4774442-580C-4851-BB9D-D3194ACC703E}">
      <text>
        <t>[Threaded comment]
Your version of Excel allows you to read this threaded comment; however, any edits to it will get removed if the file is opened in a newer version of Excel. Learn more: https://go.microsoft.com/fwlink/?linkid=870924
Comment:
    Found a bug: expected [@[Std Annual leakage tons CO2e]] in this column but found [@[Pre Annual leakage tons CO2e]]
Reply:
    Fixed</t>
      </text>
    </comment>
    <comment ref="AW9" authorId="0" shapeId="0" xr:uid="{6845E071-703F-4DC4-A4E7-A40A168F441B}">
      <text>
        <r>
          <rPr>
            <b/>
            <sz val="9"/>
            <color indexed="81"/>
            <rFont val="Tahoma"/>
            <family val="2"/>
          </rPr>
          <t>Output fields for Draft Resolution E-5152</t>
        </r>
      </text>
    </comment>
    <comment ref="BC9" authorId="0" shapeId="0" xr:uid="{DE7334E8-146D-4C71-8DAC-8D7260581CB1}">
      <text>
        <r>
          <rPr>
            <b/>
            <sz val="9"/>
            <color indexed="81"/>
            <rFont val="Tahoma"/>
            <family val="2"/>
          </rPr>
          <t>Output fields for CET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D27" authorId="0" shapeId="0" xr:uid="{45448697-571D-6A49-8233-483288C3539B}">
      <text>
        <r>
          <rPr>
            <b/>
            <sz val="10"/>
            <color rgb="FF000000"/>
            <rFont val="Tahoma"/>
            <family val="2"/>
          </rPr>
          <t>Microsoft Office User:</t>
        </r>
        <r>
          <rPr>
            <sz val="10"/>
            <color rgb="FF000000"/>
            <rFont val="Tahoma"/>
            <family val="2"/>
          </rPr>
          <t xml:space="preserve">
</t>
        </r>
        <r>
          <rPr>
            <sz val="10"/>
            <color rgb="FF000000"/>
            <rFont val="Tahoma"/>
            <family val="2"/>
          </rPr>
          <t>User-specified device lifetime should be used if at all possible, since the ARB average represents a wide range of devices.</t>
        </r>
      </text>
    </comment>
    <comment ref="D37" authorId="0" shapeId="0" xr:uid="{376385D7-F151-9449-B506-A793AFB72F41}">
      <text>
        <r>
          <rPr>
            <b/>
            <sz val="10"/>
            <color rgb="FF000000"/>
            <rFont val="Tahoma"/>
            <family val="2"/>
          </rPr>
          <t xml:space="preserve">2021:
Gabe Mantegna:
</t>
        </r>
        <r>
          <rPr>
            <sz val="10"/>
            <color rgb="FF000000"/>
            <rFont val="Tahoma"/>
            <family val="2"/>
          </rPr>
          <t>100-yr GWP is default value adopted by Commission. 20-yr GWP is an option for sensitivity analysis.</t>
        </r>
        <r>
          <rPr>
            <b/>
            <sz val="10"/>
            <color rgb="FF000000"/>
            <rFont val="Tahoma"/>
            <family val="2"/>
          </rPr>
          <t xml:space="preserve">
2020:</t>
        </r>
        <r>
          <rPr>
            <sz val="10"/>
            <color rgb="FF000000"/>
            <rFont val="Tahoma"/>
            <family val="2"/>
          </rPr>
          <t xml:space="preserve">
</t>
        </r>
        <r>
          <rPr>
            <sz val="10"/>
            <color rgb="FF000000"/>
            <rFont val="Calibri"/>
            <family val="2"/>
            <scheme val="minor"/>
          </rPr>
          <t xml:space="preserve">The CPUC is currently using 20-year GWPs to determine the avoided cost of DERs.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Gabe Mantegna</author>
    <author>Microsoft Office User</author>
  </authors>
  <commentList>
    <comment ref="A1" authorId="0" shapeId="0" xr:uid="{EB218D94-5A59-B649-9A67-D1C7096572FF}">
      <text>
        <r>
          <rPr>
            <b/>
            <sz val="9"/>
            <color rgb="FF000000"/>
            <rFont val="Tahoma"/>
            <family val="2"/>
          </rPr>
          <t>Gabe Mantegna:</t>
        </r>
        <r>
          <rPr>
            <sz val="9"/>
            <color rgb="FF000000"/>
            <rFont val="Tahoma"/>
            <family val="2"/>
          </rPr>
          <t xml:space="preserve">
</t>
        </r>
        <r>
          <rPr>
            <sz val="9"/>
            <color rgb="FF000000"/>
            <rFont val="Tahoma"/>
            <family val="2"/>
          </rPr>
          <t>This tab copied from ACC.</t>
        </r>
      </text>
    </comment>
    <comment ref="H1" authorId="1" shapeId="0" xr:uid="{8B31660C-7B1F-874B-BBCC-BB545B003436}">
      <text>
        <r>
          <rPr>
            <b/>
            <sz val="10"/>
            <color rgb="FF000000"/>
            <rFont val="Tahoma"/>
            <family val="2"/>
          </rPr>
          <t>Microsoft Office User:</t>
        </r>
        <r>
          <rPr>
            <sz val="10"/>
            <color rgb="FF000000"/>
            <rFont val="Tahoma"/>
            <family val="2"/>
          </rPr>
          <t xml:space="preserve">
</t>
        </r>
        <r>
          <rPr>
            <sz val="10"/>
            <color rgb="FF000000"/>
            <rFont val="Tahoma"/>
            <family val="2"/>
          </rPr>
          <t>Primary values for use from this tab. Equal to (q_ann,i * t_i + q_EOL,i * (1 - q_ann,i * t_EOL,i)) in documentation</t>
        </r>
      </text>
    </comment>
    <comment ref="I1" authorId="1" shapeId="0" xr:uid="{469270AC-667E-954B-B50A-7FE03ECA15BC}">
      <text>
        <r>
          <rPr>
            <b/>
            <sz val="10"/>
            <color rgb="FF000000"/>
            <rFont val="Tahoma"/>
            <family val="2"/>
          </rPr>
          <t>Microsoft Office User:</t>
        </r>
        <r>
          <rPr>
            <sz val="10"/>
            <color rgb="FF000000"/>
            <rFont val="Tahoma"/>
            <family val="2"/>
          </rPr>
          <t xml:space="preserve">
</t>
        </r>
        <r>
          <rPr>
            <sz val="10"/>
            <color rgb="FF000000"/>
            <rFont val="Tahoma"/>
            <family val="2"/>
          </rPr>
          <t>Illustrative only. Must use actual refrigerant charge for calculations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Gabe Mantegna</author>
    <author>Nicholas Fette</author>
  </authors>
  <commentList>
    <comment ref="A1" authorId="0" shapeId="0" xr:uid="{5CCE748F-ADCD-C645-8699-90C3A6E12A96}">
      <text>
        <r>
          <rPr>
            <b/>
            <sz val="9"/>
            <color rgb="FF000000"/>
            <rFont val="Tahoma"/>
            <family val="2"/>
          </rPr>
          <t>Gabe Mantegna:</t>
        </r>
        <r>
          <rPr>
            <sz val="9"/>
            <color rgb="FF000000"/>
            <rFont val="Tahoma"/>
            <family val="2"/>
          </rPr>
          <t xml:space="preserve">
</t>
        </r>
        <r>
          <rPr>
            <sz val="9"/>
            <color rgb="FF000000"/>
            <rFont val="Tahoma"/>
            <family val="2"/>
          </rPr>
          <t>This tab copied from ACC.</t>
        </r>
      </text>
    </comment>
    <comment ref="A155" authorId="1" shapeId="0" xr:uid="{020496CD-4759-4B6C-AAB6-ED1A2DFB45B0}">
      <text>
        <r>
          <rPr>
            <b/>
            <sz val="9"/>
            <color indexed="81"/>
            <rFont val="Tahoma"/>
            <family val="2"/>
          </rPr>
          <t>Nicholas Fette:</t>
        </r>
        <r>
          <rPr>
            <sz val="9"/>
            <color indexed="81"/>
            <rFont val="Tahoma"/>
            <family val="2"/>
          </rPr>
          <t xml:space="preserve">
Alias for CO2 added 2021-07-20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<sst xmlns="http://schemas.openxmlformats.org/spreadsheetml/2006/main" count="1137" uniqueCount="810">
  <si>
    <t>Cell Color Coding</t>
  </si>
  <si>
    <t>Calculated Input</t>
  </si>
  <si>
    <t>Lookup Formula</t>
  </si>
  <si>
    <t>Final Outputs</t>
  </si>
  <si>
    <t>Input Value</t>
  </si>
  <si>
    <t>Notes</t>
  </si>
  <si>
    <t>Device type</t>
  </si>
  <si>
    <t>Device refrigerant used</t>
  </si>
  <si>
    <t>Sector</t>
  </si>
  <si>
    <t>Average lifetime (years)</t>
  </si>
  <si>
    <t>Average charge size (amount of refrigerant) in lbs. per unit</t>
  </si>
  <si>
    <t>Average annual leak rate (q_ann)</t>
  </si>
  <si>
    <t>Average end-of-life loss rate of remaining refrigerant (q_EOL)</t>
  </si>
  <si>
    <t>Number of years prior to EOL with no "top-off" refrigerant added to replace full charge (t_EOL)</t>
  </si>
  <si>
    <t>Percentage of refrigerant charge lost during lifetime</t>
  </si>
  <si>
    <t>Mass of refrigerant lost during lifetime for average unit (lbs)</t>
  </si>
  <si>
    <t>Stationary Refrigeration</t>
  </si>
  <si>
    <t xml:space="preserve">Large retail food refrigeration 2,000 lbs. + </t>
  </si>
  <si>
    <t xml:space="preserve">Medium retail food refrigeration 200-2,000 lbs. </t>
  </si>
  <si>
    <t xml:space="preserve">Small retail food refrigeration 50-200 lbs. </t>
  </si>
  <si>
    <t>Sub-small retail food refrigeration &lt; 50 lbs.</t>
  </si>
  <si>
    <t xml:space="preserve">Large commercial refrigeration 2,000 lbs. + </t>
  </si>
  <si>
    <t xml:space="preserve">Medium commercial refrigeration 200-2,000 lbs. </t>
  </si>
  <si>
    <t xml:space="preserve">Small commercial refrigeration 50-200 lbs. </t>
  </si>
  <si>
    <t>Sub-small commercial refrigeration &lt; 50 lbs.</t>
  </si>
  <si>
    <t>Large cold storage 2,000 lbs. +</t>
  </si>
  <si>
    <t>Medium cold storage 200-2,000 lbs.</t>
  </si>
  <si>
    <t>Small cold storage 50-200 lbs.</t>
  </si>
  <si>
    <t>Large industrial process cooling 2,000 lbs. +</t>
  </si>
  <si>
    <t>Medium industrial process cooling 200-2,000 lbs.</t>
  </si>
  <si>
    <t>Small industrial process cooling 50-200 lbs.</t>
  </si>
  <si>
    <t>Stand alone (self-contained) refrig units</t>
  </si>
  <si>
    <t>Refrigerated Food Processing and Dispensing Equipment</t>
  </si>
  <si>
    <t>Commercial Ice Machines</t>
  </si>
  <si>
    <t>Water Coolers - Drinking Fountains</t>
  </si>
  <si>
    <t>Refrigerated vending machines</t>
  </si>
  <si>
    <t>Heat Pump Water Heaters</t>
  </si>
  <si>
    <t>Heat Pump Clothes Dryers</t>
  </si>
  <si>
    <t>Household refrigerator freezer</t>
  </si>
  <si>
    <t>Stationary Air-conditioning</t>
  </si>
  <si>
    <t>Large Chiller 2,000 lbs. +</t>
  </si>
  <si>
    <t>Medium Chiller 200-2,000 lbs.</t>
  </si>
  <si>
    <t>Commercial Unitary AC 50-200 lbs., &gt; 135,000 BTUh size</t>
  </si>
  <si>
    <t>Commercial Unitary AC, &lt; 50-lbs., &lt; 135,000 BTUh size (includes smaller "residential-type" central AC and heat pumps)</t>
  </si>
  <si>
    <t>Window/Room AC and PTAC Units, commercial</t>
  </si>
  <si>
    <t>Residential Unitary AC</t>
  </si>
  <si>
    <t>Residential Heat Pumps</t>
  </si>
  <si>
    <t>Window/Room/Wall AC and Packaged Terminal AC (PTAC) Units, residential</t>
  </si>
  <si>
    <t>Portable AC</t>
  </si>
  <si>
    <t>Dehumidifiers</t>
  </si>
  <si>
    <t>MVAC and Transport Refrigeration</t>
  </si>
  <si>
    <t>Mobile Vehicle AC (MVAC) Light Duty (LD)</t>
  </si>
  <si>
    <t>MVAC Heavy Duty (HD) (non-bus)</t>
  </si>
  <si>
    <t>MVAC Bus</t>
  </si>
  <si>
    <t>MVAC Off-Road</t>
  </si>
  <si>
    <t>Transport Refrigerated Units (TRUs)</t>
  </si>
  <si>
    <t>Refrigerated Shipping Containers</t>
  </si>
  <si>
    <t>Ships</t>
  </si>
  <si>
    <t>Common name of refrigerant/GHG</t>
  </si>
  <si>
    <t xml:space="preserve">Full Name </t>
  </si>
  <si>
    <t>Atmospheric Life Time in Years</t>
  </si>
  <si>
    <t>100-year GWP Values from IPCC Fourth Assessment Report (AR4) (2007)</t>
  </si>
  <si>
    <t>20-year GWP Values from IPCC Fourth Assessment Report (AR4) (2007)</t>
  </si>
  <si>
    <t>CFC-11</t>
  </si>
  <si>
    <r>
      <t>Trichlorofluoromethane (CCl</t>
    </r>
    <r>
      <rPr>
        <vertAlign val="subscript"/>
        <sz val="10"/>
        <rFont val="Arial"/>
        <family val="2"/>
      </rPr>
      <t>3</t>
    </r>
    <r>
      <rPr>
        <sz val="11"/>
        <color theme="1"/>
        <rFont val="Calibri"/>
        <family val="2"/>
        <scheme val="minor"/>
      </rPr>
      <t>F)</t>
    </r>
  </si>
  <si>
    <t>CFC-12</t>
  </si>
  <si>
    <r>
      <t>Dichlorodifluoromethane (CCl</t>
    </r>
    <r>
      <rPr>
        <vertAlign val="subscript"/>
        <sz val="10"/>
        <rFont val="Arial"/>
        <family val="2"/>
      </rPr>
      <t>2</t>
    </r>
    <r>
      <rPr>
        <sz val="11"/>
        <color theme="1"/>
        <rFont val="Calibri"/>
        <family val="2"/>
        <scheme val="minor"/>
      </rPr>
      <t>F</t>
    </r>
    <r>
      <rPr>
        <vertAlign val="subscript"/>
        <sz val="10"/>
        <rFont val="Arial"/>
        <family val="2"/>
      </rPr>
      <t>2</t>
    </r>
    <r>
      <rPr>
        <sz val="11"/>
        <color theme="1"/>
        <rFont val="Calibri"/>
        <family val="2"/>
        <scheme val="minor"/>
      </rPr>
      <t xml:space="preserve">) </t>
    </r>
  </si>
  <si>
    <t>CFC-13</t>
  </si>
  <si>
    <r>
      <t>Chlorotrifluoromethane (CClF</t>
    </r>
    <r>
      <rPr>
        <vertAlign val="subscript"/>
        <sz val="10"/>
        <rFont val="Arial"/>
        <family val="2"/>
      </rPr>
      <t>3</t>
    </r>
    <r>
      <rPr>
        <sz val="11"/>
        <color theme="1"/>
        <rFont val="Calibri"/>
        <family val="2"/>
        <scheme val="minor"/>
      </rPr>
      <t>)</t>
    </r>
  </si>
  <si>
    <t>CFC-113</t>
  </si>
  <si>
    <r>
      <t>1,1,2-Trichlorotrifluoroethane (C</t>
    </r>
    <r>
      <rPr>
        <vertAlign val="subscript"/>
        <sz val="10"/>
        <rFont val="Arial"/>
        <family val="2"/>
      </rPr>
      <t>2</t>
    </r>
    <r>
      <rPr>
        <sz val="11"/>
        <color theme="1"/>
        <rFont val="Calibri"/>
        <family val="2"/>
        <scheme val="minor"/>
      </rPr>
      <t>F</t>
    </r>
    <r>
      <rPr>
        <vertAlign val="subscript"/>
        <sz val="10"/>
        <rFont val="Arial"/>
        <family val="2"/>
      </rPr>
      <t>3</t>
    </r>
    <r>
      <rPr>
        <sz val="11"/>
        <color theme="1"/>
        <rFont val="Calibri"/>
        <family val="2"/>
        <scheme val="minor"/>
      </rPr>
      <t>Cl</t>
    </r>
    <r>
      <rPr>
        <vertAlign val="subscript"/>
        <sz val="10"/>
        <rFont val="Arial"/>
        <family val="2"/>
      </rPr>
      <t>3</t>
    </r>
    <r>
      <rPr>
        <sz val="11"/>
        <color theme="1"/>
        <rFont val="Calibri"/>
        <family val="2"/>
        <scheme val="minor"/>
      </rPr>
      <t xml:space="preserve">)    </t>
    </r>
  </si>
  <si>
    <t>CFC-114</t>
  </si>
  <si>
    <r>
      <t>Dichlorotetrafluoroethane (C</t>
    </r>
    <r>
      <rPr>
        <vertAlign val="subscript"/>
        <sz val="10"/>
        <rFont val="Arial"/>
        <family val="2"/>
      </rPr>
      <t>2</t>
    </r>
    <r>
      <rPr>
        <sz val="11"/>
        <color theme="1"/>
        <rFont val="Calibri"/>
        <family val="2"/>
        <scheme val="minor"/>
      </rPr>
      <t>F</t>
    </r>
    <r>
      <rPr>
        <vertAlign val="subscript"/>
        <sz val="10"/>
        <rFont val="Arial"/>
        <family val="2"/>
      </rPr>
      <t>4</t>
    </r>
    <r>
      <rPr>
        <sz val="11"/>
        <color theme="1"/>
        <rFont val="Calibri"/>
        <family val="2"/>
        <scheme val="minor"/>
      </rPr>
      <t>Cl</t>
    </r>
    <r>
      <rPr>
        <vertAlign val="subscript"/>
        <sz val="10"/>
        <rFont val="Arial"/>
        <family val="2"/>
      </rPr>
      <t>2</t>
    </r>
    <r>
      <rPr>
        <sz val="11"/>
        <color theme="1"/>
        <rFont val="Calibri"/>
        <family val="2"/>
        <scheme val="minor"/>
      </rPr>
      <t>)</t>
    </r>
  </si>
  <si>
    <t>CFC-115</t>
  </si>
  <si>
    <r>
      <t>Monochloropentafluoroethane (C</t>
    </r>
    <r>
      <rPr>
        <vertAlign val="subscript"/>
        <sz val="10"/>
        <rFont val="Arial"/>
        <family val="2"/>
      </rPr>
      <t>2</t>
    </r>
    <r>
      <rPr>
        <sz val="11"/>
        <color theme="1"/>
        <rFont val="Calibri"/>
        <family val="2"/>
        <scheme val="minor"/>
      </rPr>
      <t>F</t>
    </r>
    <r>
      <rPr>
        <vertAlign val="subscript"/>
        <sz val="10"/>
        <rFont val="Arial"/>
        <family val="2"/>
      </rPr>
      <t>5</t>
    </r>
    <r>
      <rPr>
        <sz val="11"/>
        <color theme="1"/>
        <rFont val="Calibri"/>
        <family val="2"/>
        <scheme val="minor"/>
      </rPr>
      <t>Cl)</t>
    </r>
  </si>
  <si>
    <t>Halon 1211</t>
  </si>
  <si>
    <r>
      <t>Bromochlorodifluoromethane (CF</t>
    </r>
    <r>
      <rPr>
        <vertAlign val="subscript"/>
        <sz val="10"/>
        <rFont val="Arial"/>
        <family val="2"/>
      </rPr>
      <t>2</t>
    </r>
    <r>
      <rPr>
        <sz val="11"/>
        <color theme="1"/>
        <rFont val="Calibri"/>
        <family val="2"/>
        <scheme val="minor"/>
      </rPr>
      <t>ClBr)</t>
    </r>
  </si>
  <si>
    <t>Halon 1301</t>
  </si>
  <si>
    <r>
      <t>Bromotrifluoromethane (CF</t>
    </r>
    <r>
      <rPr>
        <vertAlign val="subscript"/>
        <sz val="10"/>
        <rFont val="Arial"/>
        <family val="2"/>
      </rPr>
      <t>3</t>
    </r>
    <r>
      <rPr>
        <sz val="11"/>
        <color theme="1"/>
        <rFont val="Calibri"/>
        <family val="2"/>
        <scheme val="minor"/>
      </rPr>
      <t>Br)</t>
    </r>
  </si>
  <si>
    <t>Halon 2402</t>
  </si>
  <si>
    <r>
      <t>Dibromotetrafluoroethane (C</t>
    </r>
    <r>
      <rPr>
        <vertAlign val="subscript"/>
        <sz val="10"/>
        <rFont val="Arial"/>
        <family val="2"/>
      </rPr>
      <t>2</t>
    </r>
    <r>
      <rPr>
        <sz val="11"/>
        <color theme="1"/>
        <rFont val="Calibri"/>
        <family val="2"/>
        <scheme val="minor"/>
      </rPr>
      <t>F</t>
    </r>
    <r>
      <rPr>
        <vertAlign val="subscript"/>
        <sz val="10"/>
        <rFont val="Arial"/>
        <family val="2"/>
      </rPr>
      <t>4</t>
    </r>
    <r>
      <rPr>
        <sz val="11"/>
        <color theme="1"/>
        <rFont val="Calibri"/>
        <family val="2"/>
        <scheme val="minor"/>
      </rPr>
      <t>Br</t>
    </r>
    <r>
      <rPr>
        <vertAlign val="subscript"/>
        <sz val="10"/>
        <rFont val="Arial"/>
        <family val="2"/>
      </rPr>
      <t>2</t>
    </r>
    <r>
      <rPr>
        <sz val="11"/>
        <color theme="1"/>
        <rFont val="Calibri"/>
        <family val="2"/>
        <scheme val="minor"/>
      </rPr>
      <t>)</t>
    </r>
  </si>
  <si>
    <t>Carbon tetrachloride</t>
  </si>
  <si>
    <r>
      <t>Carbon tetrachloride (CCl</t>
    </r>
    <r>
      <rPr>
        <vertAlign val="subscript"/>
        <sz val="10"/>
        <rFont val="Arial"/>
        <family val="2"/>
      </rPr>
      <t>4</t>
    </r>
    <r>
      <rPr>
        <sz val="11"/>
        <color theme="1"/>
        <rFont val="Calibri"/>
        <family val="2"/>
        <scheme val="minor"/>
      </rPr>
      <t>)</t>
    </r>
  </si>
  <si>
    <t>Methyl bromide</t>
  </si>
  <si>
    <r>
      <t>Methyl bromide (CH</t>
    </r>
    <r>
      <rPr>
        <vertAlign val="subscript"/>
        <sz val="10"/>
        <rFont val="Arial"/>
        <family val="2"/>
      </rPr>
      <t>3</t>
    </r>
    <r>
      <rPr>
        <sz val="11"/>
        <color theme="1"/>
        <rFont val="Calibri"/>
        <family val="2"/>
        <scheme val="minor"/>
      </rPr>
      <t>Br)</t>
    </r>
  </si>
  <si>
    <t>Methyl chloroform (R-140a)</t>
  </si>
  <si>
    <r>
      <t>1,1,1-trichloroethane (C</t>
    </r>
    <r>
      <rPr>
        <vertAlign val="subscript"/>
        <sz val="10"/>
        <rFont val="Arial"/>
        <family val="2"/>
      </rPr>
      <t>2</t>
    </r>
    <r>
      <rPr>
        <sz val="11"/>
        <color theme="1"/>
        <rFont val="Calibri"/>
        <family val="2"/>
        <scheme val="minor"/>
      </rPr>
      <t>H</t>
    </r>
    <r>
      <rPr>
        <vertAlign val="subscript"/>
        <sz val="10"/>
        <rFont val="Arial"/>
        <family val="2"/>
      </rPr>
      <t>3</t>
    </r>
    <r>
      <rPr>
        <sz val="11"/>
        <color theme="1"/>
        <rFont val="Calibri"/>
        <family val="2"/>
        <scheme val="minor"/>
      </rPr>
      <t>Cl</t>
    </r>
    <r>
      <rPr>
        <vertAlign val="subscript"/>
        <sz val="10"/>
        <rFont val="Arial"/>
        <family val="2"/>
      </rPr>
      <t>3</t>
    </r>
    <r>
      <rPr>
        <sz val="11"/>
        <color theme="1"/>
        <rFont val="Calibri"/>
        <family val="2"/>
        <scheme val="minor"/>
      </rPr>
      <t>)</t>
    </r>
  </si>
  <si>
    <t>Methylene chloride</t>
  </si>
  <si>
    <r>
      <t>Dichloromethane (CH</t>
    </r>
    <r>
      <rPr>
        <vertAlign val="subscript"/>
        <sz val="10"/>
        <rFont val="Arial"/>
        <family val="2"/>
      </rPr>
      <t>2</t>
    </r>
    <r>
      <rPr>
        <sz val="11"/>
        <color theme="1"/>
        <rFont val="Calibri"/>
        <family val="2"/>
        <scheme val="minor"/>
      </rPr>
      <t>Cl</t>
    </r>
    <r>
      <rPr>
        <vertAlign val="subscript"/>
        <sz val="10"/>
        <rFont val="Arial"/>
        <family val="2"/>
      </rPr>
      <t>2</t>
    </r>
    <r>
      <rPr>
        <sz val="11"/>
        <color theme="1"/>
        <rFont val="Calibri"/>
        <family val="2"/>
        <scheme val="minor"/>
      </rPr>
      <t>)</t>
    </r>
  </si>
  <si>
    <t>HCFC-21</t>
  </si>
  <si>
    <r>
      <t>Dichlorofluoromethane (CHFCl</t>
    </r>
    <r>
      <rPr>
        <vertAlign val="subscript"/>
        <sz val="10"/>
        <rFont val="Arial"/>
        <family val="2"/>
      </rPr>
      <t>2</t>
    </r>
    <r>
      <rPr>
        <sz val="10"/>
        <rFont val="Arial"/>
        <family val="2"/>
      </rPr>
      <t>)</t>
    </r>
  </si>
  <si>
    <t>HCFC-22</t>
  </si>
  <si>
    <r>
      <t>Monochlorodifluoromethane (CHClF</t>
    </r>
    <r>
      <rPr>
        <vertAlign val="subscript"/>
        <sz val="10"/>
        <rFont val="Arial"/>
        <family val="2"/>
      </rPr>
      <t>2</t>
    </r>
    <r>
      <rPr>
        <sz val="11"/>
        <color theme="1"/>
        <rFont val="Calibri"/>
        <family val="2"/>
        <scheme val="minor"/>
      </rPr>
      <t>)</t>
    </r>
  </si>
  <si>
    <t>HCFC-123</t>
  </si>
  <si>
    <r>
      <t>Dichlorotrifluoroethane (C</t>
    </r>
    <r>
      <rPr>
        <vertAlign val="subscript"/>
        <sz val="10"/>
        <rFont val="Arial"/>
        <family val="2"/>
      </rPr>
      <t>2</t>
    </r>
    <r>
      <rPr>
        <sz val="11"/>
        <color theme="1"/>
        <rFont val="Calibri"/>
        <family val="2"/>
        <scheme val="minor"/>
      </rPr>
      <t>HF</t>
    </r>
    <r>
      <rPr>
        <vertAlign val="subscript"/>
        <sz val="10"/>
        <rFont val="Arial"/>
        <family val="2"/>
      </rPr>
      <t>3</t>
    </r>
    <r>
      <rPr>
        <sz val="11"/>
        <color theme="1"/>
        <rFont val="Calibri"/>
        <family val="2"/>
        <scheme val="minor"/>
      </rPr>
      <t>Cl</t>
    </r>
    <r>
      <rPr>
        <vertAlign val="subscript"/>
        <sz val="10"/>
        <rFont val="Arial"/>
        <family val="2"/>
      </rPr>
      <t>2</t>
    </r>
    <r>
      <rPr>
        <sz val="11"/>
        <color theme="1"/>
        <rFont val="Calibri"/>
        <family val="2"/>
        <scheme val="minor"/>
      </rPr>
      <t>)</t>
    </r>
  </si>
  <si>
    <t>HCFC-124</t>
  </si>
  <si>
    <r>
      <t>Monochlorotetrafluoroethane (C</t>
    </r>
    <r>
      <rPr>
        <vertAlign val="subscript"/>
        <sz val="10"/>
        <rFont val="Arial"/>
        <family val="2"/>
      </rPr>
      <t>2</t>
    </r>
    <r>
      <rPr>
        <sz val="11"/>
        <color theme="1"/>
        <rFont val="Calibri"/>
        <family val="2"/>
        <scheme val="minor"/>
      </rPr>
      <t>HF</t>
    </r>
    <r>
      <rPr>
        <vertAlign val="subscript"/>
        <sz val="10"/>
        <rFont val="Arial"/>
        <family val="2"/>
      </rPr>
      <t>4</t>
    </r>
    <r>
      <rPr>
        <sz val="11"/>
        <color theme="1"/>
        <rFont val="Calibri"/>
        <family val="2"/>
        <scheme val="minor"/>
      </rPr>
      <t>Cl)</t>
    </r>
  </si>
  <si>
    <t>HCFC-141b</t>
  </si>
  <si>
    <r>
      <t>Dichlorofluoroethane (C</t>
    </r>
    <r>
      <rPr>
        <vertAlign val="subscript"/>
        <sz val="10"/>
        <rFont val="Arial"/>
        <family val="2"/>
      </rPr>
      <t>2</t>
    </r>
    <r>
      <rPr>
        <sz val="11"/>
        <color theme="1"/>
        <rFont val="Calibri"/>
        <family val="2"/>
        <scheme val="minor"/>
      </rPr>
      <t>H</t>
    </r>
    <r>
      <rPr>
        <vertAlign val="subscript"/>
        <sz val="10"/>
        <rFont val="Arial"/>
        <family val="2"/>
      </rPr>
      <t>3</t>
    </r>
    <r>
      <rPr>
        <sz val="11"/>
        <color theme="1"/>
        <rFont val="Calibri"/>
        <family val="2"/>
        <scheme val="minor"/>
      </rPr>
      <t>FCl</t>
    </r>
    <r>
      <rPr>
        <vertAlign val="subscript"/>
        <sz val="10"/>
        <rFont val="Arial"/>
        <family val="2"/>
      </rPr>
      <t>2</t>
    </r>
    <r>
      <rPr>
        <sz val="11"/>
        <color theme="1"/>
        <rFont val="Calibri"/>
        <family val="2"/>
        <scheme val="minor"/>
      </rPr>
      <t>)</t>
    </r>
  </si>
  <si>
    <t>HCFC-142b</t>
  </si>
  <si>
    <r>
      <t>Monochlorodifluoroethane (C</t>
    </r>
    <r>
      <rPr>
        <vertAlign val="subscript"/>
        <sz val="10"/>
        <rFont val="Arial"/>
        <family val="2"/>
      </rPr>
      <t>2</t>
    </r>
    <r>
      <rPr>
        <sz val="11"/>
        <color theme="1"/>
        <rFont val="Calibri"/>
        <family val="2"/>
        <scheme val="minor"/>
      </rPr>
      <t>H</t>
    </r>
    <r>
      <rPr>
        <vertAlign val="subscript"/>
        <sz val="10"/>
        <rFont val="Arial"/>
        <family val="2"/>
      </rPr>
      <t>3</t>
    </r>
    <r>
      <rPr>
        <sz val="11"/>
        <color theme="1"/>
        <rFont val="Calibri"/>
        <family val="2"/>
        <scheme val="minor"/>
      </rPr>
      <t>F</t>
    </r>
    <r>
      <rPr>
        <vertAlign val="subscript"/>
        <sz val="10"/>
        <rFont val="Arial"/>
        <family val="2"/>
      </rPr>
      <t>2</t>
    </r>
    <r>
      <rPr>
        <sz val="11"/>
        <color theme="1"/>
        <rFont val="Calibri"/>
        <family val="2"/>
        <scheme val="minor"/>
      </rPr>
      <t>Cl)</t>
    </r>
  </si>
  <si>
    <t>HCFC-225ca</t>
  </si>
  <si>
    <r>
      <t>Dichloropentafluoropropane (C</t>
    </r>
    <r>
      <rPr>
        <vertAlign val="subscript"/>
        <sz val="10"/>
        <rFont val="Arial"/>
        <family val="2"/>
      </rPr>
      <t>3</t>
    </r>
    <r>
      <rPr>
        <sz val="11"/>
        <color theme="1"/>
        <rFont val="Calibri"/>
        <family val="2"/>
        <scheme val="minor"/>
      </rPr>
      <t>HF</t>
    </r>
    <r>
      <rPr>
        <vertAlign val="subscript"/>
        <sz val="10"/>
        <rFont val="Arial"/>
        <family val="2"/>
      </rPr>
      <t>5</t>
    </r>
    <r>
      <rPr>
        <sz val="11"/>
        <color theme="1"/>
        <rFont val="Calibri"/>
        <family val="2"/>
        <scheme val="minor"/>
      </rPr>
      <t>Cl</t>
    </r>
    <r>
      <rPr>
        <vertAlign val="subscript"/>
        <sz val="10"/>
        <rFont val="Arial"/>
        <family val="2"/>
      </rPr>
      <t>2</t>
    </r>
    <r>
      <rPr>
        <sz val="11"/>
        <color theme="1"/>
        <rFont val="Calibri"/>
        <family val="2"/>
        <scheme val="minor"/>
      </rPr>
      <t>)</t>
    </r>
  </si>
  <si>
    <t>HCFC-225cb</t>
  </si>
  <si>
    <r>
      <t>Dichloropentafluoropropane (CHClFCF</t>
    </r>
    <r>
      <rPr>
        <vertAlign val="subscript"/>
        <sz val="10"/>
        <rFont val="Arial"/>
        <family val="2"/>
      </rPr>
      <t>2</t>
    </r>
    <r>
      <rPr>
        <sz val="11"/>
        <color theme="1"/>
        <rFont val="Calibri"/>
        <family val="2"/>
        <scheme val="minor"/>
      </rPr>
      <t>CClF</t>
    </r>
    <r>
      <rPr>
        <vertAlign val="subscript"/>
        <sz val="10"/>
        <rFont val="Arial"/>
        <family val="2"/>
      </rPr>
      <t>2</t>
    </r>
    <r>
      <rPr>
        <sz val="11"/>
        <color theme="1"/>
        <rFont val="Calibri"/>
        <family val="2"/>
        <scheme val="minor"/>
      </rPr>
      <t>)</t>
    </r>
  </si>
  <si>
    <t>Carbon Dioxide</t>
  </si>
  <si>
    <r>
      <t>Carbon Dioxide (CO</t>
    </r>
    <r>
      <rPr>
        <vertAlign val="subscript"/>
        <sz val="10"/>
        <rFont val="Arial"/>
        <family val="2"/>
      </rPr>
      <t>2</t>
    </r>
    <r>
      <rPr>
        <sz val="11"/>
        <color theme="1"/>
        <rFont val="Calibri"/>
        <family val="2"/>
        <scheme val="minor"/>
      </rPr>
      <t>)</t>
    </r>
  </si>
  <si>
    <t>50-200</t>
  </si>
  <si>
    <t>Methane</t>
  </si>
  <si>
    <r>
      <t>Methane (CH</t>
    </r>
    <r>
      <rPr>
        <vertAlign val="subscript"/>
        <sz val="10"/>
        <rFont val="Arial"/>
        <family val="2"/>
      </rPr>
      <t>4</t>
    </r>
    <r>
      <rPr>
        <sz val="11"/>
        <color theme="1"/>
        <rFont val="Calibri"/>
        <family val="2"/>
        <scheme val="minor"/>
      </rPr>
      <t>)</t>
    </r>
  </si>
  <si>
    <t>Nitrous Oxide</t>
  </si>
  <si>
    <r>
      <t>Nitrous Oxide (N</t>
    </r>
    <r>
      <rPr>
        <vertAlign val="subscript"/>
        <sz val="10"/>
        <rFont val="Arial"/>
        <family val="2"/>
      </rPr>
      <t>2</t>
    </r>
    <r>
      <rPr>
        <sz val="11"/>
        <color theme="1"/>
        <rFont val="Calibri"/>
        <family val="2"/>
        <scheme val="minor"/>
      </rPr>
      <t>O)</t>
    </r>
  </si>
  <si>
    <t>HFC-23</t>
  </si>
  <si>
    <r>
      <t>Trifluoromethane (CHF</t>
    </r>
    <r>
      <rPr>
        <vertAlign val="subscript"/>
        <sz val="10"/>
        <rFont val="Arial"/>
        <family val="2"/>
      </rPr>
      <t>3</t>
    </r>
    <r>
      <rPr>
        <sz val="11"/>
        <color theme="1"/>
        <rFont val="Calibri"/>
        <family val="2"/>
        <scheme val="minor"/>
      </rPr>
      <t xml:space="preserve">) </t>
    </r>
  </si>
  <si>
    <t>HFC-32</t>
  </si>
  <si>
    <r>
      <t>Difluoromethane (CH</t>
    </r>
    <r>
      <rPr>
        <vertAlign val="subscript"/>
        <sz val="10"/>
        <rFont val="Arial"/>
        <family val="2"/>
      </rPr>
      <t>2</t>
    </r>
    <r>
      <rPr>
        <sz val="11"/>
        <color theme="1"/>
        <rFont val="Calibri"/>
        <family val="2"/>
        <scheme val="minor"/>
      </rPr>
      <t>F</t>
    </r>
    <r>
      <rPr>
        <vertAlign val="subscript"/>
        <sz val="10"/>
        <rFont val="Arial"/>
        <family val="2"/>
      </rPr>
      <t>2</t>
    </r>
    <r>
      <rPr>
        <sz val="11"/>
        <color theme="1"/>
        <rFont val="Calibri"/>
        <family val="2"/>
        <scheme val="minor"/>
      </rPr>
      <t xml:space="preserve">) </t>
    </r>
  </si>
  <si>
    <t>HFC-125</t>
  </si>
  <si>
    <r>
      <t>Pentafluoroethane (C</t>
    </r>
    <r>
      <rPr>
        <vertAlign val="subscript"/>
        <sz val="10"/>
        <rFont val="Arial"/>
        <family val="2"/>
      </rPr>
      <t>2</t>
    </r>
    <r>
      <rPr>
        <sz val="11"/>
        <color theme="1"/>
        <rFont val="Calibri"/>
        <family val="2"/>
        <scheme val="minor"/>
      </rPr>
      <t>HF</t>
    </r>
    <r>
      <rPr>
        <vertAlign val="subscript"/>
        <sz val="10"/>
        <rFont val="Arial"/>
        <family val="2"/>
      </rPr>
      <t>5</t>
    </r>
    <r>
      <rPr>
        <sz val="11"/>
        <color theme="1"/>
        <rFont val="Calibri"/>
        <family val="2"/>
        <scheme val="minor"/>
      </rPr>
      <t>)</t>
    </r>
  </si>
  <si>
    <t>HFC-134a</t>
  </si>
  <si>
    <r>
      <t>1,1,1,2-Tetrafluoroethane (CH</t>
    </r>
    <r>
      <rPr>
        <vertAlign val="subscript"/>
        <sz val="10"/>
        <rFont val="Arial"/>
        <family val="2"/>
      </rPr>
      <t>2</t>
    </r>
    <r>
      <rPr>
        <sz val="11"/>
        <color theme="1"/>
        <rFont val="Calibri"/>
        <family val="2"/>
        <scheme val="minor"/>
      </rPr>
      <t>FCF</t>
    </r>
    <r>
      <rPr>
        <vertAlign val="subscript"/>
        <sz val="10"/>
        <rFont val="Arial"/>
        <family val="2"/>
      </rPr>
      <t>3</t>
    </r>
    <r>
      <rPr>
        <sz val="11"/>
        <color theme="1"/>
        <rFont val="Calibri"/>
        <family val="2"/>
        <scheme val="minor"/>
      </rPr>
      <t>)</t>
    </r>
  </si>
  <si>
    <t>HFC-143a</t>
  </si>
  <si>
    <r>
      <t>1,1,1-Trifluoroethane (C</t>
    </r>
    <r>
      <rPr>
        <vertAlign val="subscript"/>
        <sz val="10"/>
        <rFont val="Arial"/>
        <family val="2"/>
      </rPr>
      <t>2</t>
    </r>
    <r>
      <rPr>
        <sz val="11"/>
        <color theme="1"/>
        <rFont val="Calibri"/>
        <family val="2"/>
        <scheme val="minor"/>
      </rPr>
      <t>H</t>
    </r>
    <r>
      <rPr>
        <vertAlign val="subscript"/>
        <sz val="10"/>
        <rFont val="Arial"/>
        <family val="2"/>
      </rPr>
      <t>3</t>
    </r>
    <r>
      <rPr>
        <sz val="11"/>
        <color theme="1"/>
        <rFont val="Calibri"/>
        <family val="2"/>
        <scheme val="minor"/>
      </rPr>
      <t>F</t>
    </r>
    <r>
      <rPr>
        <vertAlign val="subscript"/>
        <sz val="10"/>
        <rFont val="Arial"/>
        <family val="2"/>
      </rPr>
      <t>3</t>
    </r>
    <r>
      <rPr>
        <sz val="11"/>
        <color theme="1"/>
        <rFont val="Calibri"/>
        <family val="2"/>
        <scheme val="minor"/>
      </rPr>
      <t>)</t>
    </r>
  </si>
  <si>
    <t>HFC-152a</t>
  </si>
  <si>
    <r>
      <t>1,1-Difluoroethane (C</t>
    </r>
    <r>
      <rPr>
        <vertAlign val="subscript"/>
        <sz val="10"/>
        <rFont val="Arial"/>
        <family val="2"/>
      </rPr>
      <t>2</t>
    </r>
    <r>
      <rPr>
        <sz val="11"/>
        <color theme="1"/>
        <rFont val="Calibri"/>
        <family val="2"/>
        <scheme val="minor"/>
      </rPr>
      <t>H</t>
    </r>
    <r>
      <rPr>
        <vertAlign val="subscript"/>
        <sz val="10"/>
        <rFont val="Arial"/>
        <family val="2"/>
      </rPr>
      <t>4</t>
    </r>
    <r>
      <rPr>
        <sz val="11"/>
        <color theme="1"/>
        <rFont val="Calibri"/>
        <family val="2"/>
        <scheme val="minor"/>
      </rPr>
      <t>F</t>
    </r>
    <r>
      <rPr>
        <vertAlign val="subscript"/>
        <sz val="10"/>
        <rFont val="Arial"/>
        <family val="2"/>
      </rPr>
      <t>2</t>
    </r>
    <r>
      <rPr>
        <sz val="11"/>
        <color theme="1"/>
        <rFont val="Calibri"/>
        <family val="2"/>
        <scheme val="minor"/>
      </rPr>
      <t>)</t>
    </r>
  </si>
  <si>
    <t>HFC-161</t>
  </si>
  <si>
    <r>
      <t>Fluoroethane [ethyl fluoride] (CH</t>
    </r>
    <r>
      <rPr>
        <vertAlign val="subscript"/>
        <sz val="10"/>
        <rFont val="Arial"/>
        <family val="2"/>
      </rPr>
      <t>3</t>
    </r>
    <r>
      <rPr>
        <sz val="11"/>
        <color theme="1"/>
        <rFont val="Calibri"/>
        <family val="2"/>
        <scheme val="minor"/>
      </rPr>
      <t>CH</t>
    </r>
    <r>
      <rPr>
        <vertAlign val="subscript"/>
        <sz val="10"/>
        <rFont val="Arial"/>
        <family val="2"/>
      </rPr>
      <t>2</t>
    </r>
    <r>
      <rPr>
        <sz val="11"/>
        <color theme="1"/>
        <rFont val="Calibri"/>
        <family val="2"/>
        <scheme val="minor"/>
      </rPr>
      <t>F)</t>
    </r>
  </si>
  <si>
    <t>HFC-227ea</t>
  </si>
  <si>
    <r>
      <t xml:space="preserve"> 1,1,1,2,3,3,3-Heptafluoropropane (C</t>
    </r>
    <r>
      <rPr>
        <vertAlign val="subscript"/>
        <sz val="10"/>
        <rFont val="Arial"/>
        <family val="2"/>
      </rPr>
      <t>3</t>
    </r>
    <r>
      <rPr>
        <sz val="11"/>
        <color theme="1"/>
        <rFont val="Calibri"/>
        <family val="2"/>
        <scheme val="minor"/>
      </rPr>
      <t>HF</t>
    </r>
    <r>
      <rPr>
        <vertAlign val="subscript"/>
        <sz val="10"/>
        <rFont val="Arial"/>
        <family val="2"/>
      </rPr>
      <t>7</t>
    </r>
    <r>
      <rPr>
        <sz val="11"/>
        <color theme="1"/>
        <rFont val="Calibri"/>
        <family val="2"/>
        <scheme val="minor"/>
      </rPr>
      <t>)</t>
    </r>
  </si>
  <si>
    <t>HFC-236fa</t>
  </si>
  <si>
    <r>
      <t>1,1,1,3,3,3-hexafluoropropane (C</t>
    </r>
    <r>
      <rPr>
        <vertAlign val="subscript"/>
        <sz val="10"/>
        <rFont val="Arial"/>
        <family val="2"/>
      </rPr>
      <t>3</t>
    </r>
    <r>
      <rPr>
        <sz val="11"/>
        <color theme="1"/>
        <rFont val="Calibri"/>
        <family val="2"/>
        <scheme val="minor"/>
      </rPr>
      <t>H</t>
    </r>
    <r>
      <rPr>
        <vertAlign val="subscript"/>
        <sz val="10"/>
        <rFont val="Arial"/>
        <family val="2"/>
      </rPr>
      <t>2</t>
    </r>
    <r>
      <rPr>
        <sz val="11"/>
        <color theme="1"/>
        <rFont val="Calibri"/>
        <family val="2"/>
        <scheme val="minor"/>
      </rPr>
      <t>F</t>
    </r>
    <r>
      <rPr>
        <vertAlign val="subscript"/>
        <sz val="10"/>
        <rFont val="Arial"/>
        <family val="2"/>
      </rPr>
      <t>6</t>
    </r>
    <r>
      <rPr>
        <sz val="11"/>
        <color theme="1"/>
        <rFont val="Calibri"/>
        <family val="2"/>
        <scheme val="minor"/>
      </rPr>
      <t>)</t>
    </r>
  </si>
  <si>
    <t>HFC-245fa</t>
  </si>
  <si>
    <r>
      <t>1,1,1,3,3-pentafluoropropane (C</t>
    </r>
    <r>
      <rPr>
        <vertAlign val="subscript"/>
        <sz val="10"/>
        <rFont val="Arial"/>
        <family val="2"/>
      </rPr>
      <t>3</t>
    </r>
    <r>
      <rPr>
        <sz val="11"/>
        <color theme="1"/>
        <rFont val="Calibri"/>
        <family val="2"/>
        <scheme val="minor"/>
      </rPr>
      <t>H</t>
    </r>
    <r>
      <rPr>
        <vertAlign val="subscript"/>
        <sz val="10"/>
        <rFont val="Arial"/>
        <family val="2"/>
      </rPr>
      <t>3</t>
    </r>
    <r>
      <rPr>
        <sz val="11"/>
        <color theme="1"/>
        <rFont val="Calibri"/>
        <family val="2"/>
        <scheme val="minor"/>
      </rPr>
      <t>F</t>
    </r>
    <r>
      <rPr>
        <vertAlign val="subscript"/>
        <sz val="10"/>
        <rFont val="Arial"/>
        <family val="2"/>
      </rPr>
      <t>5</t>
    </r>
    <r>
      <rPr>
        <sz val="11"/>
        <color theme="1"/>
        <rFont val="Calibri"/>
        <family val="2"/>
        <scheme val="minor"/>
      </rPr>
      <t>)</t>
    </r>
  </si>
  <si>
    <t>HFC-365mfc</t>
  </si>
  <si>
    <r>
      <t>1,1,1,3,3-pentafluorobutane (C</t>
    </r>
    <r>
      <rPr>
        <vertAlign val="subscript"/>
        <sz val="10"/>
        <rFont val="Arial"/>
        <family val="2"/>
      </rPr>
      <t>4</t>
    </r>
    <r>
      <rPr>
        <sz val="11"/>
        <color theme="1"/>
        <rFont val="Calibri"/>
        <family val="2"/>
        <scheme val="minor"/>
      </rPr>
      <t>H</t>
    </r>
    <r>
      <rPr>
        <vertAlign val="subscript"/>
        <sz val="10"/>
        <rFont val="Arial"/>
        <family val="2"/>
      </rPr>
      <t>5</t>
    </r>
    <r>
      <rPr>
        <sz val="11"/>
        <color theme="1"/>
        <rFont val="Calibri"/>
        <family val="2"/>
        <scheme val="minor"/>
      </rPr>
      <t>F</t>
    </r>
    <r>
      <rPr>
        <vertAlign val="subscript"/>
        <sz val="10"/>
        <rFont val="Arial"/>
        <family val="2"/>
      </rPr>
      <t>5</t>
    </r>
    <r>
      <rPr>
        <sz val="11"/>
        <color theme="1"/>
        <rFont val="Calibri"/>
        <family val="2"/>
        <scheme val="minor"/>
      </rPr>
      <t>)</t>
    </r>
  </si>
  <si>
    <t>HFC-43-10mee</t>
  </si>
  <si>
    <r>
      <t>1,1,1,2,2,3,4,5,5,5-decafluoropentane (C</t>
    </r>
    <r>
      <rPr>
        <vertAlign val="subscript"/>
        <sz val="10"/>
        <rFont val="Arial"/>
        <family val="2"/>
      </rPr>
      <t>5</t>
    </r>
    <r>
      <rPr>
        <sz val="11"/>
        <color theme="1"/>
        <rFont val="Calibri"/>
        <family val="2"/>
        <scheme val="minor"/>
      </rPr>
      <t>H</t>
    </r>
    <r>
      <rPr>
        <vertAlign val="subscript"/>
        <sz val="10"/>
        <rFont val="Arial"/>
        <family val="2"/>
      </rPr>
      <t>2</t>
    </r>
    <r>
      <rPr>
        <sz val="11"/>
        <color theme="1"/>
        <rFont val="Calibri"/>
        <family val="2"/>
        <scheme val="minor"/>
      </rPr>
      <t>F</t>
    </r>
    <r>
      <rPr>
        <vertAlign val="subscript"/>
        <sz val="10"/>
        <rFont val="Arial"/>
        <family val="2"/>
      </rPr>
      <t>10</t>
    </r>
    <r>
      <rPr>
        <sz val="11"/>
        <color theme="1"/>
        <rFont val="Calibri"/>
        <family val="2"/>
        <scheme val="minor"/>
      </rPr>
      <t>)</t>
    </r>
  </si>
  <si>
    <t>HFE-7100</t>
  </si>
  <si>
    <r>
      <t>HFE-449s1 (C</t>
    </r>
    <r>
      <rPr>
        <vertAlign val="subscript"/>
        <sz val="10"/>
        <rFont val="Arial"/>
        <family val="2"/>
      </rPr>
      <t>4</t>
    </r>
    <r>
      <rPr>
        <sz val="11"/>
        <color theme="1"/>
        <rFont val="Calibri"/>
        <family val="2"/>
        <scheme val="minor"/>
      </rPr>
      <t>F</t>
    </r>
    <r>
      <rPr>
        <vertAlign val="subscript"/>
        <sz val="10"/>
        <rFont val="Arial"/>
        <family val="2"/>
      </rPr>
      <t>9</t>
    </r>
    <r>
      <rPr>
        <sz val="11"/>
        <color theme="1"/>
        <rFont val="Calibri"/>
        <family val="2"/>
        <scheme val="minor"/>
      </rPr>
      <t>OCH</t>
    </r>
    <r>
      <rPr>
        <vertAlign val="subscript"/>
        <sz val="10"/>
        <rFont val="Arial"/>
        <family val="2"/>
      </rPr>
      <t>3</t>
    </r>
    <r>
      <rPr>
        <sz val="11"/>
        <color theme="1"/>
        <rFont val="Calibri"/>
        <family val="2"/>
        <scheme val="minor"/>
      </rPr>
      <t>)</t>
    </r>
  </si>
  <si>
    <t>HFE-7200</t>
  </si>
  <si>
    <r>
      <t>HFE-569sf2 (C</t>
    </r>
    <r>
      <rPr>
        <vertAlign val="subscript"/>
        <sz val="10"/>
        <rFont val="Arial"/>
        <family val="2"/>
      </rPr>
      <t>4</t>
    </r>
    <r>
      <rPr>
        <sz val="11"/>
        <color theme="1"/>
        <rFont val="Calibri"/>
        <family val="2"/>
        <scheme val="minor"/>
      </rPr>
      <t>F</t>
    </r>
    <r>
      <rPr>
        <vertAlign val="subscript"/>
        <sz val="10"/>
        <rFont val="Arial"/>
        <family val="2"/>
      </rPr>
      <t>9</t>
    </r>
    <r>
      <rPr>
        <sz val="11"/>
        <color theme="1"/>
        <rFont val="Calibri"/>
        <family val="2"/>
        <scheme val="minor"/>
      </rPr>
      <t>OC</t>
    </r>
    <r>
      <rPr>
        <vertAlign val="subscript"/>
        <sz val="10"/>
        <rFont val="Arial"/>
        <family val="2"/>
      </rPr>
      <t>2</t>
    </r>
    <r>
      <rPr>
        <sz val="11"/>
        <color theme="1"/>
        <rFont val="Calibri"/>
        <family val="2"/>
        <scheme val="minor"/>
      </rPr>
      <t>H</t>
    </r>
    <r>
      <rPr>
        <vertAlign val="subscript"/>
        <sz val="10"/>
        <rFont val="Arial"/>
        <family val="2"/>
      </rPr>
      <t>5</t>
    </r>
    <r>
      <rPr>
        <sz val="11"/>
        <color theme="1"/>
        <rFont val="Calibri"/>
        <family val="2"/>
        <scheme val="minor"/>
      </rPr>
      <t>)</t>
    </r>
  </si>
  <si>
    <t>HFE-8200</t>
  </si>
  <si>
    <t>blend ethyl nonafluoroisobutyl ether and ethyl nonafluorobutyl ether</t>
  </si>
  <si>
    <t>PFC-14</t>
  </si>
  <si>
    <r>
      <t>Tetrafluoromethane (CF</t>
    </r>
    <r>
      <rPr>
        <vertAlign val="subscript"/>
        <sz val="10"/>
        <rFont val="Arial"/>
        <family val="2"/>
      </rPr>
      <t>4</t>
    </r>
    <r>
      <rPr>
        <sz val="11"/>
        <color theme="1"/>
        <rFont val="Calibri"/>
        <family val="2"/>
        <scheme val="minor"/>
      </rPr>
      <t>)</t>
    </r>
  </si>
  <si>
    <t>PFC-116</t>
  </si>
  <si>
    <r>
      <t>Hexafluoroethane (C</t>
    </r>
    <r>
      <rPr>
        <vertAlign val="subscript"/>
        <sz val="10"/>
        <rFont val="Arial"/>
        <family val="2"/>
      </rPr>
      <t>2</t>
    </r>
    <r>
      <rPr>
        <sz val="11"/>
        <color theme="1"/>
        <rFont val="Calibri"/>
        <family val="2"/>
        <scheme val="minor"/>
      </rPr>
      <t>F</t>
    </r>
    <r>
      <rPr>
        <vertAlign val="subscript"/>
        <sz val="10"/>
        <rFont val="Arial"/>
        <family val="2"/>
      </rPr>
      <t>6</t>
    </r>
    <r>
      <rPr>
        <sz val="11"/>
        <color theme="1"/>
        <rFont val="Calibri"/>
        <family val="2"/>
        <scheme val="minor"/>
      </rPr>
      <t>)</t>
    </r>
  </si>
  <si>
    <t>PFC-218</t>
  </si>
  <si>
    <r>
      <t>Octafluoropropane (C</t>
    </r>
    <r>
      <rPr>
        <vertAlign val="subscript"/>
        <sz val="10"/>
        <rFont val="Arial"/>
        <family val="2"/>
      </rPr>
      <t>3</t>
    </r>
    <r>
      <rPr>
        <sz val="11"/>
        <color theme="1"/>
        <rFont val="Calibri"/>
        <family val="2"/>
        <scheme val="minor"/>
      </rPr>
      <t>F</t>
    </r>
    <r>
      <rPr>
        <vertAlign val="subscript"/>
        <sz val="10"/>
        <rFont val="Arial"/>
        <family val="2"/>
      </rPr>
      <t>8</t>
    </r>
    <r>
      <rPr>
        <sz val="11"/>
        <color theme="1"/>
        <rFont val="Calibri"/>
        <family val="2"/>
        <scheme val="minor"/>
      </rPr>
      <t>)</t>
    </r>
  </si>
  <si>
    <t>PFC-318</t>
  </si>
  <si>
    <r>
      <t>Perfluorocyclobutane (C</t>
    </r>
    <r>
      <rPr>
        <vertAlign val="subscript"/>
        <sz val="10"/>
        <rFont val="Arial"/>
        <family val="2"/>
      </rPr>
      <t>4</t>
    </r>
    <r>
      <rPr>
        <sz val="11"/>
        <color theme="1"/>
        <rFont val="Calibri"/>
        <family val="2"/>
        <scheme val="minor"/>
      </rPr>
      <t>F</t>
    </r>
    <r>
      <rPr>
        <vertAlign val="subscript"/>
        <sz val="10"/>
        <rFont val="Arial"/>
        <family val="2"/>
      </rPr>
      <t>8</t>
    </r>
    <r>
      <rPr>
        <sz val="11"/>
        <color theme="1"/>
        <rFont val="Calibri"/>
        <family val="2"/>
        <scheme val="minor"/>
      </rPr>
      <t>)</t>
    </r>
  </si>
  <si>
    <t>PFC-31-10</t>
  </si>
  <si>
    <r>
      <t>Perfluorobutane (C</t>
    </r>
    <r>
      <rPr>
        <vertAlign val="subscript"/>
        <sz val="10"/>
        <rFont val="Arial"/>
        <family val="2"/>
      </rPr>
      <t>4</t>
    </r>
    <r>
      <rPr>
        <sz val="11"/>
        <color theme="1"/>
        <rFont val="Calibri"/>
        <family val="2"/>
        <scheme val="minor"/>
      </rPr>
      <t>F</t>
    </r>
    <r>
      <rPr>
        <vertAlign val="subscript"/>
        <sz val="10"/>
        <rFont val="Arial"/>
        <family val="2"/>
      </rPr>
      <t>10</t>
    </r>
    <r>
      <rPr>
        <sz val="11"/>
        <color theme="1"/>
        <rFont val="Calibri"/>
        <family val="2"/>
        <scheme val="minor"/>
      </rPr>
      <t>)</t>
    </r>
  </si>
  <si>
    <t>PFC-41-12</t>
  </si>
  <si>
    <r>
      <t>Perfluoropentane (C</t>
    </r>
    <r>
      <rPr>
        <vertAlign val="subscript"/>
        <sz val="10"/>
        <rFont val="Arial"/>
        <family val="2"/>
      </rPr>
      <t>5</t>
    </r>
    <r>
      <rPr>
        <sz val="11"/>
        <color theme="1"/>
        <rFont val="Calibri"/>
        <family val="2"/>
        <scheme val="minor"/>
      </rPr>
      <t>F</t>
    </r>
    <r>
      <rPr>
        <vertAlign val="subscript"/>
        <sz val="10"/>
        <rFont val="Arial"/>
        <family val="2"/>
      </rPr>
      <t>12</t>
    </r>
    <r>
      <rPr>
        <sz val="11"/>
        <color theme="1"/>
        <rFont val="Calibri"/>
        <family val="2"/>
        <scheme val="minor"/>
      </rPr>
      <t>)</t>
    </r>
  </si>
  <si>
    <t>PFC-51-14</t>
  </si>
  <si>
    <r>
      <t>Perfluorohexane (C</t>
    </r>
    <r>
      <rPr>
        <vertAlign val="subscript"/>
        <sz val="10"/>
        <rFont val="Arial"/>
        <family val="2"/>
      </rPr>
      <t>6</t>
    </r>
    <r>
      <rPr>
        <sz val="11"/>
        <color theme="1"/>
        <rFont val="Calibri"/>
        <family val="2"/>
        <scheme val="minor"/>
      </rPr>
      <t>F</t>
    </r>
    <r>
      <rPr>
        <vertAlign val="subscript"/>
        <sz val="10"/>
        <rFont val="Arial"/>
        <family val="2"/>
      </rPr>
      <t>14</t>
    </r>
    <r>
      <rPr>
        <sz val="11"/>
        <color theme="1"/>
        <rFont val="Calibri"/>
        <family val="2"/>
        <scheme val="minor"/>
      </rPr>
      <t>)</t>
    </r>
  </si>
  <si>
    <t>PFC-91-18</t>
  </si>
  <si>
    <r>
      <t>Perfluorodecalin (C</t>
    </r>
    <r>
      <rPr>
        <vertAlign val="subscript"/>
        <sz val="10"/>
        <rFont val="Arial"/>
        <family val="2"/>
      </rPr>
      <t>10</t>
    </r>
    <r>
      <rPr>
        <sz val="11"/>
        <color theme="1"/>
        <rFont val="Calibri"/>
        <family val="2"/>
        <scheme val="minor"/>
      </rPr>
      <t>F</t>
    </r>
    <r>
      <rPr>
        <vertAlign val="subscript"/>
        <sz val="10"/>
        <rFont val="Arial"/>
        <family val="2"/>
      </rPr>
      <t>18</t>
    </r>
    <r>
      <rPr>
        <sz val="11"/>
        <color theme="1"/>
        <rFont val="Calibri"/>
        <family val="2"/>
        <scheme val="minor"/>
      </rPr>
      <t>)</t>
    </r>
  </si>
  <si>
    <t>&gt;1000</t>
  </si>
  <si>
    <t>&gt;7500</t>
  </si>
  <si>
    <t>&gt;5500</t>
  </si>
  <si>
    <r>
      <t>SF</t>
    </r>
    <r>
      <rPr>
        <b/>
        <vertAlign val="subscript"/>
        <sz val="10"/>
        <rFont val="Arial"/>
        <family val="2"/>
      </rPr>
      <t xml:space="preserve">6 </t>
    </r>
    <r>
      <rPr>
        <b/>
        <sz val="10"/>
        <rFont val="Arial"/>
        <family val="2"/>
      </rPr>
      <t>Sulphur Hexafluoride</t>
    </r>
  </si>
  <si>
    <r>
      <t>Sulphur Hexafluoride (SF</t>
    </r>
    <r>
      <rPr>
        <vertAlign val="subscript"/>
        <sz val="10"/>
        <rFont val="Arial"/>
        <family val="2"/>
      </rPr>
      <t>6</t>
    </r>
    <r>
      <rPr>
        <sz val="11"/>
        <color theme="1"/>
        <rFont val="Calibri"/>
        <family val="2"/>
        <scheme val="minor"/>
      </rPr>
      <t>)</t>
    </r>
  </si>
  <si>
    <r>
      <t>NF</t>
    </r>
    <r>
      <rPr>
        <b/>
        <vertAlign val="subscript"/>
        <sz val="10"/>
        <rFont val="Arial"/>
        <family val="2"/>
      </rPr>
      <t>3</t>
    </r>
    <r>
      <rPr>
        <b/>
        <sz val="11"/>
        <color theme="1"/>
        <rFont val="Calibri"/>
        <family val="2"/>
        <scheme val="minor"/>
      </rPr>
      <t xml:space="preserve"> Nitrogen Trifluoride</t>
    </r>
  </si>
  <si>
    <r>
      <t>Nitrogen Trifluoride (NF</t>
    </r>
    <r>
      <rPr>
        <vertAlign val="subscript"/>
        <sz val="10"/>
        <rFont val="Arial"/>
        <family val="2"/>
      </rPr>
      <t>3</t>
    </r>
    <r>
      <rPr>
        <sz val="11"/>
        <color theme="1"/>
        <rFont val="Calibri"/>
        <family val="2"/>
        <scheme val="minor"/>
      </rPr>
      <t>)</t>
    </r>
  </si>
  <si>
    <r>
      <t>SO</t>
    </r>
    <r>
      <rPr>
        <b/>
        <vertAlign val="subscript"/>
        <sz val="10"/>
        <rFont val="Arial"/>
        <family val="2"/>
      </rPr>
      <t>2</t>
    </r>
    <r>
      <rPr>
        <b/>
        <sz val="11"/>
        <color theme="1"/>
        <rFont val="Calibri"/>
        <family val="2"/>
        <scheme val="minor"/>
      </rPr>
      <t>F</t>
    </r>
    <r>
      <rPr>
        <b/>
        <vertAlign val="subscript"/>
        <sz val="10"/>
        <rFont val="Arial"/>
        <family val="2"/>
      </rPr>
      <t>2</t>
    </r>
    <r>
      <rPr>
        <b/>
        <sz val="11"/>
        <color theme="1"/>
        <rFont val="Calibri"/>
        <family val="2"/>
        <scheme val="minor"/>
      </rPr>
      <t xml:space="preserve"> Sulfuryl fluoride</t>
    </r>
  </si>
  <si>
    <r>
      <t>Sulfuryl fluoride (SO</t>
    </r>
    <r>
      <rPr>
        <vertAlign val="subscript"/>
        <sz val="10"/>
        <rFont val="Arial"/>
        <family val="2"/>
      </rPr>
      <t>2</t>
    </r>
    <r>
      <rPr>
        <sz val="11"/>
        <color theme="1"/>
        <rFont val="Calibri"/>
        <family val="2"/>
        <scheme val="minor"/>
      </rPr>
      <t>F</t>
    </r>
    <r>
      <rPr>
        <vertAlign val="subscript"/>
        <sz val="10"/>
        <rFont val="Arial"/>
        <family val="2"/>
      </rPr>
      <t>2</t>
    </r>
    <r>
      <rPr>
        <sz val="11"/>
        <color theme="1"/>
        <rFont val="Calibri"/>
        <family val="2"/>
        <scheme val="minor"/>
      </rPr>
      <t>)</t>
    </r>
  </si>
  <si>
    <t xml:space="preserve">Trifluoromethyl sulfur pentafluoride </t>
  </si>
  <si>
    <r>
      <t>Trifluoromethyl sulfur pentafluoride 
(SF</t>
    </r>
    <r>
      <rPr>
        <vertAlign val="subscript"/>
        <sz val="10"/>
        <rFont val="Arial"/>
        <family val="2"/>
      </rPr>
      <t>5</t>
    </r>
    <r>
      <rPr>
        <sz val="11"/>
        <color theme="1"/>
        <rFont val="Calibri"/>
        <family val="2"/>
        <scheme val="minor"/>
      </rPr>
      <t>CF</t>
    </r>
    <r>
      <rPr>
        <vertAlign val="subscript"/>
        <sz val="10"/>
        <rFont val="Arial"/>
        <family val="2"/>
      </rPr>
      <t>3</t>
    </r>
    <r>
      <rPr>
        <sz val="11"/>
        <color theme="1"/>
        <rFont val="Calibri"/>
        <family val="2"/>
        <scheme val="minor"/>
      </rPr>
      <t>)</t>
    </r>
  </si>
  <si>
    <r>
      <t>Trifluoromethyl iodide (CF3</t>
    </r>
    <r>
      <rPr>
        <b/>
        <sz val="11"/>
        <rFont val="Times New Roman"/>
        <family val="1"/>
      </rPr>
      <t>I</t>
    </r>
    <r>
      <rPr>
        <b/>
        <sz val="11"/>
        <color theme="1"/>
        <rFont val="Calibri"/>
        <family val="2"/>
        <scheme val="minor"/>
      </rPr>
      <t>)</t>
    </r>
  </si>
  <si>
    <r>
      <t>Trifluoromethyl iodide (CF3</t>
    </r>
    <r>
      <rPr>
        <sz val="11"/>
        <rFont val="Times New Roman"/>
        <family val="1"/>
      </rPr>
      <t>I</t>
    </r>
    <r>
      <rPr>
        <sz val="11"/>
        <color theme="1"/>
        <rFont val="Calibri"/>
        <family val="2"/>
        <scheme val="minor"/>
      </rPr>
      <t>), trifluoroiodomethane</t>
    </r>
  </si>
  <si>
    <t>Dimethyl ether (DME)</t>
  </si>
  <si>
    <r>
      <t>Dimethyl ether (DME) (CH</t>
    </r>
    <r>
      <rPr>
        <vertAlign val="subscript"/>
        <sz val="10"/>
        <rFont val="Arial"/>
        <family val="2"/>
      </rPr>
      <t>3</t>
    </r>
    <r>
      <rPr>
        <sz val="10"/>
        <rFont val="Arial"/>
        <family val="2"/>
      </rPr>
      <t>OCH</t>
    </r>
    <r>
      <rPr>
        <vertAlign val="subscript"/>
        <sz val="10"/>
        <rFont val="Arial"/>
        <family val="2"/>
      </rPr>
      <t>3</t>
    </r>
    <r>
      <rPr>
        <sz val="10"/>
        <rFont val="Arial"/>
        <family val="2"/>
      </rPr>
      <t xml:space="preserve"> (C</t>
    </r>
    <r>
      <rPr>
        <vertAlign val="subscript"/>
        <sz val="10"/>
        <rFont val="Arial"/>
        <family val="2"/>
      </rPr>
      <t>2</t>
    </r>
    <r>
      <rPr>
        <sz val="10"/>
        <rFont val="Arial"/>
        <family val="2"/>
      </rPr>
      <t>H</t>
    </r>
    <r>
      <rPr>
        <vertAlign val="subscript"/>
        <sz val="10"/>
        <rFont val="Arial"/>
        <family val="2"/>
      </rPr>
      <t>6</t>
    </r>
    <r>
      <rPr>
        <sz val="10"/>
        <rFont val="Arial"/>
        <family val="2"/>
      </rPr>
      <t>O))</t>
    </r>
  </si>
  <si>
    <t>FOR12A</t>
  </si>
  <si>
    <r>
      <t>HFC-134a 1,1,1,2-Tetrafluoroethane 80%; 
HFC-152a 1,1-Difluoroethane 4%; 
CF</t>
    </r>
    <r>
      <rPr>
        <vertAlign val="subscript"/>
        <sz val="10"/>
        <rFont val="Arial"/>
        <family val="2"/>
      </rPr>
      <t>3</t>
    </r>
    <r>
      <rPr>
        <sz val="10"/>
        <rFont val="Arial"/>
        <family val="2"/>
      </rPr>
      <t>I (Trifluoroiodomethane) 11%</t>
    </r>
  </si>
  <si>
    <t>FOR12B</t>
  </si>
  <si>
    <r>
      <t>HFC-134a 1,1,1,2-Tetrafluoroethane 77%; 
Dimethyl ether (DME) (C</t>
    </r>
    <r>
      <rPr>
        <vertAlign val="subscript"/>
        <sz val="10"/>
        <color indexed="8"/>
        <rFont val="Arial"/>
        <family val="2"/>
      </rPr>
      <t>2</t>
    </r>
    <r>
      <rPr>
        <sz val="10"/>
        <color indexed="8"/>
        <rFont val="Arial"/>
        <family val="2"/>
      </rPr>
      <t>H</t>
    </r>
    <r>
      <rPr>
        <vertAlign val="subscript"/>
        <sz val="10"/>
        <color indexed="8"/>
        <rFont val="Arial"/>
        <family val="2"/>
      </rPr>
      <t>6</t>
    </r>
    <r>
      <rPr>
        <sz val="10"/>
        <color indexed="8"/>
        <rFont val="Arial"/>
        <family val="2"/>
      </rPr>
      <t>O) 2%; 
CF</t>
    </r>
    <r>
      <rPr>
        <vertAlign val="subscript"/>
        <sz val="10"/>
        <color indexed="8"/>
        <rFont val="Arial"/>
        <family val="2"/>
      </rPr>
      <t>3</t>
    </r>
    <r>
      <rPr>
        <sz val="10"/>
        <color indexed="8"/>
        <rFont val="Arial"/>
        <family val="2"/>
      </rPr>
      <t>I (Trifluoroiodomethane) 21%</t>
    </r>
  </si>
  <si>
    <t>Freeze 12</t>
  </si>
  <si>
    <t>HCFC-142b Monochlorodifluoroethane 20%; 
HFC-134a 1,1,1,2-Tetrafluoroethane 80%</t>
  </si>
  <si>
    <t>Free Zone</t>
  </si>
  <si>
    <t>HCFC-142b Monochlorodifluoroethane 19%; 
HFC-134a 1,1,1,2-Tetrafluoroethane 79%</t>
  </si>
  <si>
    <t>FRIGC FR-12</t>
  </si>
  <si>
    <t>HCFC-124 2-Chloro-1,1,1,2-Tetrafluoroethane  39%; 
HFC-134a 1,1,1,2-Tetrafluoroethane 59%; 
n-Butane 2%</t>
  </si>
  <si>
    <t>G2018C</t>
  </si>
  <si>
    <t>HCFC-22 Chlorodifluoromethane 95.5%;  
HFC-152a 1,1-Difluoroethane 1.5%; 
Propylene R-1270 3%</t>
  </si>
  <si>
    <t>GHG-HP</t>
  </si>
  <si>
    <t>HCFC-22 Chlorodifluoromethane 65%; 
HCFC-142B Monochlorodifluoroethane 31%
Isobutane R-600a 4%</t>
  </si>
  <si>
    <t>GHG-X5</t>
  </si>
  <si>
    <t>HCFC-22 Chlorodifluoromethane 41%; 
HCFC-142B Monochlorodifluoroethane 15%;
HFC-227ea 1,1,1,2,3,3,3-Heptafluoropropane 40%
Isobutane R-600a 4%</t>
  </si>
  <si>
    <t>Hot Shot 2</t>
  </si>
  <si>
    <t>HFC-134a 1,1,1,2-Tetrafluoroethane 78.8%;
HFC-125 Pentafluoroethane 19.5%; 
R-600a (Isobutane) 1.7%</t>
  </si>
  <si>
    <t>Ikon A</t>
  </si>
  <si>
    <t>HFC-152a (unknown %);
CF3I (trifluoroiodomethane) (unknown %)</t>
  </si>
  <si>
    <t>Ikon B</t>
  </si>
  <si>
    <t>HFC-134a (unknown %); 
HFC-152a (unknown %);
CF3I (trifluoroiodomethane) (unknown %)</t>
  </si>
  <si>
    <t>Isceon MO89</t>
  </si>
  <si>
    <t>HFC-125 Pentafluoroethane 86%;
PFC-218 Octafluoropropane 9%;
Propane (R-290) 5%</t>
  </si>
  <si>
    <t>NARM-502</t>
  </si>
  <si>
    <t>HCFC-22 Chlorodifluoromethane 90%; 
HFC-23 Trifluoromethane 5%; 
HFC-152a 1,1-Difluoroethane 5%</t>
  </si>
  <si>
    <t>R-401A</t>
  </si>
  <si>
    <t>HCFC-22 Chlorodifluoromethane 53%;  
HCFC-124  2-Chloro-1,1,1,2-Tetrafluoroethane 34%;
HFC-152a 1,1-Difluoroethane 13%</t>
  </si>
  <si>
    <t>R-401B</t>
  </si>
  <si>
    <t>HCFC-22 Chlorodifluoromethane 61%;  
HCFC-124  2-Chloro-1,1,1,2-Tetrafluoroethane 28%;
HFC-152a 1,1-Difluoroethane 11%</t>
  </si>
  <si>
    <t>R-401C</t>
  </si>
  <si>
    <t>HCFC-22 Chlorodifluoromethane 33%;  
HCFC-124  2-Chloro-1,1,1,2-Tetrafluoroethane 52%;
HFC-152a 1,1-Difluoroethane 15%</t>
  </si>
  <si>
    <t>R-402A</t>
  </si>
  <si>
    <t>HCFC-22 Chlorodifluoromethane 38%; 
HFC-125 Pentafluoroethane 60%; 
Propane (R-290) 2%</t>
  </si>
  <si>
    <t>R-402B</t>
  </si>
  <si>
    <t>HCFC-22 Chlorodifluoromethane 60%; 
HFC-125 Pentafluoroethane 38%; 
Propane (R-290) 2%</t>
  </si>
  <si>
    <t>R-403B</t>
  </si>
  <si>
    <t>HCFC-22 Chlorodifluoromethane 56%; 
PFC-218 Octafluoropropane 39%;
Propane (R-290) 5%</t>
  </si>
  <si>
    <t>R-404A</t>
  </si>
  <si>
    <t>HFC-125 Pentafluoroethane 44%; 
HFC-134a 1,1,1,2-Tetrafluoroethane 4% 
HFC-143a 1,1,1-Trifluoroethane 52%</t>
  </si>
  <si>
    <t>52 years (143a); 
29 years (125); 
14.6 years (134a)</t>
  </si>
  <si>
    <t>R-406A</t>
  </si>
  <si>
    <t>HCFC-22 Chlorodifluoromethane 55%; 
HCFC-142B Monochlorodifluoroethane 41%
Isobutane R-600a 4%</t>
  </si>
  <si>
    <t>R-407A</t>
  </si>
  <si>
    <t>HFC-32 Difluoromethane 20%; 
HFC-125 Pentafluoroethane 40%; 
HFC-134a 1,1,1,2-Tetrafluoroethane 40%</t>
  </si>
  <si>
    <t>29 years (R-125); 
4.9 years (R-32)</t>
  </si>
  <si>
    <t>R-407B</t>
  </si>
  <si>
    <t>HFC-32 Difluoromethane 10%; 
HFC-125 Pentafluoroethane 70%; 
HFC-134a 1,1,1,2-Tetrafluoroethane 20%</t>
  </si>
  <si>
    <t>R-407C</t>
  </si>
  <si>
    <t>HFC-32 Difluoromethane 23%: 
HFC-125 Pentafluoroethane 25%; 
HFC-134a 1,1,1,2-Tetrafluoroethane 52%</t>
  </si>
  <si>
    <t>R-407D</t>
  </si>
  <si>
    <t>HFC-32 Difluoromethane 15%: 
HFC-125 Pentafluoroethane 15%; 
HFC-134a 1,1,1,2-Tetrafluoroethane 70%</t>
  </si>
  <si>
    <t>R-407F</t>
  </si>
  <si>
    <t>HFC-32 Difluoromethane 30%: 
HFC-125 Pentafluoroethane 30%; 
HFC-134a 1,1,1,2-Tetrafluoroethane 40%</t>
  </si>
  <si>
    <t>R-407H</t>
  </si>
  <si>
    <t>HFC-32 Difluoromethane 32.5%: 
HFC-125 Pentafluoroethane 15.0%; 
HFC-134a 1,1,1,2-Tetrafluoroethane 52.5%</t>
  </si>
  <si>
    <t>R-408A</t>
  </si>
  <si>
    <t>HCFC-22 Chlorodifluoromethane 47%; 
HFC-125 Pentafluoroethane 7%; 
HFC-143A 1-1-1 Trifluoroethane 46%</t>
  </si>
  <si>
    <t>R-409A</t>
  </si>
  <si>
    <r>
      <t xml:space="preserve">HCFC-22 Chlorodifluoromethane 60%;  
HCFC-124  2-Chloro-1,1,1,2-Tetrafluoroethane 25%; 
HCFC-142b </t>
    </r>
    <r>
      <rPr>
        <sz val="9"/>
        <color indexed="8"/>
        <rFont val="Arial"/>
        <family val="2"/>
      </rPr>
      <t>1-Chloro-1,1-Difluoroethane 15%</t>
    </r>
  </si>
  <si>
    <t>R-410A</t>
  </si>
  <si>
    <t>HFC-32 Difluoromethane 50%;
HFC-125 Pentafluoroethane 50%</t>
  </si>
  <si>
    <t>R-410B</t>
  </si>
  <si>
    <t>HFC-32 Difluoromethane 45%;
HFC-125 Pentafluoroethane 55%</t>
  </si>
  <si>
    <t>R-411A</t>
  </si>
  <si>
    <t>HCFC-22 Chlorodifluoromethane 87.5%;  
HFC-152a 1,1-Difluoroethane 11%; 
Propylene R-1270 1.5%</t>
  </si>
  <si>
    <t>R-411B</t>
  </si>
  <si>
    <t>HCFC-22 Chlorodifluoromethane 94%;  
HFC-152a 1,1-Difluoroethane 3%; 
Propylene R-1270 3%</t>
  </si>
  <si>
    <t>R-413A</t>
  </si>
  <si>
    <t>HFC-134a 1,1,1,2-Tetrafluoroethane 88%;
PFC-218 Octafluoropropane 9%;
Isobutane 3%</t>
  </si>
  <si>
    <t>R-414A</t>
  </si>
  <si>
    <t>HCFC-22 Chlorodifluoromethane 51%; 
HCFC-124 Monochlorotetrafluoroethane 39%; 
HCFC-142b Monochlorodifluoroethane 6%; 
R-600a Isobutane (hydrocarbon) 4%</t>
  </si>
  <si>
    <t>R-414B</t>
  </si>
  <si>
    <t>HCFC-22 Chlorodifluoromethane 50%; 
HCFC-124 Monochlorotetrafluoroethane 39%; 
HCFC-142b Monochlorodifluoroethane 9.5%; 
R-600a Isobutane (hydrocarbon) 1.5%</t>
  </si>
  <si>
    <t>R-416A</t>
  </si>
  <si>
    <t>HFC-134a 1,1,1,2-Tetrafluoroethane 59%; 
HCFC-124 1-Chloro-1,2,2,2-tetrafluoroethane 39.5%;
R-600a Isobutane (hydrocarbon) 1.5%</t>
  </si>
  <si>
    <t>R-417A</t>
  </si>
  <si>
    <t>HFC-134a 1,1,1,2-Tetrafluoroethane 50%;
HFC-125 Pentafluoroethane 46.6%; 
Butane 3.4%</t>
  </si>
  <si>
    <t>R-417B</t>
  </si>
  <si>
    <t>HFC-125 Pentafluoroethane 79%; 
HFC-134a 1,1,1,2-Tetrafluoroethane 18.25%;
R-600 Butane 2.75%</t>
  </si>
  <si>
    <t>R-417C</t>
  </si>
  <si>
    <t>R-420A</t>
  </si>
  <si>
    <t>HCFC-142b Monochlorodifluoroethane 12%; 
HFC-134a 1,1,1,2-Tetrafluoroethane 88%</t>
  </si>
  <si>
    <t>R-421A</t>
  </si>
  <si>
    <t>HFC-125 Pentafluoroethane 58%
HFC-134a 1,1,1,2-Tetrafluoroethane 42%</t>
  </si>
  <si>
    <t>R-421B</t>
  </si>
  <si>
    <t>HFC-125 Pentafluoroethane 85%
HFC-134a 1,1,1,2-Tetrafluoroethane 15%</t>
  </si>
  <si>
    <t>R-422A</t>
  </si>
  <si>
    <t>HFC-134a 1,1,1,2-Tetrafluoroethane 11.5%;
HFC-125 Pentafluoroethane 85.1%; 
Isobutane 3.4%</t>
  </si>
  <si>
    <t>R-422B</t>
  </si>
  <si>
    <t>HFC-134a 1,1,1,2-Tetrafluoroethane 42%;
HFC-125 Pentafluoroethane 55%; 
Isobutane 3%</t>
  </si>
  <si>
    <t>R-422C</t>
  </si>
  <si>
    <t>HFC-125 Pentafluoroethane 82%; 
HFC-134a 1,1,1,2-Tetrafluoroethane 15%;
Isobutane R-600a 3%</t>
  </si>
  <si>
    <t>R-422D</t>
  </si>
  <si>
    <t>HFC-125 Pentafluoroethane 65.1%; 
HFC-134a 1,1,1,2-Tetrafluoroethane 31.5%;
Isobutane 3.4%</t>
  </si>
  <si>
    <t>R-423A</t>
  </si>
  <si>
    <t>HFC-134a 1,1,1,2-Tetrafluoroethane 52.5%;
HFC-227ea 1,1,1,2,3,3,3-Heptafluoropropane 47.5%</t>
  </si>
  <si>
    <t>R-424A</t>
  </si>
  <si>
    <t>HFC-125 Pentafluoroethane 50.5%; 
HFC-134a 1,1,1,2-Tetrafluoroethane 47.0%;
Butane (R-600) 1.0%
Isobutane (R-600a) 0.9%
Isopentane (R-601a) 0.6%</t>
  </si>
  <si>
    <t>R-426A</t>
  </si>
  <si>
    <t>HFC-125 Pentafluoroethane 5.1%; 
HFC-134a 1,1,1,2-Tetrafluoroethane 93.0%;
Butane (R-600) 1.3%
Isobutane (R-600a) 0.6%</t>
  </si>
  <si>
    <t>R-427A</t>
  </si>
  <si>
    <t>HFC-32 Difluoromethane 15%; 
HFC-125 Pentafluoroethane 25%;
HFC-134a 1,1,1,2-Tetrafluoroethane 50%;
HFC-143a 1,1,1-Trifluoroethane 10%</t>
  </si>
  <si>
    <t>R-428A</t>
  </si>
  <si>
    <t>HFC-125 Pentafluoroethane 77.5%;
HFC-143a 1,1,1-Trifluoroethane 20.0%; 
Propane (R-290) 0.6%; 
Isobutane (R-600a) 1.9%</t>
  </si>
  <si>
    <t>R-434A</t>
  </si>
  <si>
    <t>HFC-125 Pentafluoroethane 63.2%;
HFC-143a 1,1,1-Trifluoroethane 18%; 
HFC-134a 1,1,1,2-Tetrafluoroethane 16%;
Isobutane (R-600a) 2.8%</t>
  </si>
  <si>
    <t>R-436A</t>
  </si>
  <si>
    <t>Hydrocarbon blend of 54% propane (R-290), 
46% isobutane (R-600a)</t>
  </si>
  <si>
    <t>R-437A</t>
  </si>
  <si>
    <t>HFC-125 Pentafluoroethane 19.5%;
HFC-134a 1,1,1,2-Tetrafluoroethane 78.5%;
Butane (R-600) 1.4%;
Pentane (R-601) 0.6%</t>
  </si>
  <si>
    <t>R-438A</t>
  </si>
  <si>
    <t>HFC-125 Pentafluoroethane 45%;
HFC-134a 1,1,1,2-Tetrafluoroethane 44.2%;
HFC-32 Difluoromethane 8.5%; 
IsoButane (R-600a) 1.7%;
Isopentane (R-601) 0.6%</t>
  </si>
  <si>
    <t>R-441A</t>
  </si>
  <si>
    <t>Hydrocarbon blend of 3.1% ethane (R-170); 
54.8% propane (R-290), 
36.1% n-Butane (R-600), and 
6.0% isobutane (R-660a)</t>
  </si>
  <si>
    <t>R-442A</t>
  </si>
  <si>
    <t>HFC-32 Difluoromethane 31%; 
HFC-125 Pentafluoroethane 31%;
HFC-134a 1,1,1,2-Tetrafluoroethane 30%;
HFC-152a 1,1-Difluoroethane 3%;
HFC-227ea 1,1,1,2,3,3,3-Heptafluoropropane 5%</t>
  </si>
  <si>
    <t>R-443A</t>
  </si>
  <si>
    <t>Propane, isobutane, butane &gt; 75%, hydrocarbon blend (Unacceptable for AC, SNAP list)</t>
  </si>
  <si>
    <t>R-444A</t>
  </si>
  <si>
    <t>HFC-32 Difluoromethane 12%; 
HFC-152a 1,1-Difluoroethane 5%;
R-1234ze HFO-1234ze(E) 83%</t>
  </si>
  <si>
    <t>no MSDS yet</t>
  </si>
  <si>
    <t>R-444B</t>
  </si>
  <si>
    <t xml:space="preserve">HFC-32 Difluoromethane 41.5%; 
R-152a 1,1-Difluoroethane 10%;
R-1234ze HFO-1234ze 48.5% </t>
  </si>
  <si>
    <t>R-445A</t>
  </si>
  <si>
    <r>
      <t>HFC-134a 1,1,1,2-Tetrafluoroethane 9%;
R-744 CO</t>
    </r>
    <r>
      <rPr>
        <vertAlign val="subscript"/>
        <sz val="10"/>
        <color indexed="8"/>
        <rFont val="Arial"/>
        <family val="2"/>
      </rPr>
      <t>2</t>
    </r>
    <r>
      <rPr>
        <sz val="10"/>
        <color indexed="8"/>
        <rFont val="Arial"/>
        <family val="2"/>
      </rPr>
      <t xml:space="preserve"> 6%;
R-1234ze HFO-1234ze 85%</t>
    </r>
  </si>
  <si>
    <t>R-446A</t>
  </si>
  <si>
    <t>HFC-32 Difluoromethane 68%; 
R-1234ze HFO-1234ze 29%; 
R-600a isobutane 3%</t>
  </si>
  <si>
    <t>R-447A</t>
  </si>
  <si>
    <t>HFC-32 Difluoromethane 68%; 
HFC-125 Pentafluoroethane 3.5%;
R-1234ze HFO-1234ze(E) 28.5%</t>
  </si>
  <si>
    <t>R-447B</t>
  </si>
  <si>
    <t>HFC-32 Difluoromethane 68%; 
R-1234ze HFO-1234ze(E) 24%; 
HFC-125 Pentafluoroethane 8%</t>
  </si>
  <si>
    <t>R-448A</t>
  </si>
  <si>
    <t>HFC-32 Difluoromethane 26%; 
HFC-125 Pentafluoroethane 26%;
HFC-134a 1,1,1,2-Tetrafluoroethane 21%;
R-1234yf HFO-1234yf 2,3,3,3-Tetrafluoropropene 20%; 
R-1234ze HFO-1234ze 7%</t>
  </si>
  <si>
    <t>R-449A</t>
  </si>
  <si>
    <t>HFC-32 Difluoromethane 24.3%; 
HFC-125 Pentafluoroethane 24.7%;
HFC-134a 1,1,1,2-Tetrafluoroethane 25.7%;
R-1234yf HFO-1234yf 2,3,3,3-Tetrafluoropropene 25.3%</t>
  </si>
  <si>
    <t>R-449B</t>
  </si>
  <si>
    <t>HFC-32 Difluoromethane 25.2%; 
HFC-125 Pentafluoroethane 24.3%;
HFC-134a 1,1,1,2-Tetrafluoroethane 27.3%;
R-1234yf HFO-1234yf 2,3,3,3-Tetrafluoropropene 23.2%</t>
  </si>
  <si>
    <t>R-450A</t>
  </si>
  <si>
    <t>HFC-134a 1,1,1,2-Tetrafluoroethane 42%;
R-1234ze HFO-1234ze 58%</t>
  </si>
  <si>
    <t>R-451A</t>
  </si>
  <si>
    <t>HFC-134a 1,1,1,2-Tetrafluoroethane 10.2%;
R-1234ze HFO-1234ze 89.8%</t>
  </si>
  <si>
    <t>R-451B</t>
  </si>
  <si>
    <t>HFC-134a 1,1,1,2-Tetrafluoroethane 11.2%;
R-1234ze HFO-1234ze 88.8%</t>
  </si>
  <si>
    <t>R-452A</t>
  </si>
  <si>
    <t>HFC-32 Difluoromethane 11%
HFC-125 Pentafluoroethane 59%;
HFO-1234yf 2,3,3,3-Tetrafluoropropene 30%</t>
  </si>
  <si>
    <t>R-452B</t>
  </si>
  <si>
    <t>HFC-32 Difluoromethane 67%
HFC-125 Pentafluoroethane 7%;
HFO-1234yf 2,3,3,3-Tetrafluoropropene 26%</t>
  </si>
  <si>
    <t>R-452C</t>
  </si>
  <si>
    <t>HFC-32 Difluoromethane 12.5%
HFC-125 Pentafluoroethane 61.0%;
HFO-1234yf 2,3,3,3-Tetrafluoropropene 26.5%</t>
  </si>
  <si>
    <t>R-453A</t>
  </si>
  <si>
    <t>HFC-32 Difluoromethane 20%; 
HFC-125 Pentafluoroethane 20%; 
HFC-134a 1,1,1,2-Tetrafluoroethane (norflurane on MSDS) 53.8%; 
HFC-227ea 1,1,1,2,3,3,3-Heptafluoropropane 5%; 
R-600 Butane 0.6%;
R-600a Isobutane 0.6%</t>
  </si>
  <si>
    <t>R-454A</t>
  </si>
  <si>
    <t>HFC-32 Difluoromethane 35%; 
HFO-1234yf 2,3,3,3-Tetrafluoropropene 65%</t>
  </si>
  <si>
    <t>R-454B</t>
  </si>
  <si>
    <t>HFC-32 Difluoromethane 68.9%; 
HFO-1234yf 2,3,3,3-Tetrafluoropropene 31.1%</t>
  </si>
  <si>
    <t>R-454C</t>
  </si>
  <si>
    <t xml:space="preserve">HFO-1234yf 2,3,3,3-Tetrafluoropropene 78.5%; 
HFC-32 Difluoromethane 21.5%
</t>
  </si>
  <si>
    <t>R-455A</t>
  </si>
  <si>
    <r>
      <t>HFC-32 Difluoromethane 21.5%; 
HFO-1234yf 2,3,3,3-Tetrafluoropropene 75.5%;
R-744 CO</t>
    </r>
    <r>
      <rPr>
        <vertAlign val="subscript"/>
        <sz val="10"/>
        <color indexed="8"/>
        <rFont val="Arial"/>
        <family val="2"/>
      </rPr>
      <t xml:space="preserve">2 </t>
    </r>
    <r>
      <rPr>
        <sz val="10"/>
        <color indexed="8"/>
        <rFont val="Arial"/>
        <family val="2"/>
      </rPr>
      <t xml:space="preserve"> 3.0%</t>
    </r>
  </si>
  <si>
    <t>R-456A</t>
  </si>
  <si>
    <t xml:space="preserve">HFO-1234ze(E) 49%; 
HFC-134a 1,1,1,2-Tetrafluoroethane 45%; 
HFC-32 Difluoromethane 6% </t>
  </si>
  <si>
    <t>R-457A</t>
  </si>
  <si>
    <t>HFO-1234yf 2,3,3,3-Tetrafluoropropene 70.0%; 
HFC-32 Difluoromethane 18.0%; 
HFC-152a 1,1-Difluoroethane 12.0%</t>
  </si>
  <si>
    <t>R-458A</t>
  </si>
  <si>
    <t>See also Tdx 20 by Bluon. 
HFC-134a - 61.4%;
HFC-32 - 20.5%;
HFC-227ea - 13.5%; 
HFC-125 - 4.0%; 
HFC-236fa - 0.6%</t>
  </si>
  <si>
    <t>R-461A</t>
  </si>
  <si>
    <t>HFC-125 Pentafluoroethane 55%; 
HFC-134a 1,1,1,2-Tetrafluoroethane 32%; 
HFC-143a 1,1,1-Trifluoroethane 5%;
HFC-227ea 1,1,1,2,3,3,3-Heptafluoropropane 5%;
R-600a isobutane 3%</t>
  </si>
  <si>
    <t>R-462A</t>
  </si>
  <si>
    <t>HFC-134a 1,1,1,2-Tetrafluoroethane 44%; 
HFC-125 Pentafluoroethane 42%; 
HFC-32 Difluoromethane 9%; 
R-600a isobutane 3%; 
HFC-143a 1,1,1-Trifluoroethane 2%</t>
  </si>
  <si>
    <t>R-466A</t>
  </si>
  <si>
    <t>HFC-32 Difluoromethane 49%; 
HFC-125 Pentafluoroethane 11.5%; 
CF3I (trifluoroiodide) 39.5%</t>
  </si>
  <si>
    <t>R-500</t>
  </si>
  <si>
    <t>CFC-12 Dichlorodifluoromethane (73.8%); 
HFC-152a 1,1, Difluoroethane (26.2%)</t>
  </si>
  <si>
    <t>R-502</t>
  </si>
  <si>
    <t>HCFC-22  Monochlorodifluoromethane 48.8%; 
CFC-115 Monochloropentafluoroethane 51.2%</t>
  </si>
  <si>
    <t>12 years (R-22); 
7100 years (R-115)</t>
  </si>
  <si>
    <t>R-503</t>
  </si>
  <si>
    <t>CFC-13 Chlorotrifluoromethane 60% 
HFC-23 Trifluoromethane 40%</t>
  </si>
  <si>
    <t>R-507</t>
  </si>
  <si>
    <t>HFC-125 Pentafluoroethane 50%; 
HFC-143a 1,1,1-Trifluoroethane 50%</t>
  </si>
  <si>
    <t>29 years (R-125); 
52 years (R-143a)</t>
  </si>
  <si>
    <t>R-508A</t>
  </si>
  <si>
    <t>HFC-23 Trifluoromethane 39%
PFC-116 Hexafluoroethane 61%</t>
  </si>
  <si>
    <t>R-508B</t>
  </si>
  <si>
    <t>HFC-23 Trifluoromethane 46%
PFC-116 Hexafluoroethane 54%</t>
  </si>
  <si>
    <t>R-513A</t>
  </si>
  <si>
    <t>HFO-1234yf 2,3,3,3-Tetrafluoropropene 56%; 
HFC-134a 1,1,1,2-Tetrafluoroethane 44%</t>
  </si>
  <si>
    <t>R-514A</t>
  </si>
  <si>
    <t>HFO 1336mzz(Z) - 74.7%; 
Trans-1,2-dichloroethylene (t-DCE) - 25.3%</t>
  </si>
  <si>
    <t>R-515A</t>
  </si>
  <si>
    <t>R-1234ze(E) HFO 88%; 
HFC-227ea heptafluoropropane - 12%</t>
  </si>
  <si>
    <t>R-516A</t>
  </si>
  <si>
    <t>HFO-1234yf 2,3,3,3-Tetrafluoropropene 77.5%;
HFC-152a, 1,1-Difluoroethane 14%; 
HFC-134a 1,1,1,2-Tetrafluoroethane 8.5%</t>
  </si>
  <si>
    <t>SP34E</t>
  </si>
  <si>
    <r>
      <t>HFC-134a 1,1,1,2-Tetrafluoroethane &gt; 96%;
Butane (R-600) C</t>
    </r>
    <r>
      <rPr>
        <vertAlign val="subscript"/>
        <sz val="10"/>
        <color indexed="8"/>
        <rFont val="Arial"/>
        <family val="2"/>
      </rPr>
      <t>5</t>
    </r>
    <r>
      <rPr>
        <sz val="10"/>
        <color indexed="8"/>
        <rFont val="Arial"/>
        <family val="2"/>
      </rPr>
      <t>H</t>
    </r>
    <r>
      <rPr>
        <vertAlign val="subscript"/>
        <sz val="10"/>
        <color indexed="8"/>
        <rFont val="Arial"/>
        <family val="2"/>
      </rPr>
      <t>10</t>
    </r>
    <r>
      <rPr>
        <sz val="10"/>
        <color indexed="8"/>
        <rFont val="Arial"/>
        <family val="2"/>
      </rPr>
      <t xml:space="preserve"> &lt; 3.9%
Additive &lt; 0.1%</t>
    </r>
  </si>
  <si>
    <t>TDX20 see also R-458A</t>
  </si>
  <si>
    <t>TDX20 from Bluon Energy; see also R-458A</t>
  </si>
  <si>
    <t>THR-03</t>
  </si>
  <si>
    <t>THR-03, also THR03</t>
  </si>
  <si>
    <t>DR-3</t>
  </si>
  <si>
    <t>DR-3 is "developmental refrigerant" 3, and is pre-commercial as of May 2016</t>
  </si>
  <si>
    <t>2-BTP</t>
  </si>
  <si>
    <r>
      <t>2-bromotrifluoropropene (C</t>
    </r>
    <r>
      <rPr>
        <vertAlign val="subscript"/>
        <sz val="10"/>
        <rFont val="Arial"/>
        <family val="2"/>
      </rPr>
      <t>3</t>
    </r>
    <r>
      <rPr>
        <sz val="10"/>
        <rFont val="Arial"/>
        <family val="2"/>
      </rPr>
      <t>H</t>
    </r>
    <r>
      <rPr>
        <vertAlign val="subscript"/>
        <sz val="10"/>
        <rFont val="Arial"/>
        <family val="2"/>
      </rPr>
      <t>2</t>
    </r>
    <r>
      <rPr>
        <sz val="10"/>
        <rFont val="Arial"/>
        <family val="2"/>
      </rPr>
      <t>BrF</t>
    </r>
    <r>
      <rPr>
        <vertAlign val="subscript"/>
        <sz val="10"/>
        <rFont val="Arial"/>
        <family val="2"/>
      </rPr>
      <t>3</t>
    </r>
    <r>
      <rPr>
        <sz val="10"/>
        <rFont val="Arial"/>
        <family val="2"/>
      </rPr>
      <t>) (BTP) fire suppressant</t>
    </r>
  </si>
  <si>
    <t>Sources:</t>
  </si>
  <si>
    <t xml:space="preserve">1)  http://www.ipcc.ch/pdf/assessment-report/ar4/wg1/ar4-wg1-chapter2.pdf  </t>
  </si>
  <si>
    <t>2)  http://www.epa.gov/climatechange/emissions/downloads/ghg_gwp.pdf   (not a primary source for GWPs)</t>
  </si>
  <si>
    <t>3)  http://www.grida.no/climate/ipcc_tar/wg1/130.htm#tab41a</t>
  </si>
  <si>
    <t>Active GWP</t>
  </si>
  <si>
    <t>Conversions</t>
  </si>
  <si>
    <t>lb</t>
  </si>
  <si>
    <t>=</t>
  </si>
  <si>
    <t>metric ton</t>
  </si>
  <si>
    <t>$/tonne (nominal)</t>
  </si>
  <si>
    <t>Device installation year</t>
  </si>
  <si>
    <t>GHG Adder from ACC</t>
  </si>
  <si>
    <t>IOU WACC (Nominal, after-tax)</t>
  </si>
  <si>
    <t>End year</t>
  </si>
  <si>
    <t>Refrigerant GWP</t>
  </si>
  <si>
    <t>Start year</t>
  </si>
  <si>
    <t>Annual leakage (tonnes CO2e)</t>
  </si>
  <si>
    <t>End-of-life leakage (tonnes CO2e)</t>
  </si>
  <si>
    <t>Annual refrigerant leakage (tonnes CO2e)</t>
  </si>
  <si>
    <t>End-of-life refrigerant leakage (tonnes CO2e)</t>
  </si>
  <si>
    <t>Total refrigerant leakage in year (tonnes CO2e)</t>
  </si>
  <si>
    <t>Annual refrigerant leakage %</t>
  </si>
  <si>
    <t>EOL refrigerant leakage %</t>
  </si>
  <si>
    <t>t_EOL</t>
  </si>
  <si>
    <t>CO2 cost (nominal $/tonne CO2)</t>
  </si>
  <si>
    <t>Refrigerant leakage avoided cost (nominal $)</t>
  </si>
  <si>
    <t>Inputs</t>
  </si>
  <si>
    <t>Intermediate Calculations</t>
  </si>
  <si>
    <t>Result</t>
  </si>
  <si>
    <t>User Dashboard</t>
  </si>
  <si>
    <t>Refrigerant Avoided Cost Calculator</t>
  </si>
  <si>
    <t>Annual avoided cost calculations</t>
  </si>
  <si>
    <t>Calculations:</t>
  </si>
  <si>
    <t xml:space="preserve">For the California Public Utilities Commission </t>
  </si>
  <si>
    <t>Please note that, for fuel substitution measures, it is critical to take into account the avoided cost of refrigerant leakage from air conditioners, if the building(s) in question would have had an air conditioner in the absence of the measure.</t>
  </si>
  <si>
    <t>Dropdown List</t>
  </si>
  <si>
    <t>NPV avoided costs ($2020)</t>
  </si>
  <si>
    <t>This calculator can also be used to quantify incurred costs (negative avoided costs), if a program results in the installation of a new device containing a refrigerant.</t>
  </si>
  <si>
    <t>If the replacement of an existing or planned air conditioner is not reflected, the net cost of refrigerant leakage from fuel substitution measures could be seriously over-estimated.</t>
  </si>
  <si>
    <t>Controlled by Montreal Protocol; not included in ARB inventory by international convention</t>
  </si>
  <si>
    <t>User-specified device lifetime (yr)</t>
  </si>
  <si>
    <t>Use ARB average device lifetime or user-specified?</t>
  </si>
  <si>
    <t>Use ARB average refrigerant charge or user-specified?</t>
  </si>
  <si>
    <t>User-specified device refrigerant charge (lb)</t>
  </si>
  <si>
    <t>ARB average</t>
  </si>
  <si>
    <t>User-specified</t>
  </si>
  <si>
    <t>Active device lifetime (yr)</t>
  </si>
  <si>
    <t>Active device refrigerant charge (lb)</t>
  </si>
  <si>
    <t>SCE</t>
  </si>
  <si>
    <t>SDG&amp;E</t>
  </si>
  <si>
    <t>PG&amp;E</t>
  </si>
  <si>
    <t>WACC selection</t>
  </si>
  <si>
    <t>User-specified WACC (%)</t>
  </si>
  <si>
    <t>Active WACC (%)</t>
  </si>
  <si>
    <t>NPV Avoided Costs ($2020)</t>
  </si>
  <si>
    <t>Use this calculator to calculate the avoided costs of refrigerant leakage for any device containing a refrigerant, when refrigerant type or amount is changed.</t>
  </si>
  <si>
    <t>However, note that the output field is labeled "NPV avoided costs" regardless of whether that value represents a benefit or a cost, so users must be careful to input this data correctly into their cost-effectiveness tools.</t>
  </si>
  <si>
    <t>For example, if a heat pump replaces both a natural gas heater and an air conditioner, the reduction in refrigerant leakage from this replaced air conditioner must be considered in any cost-effectiveness calculations.</t>
  </si>
  <si>
    <t>MeasureID</t>
  </si>
  <si>
    <t>MeasAppType</t>
  </si>
  <si>
    <t>Unit</t>
  </si>
  <si>
    <t>NR</t>
  </si>
  <si>
    <t>None</t>
  </si>
  <si>
    <t>EUL</t>
  </si>
  <si>
    <t>Total</t>
  </si>
  <si>
    <t>pounds_per_metric_ton</t>
  </si>
  <si>
    <t>R-744</t>
  </si>
  <si>
    <t>Dropdown_Claim_Year</t>
  </si>
  <si>
    <t>NC</t>
  </si>
  <si>
    <t>NormUnit</t>
  </si>
  <si>
    <t>Technology</t>
  </si>
  <si>
    <t>Ductless HVAC, Residential - Heat Pump</t>
  </si>
  <si>
    <t>Clothes Dryer, Residential - Heat Pump</t>
  </si>
  <si>
    <t>Clothes Dryer, Residential - Conventional Electric</t>
  </si>
  <si>
    <t>Clothes Dryer, Residential - Conventional Gas</t>
  </si>
  <si>
    <t>Central HVAC, Residential - Heat Pump</t>
  </si>
  <si>
    <t>Ductless HVAC, Residential - Window AC and Wall Furnace</t>
  </si>
  <si>
    <t>Ductless HVAC, Residential - Wall Furnace</t>
  </si>
  <si>
    <t>Msr</t>
  </si>
  <si>
    <t>Std/Pre</t>
  </si>
  <si>
    <t>Central HVAC, Residential - AC and Gas Furnace</t>
  </si>
  <si>
    <t>Unitary Air-Cooled HVAC, Commercial - Heat Pump</t>
  </si>
  <si>
    <t>Unitary Air-Cooled HVAC, Commercial - AC and Gas Furnace</t>
  </si>
  <si>
    <t>Pool Heater, Residential - Natural Gas</t>
  </si>
  <si>
    <t>Pool Heater, Residential - Heat Pump</t>
  </si>
  <si>
    <t>Water Heater, Residential - Heat Pump</t>
  </si>
  <si>
    <t>Water Heater, Residential - Natural Gas</t>
  </si>
  <si>
    <t>Water Heater, Residential - Conventional Electric</t>
  </si>
  <si>
    <t>Water Heater, Commercial - Heat Pump</t>
  </si>
  <si>
    <t>Water Heater, Commercial - Natural Gas</t>
  </si>
  <si>
    <t>Water Heater, Commercial - Conventional Electric</t>
  </si>
  <si>
    <t>Large Water Heater, Multifamily/Commercial - Heat Pump</t>
  </si>
  <si>
    <t>Large Water Heater, Multifamily/Commercial - Natural Gas</t>
  </si>
  <si>
    <t>CommonRefrigerantType</t>
  </si>
  <si>
    <t>RefrigChargePoundsPerNormUnit</t>
  </si>
  <si>
    <t>AnnualLeakageRate</t>
  </si>
  <si>
    <t>Case</t>
  </si>
  <si>
    <t>R134a</t>
  </si>
  <si>
    <t>R410A/R134a</t>
  </si>
  <si>
    <t>Source</t>
  </si>
  <si>
    <t>Other refrigerants in use</t>
  </si>
  <si>
    <t>LeakageLookupKey</t>
  </si>
  <si>
    <t>Refrigerant Charge</t>
  </si>
  <si>
    <t>Refrigerant Type</t>
  </si>
  <si>
    <t>Pre</t>
  </si>
  <si>
    <t>Std</t>
  </si>
  <si>
    <t>Msr tech lookup</t>
  </si>
  <si>
    <t>Pre Refrigerant Type</t>
  </si>
  <si>
    <t>Std Refrigerant Type</t>
  </si>
  <si>
    <t>Msr Refrigerant Type</t>
  </si>
  <si>
    <t>Pre annual refrigerant leakage %</t>
  </si>
  <si>
    <t>Std annual refrigerant leakage %</t>
  </si>
  <si>
    <t>Msr annual refrigerant leakage %</t>
  </si>
  <si>
    <t>Refrig. Data lookup keys</t>
  </si>
  <si>
    <t>DropdownRefrigTech</t>
  </si>
  <si>
    <t>Placeholder for equipment without refrigerant</t>
  </si>
  <si>
    <t>Non-refrig equipment</t>
  </si>
  <si>
    <t>Non-refrigerant equipment</t>
  </si>
  <si>
    <t>AR</t>
  </si>
  <si>
    <t>Pre GWP</t>
  </si>
  <si>
    <t>Std GWP</t>
  </si>
  <si>
    <t>Msr GWP</t>
  </si>
  <si>
    <t>GWP Time Horizon</t>
  </si>
  <si>
    <t>100-yr</t>
  </si>
  <si>
    <t>Pre Annual leakage tons CO2e</t>
  </si>
  <si>
    <t>Std Annual leakage tons CO2e</t>
  </si>
  <si>
    <t>Msr Annual leakage tons CO2e</t>
  </si>
  <si>
    <t>Msr NPV Cost of Annual Leakage</t>
  </si>
  <si>
    <t>Msr NPV Cost of EOL Leakage</t>
  </si>
  <si>
    <t>Pre NPV Cost of Annual Leakage</t>
  </si>
  <si>
    <t>Std NPV Cost of Annual Leakage</t>
  </si>
  <si>
    <t>Annual leakage - metric tonnes CO2e</t>
  </si>
  <si>
    <t>NPV cost of annual leakage</t>
  </si>
  <si>
    <t>EOL leakage - metric tonnes CO2e</t>
  </si>
  <si>
    <t>Calendar year</t>
  </si>
  <si>
    <t>Significance</t>
  </si>
  <si>
    <t>Interpretation of NPV labels</t>
  </si>
  <si>
    <t>If MeasAppType is …</t>
  </si>
  <si>
    <t>NR or NC</t>
  </si>
  <si>
    <t>And label is …</t>
  </si>
  <si>
    <t>RefrigerantNPVBenefitsPreBaseline</t>
  </si>
  <si>
    <t>NPV avoided costs calculated using the Refrigerant Avoided Cost Calculator for pre-existing baseline equipment</t>
  </si>
  <si>
    <t>RefrigerantNPVBenefitsStdBaseline</t>
  </si>
  <si>
    <t>NPV avoided costs calculated using the Refrigerant Avoided Cost Calculator for standard baseline equipment</t>
  </si>
  <si>
    <t>RefrigerantNPVBenefitsMea</t>
  </si>
  <si>
    <t>NPV avoided costs calculated using the Refrigerant Avoided Cost Calculator for installed measure equipment</t>
  </si>
  <si>
    <t>NPV costs calculated using the Refrigerant Avoided Cost Calculator for pre-existing baseline equipment (should be entered as a positive value)</t>
  </si>
  <si>
    <t>NPV costs calculated using the Refrigerant Avoided Cost Calculator for standard baseline equipment (should be entered as a positive value)</t>
  </si>
  <si>
    <t>RefrigerantNPVCostsMea</t>
  </si>
  <si>
    <t>NPV costs calculated using the Refrigerant Avoided Cost Calculator for installed measure equipment (should be entered as a positive value)</t>
  </si>
  <si>
    <t>Pre EOL leakage tons CO2e</t>
  </si>
  <si>
    <t>NPV cost of EOL leakage</t>
  </si>
  <si>
    <t>Fieldname</t>
  </si>
  <si>
    <t>Field description</t>
  </si>
  <si>
    <t>RefrigerantNPVBenefits PreBaseline</t>
  </si>
  <si>
    <t>RefrigerantNPVBenefits StdBaseline</t>
  </si>
  <si>
    <t>RefrigerantNPVCosts PreBaseline</t>
  </si>
  <si>
    <t>RefrigerantNPVCosts StdBaseline</t>
  </si>
  <si>
    <t>Definition</t>
  </si>
  <si>
    <t>Claim year + 5</t>
  </si>
  <si>
    <t>E.g. if RUL = 5, last year in service for existing equipment</t>
  </si>
  <si>
    <t>E.g. if RUL = 5, first year in service for standard practice baseline</t>
  </si>
  <si>
    <t>R-134A</t>
  </si>
  <si>
    <t>R-407C and R-410A</t>
  </si>
  <si>
    <t>1) https://www.choice.com.au/home-and-living/laundry-and-cleaning/dryers/articles/what-is-a-heat-pump-dryer
2) https://www.researchgate.net/publication/280446701_The_Design_of_Heat_Pump_Clothes_Dryer</t>
  </si>
  <si>
    <t>per unit</t>
  </si>
  <si>
    <t>From RACC calculator</t>
  </si>
  <si>
    <t>Table 5-5 CPUC. Proposed Defined Study – A Roadmap for Accelerating the Adoption of Low-Global Warming Potential HVAC Refrigerants, EM&amp;V Group A. March 4, 2021</t>
  </si>
  <si>
    <t>Lbs per ton</t>
  </si>
  <si>
    <t>Appendix B - California Facilities and Greenhouse Gas Emissions Inventory – High-Global Warming Potential Stationary - Source Refrigerant Management Program Research Division, Release Date October 23, 2009</t>
  </si>
  <si>
    <t>Based on the ratio of residential unitary charge of 7.5 and residential heat pump charge of 8.2 from RACC</t>
  </si>
  <si>
    <t>AHRI database has 407 heat pump pool heaters listed and all have R-410a as the refrigerant type</t>
  </si>
  <si>
    <t>https://hayward-pool-assets.com/assets/documents/pools/pdf/troubleshooting-guides/HeatPump-troubleshooting-guide.pdf</t>
  </si>
  <si>
    <t>R134A</t>
  </si>
  <si>
    <t>1. https://www.osti.gov/servlets/purl/1468227
2.	“Refrigerants for Heat Pump Water Heaters, Report Annex 46 HPT-AN46-04”, December 2019, Compiled and Edited by Onno Kleefkens M.Sc. for IEA TCP-HPT, Published by Heat Pump Centre. 3. https://heatpumpingtechnologies.org/annex46/wp-content/uploads/sites/53/2020/10/hpt-an46-04-task-1-refrigerants-for-heat-pump-water-heaters-1.pdf</t>
  </si>
  <si>
    <t xml:space="preserve">input capacity in kBtu/h (Cap-kBtuh). </t>
  </si>
  <si>
    <t>https://www.lochinvar.com/products/commercial-heat-pump-water-heaters/air-source-heat-pump-water-heaters/
See table on the side for calculations</t>
  </si>
  <si>
    <t>R-134a</t>
  </si>
  <si>
    <t>https://www.lochinvar.com/lit/436248CHE-Spec-01.pdf</t>
  </si>
  <si>
    <t>All HVAC, High efficiency Heat Pumps</t>
  </si>
  <si>
    <t>R-410a</t>
  </si>
  <si>
    <t>https://www.lochinvar.com/products/commercial-heat-pump-water-heaters/air-source-heat-pump-water-heaters/</t>
  </si>
  <si>
    <t>Model</t>
  </si>
  <si>
    <t>Heating Capacity (BTUH)</t>
  </si>
  <si>
    <t>Factor charge (lbs)</t>
  </si>
  <si>
    <t>Lbs/Kbtuh</t>
  </si>
  <si>
    <t>AHP025</t>
  </si>
  <si>
    <t>AHP060</t>
  </si>
  <si>
    <t>AHP090</t>
  </si>
  <si>
    <t>AHP125</t>
  </si>
  <si>
    <t>AHP185</t>
  </si>
  <si>
    <t>AHP250</t>
  </si>
  <si>
    <t>Average</t>
  </si>
  <si>
    <t xml:space="preserve">From workpaper </t>
  </si>
  <si>
    <t>BTUH</t>
  </si>
  <si>
    <t>HP50TA</t>
  </si>
  <si>
    <t>HP20654T</t>
  </si>
  <si>
    <t>HP20854T</t>
  </si>
  <si>
    <t>HP21104T</t>
  </si>
  <si>
    <t>HP21404T</t>
  </si>
  <si>
    <t>Refrigerant Charge (Lbs)</t>
  </si>
  <si>
    <t>RefrigerantNPVCostsPreBaseline</t>
  </si>
  <si>
    <t>RefrigerantNPVCostsStdBaseline</t>
  </si>
  <si>
    <t>RefrigerantNPVBenefits</t>
  </si>
  <si>
    <t>RefrigerantNPVCosts</t>
  </si>
  <si>
    <t>Pre NPV Cost of EOL Leakage</t>
  </si>
  <si>
    <t>Std NPV Cost of EOL Leakage</t>
  </si>
  <si>
    <t>Refrigerant charge</t>
  </si>
  <si>
    <t>const_ones</t>
  </si>
  <si>
    <t>const_later</t>
  </si>
  <si>
    <t>Msr EOL leakage tons CO2e</t>
  </si>
  <si>
    <t>Std EOL leakage tons CO2e</t>
  </si>
  <si>
    <t>Pre t_EOL</t>
  </si>
  <si>
    <t>Std t_EOL</t>
  </si>
  <si>
    <t>Msr t_EOL</t>
  </si>
  <si>
    <t>t_EOL (non-top-off years)</t>
  </si>
  <si>
    <t>q_EOL (EOL refrigerant leakage %)</t>
  </si>
  <si>
    <t>Adjusted EOL refrigerant leakage (%)</t>
  </si>
  <si>
    <t>EOL charge remaining (%)</t>
  </si>
  <si>
    <t>q_EOL</t>
  </si>
  <si>
    <t>=(D29-D29*E47*E49)*E48/H44*E46</t>
  </si>
  <si>
    <r>
      <t xml:space="preserve">EOL leakage (lbs) = [Active charge (lbs)] </t>
    </r>
    <r>
      <rPr>
        <sz val="11"/>
        <color theme="1"/>
        <rFont val="Calibri"/>
        <family val="2"/>
      </rPr>
      <t>×</t>
    </r>
    <r>
      <rPr>
        <sz val="11"/>
        <color theme="1"/>
        <rFont val="Calibri"/>
        <family val="2"/>
        <scheme val="minor"/>
      </rPr>
      <t xml:space="preserve"> (1 - q_ann × t_EOL) × q_EOL (with appropriate conversions)</t>
    </r>
  </si>
  <si>
    <t>Pre charging remaining (%)</t>
  </si>
  <si>
    <t>Std charging remaining (%)</t>
  </si>
  <si>
    <t>Msr charging remaining (%)</t>
  </si>
  <si>
    <t>Pre net EOL refrigerant leakage (%)</t>
  </si>
  <si>
    <t>Pre gross EOL refrigerant leakage %</t>
  </si>
  <si>
    <t>Std gross EOL refrigerant leakage %</t>
  </si>
  <si>
    <t>Msr gross EOL refrigerant leakage %</t>
  </si>
  <si>
    <t>Std net EOL refrigerant leakage (%)</t>
  </si>
  <si>
    <t>Msr net EOL refrigerant leakage (%)</t>
  </si>
  <si>
    <t>General inputs</t>
  </si>
  <si>
    <t>repeat after …</t>
  </si>
  <si>
    <t>Usage:</t>
  </si>
  <si>
    <t>=OFFSET(const_repeat_after,5,0,1,30)</t>
  </si>
  <si>
    <t>Wait 3 years, then every other year</t>
  </si>
  <si>
    <t>Wait 0 years, then every fifth year</t>
  </si>
  <si>
    <t>=OFFSET(const_repeat_after, &lt;repeat how often&gt;, - &lt;after how long to wait&gt;, 1, &lt;length&gt;)</t>
  </si>
  <si>
    <t>Repeat &lt;= 20, Wait &lt;= 10, Length &lt;= 30</t>
  </si>
  <si>
    <t>=OFFSET(const_later, 0, - &lt;after how long to wait&gt;, 1, &lt;length&gt;)</t>
  </si>
  <si>
    <t>Wait &lt;= 30, Length &lt;= 30</t>
  </si>
  <si>
    <t>Wait 5 years, total 10 years</t>
  </si>
  <si>
    <t>=OFFSET(const_later, 0, -5, 1, 10)</t>
  </si>
  <si>
    <t>For Southern California Edison</t>
  </si>
  <si>
    <t>Date</t>
  </si>
  <si>
    <t>Changes</t>
  </si>
  <si>
    <t>RACC Tool for Deemed Measure Packages</t>
  </si>
  <si>
    <t>Draft Resolution E-5152 Table A-9-4. New fields for refrigerant NPV avoided costs</t>
  </si>
  <si>
    <t>Claim year</t>
  </si>
  <si>
    <t>Claim year + 4</t>
  </si>
  <si>
    <t>Claim year + 14</t>
  </si>
  <si>
    <t>RefrigerantNPVCostsNet</t>
  </si>
  <si>
    <t>Is Net Cost?</t>
  </si>
  <si>
    <t>Simple annual calc over t_EOL</t>
  </si>
  <si>
    <t>=D29*E47/H44*E46</t>
  </si>
  <si>
    <t>Compounded loss before top-off</t>
  </si>
  <si>
    <t>Difference</t>
  </si>
  <si>
    <t>Benefits</t>
  </si>
  <si>
    <t>Costs</t>
  </si>
  <si>
    <t>Refrigerant NPV Net</t>
  </si>
  <si>
    <t>Net NPV</t>
  </si>
  <si>
    <t>This sheet should remain hidden. It is only referenced in formulas.</t>
  </si>
  <si>
    <t>const_repeat_after</t>
  </si>
  <si>
    <t>^^^</t>
  </si>
  <si>
    <t>UnitRefrigBens</t>
  </si>
  <si>
    <t>UnitRefrigCosts</t>
  </si>
  <si>
    <t>Refrigerant type research</t>
  </si>
  <si>
    <t>Dropdown_MAT</t>
  </si>
  <si>
    <t>Lookup table Based on Refrig Type Research</t>
  </si>
  <si>
    <t>Change log</t>
  </si>
  <si>
    <t>Author</t>
  </si>
  <si>
    <t>Version</t>
  </si>
  <si>
    <t>Initial version, derived from SCE RACC Tool for Program Data</t>
  </si>
  <si>
    <t>RefrigerantNPVBenefits Mea</t>
  </si>
  <si>
    <t>RefrigerantNPVCosts Mea</t>
  </si>
  <si>
    <t>…</t>
  </si>
  <si>
    <t>N/A</t>
  </si>
  <si>
    <t>Value of avoidance of leakage during years in service</t>
  </si>
  <si>
    <t>Value of leakage during years in service</t>
  </si>
  <si>
    <t>(a) Existing equipment ("Pre") is excluded from consideration for normal replacement and not applicable to new construction.</t>
  </si>
  <si>
    <r>
      <t>Excluded</t>
    </r>
    <r>
      <rPr>
        <i/>
        <sz val="11"/>
        <color theme="1"/>
        <rFont val="Calibri"/>
        <family val="2"/>
        <scheme val="minor"/>
      </rPr>
      <t>(a)</t>
    </r>
  </si>
  <si>
    <t>Yr[1]</t>
  </si>
  <si>
    <t>Yr[5]</t>
  </si>
  <si>
    <t>Yr[6]</t>
  </si>
  <si>
    <t>Yr[15]</t>
  </si>
  <si>
    <t>AR leakage</t>
  </si>
  <si>
    <t>const_once</t>
  </si>
  <si>
    <t>Examples starting at …</t>
  </si>
  <si>
    <t>5 years</t>
  </si>
  <si>
    <t>Timeline example with MAT=AR, RUL = 5, and EUL = 15</t>
  </si>
  <si>
    <t>And refrigerant NPV shows:</t>
  </si>
  <si>
    <t>Costs discounted by</t>
  </si>
  <si>
    <t>Solaris-Technical, LLC</t>
  </si>
  <si>
    <t>DNVGL latest study</t>
  </si>
  <si>
    <r>
      <t xml:space="preserve">By default these columns are filled from </t>
    </r>
    <r>
      <rPr>
        <b/>
        <i/>
        <sz val="11"/>
        <color rgb="FF7F7F7F"/>
        <rFont val="Calibri"/>
        <family val="2"/>
        <scheme val="minor"/>
      </rPr>
      <t>Refrig Type Defaults</t>
    </r>
    <r>
      <rPr>
        <i/>
        <sz val="11"/>
        <color rgb="FF7F7F7F"/>
        <rFont val="Calibri"/>
        <family val="2"/>
        <scheme val="minor"/>
      </rPr>
      <t>. Override as needed.</t>
    </r>
  </si>
  <si>
    <t>Measure case equipment first year in service</t>
  </si>
  <si>
    <t>E.g. if EUL = 15, Last year in service for measure case equipment</t>
  </si>
  <si>
    <t>AR immediate NPV cost of leakage</t>
  </si>
  <si>
    <t>0</t>
  </si>
  <si>
    <t>Examples …</t>
  </si>
  <si>
    <t>=OFFSET(const_repeat_after,2,-3,1,30)</t>
  </si>
  <si>
    <t>Source for Refrigerant Type</t>
  </si>
  <si>
    <t>15 years</t>
  </si>
  <si>
    <t xml:space="preserve">There is no published literature support chnages to refigerant charge with increase in effiency </t>
  </si>
  <si>
    <t>Mea</t>
  </si>
  <si>
    <t>Annual</t>
  </si>
  <si>
    <t>EOL</t>
  </si>
  <si>
    <t>Leakage events, baseline case</t>
  </si>
  <si>
    <t>Leakage events, measure case</t>
  </si>
  <si>
    <t>Timeline example with MAT=NR and EUL = 15</t>
  </si>
  <si>
    <t>5th year in service</t>
  </si>
  <si>
    <t>6th year in service</t>
  </si>
  <si>
    <t>Equipment first year in service</t>
  </si>
  <si>
    <t>Last year in service for measure case equipment</t>
  </si>
  <si>
    <t>Then NPV includes …</t>
  </si>
  <si>
    <t>Annual leakage (EUL years) and end-of-life leakage of standard equipment.</t>
  </si>
  <si>
    <t>Annual leakage (EUL years) and end-of-life leakage of measure equipment.</t>
  </si>
  <si>
    <t>EOL leakage of existing. Annual leakage (EUL years) and EOL leakage of measure equipment.</t>
  </si>
  <si>
    <t>https://www.cpuc.ca.gov/industries-and-topics/electrical-energy/demand-side-management/energy-efficiency/idsm</t>
  </si>
  <si>
    <t>[1] https://www.cpuc.ca.gov/industries-and-topics/electrical-energy/demand-side-management/energy-efficiency/idsm</t>
  </si>
  <si>
    <t>[2] ftp://ftp.cpuc.ca.gov/gopher-data/energy_division/EnergyEfficiency/CostEffectiveness</t>
  </si>
  <si>
    <t>Refrigerant Calculator.xlsx (2020-06-29) [1]</t>
  </si>
  <si>
    <t>2021 ACC Refrigerant Calculator v1a.xlsx [2]</t>
  </si>
  <si>
    <t>Consistent with both 2020 and 2021 Refrigerant Calculators</t>
  </si>
  <si>
    <t>Calculation identical to formulas from E3 Refrigerant Calculator's Dashboard</t>
  </si>
  <si>
    <t>$J:$K</t>
  </si>
  <si>
    <t>$A$41:$K$41</t>
  </si>
  <si>
    <t>Workbook sources</t>
  </si>
  <si>
    <t>$A$155:$G$156</t>
  </si>
  <si>
    <t>$A$1:$I$40</t>
  </si>
  <si>
    <t>$A$1:$I$40, $A$159:$A$162</t>
  </si>
  <si>
    <t>Refrigerant Calculator</t>
  </si>
  <si>
    <t>$A$1:$AI$63</t>
  </si>
  <si>
    <t>$G$50:$G$52</t>
  </si>
  <si>
    <t>Added explanatory info</t>
  </si>
  <si>
    <t>$C$65:$E$66</t>
  </si>
  <si>
    <t>Demonstrate corrected NPV formula</t>
  </si>
  <si>
    <t>Added for deemed calculator extended functionality</t>
  </si>
  <si>
    <t>2021 ACC Refrigerant Calculator v1b.xlsx [3]</t>
  </si>
  <si>
    <t>[3] https://willdan.app.box.com/v/2021CPUCAvoidedCosts/folder/136593940728</t>
  </si>
  <si>
    <t>Page not found - maybe here? https://www.grida.no/climate/ipcc/emission/123.htm#tbl57</t>
  </si>
  <si>
    <t>Source file</t>
  </si>
  <si>
    <t>The documentation for 2021 ACC points to this non-CPUC repository, which includes a further revision to ACC to 2021 v1b.</t>
  </si>
  <si>
    <t>The refrigerant calculator is appears unchanged between 2021 v1a and 2021 v1b.</t>
  </si>
  <si>
    <t>As of 2021-08-23, the CPUC's FTP directory includes the 2021 v1a Refrigerant Calculator.</t>
  </si>
  <si>
    <t>This appears to belong to 2021 ACC v1a bundle, the version recognized for approval in Resolution E-5150.</t>
  </si>
  <si>
    <t>The initial release of the Refrigerant Calculator appears to have been provided with 2020 Avoided Cost Calculator version 1c bundle, and posted to the CPUc's IDSM/cost-effectiveness web page.</t>
  </si>
  <si>
    <t>As of 2021-08-23, the CPUC's public-facing web page links only to this version of the Refrigerant Calculator.</t>
  </si>
  <si>
    <t>The new version is shown here to clarify that the "latest" and "official/approved" are actually different version numbers, but the GHG adder is identical so exact version is irrelevant for this tool.</t>
  </si>
  <si>
    <t>Ductless HVAC, Residential - AC and Resistance Heating</t>
  </si>
  <si>
    <t>The 2021 ACC v1a is selected here, consistent with Resolution E-5150, the "latest official" finding from the CPUC relating to ACC.</t>
  </si>
  <si>
    <t>Coincidentally, this selection is also consistent with 2021 ACC v1b, the latest version publicly posted by E3/Willdan.</t>
  </si>
  <si>
    <t>At time of writing, there was discoordination in public postings such that the "latest official version" was poorly defined.</t>
  </si>
  <si>
    <t>Why list all known versions of the E3 Refrigerant Calculator?</t>
  </si>
  <si>
    <t>Refrigerant Calculator source versions</t>
  </si>
  <si>
    <t>Storing all versions will also allow engineers to assess changes to NPV outputs due to future ACC updates.</t>
  </si>
  <si>
    <t>Clarified source version of Refrigerant Calculator.
Set GHG Adder to 2021 by default.
Improved instructions &amp; source references.
Examples revised.</t>
  </si>
  <si>
    <t>Discounted to Year</t>
  </si>
  <si>
    <t>Dropdown_Discount_Year</t>
  </si>
  <si>
    <t>Test</t>
  </si>
  <si>
    <t>Annual NPV (2022)-</t>
  </si>
  <si>
    <t>Annual NPV (2020)-</t>
  </si>
  <si>
    <t>EOL NPV (2022)</t>
  </si>
  <si>
    <t>1 year</t>
  </si>
  <si>
    <t>6 years</t>
  </si>
  <si>
    <t>1 years</t>
  </si>
  <si>
    <t>Annual + EOL</t>
  </si>
  <si>
    <t>REFRIGERANT NPV BENEFITS PREEXISTING BASELINE (USD)</t>
  </si>
  <si>
    <t>REFRIGERANT NPV BENEFITS STANDARD BASELINE (USD)</t>
  </si>
  <si>
    <t>REFRIGERANT NPV BENEFITS MEASURE (USD)</t>
  </si>
  <si>
    <t>REFRIGERANT NPV COSTS PREEXISTING BASELINE (USD)</t>
  </si>
  <si>
    <t>REFRIGERANT NPV COSTS STANDARD BASELINE (USD)</t>
  </si>
  <si>
    <t>REFRIGERANT NPV COSTS MEASURE (USD)</t>
  </si>
  <si>
    <t>Annual +EOL</t>
  </si>
  <si>
    <t>Yr[0]</t>
  </si>
  <si>
    <t>0 years</t>
  </si>
  <si>
    <t xml:space="preserve">Retiring pre-existing equipment </t>
  </si>
  <si>
    <t>SWHC045A</t>
  </si>
  <si>
    <t>SWHC045B</t>
  </si>
  <si>
    <t>SWHC045C</t>
  </si>
  <si>
    <t>SWHC045D</t>
  </si>
  <si>
    <t>SWHC045E</t>
  </si>
  <si>
    <t>SWHC045F</t>
  </si>
  <si>
    <t>SWHC045G</t>
  </si>
  <si>
    <t>SWHC045H</t>
  </si>
  <si>
    <t xml:space="preserve"> Annual</t>
  </si>
  <si>
    <t>Annual +  EOL</t>
  </si>
  <si>
    <t>Workbook sheets color coding</t>
  </si>
  <si>
    <t>SCE calculator to support deemed measures</t>
  </si>
  <si>
    <t>CPUC 2021 ACC Refrigerant Calculator v1b.xlsx</t>
  </si>
  <si>
    <t>Password</t>
  </si>
  <si>
    <t>RACC2021</t>
  </si>
  <si>
    <t>Removed the mid-year discounting and discounting to the claim year so that the avoided costs for a normal replacement (NR) measure application type match the E3 Dashboard results</t>
  </si>
  <si>
    <t>1) Using the avoided cost calculation approach of Normal Replacement (NR) for Accelerated Replacement (AR) measure application type as an interim approach, until CPUC's refrigerant avoided cost calculator (RACC) is revised to include measure application types
2) As directed by E-5152, Attachment A, IOUs funding proportions based average weighted average cost of capital (WACC) will be used for calculating avoided costs for statewide measures.</t>
  </si>
  <si>
    <t xml:space="preserve">Excluded for the interim approach </t>
  </si>
  <si>
    <r>
      <t>Annual leakage  and end-of-life leakage of existing equipment previously installed for EUL of the measure</t>
    </r>
    <r>
      <rPr>
        <i/>
        <sz val="11"/>
        <color theme="1"/>
        <rFont val="Calibri"/>
        <family val="2"/>
        <scheme val="minor"/>
      </rPr>
      <t>(b)</t>
    </r>
  </si>
  <si>
    <t>(b) This assumption is only for the interim approach until the CPUC RACC is updated to include measure application types</t>
  </si>
  <si>
    <t>Electric Funding Split</t>
  </si>
  <si>
    <t>Statewide</t>
  </si>
  <si>
    <t>Locked for PY2022</t>
  </si>
  <si>
    <t>Timeline example with MAT=AR, RUL = 5, and EUL = 15 (interim method)</t>
  </si>
  <si>
    <t xml:space="preserve"> Annual + EOL</t>
  </si>
  <si>
    <t>Claim year - 1</t>
  </si>
  <si>
    <t>Last year in service for refurbished pre-existing equipment</t>
  </si>
  <si>
    <t>Refurbished pre-existing equipment first year in service</t>
  </si>
  <si>
    <t>Locked to 100-yr</t>
  </si>
  <si>
    <t>Locked to Statewide</t>
  </si>
  <si>
    <t>E.g., =NPV(0.05, 1*OFFSET(ghg_adder,0,0,1,EUL)) does not expand the "ghg_adder" step.</t>
  </si>
  <si>
    <t>Tip: Use "Evaluate formula" to preview array formula calculation steps.</t>
  </si>
  <si>
    <t>Use these constant arrays inside an NPV formula so that "Evaluate formula" will expand the costs for each year, showing how many years and which years are included in the calculation.</t>
  </si>
  <si>
    <t>However, =NPV(0.05, OFFSET(cons_ones,0,0,1,EUL)*OFFSET(ghg_adder,0,0,1,EUL)) does expand the "ghg_adder" step, and you can check the first and last years.</t>
  </si>
  <si>
    <t>From D.19-12-021, pages 63-64, Table 1</t>
  </si>
  <si>
    <t>per ton</t>
  </si>
  <si>
    <r>
      <rPr>
        <b/>
        <sz val="11"/>
        <color theme="1"/>
        <rFont val="Calibri"/>
        <family val="2"/>
        <scheme val="minor"/>
      </rPr>
      <t>Future Updates to CPUC's RACC tool</t>
    </r>
    <r>
      <rPr>
        <sz val="11"/>
        <color theme="1"/>
        <rFont val="Calibri"/>
        <family val="2"/>
        <scheme val="minor"/>
      </rPr>
      <t xml:space="preserve">
1) E3 Dashboard does not calculate the avoided costs for a measure (installed equipment in comparison to a baseline), but only for one piece of equipment during a normal service lifetime. The ACC documentation states, "It is crucial, however, to make sure that both the avoided and incurred costs are properly accounted for […]. It is crucial to account for the refrigerant leakage from both devices when cost effectiveness is being examined."_x000B__x000B_Properly accounting for avoided and incurred costs requires a mindset which includes not only baseline and measure viewed as pieces of equipment, but also baseline and measure cases viewed as sequences of events. In the practice of analyzing EE measure baselines, the baseline sequence of events varies based on the measure application type (MAT) such as NR, AR, AOE, etc. In particular for the accelerated replacement (AR) MAT, the existing equipment is present in both the baseline and measure case sequence of events, but its removal and consequent end-of-life leakage emissions occur in different years between baseline and measure cases, which should indicate a differential in terms of NPV cost for that leakage event. Additionally with the AR MAT, there are differences between existing, standard, and measure case equipment when comparing the installation dates and service lifetimes. Therefore, the effort to gather the net of avoided and incurred costs requires an approach that goes beyond the equipment-level analysis that is provided in the RACC. The tables below present the sequence of events for NR and AR measures application type for a measure with EUL of 15 years and RUL of 5 years (for AR only). 
2) The "Refrigerant Leakage" tab does not provide the output capacity details of the equipment. For example, the colling tonnage of stationary air-conditioning equipment is not available. This tab should be updated to include the output capacity. Further the tab should provide the sources for all parameters, charge rate, annual leakage rate, end of life leakage rate. etc.  </t>
    </r>
  </si>
  <si>
    <r>
      <rPr>
        <b/>
        <sz val="11"/>
        <color theme="1"/>
        <rFont val="Calibri"/>
        <family val="2"/>
        <scheme val="minor"/>
      </rPr>
      <t>Six NPV output fields</t>
    </r>
    <r>
      <rPr>
        <sz val="11"/>
        <color theme="1"/>
        <rFont val="Calibri"/>
        <family val="2"/>
        <scheme val="minor"/>
      </rPr>
      <t xml:space="preserve">
Six of the output fields from this tool are those required by Draft Resolution E-5152 (DEER2023) (from p. A-79, Table A-9-4).</t>
    </r>
  </si>
  <si>
    <r>
      <rPr>
        <b/>
        <u/>
        <sz val="11"/>
        <color theme="1"/>
        <rFont val="Calibri"/>
        <family val="2"/>
        <scheme val="minor"/>
      </rPr>
      <t>CET output fields</t>
    </r>
    <r>
      <rPr>
        <sz val="11"/>
        <color theme="1"/>
        <rFont val="Calibri"/>
        <family val="2"/>
        <scheme val="minor"/>
      </rPr>
      <t xml:space="preserve">
Two of the output fields from this tool are those required by CET, using the naming in the CET_GOOD.2021-07-14 example input file:
</t>
    </r>
    <r>
      <rPr>
        <b/>
        <sz val="11"/>
        <color theme="1"/>
        <rFont val="Calibri"/>
        <family val="2"/>
        <scheme val="minor"/>
      </rPr>
      <t xml:space="preserve">   UnitRefrigCosts
   UnitRefrigBens 
</t>
    </r>
    <r>
      <rPr>
        <sz val="11"/>
        <color theme="1"/>
        <rFont val="Calibri"/>
        <family val="2"/>
        <scheme val="minor"/>
      </rPr>
      <t xml:space="preserve">
The tool populates these fields following these assumptions:
(1) This equation relates the net costs to the output fields:
   RefrigerantNPVCostsNet = UnitRefrigCosts - UnitRefrigBens
(2) Only one of the two fields will be populated with a non-zero, positive value, depending on whether the net refrigerant costs are positive or negative for the measure.</t>
    </r>
  </si>
  <si>
    <t>GWP time horizon (100-yr is default)</t>
  </si>
  <si>
    <t>Active WACC%</t>
  </si>
  <si>
    <r>
      <rPr>
        <b/>
        <u/>
        <sz val="11"/>
        <color theme="1"/>
        <rFont val="Calibri"/>
        <family val="2"/>
        <scheme val="minor"/>
      </rPr>
      <t xml:space="preserve">Summary of Proposed Adjustments to CPUC 2021 ACC Refrigerant Calculator v1b.xlsx (CPUC calculator) </t>
    </r>
    <r>
      <rPr>
        <sz val="11"/>
        <color theme="1"/>
        <rFont val="Calibri"/>
        <family val="2"/>
        <scheme val="minor"/>
      </rPr>
      <t xml:space="preserve">
1) Created "Deemed Dashboard" to calculate refrigerant avoided costs for multiple devices and measures in the same sheet following the methodology in 2021 ACC Refrigerant Calculator (E3 Dashboard)
2) Performed secondary research for common refrigerant type and refrigerant charge in the same normalizing units as deemed measure packages. This information was not available in CPUC calculator. Users can use this information to support the user specified entries allowed in the CPUC calculator. 
3)  In the "Deemed Dashboard", measure application type was added as a user input. As an interim approach, the avoided costs of Accelerated Replacement (AR) measure application type will be calculated using the similar methodology of Normal Replacement (NR) measures but by considering pre-existing device type as the baseline for the EUL of the measure. In the future, it is recommended that CPUC calculator be updated to include measure application type and the avoided costs for AR measures be calculated based on the sequence of events. Refer to the future updates section below for details. 
4) Using a statewide weighted average cost of capital (WACC) calculated using the IOUs funding proportions of statewide energy programs. </t>
    </r>
  </si>
  <si>
    <r>
      <t xml:space="preserve">Pre tech lookup </t>
    </r>
    <r>
      <rPr>
        <sz val="11"/>
        <rFont val="Calibri"/>
        <family val="2"/>
        <scheme val="minor"/>
      </rPr>
      <t>(not required for "NR" measure application types)</t>
    </r>
  </si>
  <si>
    <t>Std tech lookup (not required for "AR" measure application types)</t>
  </si>
  <si>
    <t>RUL (not required for this version of the tool)</t>
  </si>
  <si>
    <t>Pre Refrigerant charge (lbs) per NormUnit</t>
  </si>
  <si>
    <t>Std Refrigerant charge (lbs)per NormUnit</t>
  </si>
  <si>
    <t>Msr Refrigerant charge (lbs)per NormUnit</t>
  </si>
  <si>
    <t>Measure Offering ID</t>
  </si>
  <si>
    <t>UNIT REFRIGERANT COSTS (USD)</t>
  </si>
  <si>
    <t>UNIT REFRIGERANT BENEFITS (USD)</t>
  </si>
  <si>
    <t>Fixed per CPUC RACC</t>
  </si>
  <si>
    <t>Central HVAC, Residential - Gas Furnace only</t>
  </si>
  <si>
    <t>Unitary Air-Cooled HVAC, Commercial - Gas Furnace only</t>
  </si>
  <si>
    <r>
      <rPr>
        <b/>
        <u/>
        <sz val="11"/>
        <color theme="1"/>
        <rFont val="Calibri"/>
        <family val="2"/>
        <scheme val="minor"/>
      </rPr>
      <t>Background</t>
    </r>
    <r>
      <rPr>
        <sz val="11"/>
        <color theme="1"/>
        <rFont val="Calibri"/>
        <family val="2"/>
        <scheme val="minor"/>
      </rPr>
      <t xml:space="preserve">
The Refrigerant Avoided Cost Calculation (RACC) Tool for measure packages (deemed) is based on the Refrigerant Calculator from E3's Avoided Cost Calculator bundle. The deemed calculator extends the tool to allow for multiple measures in one worksheet (with no macros), among other improvements and changes discussed in the section "Adjustments to E3 Dashboard". The tool is intended to be used to satisfy the requirement per Draft Resolution E-5152 (DEER 2023) that a measure package shall provide a RACC results workbook when required.
</t>
    </r>
    <r>
      <rPr>
        <b/>
        <u/>
        <sz val="11"/>
        <color theme="1"/>
        <rFont val="Calibri"/>
        <family val="2"/>
        <scheme val="minor"/>
      </rPr>
      <t>Source versions</t>
    </r>
    <r>
      <rPr>
        <sz val="11"/>
        <color theme="1"/>
        <rFont val="Calibri"/>
        <family val="2"/>
        <scheme val="minor"/>
      </rPr>
      <t xml:space="preserve">
</t>
    </r>
    <r>
      <rPr>
        <b/>
        <sz val="11"/>
        <color theme="1"/>
        <rFont val="Calibri"/>
        <family val="2"/>
        <scheme val="minor"/>
      </rPr>
      <t>GHG Adder</t>
    </r>
    <r>
      <rPr>
        <sz val="11"/>
        <color theme="1"/>
        <rFont val="Calibri"/>
        <family val="2"/>
        <scheme val="minor"/>
      </rPr>
      <t xml:space="preserve"> - 2021 ACC Refrigerant Calculator v1b.xlsx
</t>
    </r>
    <r>
      <rPr>
        <b/>
        <sz val="11"/>
        <color theme="1"/>
        <rFont val="Calibri"/>
        <family val="2"/>
        <scheme val="minor"/>
      </rPr>
      <t>Six-way output field names</t>
    </r>
    <r>
      <rPr>
        <sz val="11"/>
        <color theme="1"/>
        <rFont val="Calibri"/>
        <family val="2"/>
        <scheme val="minor"/>
      </rPr>
      <t xml:space="preserve"> - As listed in CPUC Resolution E-5152
</t>
    </r>
    <r>
      <rPr>
        <b/>
        <sz val="11"/>
        <color theme="1"/>
        <rFont val="Calibri"/>
        <family val="2"/>
        <scheme val="minor"/>
      </rPr>
      <t>CET field names</t>
    </r>
    <r>
      <rPr>
        <sz val="11"/>
        <color theme="1"/>
        <rFont val="Calibri"/>
        <family val="2"/>
        <scheme val="minor"/>
      </rPr>
      <t xml:space="preserve"> - As of August 2021
</t>
    </r>
    <r>
      <rPr>
        <b/>
        <u/>
        <sz val="11"/>
        <color theme="1"/>
        <rFont val="Calibri"/>
        <family val="2"/>
        <scheme val="minor"/>
      </rPr>
      <t>Deemed Dashboard</t>
    </r>
    <r>
      <rPr>
        <sz val="11"/>
        <color theme="1"/>
        <rFont val="Calibri"/>
        <family val="2"/>
        <scheme val="minor"/>
      </rPr>
      <t xml:space="preserve">
The main entry point is the Measure Package Dashboard sheet. Here, the user will enter general inputs, followed by measure-specific inputs for each offering (i.e. each line item in the Measurement tab, assuming each offering has a uniquely matched measure application type).* The outputs are the six fields for NPV {Benefits, Costs} × {Pre, Std, MEA}, described in greater detail below.
* </t>
    </r>
    <r>
      <rPr>
        <i/>
        <sz val="11"/>
        <color theme="1"/>
        <rFont val="Calibri"/>
        <family val="2"/>
        <scheme val="minor"/>
      </rPr>
      <t>Based on a review of several measures involving fuel substitution, it appears that the refrigerant inventory per normalizing unit, and correspondingly the emissions due to leakage, will not depend on any additional independent variables (BldgLoc, BldgType, BldgVint, DeliveryType) used to index e.g. Implementation and Energy ex ante tables. The measure application type, however, must be explicitly specified.</t>
    </r>
    <r>
      <rPr>
        <sz val="11"/>
        <color theme="1"/>
        <rFont val="Calibri"/>
        <family val="2"/>
        <scheme val="minor"/>
      </rPr>
      <t xml:space="preserve">
</t>
    </r>
    <r>
      <rPr>
        <u/>
        <sz val="11"/>
        <color theme="1"/>
        <rFont val="Calibri"/>
        <family val="2"/>
        <scheme val="minor"/>
      </rPr>
      <t>General inputs:</t>
    </r>
    <r>
      <rPr>
        <sz val="11"/>
        <color theme="1"/>
        <rFont val="Calibri"/>
        <family val="2"/>
        <scheme val="minor"/>
      </rPr>
      <t xml:space="preserve">
</t>
    </r>
    <r>
      <rPr>
        <b/>
        <sz val="11"/>
        <color theme="1"/>
        <rFont val="Calibri"/>
        <family val="2"/>
        <scheme val="minor"/>
      </rPr>
      <t>Device installation year</t>
    </r>
    <r>
      <rPr>
        <sz val="11"/>
        <color theme="1"/>
        <rFont val="Calibri"/>
        <family val="2"/>
        <scheme val="minor"/>
      </rPr>
      <t xml:space="preserve"> - Year when the device is installed
</t>
    </r>
    <r>
      <rPr>
        <b/>
        <sz val="11"/>
        <color theme="1"/>
        <rFont val="Calibri"/>
        <family val="2"/>
        <scheme val="minor"/>
      </rPr>
      <t>Discounted to Year</t>
    </r>
    <r>
      <rPr>
        <sz val="11"/>
        <color theme="1"/>
        <rFont val="Calibri"/>
        <family val="2"/>
        <scheme val="minor"/>
      </rPr>
      <t xml:space="preserve"> - While this is typically the claim year, based on CPUC's guidance the avoided costs will be discounted to 2020 as in the E3 Dashboard. 
</t>
    </r>
    <r>
      <rPr>
        <b/>
        <sz val="11"/>
        <color theme="1"/>
        <rFont val="Calibri"/>
        <family val="2"/>
        <scheme val="minor"/>
      </rPr>
      <t>GWP Time Horizon</t>
    </r>
    <r>
      <rPr>
        <sz val="11"/>
        <color theme="1"/>
        <rFont val="Calibri"/>
        <family val="2"/>
        <scheme val="minor"/>
      </rPr>
      <t xml:space="preserve"> - Choose whether to use 20-year or 100-year GWP values. The default is 100-year GWP value. 
</t>
    </r>
    <r>
      <rPr>
        <b/>
        <sz val="11"/>
        <color theme="1"/>
        <rFont val="Calibri"/>
        <family val="2"/>
        <scheme val="minor"/>
      </rPr>
      <t>WACC selection</t>
    </r>
    <r>
      <rPr>
        <sz val="11"/>
        <color theme="1"/>
        <rFont val="Calibri"/>
        <family val="2"/>
        <scheme val="minor"/>
      </rPr>
      <t xml:space="preserve"> - used to lookup WACC for discounting/NPV. For statewide measure packages, this is locked to select weighted average WACC where the weights are based on electric funding split for IOUs.
</t>
    </r>
    <r>
      <rPr>
        <b/>
        <sz val="11"/>
        <color theme="1"/>
        <rFont val="Calibri"/>
        <family val="2"/>
        <scheme val="minor"/>
      </rPr>
      <t>Active WACC%</t>
    </r>
    <r>
      <rPr>
        <sz val="11"/>
        <color theme="1"/>
        <rFont val="Calibri"/>
        <family val="2"/>
        <scheme val="minor"/>
      </rPr>
      <t xml:space="preserve"> - Based on the lookup value
</t>
    </r>
    <r>
      <rPr>
        <i/>
        <sz val="11"/>
        <color theme="1"/>
        <rFont val="Calibri"/>
        <family val="2"/>
        <scheme val="minor"/>
      </rPr>
      <t xml:space="preserve">Note that you should not extend the analysis past 2050, the last year for which GHG emissions have been monetized by the ACC's GHG adder as embedded in the ACC Inputs sheet. </t>
    </r>
    <r>
      <rPr>
        <sz val="11"/>
        <color theme="1"/>
        <rFont val="Calibri"/>
        <family val="2"/>
        <scheme val="minor"/>
      </rPr>
      <t xml:space="preserve">
</t>
    </r>
    <r>
      <rPr>
        <u/>
        <sz val="11"/>
        <color theme="1"/>
        <rFont val="Calibri"/>
        <family val="2"/>
        <scheme val="minor"/>
      </rPr>
      <t>Measure specific inputs:</t>
    </r>
    <r>
      <rPr>
        <sz val="11"/>
        <color theme="1"/>
        <rFont val="Calibri"/>
        <family val="2"/>
        <scheme val="minor"/>
      </rPr>
      <t xml:space="preserve">
</t>
    </r>
    <r>
      <rPr>
        <i/>
        <sz val="11"/>
        <color theme="1"/>
        <rFont val="Calibri"/>
        <family val="2"/>
        <scheme val="minor"/>
      </rPr>
      <t>Identifiers</t>
    </r>
    <r>
      <rPr>
        <sz val="11"/>
        <color theme="1"/>
        <rFont val="Calibri"/>
        <family val="2"/>
        <scheme val="minor"/>
      </rPr>
      <t xml:space="preserve">
</t>
    </r>
    <r>
      <rPr>
        <b/>
        <sz val="11"/>
        <color theme="1"/>
        <rFont val="Calibri"/>
        <family val="2"/>
        <scheme val="minor"/>
      </rPr>
      <t>MeasureID</t>
    </r>
    <r>
      <rPr>
        <sz val="11"/>
        <color theme="1"/>
        <rFont val="Calibri"/>
        <family val="2"/>
        <scheme val="minor"/>
      </rPr>
      <t xml:space="preserve"> - Identifier field, e.g. SWHC044A.
</t>
    </r>
    <r>
      <rPr>
        <b/>
        <sz val="11"/>
        <color theme="1"/>
        <rFont val="Calibri"/>
        <family val="2"/>
        <scheme val="minor"/>
      </rPr>
      <t>NormUnit</t>
    </r>
    <r>
      <rPr>
        <sz val="11"/>
        <color theme="1"/>
        <rFont val="Calibri"/>
        <family val="2"/>
        <scheme val="minor"/>
      </rPr>
      <t xml:space="preserve"> - Identifier field, e.g. "Cap-Tons" or "Each".
Enter the normalizing unit from the workpaper. Refrigerant quantities and NPV costs should all be normalized by the same unit. This field is an identifier only and is not referenced by any calculations.
Calculation inputs
MeasAppType - e.g. NR, NC, or AR. This tool is not designed to accommodate other applications.
RUL - If the measure application type is AR, enter a whole number here, otherwise enter 0.
EUL - Enter the expected useful life of the measure (new equipment).
</t>
    </r>
    <r>
      <rPr>
        <b/>
        <sz val="11"/>
        <color theme="1"/>
        <rFont val="Calibri"/>
        <family val="2"/>
        <scheme val="minor"/>
      </rPr>
      <t>Pre tech lookup,</t>
    </r>
    <r>
      <rPr>
        <sz val="11"/>
        <color theme="1"/>
        <rFont val="Calibri"/>
        <family val="2"/>
        <scheme val="minor"/>
      </rPr>
      <t xml:space="preserve">
   </t>
    </r>
    <r>
      <rPr>
        <b/>
        <sz val="11"/>
        <color theme="1"/>
        <rFont val="Calibri"/>
        <family val="2"/>
        <scheme val="minor"/>
      </rPr>
      <t>Std tech lookup,</t>
    </r>
    <r>
      <rPr>
        <sz val="11"/>
        <color theme="1"/>
        <rFont val="Calibri"/>
        <family val="2"/>
        <scheme val="minor"/>
      </rPr>
      <t xml:space="preserve">
   </t>
    </r>
    <r>
      <rPr>
        <b/>
        <sz val="11"/>
        <color theme="1"/>
        <rFont val="Calibri"/>
        <family val="2"/>
        <scheme val="minor"/>
      </rPr>
      <t>Msr tech lookup</t>
    </r>
    <r>
      <rPr>
        <sz val="11"/>
        <color theme="1"/>
        <rFont val="Calibri"/>
        <family val="2"/>
        <scheme val="minor"/>
      </rPr>
      <t xml:space="preserve"> - Dropdown lists for technology types. Select a technology from the prepared list to automatically populate the advanced input fields that follow. The values are filled from the table on the Refrig Type Defaults sheet.
Refrigerant type,
   refrigerant charge,
   annual refrigerant leakage rate,
   end-of-life leakage rate,
   years without top-off before end-of-life - Advanced input fields for each Pre/Std/Msr case. By default, these are filled with lookup formulas, referring to the preceding </t>
    </r>
    <r>
      <rPr>
        <b/>
        <sz val="11"/>
        <color theme="1"/>
        <rFont val="Calibri"/>
        <family val="2"/>
        <scheme val="minor"/>
      </rPr>
      <t>tech lookup</t>
    </r>
    <r>
      <rPr>
        <sz val="11"/>
        <color theme="1"/>
        <rFont val="Calibri"/>
        <family val="2"/>
        <scheme val="minor"/>
      </rPr>
      <t xml:space="preserve"> columns. Advanced users with direct knowledge of the equipment should enter values directly.
</t>
    </r>
    <r>
      <rPr>
        <i/>
        <sz val="11"/>
        <color theme="1"/>
        <rFont val="Calibri"/>
        <family val="2"/>
        <scheme val="minor"/>
      </rPr>
      <t>Limitation</t>
    </r>
    <r>
      <rPr>
        <sz val="11"/>
        <color theme="1"/>
        <rFont val="Calibri"/>
        <family val="2"/>
        <scheme val="minor"/>
      </rPr>
      <t xml:space="preserve">
In each row of the calculation table, each case (Pre/Std/Msr) must represent a single type of equipment in terms of the refrigerant type and charge. In practice, the population of existing products may include a blend of different equipment types, and similarly the standard baseline or measure case may include a range of products that meet code or measure eligibility requirements. In order to model an equipment blend scenario, run the tool with one row for each possible combination, then create a new sheet and take an average of the output fields.
</t>
    </r>
    <r>
      <rPr>
        <b/>
        <u/>
        <sz val="11"/>
        <color theme="1"/>
        <rFont val="Calibri"/>
        <family val="2"/>
        <scheme val="minor"/>
      </rPr>
      <t xml:space="preserve">Refrig Type Research </t>
    </r>
    <r>
      <rPr>
        <b/>
        <sz val="11"/>
        <color theme="1"/>
        <rFont val="Calibri"/>
        <family val="2"/>
        <scheme val="minor"/>
      </rPr>
      <t>and</t>
    </r>
    <r>
      <rPr>
        <b/>
        <u/>
        <sz val="11"/>
        <color theme="1"/>
        <rFont val="Calibri"/>
        <family val="2"/>
        <scheme val="minor"/>
      </rPr>
      <t xml:space="preserve"> Refrig Type Defaults</t>
    </r>
    <r>
      <rPr>
        <sz val="11"/>
        <color theme="1"/>
        <rFont val="Calibri"/>
        <family val="2"/>
        <scheme val="minor"/>
      </rPr>
      <t xml:space="preserve">
To provide initial estimates for the advanced inputs, these sheets summarize some desktop research by the authors. For a handful of fuel substitution measures and each case (Pre, Std, and Msr), the table provides "default" values for refrigerant type, charge, and a lookup key for the </t>
    </r>
    <r>
      <rPr>
        <b/>
        <sz val="11"/>
        <color theme="1"/>
        <rFont val="Calibri"/>
        <family val="2"/>
        <scheme val="minor"/>
      </rPr>
      <t>Refrigerant Leakage</t>
    </r>
    <r>
      <rPr>
        <sz val="11"/>
        <color theme="1"/>
        <rFont val="Calibri"/>
        <family val="2"/>
        <scheme val="minor"/>
      </rPr>
      <t xml:space="preserve"> parameters from the E3 RACC reference table. Essentially, this table adds an additional layer on top of the information contained in the E3 RACC, for specific deemed measures. Users of this tool are expected to obtain measure-specific research and confirm the defaults.
"Future research to support improvements on the tool should be supported by program evaluators as opposed to Utilities."
Advanced inputs requiring research include:
</t>
    </r>
    <r>
      <rPr>
        <b/>
        <sz val="11"/>
        <color theme="1"/>
        <rFont val="Calibri"/>
        <family val="2"/>
        <scheme val="minor"/>
      </rPr>
      <t>Most common refrigerant</t>
    </r>
    <r>
      <rPr>
        <sz val="11"/>
        <color theme="1"/>
        <rFont val="Calibri"/>
        <family val="2"/>
        <scheme val="minor"/>
      </rPr>
      <t xml:space="preserve"> - for a given technology, provides a default refrigerant. The set of products on the market for a given measure (or a baseline) may in practice include multiple refrigerants; however, this tool can only accommodate one selection each for Pre, Std, and Msr equipment on each row of the dashboard.
</t>
    </r>
    <r>
      <rPr>
        <b/>
        <sz val="11"/>
        <color theme="1"/>
        <rFont val="Calibri"/>
        <family val="2"/>
        <scheme val="minor"/>
      </rPr>
      <t>Refrigerant charge (lbs) per normalizing unit</t>
    </r>
    <r>
      <rPr>
        <sz val="11"/>
        <color theme="1"/>
        <rFont val="Calibri"/>
        <family val="2"/>
        <scheme val="minor"/>
      </rPr>
      <t xml:space="preserve"> - This information was not available from the lookups in the prior version of the tool.
</t>
    </r>
    <r>
      <rPr>
        <b/>
        <u/>
        <sz val="11"/>
        <color theme="1"/>
        <rFont val="Calibri"/>
        <family val="2"/>
        <scheme val="minor"/>
      </rPr>
      <t>Constants</t>
    </r>
    <r>
      <rPr>
        <sz val="11"/>
        <color theme="1"/>
        <rFont val="Calibri"/>
        <family val="2"/>
        <scheme val="minor"/>
      </rPr>
      <t xml:space="preserve"> - This sheet has no user inputs or outputs but is referenced in formulas.
Four sheets that follow are borrowed from E3 Refrigerant Calculator
(a.k.a. RACC, 2021 version 1a as approved in CPUC Resolution E-5150):
</t>
    </r>
    <r>
      <rPr>
        <b/>
        <u/>
        <sz val="11"/>
        <color theme="1"/>
        <rFont val="Calibri"/>
        <family val="2"/>
        <scheme val="minor"/>
      </rPr>
      <t xml:space="preserve">E3 Dashboard </t>
    </r>
    <r>
      <rPr>
        <sz val="11"/>
        <color theme="1"/>
        <rFont val="Calibri"/>
        <family val="2"/>
        <scheme val="minor"/>
      </rPr>
      <t xml:space="preserve">- shows how E3 calculates NPV from annual leakage and end-of-life leakage, as well as compares baseline and measure. This sheet is included only for review and comparison. It is not referenced by the Deemed Measure Dashboard and may be removed.
</t>
    </r>
    <r>
      <rPr>
        <b/>
        <u/>
        <sz val="11"/>
        <color theme="1"/>
        <rFont val="Calibri"/>
        <family val="2"/>
        <scheme val="minor"/>
      </rPr>
      <t>ACC Inputs</t>
    </r>
    <r>
      <rPr>
        <sz val="11"/>
        <color theme="1"/>
        <rFont val="Calibri"/>
        <family val="2"/>
        <scheme val="minor"/>
      </rPr>
      <t xml:space="preserve"> - contains the GHG Adder Coefficients that monetize emissions in each given year (in nominal dollars). This sheet is referenced by the calculations.
Updated in v0.0.2: Dropdown field explicitly specifies which version of ACC is referenced. All known versions of Refrigerant Calculator are shown. Updated in v0.0.3: Default = 2021 v1a.
</t>
    </r>
    <r>
      <rPr>
        <b/>
        <u/>
        <sz val="11"/>
        <color theme="1"/>
        <rFont val="Calibri"/>
        <family val="2"/>
        <scheme val="minor"/>
      </rPr>
      <t>Refrigerant leakage</t>
    </r>
    <r>
      <rPr>
        <sz val="11"/>
        <color theme="1"/>
        <rFont val="Calibri"/>
        <family val="2"/>
        <scheme val="minor"/>
      </rPr>
      <t xml:space="preserve"> - Some typical refrigerant leakage rates (annual and end-of-life) by equipment type. Used for default value lookups. Modified to include the "Non-refrigerant equipment" item for baseline lookups. This sheet is referenced by the calculations.
</t>
    </r>
    <r>
      <rPr>
        <b/>
        <u/>
        <sz val="11"/>
        <color theme="1"/>
        <rFont val="Calibri"/>
        <family val="2"/>
        <scheme val="minor"/>
      </rPr>
      <t>Refrigerant GWPs</t>
    </r>
    <r>
      <rPr>
        <sz val="11"/>
        <color theme="1"/>
        <rFont val="Calibri"/>
        <family val="2"/>
        <scheme val="minor"/>
      </rPr>
      <t xml:space="preserve"> - Modified to include the "None" refrigerant for baseline lookups. This sheet is referenced by the calculations.
</t>
    </r>
    <r>
      <rPr>
        <b/>
        <sz val="11"/>
        <color theme="1"/>
        <rFont val="Calibri"/>
        <family val="2"/>
        <scheme val="minor"/>
      </rPr>
      <t>How to use the tool</t>
    </r>
    <r>
      <rPr>
        <sz val="11"/>
        <color theme="1"/>
        <rFont val="Calibri"/>
        <family val="2"/>
        <scheme val="minor"/>
      </rPr>
      <t xml:space="preserve">
Go to the Measure Pkg (Deemed) Dashboard and fill in the input fields using data from the workpaper (measure package). Insert additional rows as needed. Then, save the workbook.
</t>
    </r>
    <r>
      <rPr>
        <b/>
        <sz val="11"/>
        <color theme="1"/>
        <rFont val="Calibri"/>
        <family val="2"/>
        <scheme val="minor"/>
      </rPr>
      <t>eTRM export tab</t>
    </r>
    <r>
      <rPr>
        <sz val="11"/>
        <color theme="1"/>
        <rFont val="Calibri"/>
        <family val="2"/>
        <scheme val="minor"/>
      </rPr>
      <t xml:space="preserve"> was developed after discussion with the eTRM team. This tab is auto-populated by the tool. </t>
    </r>
  </si>
  <si>
    <r>
      <rPr>
        <b/>
        <u/>
        <sz val="11"/>
        <color theme="1"/>
        <rFont val="Calibri"/>
        <family val="2"/>
        <scheme val="minor"/>
      </rPr>
      <t>Interpretation and usage of new NPV fields</t>
    </r>
    <r>
      <rPr>
        <sz val="11"/>
        <color theme="1"/>
        <rFont val="Calibri"/>
        <family val="2"/>
        <scheme val="minor"/>
      </rPr>
      <t xml:space="preserve">
The tool produces outputs consistent with the following intended use and meaning of the six new fields.
Note that the E3 version of RACC is designed as a "dashboard" to evaluate a single NR or NC measure only, comparing a uniquely determined measure equipment to a baseline equipment that would be installed at the same time and remain in service for the same duration (EUL). However, the new NPV cost fields are labeled Pre, Std, and Mea. To retain consistency with the traditional labels Pre (for existing equipment), Std (for standard practice baseline equipment), and Msr (for measure case equipment), it is important to recognize that the 3-label scheme is not consistent with the simple one-or-the-other replacement scheme and equivalent timeline for baseline and measure cases. Rather, with the 3-label scheme, the "baseline" may be a combination of Pre and Std equipment over different years, depending on measure application type (MAT). In the case of NR or NC, the Pre label traditionally has no meaning (since above-existing costs or energy impacts of NR/NC are not relevant to any program goals or evaluation metrics).
This workbook assumes the following interpretation for intended use of the labels.
(1)   Each RefrigerantNPVBenefits and RefrigerantNPVCosts field represents emissions impacts of one piece of equipment over a fixed duration of analysis, and not a relative comparison of measure and baseline. Consistent with the measure, "Pre" and "Std" labels represent the avoidance of baseline equipment in service, whereas the "Mea" label represent measure case equipment in service.
(2)   The duration of analysis is the EUL of the measure.
(3)   For clarity, the general equation for net RefrigerantNPVCosts (which may be net negative or positive) is:
    RefrigerantNPVCostsNet = RefrigerantNPVCostsMea
                                - RefrigerantNPVCostsPreBaseline
                                - RefrigerantNPVCostsStdBaseline
                                - RefrigerantNPVBenefitsMea
                                + RefrigerantNPVBenefitsPreBaseline
                                + RefrigerantNPVBenefitsStdBaseline
Note that the net benefit is the additive inverse of the net costs.
    RefrigerantNPVBenefitsNet = -(RefrigerantNPVCostsNet).
The individual columns will be filled as follows:
If the measure case equipment while in service generates net costs:
    RefrigerantNPVCostsMea &gt;= 0,
    RefrigerantNPVBenefitsMea = 0.
Otherwise,
    RefrigerantNPVCostsMea = 0,
    RefrigerantNPVBenefitsMea &gt; 0.
If the base case equipment while in service generates net costs:
    RefrigerantNPVCostsPreBaseline &gt;= 0,
    RefrigerantNPVCostsStdBaseline &gt;= 0,
    RefrigerantNPVBenefitsPreBaseline = 0,
    RefrigerantNPVBenefitsStdBaseline = 0.
Otherwise,
    RefrigerantNPVCostsPreBaseline = 0,
    RefrigerantNPVCostsStdBaseline = 0,
    RefrigerantNPVBenefitsPreBaseline &gt; 0,
    RefrigerantNPVBenefitsStdBaseline &gt; 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</si>
</sst>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_);[Red]\(&quot;$&quot;#,##0.00\)"/>
    <numFmt numFmtId="44" formatCode="_(&quot;$&quot;* #,##0.00_);_(&quot;$&quot;* \(#,##0.00\);_(&quot;$&quot;* &quot;-&quot;??_);_(@_)"/>
    <numFmt numFmtId="43" formatCode="_(* #,##0.00_);_(* \(#,##0.00\);_(* &quot;-&quot;??_);_(@_)"/>
    <numFmt numFmtId="164" formatCode="0.000000"/>
    <numFmt numFmtId="165" formatCode="0.0%"/>
    <numFmt numFmtId="166" formatCode="&quot;$&quot;#,##0.00"/>
    <numFmt numFmtId="167" formatCode="_(* #,##0.0_);_(* \(#,##0.0\);_(* &quot;-&quot;??_);_(@_)"/>
    <numFmt numFmtId="168" formatCode="#,##0.000_);\(#,##0.000\)"/>
    <numFmt numFmtId="169" formatCode="#,##0.0_);\(#,##0.0\)"/>
    <numFmt numFmtId="170" formatCode="0.000"/>
    <numFmt numFmtId="171" formatCode="0.0000"/>
    <numFmt numFmtId="172" formatCode="#,##0.0"/>
    <numFmt numFmtId="173" formatCode="_(* #,##0_);_(* \(#,##0\);_(* &quot;-&quot;??_);_(@_)"/>
    <numFmt numFmtId="174" formatCode="yyyy\-mm\-dd;@"/>
    <numFmt numFmtId="175" formatCode="&quot;$&quot;#,##0.000"/>
  </numFmts>
  <fonts count="55" x14ac:knownFonts="1">
    <font>
      <sz val="11"/>
      <color theme="1"/>
      <name val="Calibri"/>
      <family val="2"/>
      <scheme val="minor"/>
    </font>
    <font>
      <sz val="11"/>
      <color theme="1"/>
      <name val="Calibri"/>
      <family val="2"/>
      <scheme val="minor"/>
    </font>
    <font>
      <b/>
      <sz val="11"/>
      <color theme="0"/>
      <name val="Calibri"/>
      <family val="2"/>
      <scheme val="minor"/>
    </font>
    <font>
      <sz val="10"/>
      <name val="Arial"/>
      <family val="2"/>
    </font>
    <font>
      <sz val="10"/>
      <name val="Calibri"/>
      <family val="2"/>
      <scheme val="minor"/>
    </font>
    <font>
      <b/>
      <sz val="11"/>
      <name val="Calibri"/>
      <family val="2"/>
      <scheme val="minor"/>
    </font>
    <font>
      <i/>
      <sz val="10"/>
      <color theme="1"/>
      <name val="Calibri"/>
      <family val="2"/>
      <scheme val="minor"/>
    </font>
    <font>
      <sz val="10"/>
      <color theme="1"/>
      <name val="Calibri"/>
      <family val="2"/>
      <scheme val="minor"/>
    </font>
    <font>
      <b/>
      <sz val="16"/>
      <color theme="1"/>
      <name val="Calibri"/>
      <family val="2"/>
      <scheme val="minor"/>
    </font>
    <font>
      <b/>
      <sz val="10"/>
      <color indexed="9"/>
      <name val="Calibri"/>
      <family val="2"/>
      <scheme val="minor"/>
    </font>
    <font>
      <sz val="11"/>
      <name val="Calibri"/>
      <family val="2"/>
    </font>
    <font>
      <b/>
      <sz val="11"/>
      <color theme="1"/>
      <name val="Calibri"/>
      <family val="2"/>
      <scheme val="minor"/>
    </font>
    <font>
      <b/>
      <sz val="14"/>
      <color theme="1"/>
      <name val="Calibri"/>
      <family val="2"/>
      <scheme val="minor"/>
    </font>
    <font>
      <b/>
      <sz val="10"/>
      <color rgb="FF000000"/>
      <name val="Tahoma"/>
      <family val="2"/>
    </font>
    <font>
      <sz val="10"/>
      <color rgb="FF000000"/>
      <name val="Tahoma"/>
      <family val="2"/>
    </font>
    <font>
      <b/>
      <sz val="10"/>
      <name val="Arial"/>
      <family val="2"/>
    </font>
    <font>
      <vertAlign val="subscript"/>
      <sz val="10"/>
      <name val="Arial"/>
      <family val="2"/>
    </font>
    <font>
      <sz val="10"/>
      <color theme="1"/>
      <name val="Arial"/>
      <family val="2"/>
    </font>
    <font>
      <b/>
      <vertAlign val="subscript"/>
      <sz val="10"/>
      <name val="Arial"/>
      <family val="2"/>
    </font>
    <font>
      <b/>
      <sz val="11"/>
      <name val="Times New Roman"/>
      <family val="1"/>
    </font>
    <font>
      <sz val="11"/>
      <name val="Times New Roman"/>
      <family val="1"/>
    </font>
    <font>
      <vertAlign val="subscript"/>
      <sz val="10"/>
      <color indexed="8"/>
      <name val="Arial"/>
      <family val="2"/>
    </font>
    <font>
      <sz val="10"/>
      <color indexed="8"/>
      <name val="Arial"/>
      <family val="2"/>
    </font>
    <font>
      <b/>
      <sz val="10"/>
      <color theme="1"/>
      <name val="Arial"/>
      <family val="2"/>
    </font>
    <font>
      <sz val="9"/>
      <color indexed="8"/>
      <name val="Arial"/>
      <family val="2"/>
    </font>
    <font>
      <sz val="10"/>
      <color rgb="FF000000"/>
      <name val="Arial"/>
      <family val="2"/>
    </font>
    <font>
      <b/>
      <sz val="9"/>
      <color rgb="FF000000"/>
      <name val="Tahoma"/>
      <family val="2"/>
    </font>
    <font>
      <sz val="9"/>
      <color rgb="FF000000"/>
      <name val="Tahoma"/>
      <family val="2"/>
    </font>
    <font>
      <sz val="11"/>
      <color rgb="FFFFFFFF"/>
      <name val="Calibri"/>
      <family val="2"/>
    </font>
    <font>
      <b/>
      <sz val="16"/>
      <color theme="0"/>
      <name val="Calibri"/>
      <family val="2"/>
      <scheme val="minor"/>
    </font>
    <font>
      <b/>
      <sz val="12"/>
      <color theme="1"/>
      <name val="Calibri"/>
      <family val="2"/>
      <scheme val="minor"/>
    </font>
    <font>
      <b/>
      <sz val="20"/>
      <color theme="1"/>
      <name val="Calibri"/>
      <family val="2"/>
      <scheme val="minor"/>
    </font>
    <font>
      <b/>
      <sz val="24"/>
      <color theme="1"/>
      <name val="Calibri"/>
      <family val="2"/>
      <scheme val="minor"/>
    </font>
    <font>
      <b/>
      <sz val="11"/>
      <color theme="1"/>
      <name val="Calibri"/>
      <family val="2"/>
    </font>
    <font>
      <sz val="11"/>
      <name val="Calibri"/>
      <family val="2"/>
      <scheme val="minor"/>
    </font>
    <font>
      <sz val="12"/>
      <name val="Calibri"/>
      <family val="2"/>
      <scheme val="minor"/>
    </font>
    <font>
      <i/>
      <sz val="18"/>
      <color theme="1"/>
      <name val="Calibri"/>
      <family val="2"/>
      <scheme val="minor"/>
    </font>
    <font>
      <sz val="11"/>
      <color theme="0"/>
      <name val="Calibri"/>
      <family val="2"/>
      <scheme val="minor"/>
    </font>
    <font>
      <sz val="10"/>
      <color rgb="FF000000"/>
      <name val="Calibri"/>
      <family val="2"/>
      <scheme val="minor"/>
    </font>
    <font>
      <sz val="11"/>
      <color rgb="FFFF0000"/>
      <name val="Calibri"/>
      <family val="2"/>
      <scheme val="minor"/>
    </font>
    <font>
      <sz val="11"/>
      <color rgb="FF000000"/>
      <name val="Calibri"/>
      <family val="2"/>
    </font>
    <font>
      <sz val="8"/>
      <name val="Calibri"/>
      <family val="2"/>
      <scheme val="minor"/>
    </font>
    <font>
      <i/>
      <sz val="11"/>
      <color rgb="FF7F7F7F"/>
      <name val="Calibri"/>
      <family val="2"/>
      <scheme val="minor"/>
    </font>
    <font>
      <sz val="9"/>
      <color theme="1"/>
      <name val="Calibri"/>
      <family val="2"/>
      <scheme val="minor"/>
    </font>
    <font>
      <sz val="9"/>
      <color indexed="81"/>
      <name val="Tahoma"/>
      <family val="2"/>
    </font>
    <font>
      <u/>
      <sz val="11"/>
      <color theme="10"/>
      <name val="Calibri"/>
      <family val="2"/>
      <scheme val="minor"/>
    </font>
    <font>
      <b/>
      <sz val="11"/>
      <color indexed="9"/>
      <name val="Calibri"/>
      <family val="2"/>
      <scheme val="minor"/>
    </font>
    <font>
      <sz val="11"/>
      <color theme="1"/>
      <name val="Calibri"/>
      <family val="2"/>
    </font>
    <font>
      <b/>
      <sz val="9"/>
      <color indexed="81"/>
      <name val="Tahoma"/>
      <family val="2"/>
    </font>
    <font>
      <b/>
      <sz val="15"/>
      <color theme="3"/>
      <name val="Calibri"/>
      <family val="2"/>
      <scheme val="minor"/>
    </font>
    <font>
      <i/>
      <sz val="11"/>
      <color theme="1"/>
      <name val="Calibri"/>
      <family val="2"/>
      <scheme val="minor"/>
    </font>
    <font>
      <b/>
      <i/>
      <sz val="11"/>
      <color rgb="FF7F7F7F"/>
      <name val="Calibri"/>
      <family val="2"/>
      <scheme val="minor"/>
    </font>
    <font>
      <sz val="11"/>
      <color rgb="FF000000"/>
      <name val="Calibri"/>
      <family val="2"/>
      <scheme val="minor"/>
    </font>
    <font>
      <b/>
      <u/>
      <sz val="11"/>
      <color theme="1"/>
      <name val="Calibri"/>
      <family val="2"/>
      <scheme val="minor"/>
    </font>
    <font>
      <u/>
      <sz val="11"/>
      <color theme="1"/>
      <name val="Calibri"/>
      <family val="2"/>
      <scheme val="minor"/>
    </font>
  </fonts>
  <fills count="28">
    <fill>
      <patternFill patternType="none"/>
    </fill>
    <fill>
      <patternFill patternType="gray125"/>
    </fill>
    <fill>
      <patternFill patternType="solid">
        <fgColor theme="4"/>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005070"/>
        <bgColor indexed="64"/>
      </patternFill>
    </fill>
    <fill>
      <patternFill patternType="solid">
        <fgColor indexed="43"/>
        <bgColor indexed="64"/>
      </patternFill>
    </fill>
    <fill>
      <patternFill patternType="solid">
        <fgColor rgb="FF99CCFF"/>
        <bgColor indexed="64"/>
      </patternFill>
    </fill>
    <fill>
      <patternFill patternType="solid">
        <fgColor indexed="42"/>
        <bgColor indexed="64"/>
      </patternFill>
    </fill>
    <fill>
      <patternFill patternType="solid">
        <fgColor theme="0"/>
        <bgColor indexed="64"/>
      </patternFill>
    </fill>
    <fill>
      <patternFill patternType="solid">
        <fgColor theme="0" tint="-0.14999847407452621"/>
        <bgColor indexed="64"/>
      </patternFill>
    </fill>
    <fill>
      <patternFill patternType="solid">
        <fgColor rgb="FF034E6E"/>
        <bgColor rgb="FF000000"/>
      </patternFill>
    </fill>
    <fill>
      <patternFill patternType="solid">
        <fgColor rgb="FFF2F2F2"/>
        <bgColor rgb="FF000000"/>
      </patternFill>
    </fill>
    <fill>
      <patternFill patternType="solid">
        <fgColor rgb="FFCCFFCC"/>
        <bgColor indexed="64"/>
      </patternFill>
    </fill>
    <fill>
      <patternFill patternType="solid">
        <fgColor theme="0"/>
        <bgColor rgb="FF000000"/>
      </patternFill>
    </fill>
    <fill>
      <patternFill patternType="solid">
        <fgColor theme="5"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FCE4D6"/>
        <bgColor indexed="64"/>
      </patternFill>
    </fill>
    <fill>
      <patternFill patternType="solid">
        <fgColor rgb="FFFFF2CC"/>
        <bgColor indexed="64"/>
      </patternFill>
    </fill>
    <fill>
      <patternFill patternType="solid">
        <fgColor rgb="FFE2EFDA"/>
        <bgColor indexed="64"/>
      </patternFill>
    </fill>
    <fill>
      <patternFill patternType="solid">
        <fgColor theme="0" tint="-0.34998626667073579"/>
        <bgColor indexed="64"/>
      </patternFill>
    </fill>
    <fill>
      <patternFill patternType="solid">
        <fgColor theme="0"/>
        <bgColor theme="0" tint="-0.14999847407452621"/>
      </patternFill>
    </fill>
    <fill>
      <patternFill patternType="solid">
        <fgColor rgb="FF4BACC6"/>
        <bgColor indexed="64"/>
      </patternFill>
    </fill>
    <fill>
      <patternFill patternType="solid">
        <fgColor rgb="FFFFFFFF"/>
        <bgColor rgb="FF000000"/>
      </patternFill>
    </fill>
    <fill>
      <patternFill patternType="solid">
        <fgColor rgb="FFFF944B"/>
        <bgColor indexed="64"/>
      </patternFill>
    </fill>
    <fill>
      <patternFill patternType="solid">
        <fgColor theme="3" tint="-0.249977111117893"/>
        <bgColor indexed="64"/>
      </patternFill>
    </fill>
    <fill>
      <patternFill patternType="solid">
        <fgColor theme="8" tint="-0.249977111117893"/>
        <bgColor indexed="64"/>
      </patternFill>
    </fill>
  </fills>
  <borders count="3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auto="1"/>
      </left>
      <right/>
      <top style="thin">
        <color auto="1"/>
      </top>
      <bottom/>
      <diagonal/>
    </border>
    <border>
      <left style="thin">
        <color auto="1"/>
      </left>
      <right/>
      <top/>
      <bottom style="thin">
        <color auto="1"/>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medium">
        <color indexed="64"/>
      </bottom>
      <diagonal/>
    </border>
    <border>
      <left style="thin">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D0D7E5"/>
      </left>
      <right/>
      <top/>
      <bottom/>
      <diagonal/>
    </border>
    <border>
      <left/>
      <right style="thin">
        <color rgb="FFD0D7E5"/>
      </right>
      <top/>
      <bottom/>
      <diagonal/>
    </border>
    <border>
      <left style="thin">
        <color rgb="FFD0D7E5"/>
      </left>
      <right style="thin">
        <color rgb="FFD0D7E5"/>
      </right>
      <top/>
      <bottom/>
      <diagonal/>
    </border>
    <border>
      <left/>
      <right/>
      <top style="thin">
        <color auto="1"/>
      </top>
      <bottom style="thin">
        <color auto="1"/>
      </bottom>
      <diagonal/>
    </border>
    <border>
      <left/>
      <right/>
      <top/>
      <bottom style="thick">
        <color theme="4"/>
      </bottom>
      <diagonal/>
    </border>
    <border>
      <left style="thin">
        <color indexed="64"/>
      </left>
      <right/>
      <top/>
      <bottom/>
      <diagonal/>
    </border>
    <border>
      <left/>
      <right style="thin">
        <color indexed="64"/>
      </right>
      <top/>
      <bottom/>
      <diagonal/>
    </border>
  </borders>
  <cellStyleXfs count="1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64" fontId="3" fillId="0" borderId="0">
      <alignment horizontal="left" wrapText="1"/>
    </xf>
    <xf numFmtId="0" fontId="1" fillId="0" borderId="0"/>
    <xf numFmtId="9" fontId="3" fillId="0" borderId="0" applyFont="0" applyFill="0" applyBorder="0" applyAlignment="0" applyProtection="0"/>
    <xf numFmtId="0" fontId="2" fillId="2" borderId="12" applyNumberFormat="0" applyBorder="0">
      <alignment horizontal="center" vertical="center" wrapText="1"/>
    </xf>
    <xf numFmtId="0" fontId="6" fillId="4" borderId="13" applyNumberFormat="0">
      <alignment horizontal="left" vertical="center"/>
    </xf>
    <xf numFmtId="10" fontId="7" fillId="0" borderId="0" applyFont="0" applyFill="0" applyBorder="0" applyAlignment="0" applyProtection="0"/>
    <xf numFmtId="0" fontId="8" fillId="0" borderId="14"/>
    <xf numFmtId="43" fontId="7" fillId="0" borderId="0" applyFont="0" applyFill="0" applyBorder="0" applyAlignment="0" applyProtection="0"/>
    <xf numFmtId="0" fontId="7" fillId="0" borderId="0"/>
    <xf numFmtId="9" fontId="7" fillId="0" borderId="0" applyFont="0" applyFill="0" applyBorder="0" applyAlignment="0" applyProtection="0"/>
    <xf numFmtId="0" fontId="3" fillId="0" borderId="0"/>
    <xf numFmtId="43" fontId="3" fillId="0" borderId="0" applyFont="0" applyFill="0" applyBorder="0" applyAlignment="0" applyProtection="0"/>
    <xf numFmtId="0" fontId="42" fillId="0" borderId="0" applyNumberFormat="0" applyFill="0" applyBorder="0" applyAlignment="0" applyProtection="0"/>
    <xf numFmtId="0" fontId="45" fillId="0" borderId="0" applyNumberFormat="0" applyFill="0" applyBorder="0" applyAlignment="0" applyProtection="0"/>
    <xf numFmtId="0" fontId="49" fillId="0" borderId="31" applyNumberFormat="0" applyFill="0" applyAlignment="0" applyProtection="0"/>
  </cellStyleXfs>
  <cellXfs count="367">
    <xf numFmtId="0" fontId="0" fillId="0" borderId="0" xfId="0"/>
    <xf numFmtId="0" fontId="0" fillId="9" borderId="0" xfId="0" applyFill="1"/>
    <xf numFmtId="0" fontId="0" fillId="9" borderId="7" xfId="0" applyFill="1" applyBorder="1"/>
    <xf numFmtId="0" fontId="0" fillId="9" borderId="0" xfId="0" applyFill="1" applyBorder="1"/>
    <xf numFmtId="0" fontId="0" fillId="9" borderId="0" xfId="0" applyFill="1" applyBorder="1" applyAlignment="1">
      <alignment horizontal="center" vertical="center" wrapText="1"/>
    </xf>
    <xf numFmtId="8" fontId="0" fillId="9" borderId="0" xfId="0" applyNumberFormat="1" applyFill="1"/>
    <xf numFmtId="0" fontId="12" fillId="9" borderId="0" xfId="0" applyFont="1" applyFill="1" applyBorder="1" applyAlignment="1">
      <alignment horizontal="center" vertical="center"/>
    </xf>
    <xf numFmtId="0" fontId="2" fillId="2" borderId="9" xfId="0" applyFont="1" applyFill="1" applyBorder="1" applyAlignment="1">
      <alignment horizontal="center" vertical="center" wrapText="1"/>
    </xf>
    <xf numFmtId="0" fontId="0" fillId="0" borderId="9" xfId="0" applyBorder="1" applyAlignment="1">
      <alignment wrapText="1"/>
    </xf>
    <xf numFmtId="0" fontId="0" fillId="0" borderId="9" xfId="0" applyBorder="1"/>
    <xf numFmtId="37" fontId="0" fillId="0" borderId="9" xfId="0" applyNumberFormat="1" applyBorder="1"/>
    <xf numFmtId="165" fontId="0" fillId="0" borderId="9" xfId="0" applyNumberFormat="1" applyBorder="1"/>
    <xf numFmtId="9" fontId="5" fillId="3" borderId="9" xfId="3" applyFont="1" applyFill="1" applyBorder="1" applyAlignment="1">
      <alignment horizontal="center"/>
    </xf>
    <xf numFmtId="167" fontId="0" fillId="0" borderId="9" xfId="1" applyNumberFormat="1" applyFont="1" applyBorder="1"/>
    <xf numFmtId="165" fontId="0" fillId="0" borderId="9" xfId="0" applyNumberFormat="1" applyBorder="1" applyAlignment="1">
      <alignment wrapText="1"/>
    </xf>
    <xf numFmtId="168" fontId="0" fillId="0" borderId="9" xfId="0" applyNumberFormat="1" applyBorder="1"/>
    <xf numFmtId="169" fontId="0" fillId="0" borderId="9" xfId="0" applyNumberFormat="1" applyBorder="1"/>
    <xf numFmtId="39" fontId="0" fillId="0" borderId="9" xfId="0" applyNumberFormat="1" applyBorder="1"/>
    <xf numFmtId="0" fontId="15" fillId="0" borderId="0" xfId="14" applyFont="1" applyAlignment="1">
      <alignment wrapText="1"/>
    </xf>
    <xf numFmtId="0" fontId="15" fillId="10" borderId="9" xfId="14" applyFont="1" applyFill="1" applyBorder="1"/>
    <xf numFmtId="0" fontId="3" fillId="0" borderId="9" xfId="14" applyBorder="1"/>
    <xf numFmtId="1" fontId="17" fillId="0" borderId="9" xfId="14" applyNumberFormat="1" applyFont="1" applyBorder="1" applyAlignment="1">
      <alignment horizontal="right"/>
    </xf>
    <xf numFmtId="1" fontId="17" fillId="0" borderId="1" xfId="14" applyNumberFormat="1" applyFont="1" applyBorder="1" applyAlignment="1">
      <alignment horizontal="right"/>
    </xf>
    <xf numFmtId="0" fontId="3" fillId="0" borderId="0" xfId="14"/>
    <xf numFmtId="0" fontId="15" fillId="10" borderId="16" xfId="14" applyFont="1" applyFill="1" applyBorder="1"/>
    <xf numFmtId="0" fontId="3" fillId="0" borderId="11" xfId="14" applyBorder="1"/>
    <xf numFmtId="1" fontId="17" fillId="0" borderId="6" xfId="14" applyNumberFormat="1" applyFont="1" applyBorder="1" applyAlignment="1">
      <alignment horizontal="right"/>
    </xf>
    <xf numFmtId="1" fontId="17" fillId="0" borderId="5" xfId="14" applyNumberFormat="1" applyFont="1" applyBorder="1" applyAlignment="1">
      <alignment horizontal="right"/>
    </xf>
    <xf numFmtId="0" fontId="15" fillId="10" borderId="17" xfId="14" applyFont="1" applyFill="1" applyBorder="1"/>
    <xf numFmtId="0" fontId="3" fillId="0" borderId="2" xfId="14" applyBorder="1"/>
    <xf numFmtId="0" fontId="15" fillId="10" borderId="18" xfId="14" applyFont="1" applyFill="1" applyBorder="1"/>
    <xf numFmtId="0" fontId="3" fillId="0" borderId="10" xfId="14" applyBorder="1"/>
    <xf numFmtId="1" fontId="17" fillId="0" borderId="15" xfId="14" applyNumberFormat="1" applyFont="1" applyBorder="1" applyAlignment="1">
      <alignment horizontal="right"/>
    </xf>
    <xf numFmtId="1" fontId="17" fillId="0" borderId="4" xfId="14" applyNumberFormat="1" applyFont="1" applyBorder="1" applyAlignment="1">
      <alignment horizontal="right"/>
    </xf>
    <xf numFmtId="0" fontId="15" fillId="10" borderId="19" xfId="14" applyFont="1" applyFill="1" applyBorder="1"/>
    <xf numFmtId="0" fontId="3" fillId="9" borderId="2" xfId="14" applyFill="1" applyBorder="1"/>
    <xf numFmtId="0" fontId="3" fillId="9" borderId="9" xfId="14" applyFill="1" applyBorder="1"/>
    <xf numFmtId="1" fontId="17" fillId="0" borderId="9" xfId="15" applyNumberFormat="1" applyFont="1" applyFill="1" applyBorder="1" applyAlignment="1">
      <alignment horizontal="right"/>
    </xf>
    <xf numFmtId="1" fontId="17" fillId="0" borderId="1" xfId="15" applyNumberFormat="1" applyFont="1" applyFill="1" applyBorder="1" applyAlignment="1">
      <alignment horizontal="right"/>
    </xf>
    <xf numFmtId="0" fontId="3" fillId="0" borderId="10" xfId="14" applyBorder="1" applyAlignment="1">
      <alignment wrapText="1"/>
    </xf>
    <xf numFmtId="0" fontId="3" fillId="0" borderId="9" xfId="14" applyBorder="1" applyAlignment="1">
      <alignment wrapText="1"/>
    </xf>
    <xf numFmtId="1" fontId="17" fillId="0" borderId="9" xfId="14" applyNumberFormat="1" applyFont="1" applyBorder="1" applyAlignment="1">
      <alignment horizontal="right" wrapText="1"/>
    </xf>
    <xf numFmtId="0" fontId="17" fillId="0" borderId="9" xfId="14" applyFont="1" applyBorder="1" applyAlignment="1">
      <alignment wrapText="1"/>
    </xf>
    <xf numFmtId="1" fontId="17" fillId="0" borderId="9" xfId="14" applyNumberFormat="1" applyFont="1" applyBorder="1"/>
    <xf numFmtId="1" fontId="17" fillId="0" borderId="1" xfId="14" applyNumberFormat="1" applyFont="1" applyBorder="1"/>
    <xf numFmtId="0" fontId="23" fillId="10" borderId="9" xfId="14" applyFont="1" applyFill="1" applyBorder="1"/>
    <xf numFmtId="1" fontId="17" fillId="0" borderId="1" xfId="14" applyNumberFormat="1" applyFont="1" applyBorder="1" applyAlignment="1">
      <alignment horizontal="right" wrapText="1"/>
    </xf>
    <xf numFmtId="1" fontId="23" fillId="0" borderId="9" xfId="14" applyNumberFormat="1" applyFont="1" applyBorder="1" applyAlignment="1">
      <alignment horizontal="right"/>
    </xf>
    <xf numFmtId="1" fontId="23" fillId="0" borderId="1" xfId="14" applyNumberFormat="1" applyFont="1" applyBorder="1" applyAlignment="1">
      <alignment horizontal="right"/>
    </xf>
    <xf numFmtId="1" fontId="17" fillId="0" borderId="0" xfId="14" applyNumberFormat="1" applyFont="1" applyAlignment="1">
      <alignment horizontal="right"/>
    </xf>
    <xf numFmtId="0" fontId="3" fillId="9" borderId="9" xfId="14" applyFill="1" applyBorder="1" applyAlignment="1">
      <alignment wrapText="1"/>
    </xf>
    <xf numFmtId="1" fontId="17" fillId="0" borderId="0" xfId="14" applyNumberFormat="1" applyFont="1"/>
    <xf numFmtId="0" fontId="25" fillId="0" borderId="0" xfId="14" applyFont="1" applyAlignment="1">
      <alignment vertical="center"/>
    </xf>
    <xf numFmtId="0" fontId="28" fillId="11" borderId="4" xfId="0" applyFont="1" applyFill="1" applyBorder="1" applyAlignment="1">
      <alignment horizontal="center"/>
    </xf>
    <xf numFmtId="0" fontId="28" fillId="11" borderId="8" xfId="0" applyFont="1" applyFill="1" applyBorder="1" applyAlignment="1">
      <alignment horizontal="center"/>
    </xf>
    <xf numFmtId="0" fontId="28" fillId="11" borderId="10" xfId="0" applyFont="1" applyFill="1" applyBorder="1" applyAlignment="1">
      <alignment horizontal="center"/>
    </xf>
    <xf numFmtId="0" fontId="0" fillId="9" borderId="0" xfId="0" applyFill="1" applyAlignment="1">
      <alignment horizontal="right" vertical="center"/>
    </xf>
    <xf numFmtId="10" fontId="10" fillId="12" borderId="6" xfId="3" applyNumberFormat="1" applyFont="1" applyFill="1" applyBorder="1" applyAlignment="1">
      <alignment horizontal="center" vertical="center"/>
    </xf>
    <xf numFmtId="0" fontId="9" fillId="5" borderId="9" xfId="0" applyFont="1" applyFill="1" applyBorder="1" applyAlignment="1">
      <alignment horizontal="left" vertical="center"/>
    </xf>
    <xf numFmtId="0" fontId="12" fillId="9" borderId="0" xfId="0" applyFont="1" applyFill="1" applyBorder="1" applyAlignment="1">
      <alignment vertical="center"/>
    </xf>
    <xf numFmtId="166" fontId="10" fillId="9" borderId="5" xfId="0" applyNumberFormat="1" applyFont="1" applyFill="1" applyBorder="1" applyAlignment="1">
      <alignment horizontal="center" vertical="center"/>
    </xf>
    <xf numFmtId="166" fontId="10" fillId="9" borderId="7" xfId="0" applyNumberFormat="1" applyFont="1" applyFill="1" applyBorder="1" applyAlignment="1">
      <alignment horizontal="center" vertical="center"/>
    </xf>
    <xf numFmtId="8" fontId="10" fillId="9" borderId="7" xfId="0" applyNumberFormat="1" applyFont="1" applyFill="1" applyBorder="1" applyAlignment="1">
      <alignment horizontal="center" vertical="center"/>
    </xf>
    <xf numFmtId="8" fontId="10" fillId="9" borderId="11" xfId="0" applyNumberFormat="1" applyFont="1" applyFill="1" applyBorder="1" applyAlignment="1">
      <alignment horizontal="center" vertical="center"/>
    </xf>
    <xf numFmtId="0" fontId="28" fillId="11" borderId="15" xfId="0" applyFont="1" applyFill="1" applyBorder="1" applyAlignment="1">
      <alignment horizontal="center" wrapText="1"/>
    </xf>
    <xf numFmtId="1" fontId="0" fillId="9" borderId="0" xfId="3" applyNumberFormat="1" applyFont="1" applyFill="1" applyBorder="1"/>
    <xf numFmtId="0" fontId="0" fillId="9" borderId="0" xfId="0" applyFill="1" applyBorder="1" applyAlignment="1">
      <alignment wrapText="1"/>
    </xf>
    <xf numFmtId="165" fontId="0" fillId="9" borderId="0" xfId="3" applyNumberFormat="1" applyFont="1" applyFill="1" applyBorder="1"/>
    <xf numFmtId="170" fontId="0" fillId="9" borderId="0" xfId="0" applyNumberFormat="1" applyFill="1" applyBorder="1"/>
    <xf numFmtId="44" fontId="0" fillId="9" borderId="0" xfId="0" applyNumberFormat="1" applyFill="1"/>
    <xf numFmtId="0" fontId="32" fillId="9" borderId="0" xfId="0" applyFont="1" applyFill="1" applyBorder="1"/>
    <xf numFmtId="0" fontId="11" fillId="9" borderId="0" xfId="0" applyFont="1" applyFill="1"/>
    <xf numFmtId="0" fontId="12" fillId="9" borderId="0" xfId="0" applyFont="1" applyFill="1"/>
    <xf numFmtId="0" fontId="33" fillId="14" borderId="0" xfId="0" applyFont="1" applyFill="1" applyBorder="1" applyAlignment="1">
      <alignment horizontal="center"/>
    </xf>
    <xf numFmtId="44" fontId="0" fillId="9" borderId="0" xfId="0" applyNumberFormat="1" applyFill="1" applyBorder="1"/>
    <xf numFmtId="0" fontId="36" fillId="9" borderId="0" xfId="0" applyFont="1" applyFill="1" applyBorder="1"/>
    <xf numFmtId="0" fontId="0" fillId="15" borderId="9" xfId="0" applyFont="1" applyFill="1" applyBorder="1" applyAlignment="1">
      <alignment horizontal="center"/>
    </xf>
    <xf numFmtId="0" fontId="0" fillId="9" borderId="0" xfId="0" applyFont="1" applyFill="1" applyBorder="1"/>
    <xf numFmtId="0" fontId="34" fillId="6" borderId="9" xfId="0" applyFont="1" applyFill="1" applyBorder="1" applyAlignment="1">
      <alignment horizontal="center"/>
    </xf>
    <xf numFmtId="0" fontId="34" fillId="15" borderId="9" xfId="0" applyFont="1" applyFill="1" applyBorder="1" applyAlignment="1">
      <alignment horizontal="center"/>
    </xf>
    <xf numFmtId="0" fontId="4" fillId="15" borderId="9" xfId="0" applyFont="1" applyFill="1" applyBorder="1" applyAlignment="1">
      <alignment horizontal="center"/>
    </xf>
    <xf numFmtId="0" fontId="4" fillId="6" borderId="3" xfId="0" applyFont="1" applyFill="1" applyBorder="1" applyAlignment="1">
      <alignment horizontal="center"/>
    </xf>
    <xf numFmtId="0" fontId="4" fillId="3" borderId="3" xfId="0" applyFont="1" applyFill="1" applyBorder="1" applyAlignment="1">
      <alignment horizontal="center"/>
    </xf>
    <xf numFmtId="0" fontId="4" fillId="7" borderId="3" xfId="0" applyFont="1" applyFill="1" applyBorder="1" applyAlignment="1">
      <alignment horizontal="center"/>
    </xf>
    <xf numFmtId="0" fontId="4" fillId="8" borderId="6" xfId="0" applyFont="1" applyFill="1" applyBorder="1" applyAlignment="1">
      <alignment horizontal="center"/>
    </xf>
    <xf numFmtId="170" fontId="0" fillId="9" borderId="0" xfId="0" applyNumberFormat="1" applyFill="1" applyBorder="1" applyAlignment="1">
      <alignment horizontal="center"/>
    </xf>
    <xf numFmtId="166" fontId="0" fillId="9" borderId="0" xfId="2" applyNumberFormat="1" applyFont="1" applyFill="1" applyBorder="1" applyAlignment="1">
      <alignment horizontal="center"/>
    </xf>
    <xf numFmtId="0" fontId="31" fillId="9" borderId="0" xfId="0" applyFont="1" applyFill="1" applyBorder="1"/>
    <xf numFmtId="0" fontId="11" fillId="9" borderId="0" xfId="0" applyFont="1" applyFill="1" applyBorder="1" applyAlignment="1">
      <alignment vertical="center"/>
    </xf>
    <xf numFmtId="0" fontId="30" fillId="9" borderId="0" xfId="0" applyFont="1" applyFill="1" applyBorder="1"/>
    <xf numFmtId="0" fontId="29" fillId="5" borderId="0" xfId="0" applyFont="1" applyFill="1" applyBorder="1" applyAlignment="1">
      <alignment horizontal="centerContinuous" vertical="center" wrapText="1"/>
    </xf>
    <xf numFmtId="0" fontId="12" fillId="9" borderId="20" xfId="0" applyFont="1" applyFill="1" applyBorder="1" applyAlignment="1">
      <alignment vertical="center"/>
    </xf>
    <xf numFmtId="0" fontId="12" fillId="9" borderId="21" xfId="0" applyFont="1" applyFill="1" applyBorder="1" applyAlignment="1">
      <alignment vertical="center"/>
    </xf>
    <xf numFmtId="0" fontId="0" fillId="9" borderId="21" xfId="0" applyFill="1" applyBorder="1"/>
    <xf numFmtId="0" fontId="0" fillId="9" borderId="22" xfId="0" applyFill="1" applyBorder="1"/>
    <xf numFmtId="0" fontId="29" fillId="5" borderId="23" xfId="0" applyFont="1" applyFill="1" applyBorder="1" applyAlignment="1">
      <alignment horizontal="centerContinuous" vertical="center" wrapText="1"/>
    </xf>
    <xf numFmtId="0" fontId="29" fillId="5" borderId="24" xfId="0" applyFont="1" applyFill="1" applyBorder="1" applyAlignment="1">
      <alignment horizontal="centerContinuous" vertical="center" wrapText="1"/>
    </xf>
    <xf numFmtId="0" fontId="0" fillId="9" borderId="23" xfId="0" applyFill="1" applyBorder="1"/>
    <xf numFmtId="0" fontId="0" fillId="9" borderId="24" xfId="0" applyFill="1" applyBorder="1"/>
    <xf numFmtId="0" fontId="0" fillId="9" borderId="23" xfId="0" applyFont="1" applyFill="1" applyBorder="1"/>
    <xf numFmtId="0" fontId="12" fillId="9" borderId="24" xfId="0" applyFont="1" applyFill="1" applyBorder="1"/>
    <xf numFmtId="0" fontId="0" fillId="9" borderId="25" xfId="0" applyFill="1" applyBorder="1"/>
    <xf numFmtId="0" fontId="0" fillId="9" borderId="14" xfId="0" applyFill="1" applyBorder="1"/>
    <xf numFmtId="0" fontId="0" fillId="9" borderId="26" xfId="0" applyFill="1" applyBorder="1"/>
    <xf numFmtId="0" fontId="4" fillId="3" borderId="0" xfId="0" applyFont="1" applyFill="1" applyBorder="1"/>
    <xf numFmtId="1" fontId="4" fillId="7" borderId="0" xfId="0" applyNumberFormat="1" applyFont="1" applyFill="1" applyBorder="1"/>
    <xf numFmtId="9" fontId="4" fillId="7" borderId="0" xfId="3" applyFont="1" applyFill="1" applyBorder="1"/>
    <xf numFmtId="0" fontId="4" fillId="7" borderId="0" xfId="0" applyFont="1" applyFill="1" applyBorder="1"/>
    <xf numFmtId="170" fontId="0" fillId="13" borderId="0" xfId="0" applyNumberFormat="1" applyFill="1" applyBorder="1"/>
    <xf numFmtId="166" fontId="0" fillId="9" borderId="0" xfId="0" applyNumberFormat="1" applyFill="1" applyBorder="1" applyAlignment="1">
      <alignment horizontal="center"/>
    </xf>
    <xf numFmtId="0" fontId="0" fillId="9" borderId="0" xfId="0" applyFill="1" applyBorder="1" applyAlignment="1">
      <alignment horizontal="right"/>
    </xf>
    <xf numFmtId="0" fontId="11" fillId="9" borderId="0" xfId="0" applyFont="1" applyFill="1" applyBorder="1"/>
    <xf numFmtId="8" fontId="11" fillId="16" borderId="0" xfId="0" applyNumberFormat="1" applyFont="1" applyFill="1" applyBorder="1"/>
    <xf numFmtId="0" fontId="0" fillId="9" borderId="0" xfId="0" applyFill="1" applyBorder="1" applyAlignment="1">
      <alignment horizontal="left" indent="1"/>
    </xf>
    <xf numFmtId="0" fontId="0" fillId="9" borderId="0" xfId="0" applyFill="1" applyBorder="1" applyAlignment="1">
      <alignment horizontal="left" indent="2"/>
    </xf>
    <xf numFmtId="0" fontId="0" fillId="9" borderId="7" xfId="0" applyFill="1" applyBorder="1" applyAlignment="1">
      <alignment horizontal="left" indent="2"/>
    </xf>
    <xf numFmtId="170" fontId="0" fillId="9" borderId="7" xfId="0" applyNumberFormat="1" applyFill="1" applyBorder="1" applyAlignment="1">
      <alignment horizontal="center"/>
    </xf>
    <xf numFmtId="0" fontId="0" fillId="9" borderId="0" xfId="0" applyFill="1" applyBorder="1" applyAlignment="1">
      <alignment horizontal="left" wrapText="1" indent="1"/>
    </xf>
    <xf numFmtId="0" fontId="37" fillId="9" borderId="0" xfId="0" applyFont="1" applyFill="1"/>
    <xf numFmtId="0" fontId="34" fillId="3" borderId="9" xfId="0" applyFont="1" applyFill="1" applyBorder="1" applyAlignment="1">
      <alignment horizontal="center"/>
    </xf>
    <xf numFmtId="10" fontId="34" fillId="6" borderId="9" xfId="3" applyNumberFormat="1" applyFont="1" applyFill="1" applyBorder="1" applyAlignment="1">
      <alignment horizontal="center"/>
    </xf>
    <xf numFmtId="10" fontId="34" fillId="3" borderId="9" xfId="3" applyNumberFormat="1" applyFont="1" applyFill="1" applyBorder="1" applyAlignment="1">
      <alignment horizontal="center"/>
    </xf>
    <xf numFmtId="0" fontId="0" fillId="9" borderId="0" xfId="0" applyFont="1" applyFill="1"/>
    <xf numFmtId="0" fontId="11" fillId="9" borderId="0" xfId="0" applyFont="1" applyFill="1" applyBorder="1" applyAlignment="1"/>
    <xf numFmtId="0" fontId="37" fillId="9" borderId="0" xfId="0" applyFont="1" applyFill="1" applyBorder="1"/>
    <xf numFmtId="0" fontId="0" fillId="15" borderId="9" xfId="0" applyFill="1" applyBorder="1" applyAlignment="1">
      <alignment horizontal="center"/>
    </xf>
    <xf numFmtId="0" fontId="15" fillId="17" borderId="17" xfId="14" applyFont="1" applyFill="1" applyBorder="1"/>
    <xf numFmtId="0" fontId="3" fillId="17" borderId="2" xfId="14" applyFill="1" applyBorder="1"/>
    <xf numFmtId="1" fontId="17" fillId="17" borderId="9" xfId="14" applyNumberFormat="1" applyFont="1" applyFill="1" applyBorder="1" applyAlignment="1">
      <alignment horizontal="right"/>
    </xf>
    <xf numFmtId="0" fontId="3" fillId="17" borderId="9" xfId="14" applyFill="1" applyBorder="1"/>
    <xf numFmtId="0" fontId="15" fillId="17" borderId="9" xfId="14" applyFont="1" applyFill="1" applyBorder="1"/>
    <xf numFmtId="0" fontId="17" fillId="17" borderId="9" xfId="14" applyFont="1" applyFill="1" applyBorder="1" applyAlignment="1">
      <alignment wrapText="1"/>
    </xf>
    <xf numFmtId="1" fontId="17" fillId="17" borderId="9" xfId="14" applyNumberFormat="1" applyFont="1" applyFill="1" applyBorder="1" applyAlignment="1">
      <alignment horizontal="right" wrapText="1"/>
    </xf>
    <xf numFmtId="0" fontId="0" fillId="17" borderId="0" xfId="0" applyFill="1"/>
    <xf numFmtId="2" fontId="0" fillId="0" borderId="0" xfId="0" applyNumberFormat="1"/>
    <xf numFmtId="8" fontId="35" fillId="8" borderId="24" xfId="2" applyNumberFormat="1" applyFont="1" applyFill="1" applyBorder="1" applyAlignment="1">
      <alignment vertical="center"/>
    </xf>
    <xf numFmtId="165" fontId="39" fillId="0" borderId="9" xfId="0" applyNumberFormat="1" applyFont="1" applyBorder="1"/>
    <xf numFmtId="1" fontId="0" fillId="9" borderId="0" xfId="0" applyNumberFormat="1" applyFill="1" applyBorder="1"/>
    <xf numFmtId="8" fontId="0" fillId="9" borderId="0" xfId="0" applyNumberFormat="1" applyFill="1" applyBorder="1"/>
    <xf numFmtId="165" fontId="4" fillId="7" borderId="0" xfId="3" applyNumberFormat="1" applyFont="1" applyFill="1" applyBorder="1"/>
    <xf numFmtId="2" fontId="17" fillId="17" borderId="1" xfId="14" applyNumberFormat="1" applyFont="1" applyFill="1" applyBorder="1" applyAlignment="1">
      <alignment horizontal="right" wrapText="1"/>
    </xf>
    <xf numFmtId="2" fontId="17" fillId="17" borderId="1" xfId="14" applyNumberFormat="1" applyFont="1" applyFill="1" applyBorder="1" applyAlignment="1">
      <alignment horizontal="right"/>
    </xf>
    <xf numFmtId="171" fontId="34" fillId="6" borderId="9" xfId="0" applyNumberFormat="1" applyFont="1" applyFill="1" applyBorder="1" applyAlignment="1">
      <alignment horizontal="center"/>
    </xf>
    <xf numFmtId="0" fontId="0" fillId="0" borderId="0" xfId="0" applyAlignment="1">
      <alignment vertical="center" wrapText="1"/>
    </xf>
    <xf numFmtId="0" fontId="0" fillId="0" borderId="27" xfId="0" applyBorder="1"/>
    <xf numFmtId="44" fontId="0" fillId="0" borderId="0" xfId="0" applyNumberFormat="1"/>
    <xf numFmtId="165" fontId="40" fillId="0" borderId="29" xfId="0" applyNumberFormat="1" applyFont="1" applyBorder="1" applyAlignment="1">
      <alignment vertical="center"/>
    </xf>
    <xf numFmtId="165" fontId="0" fillId="0" borderId="0" xfId="0" applyNumberFormat="1"/>
    <xf numFmtId="0" fontId="0" fillId="0" borderId="0" xfId="0" applyNumberFormat="1" applyFont="1"/>
    <xf numFmtId="172" fontId="0" fillId="0" borderId="0" xfId="0" applyNumberFormat="1"/>
    <xf numFmtId="172" fontId="0" fillId="0" borderId="28" xfId="0" applyNumberFormat="1" applyBorder="1"/>
    <xf numFmtId="2" fontId="0" fillId="0" borderId="0" xfId="0" applyNumberFormat="1" applyAlignment="1">
      <alignment vertical="center"/>
    </xf>
    <xf numFmtId="0" fontId="0" fillId="0" borderId="0" xfId="0" applyAlignment="1">
      <alignment wrapText="1"/>
    </xf>
    <xf numFmtId="0" fontId="11" fillId="0" borderId="0" xfId="0" applyFont="1"/>
    <xf numFmtId="2" fontId="0" fillId="18" borderId="0" xfId="0" applyNumberFormat="1" applyFill="1" applyAlignment="1">
      <alignment horizontal="center"/>
    </xf>
    <xf numFmtId="2" fontId="0" fillId="19" borderId="0" xfId="0" applyNumberFormat="1" applyFill="1" applyAlignment="1">
      <alignment horizontal="center"/>
    </xf>
    <xf numFmtId="171" fontId="0" fillId="20" borderId="0" xfId="0" applyNumberFormat="1" applyFill="1" applyAlignment="1">
      <alignment horizontal="center"/>
    </xf>
    <xf numFmtId="0" fontId="42" fillId="0" borderId="0" xfId="16"/>
    <xf numFmtId="0" fontId="15" fillId="10" borderId="3" xfId="14" applyFont="1" applyFill="1" applyBorder="1"/>
    <xf numFmtId="1" fontId="17" fillId="0" borderId="3" xfId="14" applyNumberFormat="1" applyFont="1" applyFill="1" applyBorder="1"/>
    <xf numFmtId="165" fontId="0" fillId="0" borderId="3" xfId="0" applyNumberFormat="1" applyFill="1" applyBorder="1"/>
    <xf numFmtId="0" fontId="0" fillId="0" borderId="3" xfId="0" applyFill="1" applyBorder="1"/>
    <xf numFmtId="0" fontId="0" fillId="0" borderId="0" xfId="0" applyFill="1" applyBorder="1"/>
    <xf numFmtId="165" fontId="0" fillId="0" borderId="0" xfId="3" applyNumberFormat="1" applyFont="1"/>
    <xf numFmtId="1" fontId="0" fillId="0" borderId="0" xfId="3" applyNumberFormat="1" applyFont="1"/>
    <xf numFmtId="170" fontId="0" fillId="0" borderId="0" xfId="3" applyNumberFormat="1" applyFont="1"/>
    <xf numFmtId="0" fontId="0" fillId="0" borderId="0" xfId="0" quotePrefix="1"/>
    <xf numFmtId="0" fontId="0" fillId="0" borderId="9" xfId="0" applyBorder="1" applyAlignment="1">
      <alignment vertical="center"/>
    </xf>
    <xf numFmtId="0" fontId="0" fillId="0" borderId="9" xfId="0" applyBorder="1" applyAlignment="1">
      <alignment vertical="center" wrapText="1"/>
    </xf>
    <xf numFmtId="0" fontId="42" fillId="9" borderId="0" xfId="16" applyFill="1"/>
    <xf numFmtId="8" fontId="0" fillId="0" borderId="0" xfId="0" applyNumberFormat="1"/>
    <xf numFmtId="0" fontId="0" fillId="0" borderId="0" xfId="0" applyAlignment="1">
      <alignment vertical="center"/>
    </xf>
    <xf numFmtId="173" fontId="0" fillId="0" borderId="0" xfId="1" applyNumberFormat="1" applyFont="1" applyAlignment="1">
      <alignment vertical="center"/>
    </xf>
    <xf numFmtId="0" fontId="0" fillId="0" borderId="0" xfId="0" applyNumberFormat="1"/>
    <xf numFmtId="166" fontId="40" fillId="0" borderId="0" xfId="2" applyNumberFormat="1" applyFont="1" applyBorder="1" applyAlignment="1">
      <alignment vertical="center"/>
    </xf>
    <xf numFmtId="170" fontId="0" fillId="0" borderId="0" xfId="0" applyNumberFormat="1" applyAlignment="1">
      <alignment vertical="center"/>
    </xf>
    <xf numFmtId="166" fontId="0" fillId="0" borderId="0" xfId="2" applyNumberFormat="1" applyFont="1"/>
    <xf numFmtId="10" fontId="34" fillId="3" borderId="9" xfId="3" applyNumberFormat="1" applyFont="1" applyFill="1" applyBorder="1" applyAlignment="1">
      <alignment vertical="center"/>
    </xf>
    <xf numFmtId="0" fontId="34" fillId="15" borderId="9" xfId="0" applyFont="1" applyFill="1" applyBorder="1" applyAlignment="1">
      <alignment vertical="center" wrapText="1"/>
    </xf>
    <xf numFmtId="10" fontId="0" fillId="3" borderId="9" xfId="3" applyNumberFormat="1" applyFont="1" applyFill="1" applyBorder="1" applyAlignment="1">
      <alignment horizontal="center"/>
    </xf>
    <xf numFmtId="0" fontId="46" fillId="5" borderId="9" xfId="0" applyFont="1" applyFill="1" applyBorder="1" applyAlignment="1">
      <alignment horizontal="left" vertical="center" wrapText="1"/>
    </xf>
    <xf numFmtId="0" fontId="0" fillId="9" borderId="0" xfId="0" quotePrefix="1" applyFill="1"/>
    <xf numFmtId="0" fontId="4" fillId="6" borderId="9" xfId="0" applyFont="1" applyFill="1" applyBorder="1" applyAlignment="1">
      <alignment horizontal="center"/>
    </xf>
    <xf numFmtId="0" fontId="0" fillId="0" borderId="15" xfId="0" applyBorder="1"/>
    <xf numFmtId="0" fontId="0" fillId="0" borderId="3" xfId="0" applyBorder="1"/>
    <xf numFmtId="0" fontId="0" fillId="0" borderId="6" xfId="0" applyBorder="1"/>
    <xf numFmtId="0" fontId="32" fillId="0" borderId="0" xfId="0" applyFont="1"/>
    <xf numFmtId="9" fontId="0" fillId="0" borderId="0" xfId="3" applyFont="1"/>
    <xf numFmtId="0" fontId="2" fillId="2" borderId="3" xfId="0" applyFont="1" applyFill="1" applyBorder="1" applyAlignment="1">
      <alignment horizontal="center" vertical="center" wrapText="1"/>
    </xf>
    <xf numFmtId="9" fontId="0" fillId="0" borderId="0" xfId="0" applyNumberFormat="1"/>
    <xf numFmtId="166" fontId="0" fillId="0" borderId="0" xfId="0" applyNumberFormat="1"/>
    <xf numFmtId="0" fontId="11" fillId="0" borderId="9" xfId="0" applyFont="1" applyBorder="1" applyAlignment="1">
      <alignment vertical="center"/>
    </xf>
    <xf numFmtId="0" fontId="11" fillId="0" borderId="9" xfId="0" applyFont="1" applyBorder="1" applyAlignment="1">
      <alignment vertical="center" wrapText="1"/>
    </xf>
    <xf numFmtId="2" fontId="0" fillId="0" borderId="9" xfId="0" applyNumberFormat="1" applyBorder="1" applyAlignment="1">
      <alignment vertical="center"/>
    </xf>
    <xf numFmtId="2" fontId="0" fillId="0" borderId="9" xfId="0" applyNumberFormat="1" applyBorder="1" applyAlignment="1">
      <alignment vertical="center" wrapText="1"/>
    </xf>
    <xf numFmtId="2" fontId="0" fillId="0" borderId="9" xfId="0" applyNumberFormat="1" applyBorder="1" applyAlignment="1">
      <alignment horizontal="left" vertical="center" wrapText="1"/>
    </xf>
    <xf numFmtId="0" fontId="0" fillId="0" borderId="9" xfId="0" applyBorder="1" applyAlignment="1">
      <alignment horizontal="left" vertical="center"/>
    </xf>
    <xf numFmtId="0" fontId="0" fillId="0" borderId="9" xfId="0" applyNumberFormat="1" applyBorder="1" applyAlignment="1">
      <alignment horizontal="left" vertical="center"/>
    </xf>
    <xf numFmtId="2" fontId="0" fillId="0" borderId="9" xfId="0" applyNumberFormat="1" applyBorder="1" applyAlignment="1">
      <alignment horizontal="left" vertical="center"/>
    </xf>
    <xf numFmtId="39" fontId="0" fillId="0" borderId="9" xfId="0" applyNumberFormat="1" applyBorder="1" applyAlignment="1">
      <alignment horizontal="left" vertical="center"/>
    </xf>
    <xf numFmtId="0" fontId="45" fillId="0" borderId="9" xfId="17" applyBorder="1" applyAlignment="1">
      <alignment vertical="center" wrapText="1"/>
    </xf>
    <xf numFmtId="0" fontId="45" fillId="0" borderId="9" xfId="17" applyBorder="1" applyAlignment="1">
      <alignment vertical="center"/>
    </xf>
    <xf numFmtId="0" fontId="11" fillId="17" borderId="0" xfId="0" applyFont="1" applyFill="1"/>
    <xf numFmtId="171" fontId="0" fillId="0" borderId="0" xfId="0" applyNumberFormat="1" applyFill="1" applyAlignment="1">
      <alignment horizontal="center"/>
    </xf>
    <xf numFmtId="0" fontId="49" fillId="0" borderId="31" xfId="18" applyAlignment="1">
      <alignment vertical="center"/>
    </xf>
    <xf numFmtId="0" fontId="49" fillId="0" borderId="31" xfId="18"/>
    <xf numFmtId="0" fontId="34" fillId="6" borderId="9" xfId="0" applyFont="1" applyFill="1" applyBorder="1" applyAlignment="1">
      <alignment horizontal="left" vertical="center"/>
    </xf>
    <xf numFmtId="0" fontId="34" fillId="7" borderId="9" xfId="0" applyFont="1" applyFill="1" applyBorder="1" applyAlignment="1">
      <alignment horizontal="left" vertical="center" wrapText="1"/>
    </xf>
    <xf numFmtId="0" fontId="34" fillId="3" borderId="9" xfId="0" applyFont="1" applyFill="1" applyBorder="1" applyAlignment="1">
      <alignment horizontal="left" vertical="center" wrapText="1"/>
    </xf>
    <xf numFmtId="0" fontId="34" fillId="8" borderId="9" xfId="0" applyFont="1" applyFill="1" applyBorder="1" applyAlignment="1">
      <alignment horizontal="left" vertical="center" wrapText="1"/>
    </xf>
    <xf numFmtId="0" fontId="0" fillId="22" borderId="4" xfId="0" applyFont="1" applyFill="1" applyBorder="1" applyAlignment="1">
      <alignment vertical="center"/>
    </xf>
    <xf numFmtId="0" fontId="0" fillId="9" borderId="9" xfId="0" applyFont="1" applyFill="1" applyBorder="1" applyAlignment="1">
      <alignment vertical="center"/>
    </xf>
    <xf numFmtId="0" fontId="0" fillId="0" borderId="0" xfId="0" applyProtection="1">
      <protection locked="0"/>
    </xf>
    <xf numFmtId="0" fontId="4" fillId="3" borderId="9" xfId="0" applyFont="1" applyFill="1" applyBorder="1" applyAlignment="1">
      <alignment horizontal="center"/>
    </xf>
    <xf numFmtId="0" fontId="4" fillId="7" borderId="9" xfId="0" applyFont="1" applyFill="1" applyBorder="1" applyAlignment="1">
      <alignment horizontal="center"/>
    </xf>
    <xf numFmtId="0" fontId="4" fillId="8" borderId="9" xfId="0" applyFont="1" applyFill="1" applyBorder="1" applyAlignment="1">
      <alignment horizontal="center"/>
    </xf>
    <xf numFmtId="1" fontId="42" fillId="0" borderId="0" xfId="16" applyNumberFormat="1" applyProtection="1">
      <protection locked="0"/>
    </xf>
    <xf numFmtId="1" fontId="0" fillId="0" borderId="0" xfId="0" applyNumberFormat="1" applyProtection="1">
      <protection locked="0"/>
    </xf>
    <xf numFmtId="2" fontId="43" fillId="0" borderId="0" xfId="0" applyNumberFormat="1" applyFont="1" applyProtection="1">
      <protection locked="0"/>
    </xf>
    <xf numFmtId="2" fontId="0" fillId="9" borderId="0" xfId="0" applyNumberFormat="1" applyFill="1"/>
    <xf numFmtId="44" fontId="0" fillId="0" borderId="0" xfId="0" applyNumberFormat="1" applyProtection="1">
      <protection locked="0"/>
    </xf>
    <xf numFmtId="0" fontId="0" fillId="0" borderId="30" xfId="0" applyBorder="1" applyAlignment="1">
      <alignment horizontal="center" vertical="center" wrapText="1"/>
    </xf>
    <xf numFmtId="0" fontId="0" fillId="0" borderId="2" xfId="0" applyBorder="1" applyAlignment="1">
      <alignment horizontal="center" vertical="center" wrapText="1"/>
    </xf>
    <xf numFmtId="0" fontId="0" fillId="9" borderId="0" xfId="0" applyFill="1" applyAlignment="1">
      <alignment horizontal="left" vertical="center"/>
    </xf>
    <xf numFmtId="166" fontId="10" fillId="24" borderId="5" xfId="0" applyNumberFormat="1" applyFont="1" applyFill="1" applyBorder="1" applyAlignment="1">
      <alignment horizontal="center" vertical="center"/>
    </xf>
    <xf numFmtId="166" fontId="10" fillId="24" borderId="7" xfId="0" applyNumberFormat="1" applyFont="1" applyFill="1" applyBorder="1" applyAlignment="1">
      <alignment horizontal="center" vertical="center"/>
    </xf>
    <xf numFmtId="8" fontId="10" fillId="24" borderId="7" xfId="0" applyNumberFormat="1" applyFont="1" applyFill="1" applyBorder="1" applyAlignment="1">
      <alignment horizontal="center" vertical="center"/>
    </xf>
    <xf numFmtId="8" fontId="10" fillId="24" borderId="11" xfId="0" applyNumberFormat="1" applyFont="1" applyFill="1" applyBorder="1" applyAlignment="1">
      <alignment horizontal="center" vertical="center"/>
    </xf>
    <xf numFmtId="0" fontId="11" fillId="9" borderId="0" xfId="0" applyFont="1" applyFill="1" applyAlignment="1">
      <alignment horizontal="right"/>
    </xf>
    <xf numFmtId="0" fontId="45" fillId="9" borderId="0" xfId="17" applyFill="1"/>
    <xf numFmtId="0" fontId="0" fillId="9" borderId="15" xfId="0" applyFill="1" applyBorder="1"/>
    <xf numFmtId="0" fontId="0" fillId="9" borderId="6" xfId="0" applyFill="1" applyBorder="1"/>
    <xf numFmtId="0" fontId="45" fillId="9" borderId="4" xfId="17" applyFill="1" applyBorder="1"/>
    <xf numFmtId="0" fontId="0" fillId="9" borderId="8" xfId="0" applyFill="1" applyBorder="1"/>
    <xf numFmtId="0" fontId="0" fillId="9" borderId="10" xfId="0" applyFill="1" applyBorder="1"/>
    <xf numFmtId="0" fontId="0" fillId="9" borderId="5" xfId="0" applyFill="1" applyBorder="1"/>
    <xf numFmtId="0" fontId="0" fillId="9" borderId="11" xfId="0" applyFill="1" applyBorder="1"/>
    <xf numFmtId="0" fontId="0" fillId="9" borderId="9" xfId="0" applyFill="1" applyBorder="1"/>
    <xf numFmtId="0" fontId="0" fillId="9" borderId="1" xfId="0" applyFill="1" applyBorder="1"/>
    <xf numFmtId="0" fontId="0" fillId="9" borderId="30" xfId="0" applyFill="1" applyBorder="1"/>
    <xf numFmtId="0" fontId="0" fillId="9" borderId="2" xfId="0" applyFill="1" applyBorder="1"/>
    <xf numFmtId="0" fontId="45" fillId="0" borderId="4" xfId="17" applyBorder="1"/>
    <xf numFmtId="0" fontId="0" fillId="0" borderId="8" xfId="0" applyBorder="1"/>
    <xf numFmtId="0" fontId="0" fillId="0" borderId="10" xfId="0" applyBorder="1"/>
    <xf numFmtId="0" fontId="0" fillId="0" borderId="5" xfId="0" applyBorder="1"/>
    <xf numFmtId="0" fontId="0" fillId="0" borderId="7" xfId="0" applyBorder="1"/>
    <xf numFmtId="0" fontId="0" fillId="0" borderId="11" xfId="0" applyBorder="1"/>
    <xf numFmtId="0" fontId="0" fillId="0" borderId="1" xfId="0" applyBorder="1"/>
    <xf numFmtId="0" fontId="0" fillId="0" borderId="30" xfId="0" applyBorder="1"/>
    <xf numFmtId="0" fontId="0" fillId="0" borderId="2" xfId="0" applyBorder="1"/>
    <xf numFmtId="1" fontId="17" fillId="0" borderId="8" xfId="14" applyNumberFormat="1" applyFont="1" applyBorder="1"/>
    <xf numFmtId="0" fontId="0" fillId="0" borderId="32" xfId="0" applyBorder="1"/>
    <xf numFmtId="1" fontId="17" fillId="0" borderId="0" xfId="14" applyNumberFormat="1" applyFont="1" applyBorder="1"/>
    <xf numFmtId="0" fontId="3" fillId="0" borderId="33" xfId="14" applyBorder="1"/>
    <xf numFmtId="1" fontId="17" fillId="0" borderId="30" xfId="14" applyNumberFormat="1" applyFont="1" applyBorder="1"/>
    <xf numFmtId="0" fontId="0" fillId="15" borderId="9" xfId="0" applyFill="1" applyBorder="1" applyAlignment="1" applyProtection="1">
      <alignment horizontal="center"/>
    </xf>
    <xf numFmtId="0" fontId="53" fillId="9" borderId="0" xfId="0" applyFont="1" applyFill="1"/>
    <xf numFmtId="0" fontId="0" fillId="0" borderId="9" xfId="0" quotePrefix="1" applyBorder="1" applyAlignment="1">
      <alignment horizontal="center" vertical="top"/>
    </xf>
    <xf numFmtId="0" fontId="0" fillId="0" borderId="0" xfId="0" applyBorder="1" applyAlignment="1">
      <alignment horizontal="center"/>
    </xf>
    <xf numFmtId="166" fontId="0" fillId="9" borderId="0" xfId="0" applyNumberFormat="1" applyFill="1"/>
    <xf numFmtId="166" fontId="40" fillId="0" borderId="0" xfId="2" applyNumberFormat="1" applyFont="1" applyFill="1" applyBorder="1" applyAlignment="1">
      <alignment vertical="center"/>
    </xf>
    <xf numFmtId="175" fontId="40" fillId="0" borderId="0" xfId="2" applyNumberFormat="1" applyFont="1" applyFill="1" applyBorder="1" applyAlignment="1">
      <alignment vertical="center"/>
    </xf>
    <xf numFmtId="0" fontId="0" fillId="0" borderId="9" xfId="0" applyBorder="1" applyAlignment="1">
      <alignment horizontal="center" vertical="top"/>
    </xf>
    <xf numFmtId="0" fontId="5" fillId="25" borderId="9" xfId="0" applyFont="1" applyFill="1" applyBorder="1" applyAlignment="1">
      <alignment horizontal="right" vertical="center" wrapText="1"/>
    </xf>
    <xf numFmtId="166" fontId="0" fillId="0" borderId="9" xfId="0" applyNumberFormat="1" applyBorder="1"/>
    <xf numFmtId="0" fontId="0" fillId="0" borderId="30" xfId="0" applyBorder="1" applyAlignment="1">
      <alignment horizontal="center"/>
    </xf>
    <xf numFmtId="0" fontId="0" fillId="26" borderId="0" xfId="0" applyFill="1"/>
    <xf numFmtId="0" fontId="0" fillId="27" borderId="0" xfId="0" applyFill="1"/>
    <xf numFmtId="0" fontId="52" fillId="0" borderId="0" xfId="0" applyFont="1" applyBorder="1" applyAlignment="1" applyProtection="1">
      <alignment vertical="center" wrapText="1"/>
      <protection locked="0"/>
    </xf>
    <xf numFmtId="0" fontId="34" fillId="6" borderId="15" xfId="0" applyFont="1" applyFill="1" applyBorder="1" applyAlignment="1" applyProtection="1">
      <alignment horizontal="left" vertical="center"/>
    </xf>
    <xf numFmtId="10" fontId="0" fillId="0" borderId="0" xfId="3" applyNumberFormat="1" applyFont="1"/>
    <xf numFmtId="10" fontId="0" fillId="0" borderId="0" xfId="0" applyNumberFormat="1"/>
    <xf numFmtId="2" fontId="0" fillId="0" borderId="0" xfId="0" applyNumberFormat="1" applyProtection="1">
      <protection locked="0"/>
    </xf>
    <xf numFmtId="166" fontId="52" fillId="0" borderId="0" xfId="2" applyNumberFormat="1" applyFont="1" applyAlignment="1">
      <alignment vertical="center"/>
    </xf>
    <xf numFmtId="0" fontId="5" fillId="21" borderId="30" xfId="0" applyFont="1" applyFill="1" applyBorder="1" applyAlignment="1">
      <alignment horizontal="center" wrapText="1"/>
    </xf>
    <xf numFmtId="0" fontId="5" fillId="21" borderId="2" xfId="0" applyFont="1" applyFill="1" applyBorder="1" applyAlignment="1">
      <alignment horizontal="center" wrapText="1"/>
    </xf>
    <xf numFmtId="0" fontId="9" fillId="5" borderId="1" xfId="0" applyFont="1" applyFill="1" applyBorder="1" applyAlignment="1">
      <alignment horizontal="center" vertical="center"/>
    </xf>
    <xf numFmtId="0" fontId="0" fillId="3" borderId="9" xfId="0" applyFill="1" applyBorder="1" applyAlignment="1" applyProtection="1">
      <alignment horizontal="center"/>
    </xf>
    <xf numFmtId="10" fontId="34" fillId="3" borderId="9" xfId="3" applyNumberFormat="1" applyFont="1" applyFill="1" applyBorder="1" applyAlignment="1">
      <alignment vertical="center" wrapText="1"/>
    </xf>
    <xf numFmtId="0" fontId="0" fillId="0" borderId="4" xfId="0" applyBorder="1" applyAlignment="1">
      <alignment horizontal="left" vertical="top" wrapText="1"/>
    </xf>
    <xf numFmtId="0" fontId="0" fillId="0" borderId="8" xfId="0" applyBorder="1" applyAlignment="1">
      <alignment horizontal="left" vertical="top"/>
    </xf>
    <xf numFmtId="0" fontId="0" fillId="0" borderId="10" xfId="0" applyBorder="1" applyAlignment="1">
      <alignment horizontal="left" vertical="top"/>
    </xf>
    <xf numFmtId="0" fontId="0" fillId="0" borderId="32" xfId="0" applyBorder="1" applyAlignment="1">
      <alignment horizontal="left" vertical="top"/>
    </xf>
    <xf numFmtId="0" fontId="0" fillId="0" borderId="0" xfId="0" applyBorder="1" applyAlignment="1">
      <alignment horizontal="left" vertical="top"/>
    </xf>
    <xf numFmtId="0" fontId="0" fillId="0" borderId="33" xfId="0" applyBorder="1" applyAlignment="1">
      <alignment horizontal="left" vertical="top"/>
    </xf>
    <xf numFmtId="0" fontId="0" fillId="0" borderId="5" xfId="0" applyBorder="1" applyAlignment="1">
      <alignment horizontal="left" vertical="top"/>
    </xf>
    <xf numFmtId="0" fontId="0" fillId="0" borderId="7" xfId="0" applyBorder="1" applyAlignment="1">
      <alignment horizontal="left" vertical="top"/>
    </xf>
    <xf numFmtId="0" fontId="0" fillId="0" borderId="11" xfId="0" applyBorder="1" applyAlignment="1">
      <alignment horizontal="left" vertical="top"/>
    </xf>
    <xf numFmtId="0" fontId="0" fillId="0" borderId="9" xfId="0" applyBorder="1" applyAlignment="1">
      <alignment vertical="center" wrapText="1"/>
    </xf>
    <xf numFmtId="0" fontId="0" fillId="0" borderId="9" xfId="0" applyBorder="1" applyAlignment="1">
      <alignment vertical="center"/>
    </xf>
    <xf numFmtId="0" fontId="0" fillId="0" borderId="8" xfId="0" applyBorder="1" applyAlignment="1">
      <alignment horizontal="left" vertical="top" wrapText="1"/>
    </xf>
    <xf numFmtId="0" fontId="0" fillId="0" borderId="10" xfId="0" applyBorder="1" applyAlignment="1">
      <alignment horizontal="left" vertical="top" wrapText="1"/>
    </xf>
    <xf numFmtId="0" fontId="0" fillId="0" borderId="32" xfId="0" applyBorder="1" applyAlignment="1">
      <alignment horizontal="left" vertical="top" wrapText="1"/>
    </xf>
    <xf numFmtId="0" fontId="0" fillId="0" borderId="0" xfId="0" applyBorder="1" applyAlignment="1">
      <alignment horizontal="left" vertical="top" wrapText="1"/>
    </xf>
    <xf numFmtId="0" fontId="0" fillId="0" borderId="33" xfId="0" applyBorder="1" applyAlignment="1">
      <alignment horizontal="left"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11" xfId="0"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11" fillId="0" borderId="0" xfId="0" applyFont="1" applyAlignment="1">
      <alignment horizontal="left"/>
    </xf>
    <xf numFmtId="0" fontId="5" fillId="21" borderId="9" xfId="0" applyFont="1" applyFill="1" applyBorder="1" applyAlignment="1">
      <alignment horizontal="center"/>
    </xf>
    <xf numFmtId="0" fontId="5" fillId="21" borderId="1" xfId="0" applyFont="1" applyFill="1" applyBorder="1" applyAlignment="1">
      <alignment horizontal="center"/>
    </xf>
    <xf numFmtId="0" fontId="5" fillId="21" borderId="30" xfId="0" applyFont="1" applyFill="1" applyBorder="1" applyAlignment="1">
      <alignment horizontal="center"/>
    </xf>
    <xf numFmtId="0" fontId="5" fillId="21" borderId="2" xfId="0" applyFont="1" applyFill="1" applyBorder="1" applyAlignment="1">
      <alignment horizontal="center"/>
    </xf>
    <xf numFmtId="0" fontId="0" fillId="0" borderId="1" xfId="0" applyBorder="1" applyAlignment="1">
      <alignment vertical="center"/>
    </xf>
    <xf numFmtId="0" fontId="0" fillId="0" borderId="30" xfId="0" applyBorder="1" applyAlignment="1">
      <alignment vertical="center"/>
    </xf>
    <xf numFmtId="0" fontId="0" fillId="0" borderId="2" xfId="0" applyBorder="1" applyAlignment="1">
      <alignment vertical="center"/>
    </xf>
    <xf numFmtId="0" fontId="0" fillId="0" borderId="9" xfId="0" applyFont="1" applyBorder="1" applyAlignment="1">
      <alignment horizontal="left" vertical="center" wrapText="1"/>
    </xf>
    <xf numFmtId="0" fontId="0" fillId="0" borderId="6" xfId="0" applyFont="1" applyBorder="1" applyAlignment="1">
      <alignment horizontal="left" vertical="center" wrapText="1"/>
    </xf>
    <xf numFmtId="0" fontId="0" fillId="22" borderId="1" xfId="0" applyFont="1" applyFill="1" applyBorder="1" applyAlignment="1">
      <alignment horizontal="center" vertical="center"/>
    </xf>
    <xf numFmtId="0" fontId="0" fillId="22" borderId="30" xfId="0" applyFont="1" applyFill="1" applyBorder="1" applyAlignment="1">
      <alignment horizontal="center" vertical="center"/>
    </xf>
    <xf numFmtId="0" fontId="0" fillId="22" borderId="2" xfId="0" applyFont="1" applyFill="1" applyBorder="1" applyAlignment="1">
      <alignment horizontal="center" vertical="center"/>
    </xf>
    <xf numFmtId="0" fontId="0" fillId="9" borderId="9" xfId="0" applyFont="1" applyFill="1" applyBorder="1" applyAlignment="1">
      <alignment horizontal="center" vertical="center"/>
    </xf>
    <xf numFmtId="0" fontId="0" fillId="9" borderId="1" xfId="0" applyFont="1" applyFill="1" applyBorder="1" applyAlignment="1">
      <alignment horizontal="left" vertical="center" wrapText="1"/>
    </xf>
    <xf numFmtId="0" fontId="0" fillId="9" borderId="30" xfId="0" applyFont="1" applyFill="1" applyBorder="1" applyAlignment="1">
      <alignment horizontal="left" vertical="center" wrapText="1"/>
    </xf>
    <xf numFmtId="0" fontId="0" fillId="9" borderId="2" xfId="0" applyFont="1" applyFill="1" applyBorder="1" applyAlignment="1">
      <alignment horizontal="left" vertical="center" wrapText="1"/>
    </xf>
    <xf numFmtId="0" fontId="2" fillId="23" borderId="9" xfId="0" applyFont="1" applyFill="1" applyBorder="1" applyAlignment="1">
      <alignment horizontal="left" vertical="center"/>
    </xf>
    <xf numFmtId="0" fontId="2" fillId="23" borderId="9" xfId="0" applyFont="1" applyFill="1" applyBorder="1" applyAlignment="1">
      <alignment horizontal="left" vertical="center" wrapText="1"/>
    </xf>
    <xf numFmtId="0" fontId="0" fillId="22" borderId="9" xfId="0" applyFont="1" applyFill="1" applyBorder="1" applyAlignment="1">
      <alignment horizontal="left" vertical="center" wrapText="1"/>
    </xf>
    <xf numFmtId="0" fontId="5" fillId="21" borderId="1" xfId="0" applyFont="1" applyFill="1" applyBorder="1" applyAlignment="1">
      <alignment horizontal="center" wrapText="1"/>
    </xf>
    <xf numFmtId="0" fontId="5" fillId="21" borderId="30" xfId="0" applyFont="1" applyFill="1" applyBorder="1" applyAlignment="1">
      <alignment horizontal="center" wrapText="1"/>
    </xf>
    <xf numFmtId="0" fontId="5" fillId="21" borderId="2" xfId="0" applyFont="1" applyFill="1" applyBorder="1" applyAlignment="1">
      <alignment horizontal="center" wrapText="1"/>
    </xf>
    <xf numFmtId="0" fontId="5" fillId="21" borderId="15" xfId="0" applyFont="1" applyFill="1" applyBorder="1" applyAlignment="1">
      <alignment horizontal="center" wrapText="1"/>
    </xf>
    <xf numFmtId="0" fontId="5" fillId="21" borderId="6" xfId="0" applyFont="1" applyFill="1" applyBorder="1" applyAlignment="1">
      <alignment horizontal="center" wrapText="1"/>
    </xf>
    <xf numFmtId="0" fontId="5" fillId="21" borderId="4" xfId="0" applyFont="1" applyFill="1" applyBorder="1" applyAlignment="1">
      <alignment horizontal="center"/>
    </xf>
    <xf numFmtId="0" fontId="5" fillId="21" borderId="10" xfId="0" applyFont="1" applyFill="1" applyBorder="1" applyAlignment="1">
      <alignment horizontal="center"/>
    </xf>
    <xf numFmtId="0" fontId="5" fillId="21" borderId="5" xfId="0" applyFont="1" applyFill="1" applyBorder="1" applyAlignment="1">
      <alignment horizontal="center"/>
    </xf>
    <xf numFmtId="0" fontId="5" fillId="21" borderId="11" xfId="0" applyFont="1" applyFill="1" applyBorder="1" applyAlignment="1">
      <alignment horizontal="center"/>
    </xf>
    <xf numFmtId="0" fontId="5" fillId="21" borderId="8" xfId="0" applyFont="1" applyFill="1" applyBorder="1" applyAlignment="1">
      <alignment horizontal="center"/>
    </xf>
    <xf numFmtId="0" fontId="5" fillId="21" borderId="7" xfId="0" applyFont="1" applyFill="1" applyBorder="1" applyAlignment="1">
      <alignment horizontal="center"/>
    </xf>
    <xf numFmtId="174" fontId="0" fillId="0" borderId="1" xfId="0" applyNumberFormat="1" applyBorder="1" applyAlignment="1">
      <alignment horizontal="center" vertical="top"/>
    </xf>
    <xf numFmtId="174" fontId="0" fillId="0" borderId="2" xfId="0" applyNumberFormat="1" applyBorder="1" applyAlignment="1">
      <alignment horizontal="center" vertical="top"/>
    </xf>
    <xf numFmtId="0" fontId="0" fillId="0" borderId="1" xfId="0" applyBorder="1" applyAlignment="1">
      <alignment horizontal="left" vertical="top"/>
    </xf>
    <xf numFmtId="0" fontId="0" fillId="0" borderId="30" xfId="0" applyBorder="1" applyAlignment="1">
      <alignment horizontal="left" vertical="top"/>
    </xf>
    <xf numFmtId="0" fontId="0" fillId="0" borderId="2" xfId="0" applyBorder="1" applyAlignment="1">
      <alignment horizontal="left" vertical="top"/>
    </xf>
    <xf numFmtId="0" fontId="0" fillId="0" borderId="9" xfId="0" applyBorder="1" applyAlignment="1">
      <alignment horizontal="left" vertical="top" wrapText="1"/>
    </xf>
    <xf numFmtId="0" fontId="0" fillId="0" borderId="15" xfId="0" applyBorder="1" applyAlignment="1">
      <alignment horizontal="center" vertical="top"/>
    </xf>
    <xf numFmtId="0" fontId="0" fillId="0" borderId="3" xfId="0" applyBorder="1" applyAlignment="1">
      <alignment horizontal="center" vertical="top"/>
    </xf>
    <xf numFmtId="0" fontId="0" fillId="0" borderId="6" xfId="0" applyBorder="1" applyAlignment="1">
      <alignment horizontal="center" vertical="top"/>
    </xf>
    <xf numFmtId="174" fontId="0" fillId="0" borderId="4" xfId="0" applyNumberFormat="1" applyBorder="1" applyAlignment="1">
      <alignment horizontal="center" vertical="top"/>
    </xf>
    <xf numFmtId="174" fontId="0" fillId="0" borderId="10" xfId="0" applyNumberFormat="1" applyBorder="1" applyAlignment="1">
      <alignment horizontal="center" vertical="top"/>
    </xf>
    <xf numFmtId="174" fontId="0" fillId="0" borderId="32" xfId="0" applyNumberFormat="1" applyBorder="1" applyAlignment="1">
      <alignment horizontal="center" vertical="top"/>
    </xf>
    <xf numFmtId="174" fontId="0" fillId="0" borderId="33" xfId="0" applyNumberFormat="1" applyBorder="1" applyAlignment="1">
      <alignment horizontal="center" vertical="top"/>
    </xf>
    <xf numFmtId="174" fontId="0" fillId="0" borderId="5" xfId="0" applyNumberFormat="1" applyBorder="1" applyAlignment="1">
      <alignment horizontal="center" vertical="top"/>
    </xf>
    <xf numFmtId="174" fontId="0" fillId="0" borderId="11" xfId="0" applyNumberFormat="1" applyBorder="1" applyAlignment="1">
      <alignment horizontal="center" vertical="top"/>
    </xf>
    <xf numFmtId="0" fontId="0" fillId="0" borderId="4" xfId="0" applyBorder="1" applyAlignment="1">
      <alignment horizontal="left" vertical="top"/>
    </xf>
    <xf numFmtId="0" fontId="9" fillId="5" borderId="1" xfId="0" applyFont="1" applyFill="1" applyBorder="1" applyAlignment="1">
      <alignment horizontal="center" vertical="center"/>
    </xf>
    <xf numFmtId="0" fontId="9" fillId="5" borderId="2" xfId="0" applyFont="1" applyFill="1" applyBorder="1" applyAlignment="1">
      <alignment horizontal="center" vertical="center"/>
    </xf>
    <xf numFmtId="0" fontId="9" fillId="5" borderId="30" xfId="0" applyFont="1" applyFill="1" applyBorder="1" applyAlignment="1">
      <alignment horizontal="center" vertical="center"/>
    </xf>
    <xf numFmtId="0" fontId="9" fillId="5" borderId="9" xfId="0" applyFont="1" applyFill="1" applyBorder="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0" fillId="0" borderId="30" xfId="0" applyBorder="1" applyAlignment="1">
      <alignment horizontal="center"/>
    </xf>
    <xf numFmtId="0" fontId="46" fillId="5" borderId="1" xfId="0" applyFont="1" applyFill="1" applyBorder="1" applyAlignment="1">
      <alignment horizontal="center" vertical="center"/>
    </xf>
    <xf numFmtId="0" fontId="46" fillId="5" borderId="2" xfId="0" applyFont="1" applyFill="1" applyBorder="1" applyAlignment="1">
      <alignment horizontal="center" vertical="center"/>
    </xf>
    <xf numFmtId="0" fontId="0" fillId="0" borderId="9" xfId="0" applyBorder="1" applyAlignment="1">
      <alignment horizontal="left" vertical="center" wrapText="1"/>
    </xf>
    <xf numFmtId="0" fontId="30" fillId="9" borderId="23" xfId="0" applyFont="1" applyFill="1" applyBorder="1" applyAlignment="1">
      <alignment horizontal="center"/>
    </xf>
    <xf numFmtId="0" fontId="30" fillId="9" borderId="0" xfId="0" applyFont="1" applyFill="1" applyBorder="1" applyAlignment="1">
      <alignment horizontal="center"/>
    </xf>
    <xf numFmtId="0" fontId="5" fillId="9" borderId="7" xfId="0" applyFont="1" applyFill="1" applyBorder="1" applyAlignment="1">
      <alignment horizontal="left" vertical="center"/>
    </xf>
    <xf numFmtId="0" fontId="5" fillId="9" borderId="7" xfId="0" applyFont="1" applyFill="1" applyBorder="1" applyAlignment="1">
      <alignment horizontal="left" vertical="center" wrapText="1"/>
    </xf>
    <xf numFmtId="0" fontId="34" fillId="15" borderId="9" xfId="0" applyFont="1" applyFill="1" applyBorder="1" applyAlignment="1">
      <alignment horizontal="center"/>
    </xf>
    <xf numFmtId="0" fontId="4" fillId="15" borderId="1" xfId="0" applyFont="1" applyFill="1" applyBorder="1" applyAlignment="1">
      <alignment horizontal="center"/>
    </xf>
    <xf numFmtId="0" fontId="4" fillId="15" borderId="30" xfId="0" applyFont="1" applyFill="1" applyBorder="1" applyAlignment="1">
      <alignment horizontal="center"/>
    </xf>
    <xf numFmtId="0" fontId="4" fillId="15" borderId="2" xfId="0" applyFont="1" applyFill="1" applyBorder="1" applyAlignment="1">
      <alignment horizontal="center"/>
    </xf>
    <xf numFmtId="0" fontId="0" fillId="0" borderId="9" xfId="0" applyBorder="1" applyAlignment="1">
      <alignment horizontal="center" vertical="center"/>
    </xf>
    <xf numFmtId="0" fontId="3" fillId="0" borderId="9" xfId="14" applyBorder="1" applyAlignment="1">
      <alignment horizontal="center" vertical="center"/>
    </xf>
  </cellXfs>
  <cellStyles count="19">
    <cellStyle name="Comma" xfId="1" builtinId="3"/>
    <cellStyle name="Comma 18" xfId="15" xr:uid="{A81BAAF4-169A-9B43-A56D-ACE2BA05037E}"/>
    <cellStyle name="Comma 2" xfId="11" xr:uid="{C5A56A6F-4EDB-43FF-9507-FF2F2E101CF7}"/>
    <cellStyle name="Currency" xfId="2" builtinId="4"/>
    <cellStyle name="Explanatory Text" xfId="16" builtinId="53"/>
    <cellStyle name="Heading" xfId="7" xr:uid="{8FE4F839-F6E0-4481-97F9-AE4479C4B020}"/>
    <cellStyle name="Heading 1" xfId="18" builtinId="16"/>
    <cellStyle name="Hyperlink" xfId="17" builtinId="8"/>
    <cellStyle name="Normal" xfId="0" builtinId="0"/>
    <cellStyle name="Normal 2" xfId="14" xr:uid="{FB1CEE69-7BAF-7D47-9F2D-8E78E3AFA7AD}"/>
    <cellStyle name="Normal 30 2" xfId="4" xr:uid="{1D73EC0B-FCDA-4753-89A0-7281C6198EBE}"/>
    <cellStyle name="Normal 4" xfId="12" xr:uid="{367C1F84-65B4-4FA6-A5CF-927771A168B1}"/>
    <cellStyle name="Normal 5 2 2" xfId="5" xr:uid="{310F91FA-E449-43C2-9046-45680AC2F8BD}"/>
    <cellStyle name="Percent" xfId="3" builtinId="5"/>
    <cellStyle name="Percent 10" xfId="6" xr:uid="{D67E511B-D5A7-4ED6-A7C1-AC682255FCE0}"/>
    <cellStyle name="Percent 2" xfId="9" xr:uid="{BB1DFE22-A831-476C-9194-4342B105A526}"/>
    <cellStyle name="Percent 2 2" xfId="13" xr:uid="{790E68DD-33A8-477D-9A16-AB26A2A029DE}"/>
    <cellStyle name="Results" xfId="8" xr:uid="{6CC81B00-7DDD-49A1-A4EA-6C64CE2A55EE}"/>
    <cellStyle name="Subtitle" xfId="10" xr:uid="{7D6CFBA2-1B5C-4177-966B-CD9D0517D195}"/>
  </cellStyles>
  <dxfs count="134">
    <dxf>
      <font>
        <color theme="0"/>
      </font>
    </dxf>
    <dxf>
      <font>
        <b val="0"/>
        <i/>
        <color theme="0"/>
      </font>
      <fill>
        <patternFill>
          <bgColor theme="0"/>
        </patternFill>
      </fill>
      <border>
        <left/>
        <right/>
        <top style="thin">
          <color auto="1"/>
        </top>
        <bottom style="thin">
          <color auto="1"/>
        </bottom>
      </border>
    </dxf>
    <dxf>
      <font>
        <b val="0"/>
        <i/>
        <color theme="0"/>
      </font>
      <fill>
        <patternFill>
          <bgColor theme="0"/>
        </patternFill>
      </fill>
    </dxf>
    <dxf>
      <font>
        <b val="0"/>
        <i/>
        <color theme="0"/>
      </font>
      <fill>
        <patternFill>
          <bgColor theme="0"/>
        </patternFill>
      </fill>
    </dxf>
    <dxf>
      <font>
        <b val="0"/>
        <i/>
        <color theme="0"/>
      </font>
      <fill>
        <patternFill>
          <bgColor theme="0"/>
        </patternFill>
      </fill>
      <border>
        <left/>
        <right/>
        <top style="thin">
          <color auto="1"/>
        </top>
        <bottom style="thin">
          <color auto="1"/>
        </bottom>
      </border>
    </dxf>
    <dxf>
      <font>
        <b val="0"/>
        <i/>
        <color theme="0"/>
      </font>
      <fill>
        <patternFill>
          <bgColor theme="0"/>
        </patternFill>
      </fill>
      <border>
        <left/>
        <right/>
        <top style="thin">
          <color auto="1"/>
        </top>
        <bottom style="thin">
          <color auto="1"/>
        </bottom>
      </border>
    </dxf>
    <dxf>
      <font>
        <b val="0"/>
        <i val="0"/>
        <strike val="0"/>
        <condense val="0"/>
        <extend val="0"/>
        <outline val="0"/>
        <shadow val="0"/>
        <u val="none"/>
        <vertAlign val="baseline"/>
        <sz val="11"/>
        <color theme="1"/>
        <name val="Calibri"/>
        <family val="2"/>
        <scheme val="minor"/>
      </font>
      <numFmt numFmtId="1" formatCode="0"/>
    </dxf>
    <dxf>
      <numFmt numFmtId="165" formatCode="0.0%"/>
    </dxf>
    <dxf>
      <numFmt numFmtId="165" formatCode="0.0%"/>
    </dxf>
    <dxf>
      <alignment horizontal="general" vertical="bottom" textRotation="0" wrapText="1" indent="0" justifyLastLine="0" shrinkToFit="0" readingOrder="0"/>
    </dxf>
    <dxf>
      <numFmt numFmtId="0" formatCode="General"/>
    </dxf>
    <dxf>
      <numFmt numFmtId="2" formatCode="0.00"/>
    </dxf>
    <dxf>
      <numFmt numFmtId="2" formatCode="0.00"/>
    </dxf>
    <dxf>
      <alignment horizontal="general" vertical="bottom" textRotation="0" wrapText="1" indent="0" justifyLastLine="0" shrinkToFit="0" readingOrder="0"/>
    </dxf>
    <dxf>
      <numFmt numFmtId="34" formatCode="_(&quot;$&quot;* #,##0.00_);_(&quot;$&quot;* \(#,##0.00\);_(&quot;$&quot;* &quot;-&quot;??_);_(@_)"/>
      <protection locked="0" hidden="0"/>
    </dxf>
    <dxf>
      <font>
        <b val="0"/>
        <i val="0"/>
        <strike val="0"/>
        <condense val="0"/>
        <extend val="0"/>
        <outline val="0"/>
        <shadow val="0"/>
        <u val="none"/>
        <vertAlign val="baseline"/>
        <sz val="11"/>
        <color rgb="FF000000"/>
        <name val="Calibri"/>
        <family val="2"/>
        <scheme val="none"/>
      </font>
      <numFmt numFmtId="166" formatCode="&quot;$&quot;#,##0.00"/>
      <alignment horizontal="general" vertical="center" textRotation="0" wrapText="0" indent="0" justifyLastLine="0" shrinkToFit="0" readingOrder="0"/>
    </dxf>
    <dxf>
      <numFmt numFmtId="34" formatCode="_(&quot;$&quot;* #,##0.00_);_(&quot;$&quot;* \(#,##0.00\);_(&quot;$&quot;* &quot;-&quot;??_);_(@_)"/>
      <protection locked="0" hidden="0"/>
    </dxf>
    <dxf>
      <font>
        <color rgb="FF000000"/>
      </font>
      <numFmt numFmtId="166" formatCode="&quot;$&quot;#,##0.00"/>
      <alignment horizontal="general" vertical="center" textRotation="0" wrapText="0" indent="0" justifyLastLine="0" shrinkToFit="0" readingOrder="0"/>
    </dxf>
    <dxf>
      <numFmt numFmtId="34" formatCode="_(&quot;$&quot;* #,##0.00_);_(&quot;$&quot;* \(#,##0.00\);_(&quot;$&quot;* &quot;-&quot;??_);_(@_)"/>
      <protection locked="0" hidden="0"/>
    </dxf>
    <dxf>
      <font>
        <b val="0"/>
        <i val="0"/>
        <strike val="0"/>
        <condense val="0"/>
        <extend val="0"/>
        <outline val="0"/>
        <shadow val="0"/>
        <u val="none"/>
        <vertAlign val="baseline"/>
        <sz val="11"/>
        <color rgb="FF000000"/>
        <name val="Calibri"/>
        <family val="2"/>
        <scheme val="none"/>
      </font>
      <numFmt numFmtId="166" formatCode="&quot;$&quot;#,##0.00"/>
      <alignment horizontal="general" vertical="center" textRotation="0" wrapText="0" indent="0" justifyLastLine="0" shrinkToFit="0" readingOrder="0"/>
    </dxf>
    <dxf>
      <numFmt numFmtId="34" formatCode="_(&quot;$&quot;* #,##0.00_);_(&quot;$&quot;* \(#,##0.00\);_(&quot;$&quot;* &quot;-&quot;??_);_(@_)"/>
      <protection locked="0" hidden="0"/>
    </dxf>
    <dxf>
      <font>
        <b val="0"/>
        <i val="0"/>
        <strike val="0"/>
        <condense val="0"/>
        <extend val="0"/>
        <outline val="0"/>
        <shadow val="0"/>
        <u val="none"/>
        <vertAlign val="baseline"/>
        <sz val="11"/>
        <color rgb="FF000000"/>
        <name val="Calibri"/>
        <family val="2"/>
        <scheme val="none"/>
      </font>
      <numFmt numFmtId="166" formatCode="&quot;$&quot;#,##0.00"/>
      <alignment horizontal="general" vertical="center" textRotation="0" wrapText="0" indent="0" justifyLastLine="0" shrinkToFit="0" readingOrder="0"/>
    </dxf>
    <dxf>
      <numFmt numFmtId="34" formatCode="_(&quot;$&quot;* #,##0.00_);_(&quot;$&quot;* \(#,##0.00\);_(&quot;$&quot;* &quot;-&quot;??_);_(@_)"/>
      <protection locked="0" hidden="0"/>
    </dxf>
    <dxf>
      <font>
        <b val="0"/>
        <i val="0"/>
        <strike val="0"/>
        <condense val="0"/>
        <extend val="0"/>
        <outline val="0"/>
        <shadow val="0"/>
        <u val="none"/>
        <vertAlign val="baseline"/>
        <sz val="11"/>
        <color rgb="FF000000"/>
        <name val="Calibri"/>
        <family val="2"/>
        <scheme val="none"/>
      </font>
      <numFmt numFmtId="166" formatCode="&quot;$&quot;#,##0.00"/>
      <alignment horizontal="general" vertical="center" textRotation="0" wrapText="0" indent="0" justifyLastLine="0" shrinkToFit="0" readingOrder="0"/>
    </dxf>
    <dxf>
      <numFmt numFmtId="34" formatCode="_(&quot;$&quot;* #,##0.00_);_(&quot;$&quot;* \(#,##0.00\);_(&quot;$&quot;* &quot;-&quot;??_);_(@_)"/>
      <protection locked="0" hidden="0"/>
    </dxf>
    <dxf>
      <font>
        <b val="0"/>
        <i val="0"/>
        <strike val="0"/>
        <condense val="0"/>
        <extend val="0"/>
        <outline val="0"/>
        <shadow val="0"/>
        <u val="none"/>
        <vertAlign val="baseline"/>
        <sz val="11"/>
        <color rgb="FF000000"/>
        <name val="Calibri"/>
        <family val="2"/>
        <scheme val="none"/>
      </font>
      <numFmt numFmtId="166" formatCode="&quot;$&quot;#,##0.00"/>
      <alignment horizontal="general" vertical="center" textRotation="0" wrapText="0" indent="0" justifyLastLine="0" shrinkToFit="0" readingOrder="0"/>
    </dxf>
    <dxf>
      <numFmt numFmtId="34" formatCode="_(&quot;$&quot;* #,##0.00_);_(&quot;$&quot;* \(#,##0.00\);_(&quot;$&quot;* &quot;-&quot;??_);_(@_)"/>
      <protection locked="0" hidden="0"/>
    </dxf>
    <dxf>
      <font>
        <b val="0"/>
        <i val="0"/>
        <strike val="0"/>
        <condense val="0"/>
        <extend val="0"/>
        <outline val="0"/>
        <shadow val="0"/>
        <u val="none"/>
        <vertAlign val="baseline"/>
        <sz val="11"/>
        <color rgb="FF000000"/>
        <name val="Calibri"/>
        <family val="2"/>
        <scheme val="none"/>
      </font>
      <numFmt numFmtId="166" formatCode="&quot;$&quot;#,##0.00"/>
      <alignment horizontal="general" vertical="center" textRotation="0" wrapText="0" indent="0" justifyLastLine="0" shrinkToFit="0" readingOrder="0"/>
    </dxf>
    <dxf>
      <numFmt numFmtId="34" formatCode="_(&quot;$&quot;* #,##0.00_);_(&quot;$&quot;* \(#,##0.00\);_(&quot;$&quot;* &quot;-&quot;??_);_(@_)"/>
      <protection locked="0" hidden="0"/>
    </dxf>
    <dxf>
      <font>
        <b val="0"/>
        <i val="0"/>
        <strike val="0"/>
        <condense val="0"/>
        <extend val="0"/>
        <outline val="0"/>
        <shadow val="0"/>
        <u val="none"/>
        <vertAlign val="baseline"/>
        <sz val="11"/>
        <color rgb="FF000000"/>
        <name val="Calibri"/>
        <family val="2"/>
        <scheme val="none"/>
      </font>
      <numFmt numFmtId="166" formatCode="&quot;$&quot;#,##0.00"/>
      <alignment horizontal="general" vertical="center" textRotation="0" wrapText="0" indent="0" justifyLastLine="0" shrinkToFit="0" readingOrder="0"/>
    </dxf>
    <dxf>
      <numFmt numFmtId="34" formatCode="_(&quot;$&quot;* #,##0.00_);_(&quot;$&quot;* \(#,##0.00\);_(&quot;$&quot;* &quot;-&quot;??_);_(@_)"/>
    </dxf>
    <dxf>
      <font>
        <b val="0"/>
        <i val="0"/>
        <strike val="0"/>
        <condense val="0"/>
        <extend val="0"/>
        <outline val="0"/>
        <shadow val="0"/>
        <u val="none"/>
        <vertAlign val="baseline"/>
        <sz val="11"/>
        <color rgb="FF000000"/>
        <name val="Calibri"/>
        <family val="2"/>
        <scheme val="none"/>
      </font>
      <numFmt numFmtId="166" formatCode="&quot;$&quot;#,##0.00"/>
      <alignment horizontal="general" vertical="center" textRotation="0" wrapText="0" indent="0" justifyLastLine="0" shrinkToFit="0" readingOrder="0"/>
    </dxf>
    <dxf>
      <numFmt numFmtId="34" formatCode="_(&quot;$&quot;* #,##0.00_);_(&quot;$&quot;* \(#,##0.00\);_(&quot;$&quot;* &quot;-&quot;??_);_(@_)"/>
    </dxf>
    <dxf>
      <font>
        <b val="0"/>
        <i val="0"/>
        <strike val="0"/>
        <condense val="0"/>
        <extend val="0"/>
        <outline val="0"/>
        <shadow val="0"/>
        <u val="none"/>
        <vertAlign val="baseline"/>
        <sz val="11"/>
        <color rgb="FF000000"/>
        <name val="Calibri"/>
        <family val="2"/>
        <scheme val="none"/>
      </font>
      <numFmt numFmtId="166" formatCode="&quot;$&quot;#,##0.00"/>
      <alignment horizontal="general" vertical="center" textRotation="0" wrapText="0" indent="0" justifyLastLine="0" shrinkToFit="0" readingOrder="0"/>
    </dxf>
    <dxf>
      <numFmt numFmtId="34" formatCode="_(&quot;$&quot;* #,##0.00_);_(&quot;$&quot;* \(#,##0.00\);_(&quot;$&quot;* &quot;-&quot;??_);_(@_)"/>
    </dxf>
    <dxf>
      <font>
        <b val="0"/>
        <i val="0"/>
        <strike val="0"/>
        <condense val="0"/>
        <extend val="0"/>
        <outline val="0"/>
        <shadow val="0"/>
        <u val="none"/>
        <vertAlign val="baseline"/>
        <sz val="11"/>
        <color rgb="FF000000"/>
        <name val="Calibri"/>
        <family val="2"/>
        <scheme val="none"/>
      </font>
      <numFmt numFmtId="166" formatCode="&quot;$&quot;#,##0.00"/>
      <alignment horizontal="general" vertical="center" textRotation="0" wrapText="0" indent="0" justifyLastLine="0" shrinkToFit="0" readingOrder="0"/>
    </dxf>
    <dxf>
      <numFmt numFmtId="34" formatCode="_(&quot;$&quot;* #,##0.00_);_(&quot;$&quot;* \(#,##0.00\);_(&quot;$&quot;* &quot;-&quot;??_);_(@_)"/>
    </dxf>
    <dxf>
      <font>
        <b val="0"/>
        <i val="0"/>
        <strike val="0"/>
        <condense val="0"/>
        <extend val="0"/>
        <outline val="0"/>
        <shadow val="0"/>
        <u val="none"/>
        <vertAlign val="baseline"/>
        <sz val="11"/>
        <color rgb="FF000000"/>
        <name val="Calibri"/>
        <family val="2"/>
        <scheme val="none"/>
      </font>
      <numFmt numFmtId="175" formatCode="&quot;$&quot;#,##0.000"/>
      <alignment horizontal="general" vertical="center" textRotation="0" wrapText="0" indent="0" justifyLastLine="0" shrinkToFit="0" readingOrder="0"/>
    </dxf>
    <dxf>
      <numFmt numFmtId="34" formatCode="_(&quot;$&quot;* #,##0.00_);_(&quot;$&quot;* \(#,##0.00\);_(&quot;$&quot;* &quot;-&quot;??_);_(@_)"/>
    </dxf>
    <dxf>
      <font>
        <b val="0"/>
        <i val="0"/>
        <strike val="0"/>
        <condense val="0"/>
        <extend val="0"/>
        <outline val="0"/>
        <shadow val="0"/>
        <u val="none"/>
        <vertAlign val="baseline"/>
        <sz val="11"/>
        <color rgb="FF000000"/>
        <name val="Calibri"/>
        <family val="2"/>
        <scheme val="none"/>
      </font>
      <numFmt numFmtId="175" formatCode="&quot;$&quot;#,##0.000"/>
      <alignment horizontal="general" vertical="center" textRotation="0" wrapText="0" indent="0" justifyLastLine="0" shrinkToFit="0" readingOrder="0"/>
    </dxf>
    <dxf>
      <numFmt numFmtId="34" formatCode="_(&quot;$&quot;* #,##0.00_);_(&quot;$&quot;* \(#,##0.00\);_(&quot;$&quot;* &quot;-&quot;??_);_(@_)"/>
    </dxf>
    <dxf>
      <font>
        <b val="0"/>
        <i val="0"/>
        <strike val="0"/>
        <condense val="0"/>
        <extend val="0"/>
        <outline val="0"/>
        <shadow val="0"/>
        <u val="none"/>
        <vertAlign val="baseline"/>
        <sz val="11"/>
        <color rgb="FF000000"/>
        <name val="Calibri"/>
        <family val="2"/>
        <scheme val="none"/>
      </font>
      <numFmt numFmtId="166" formatCode="&quot;$&quot;#,##0.00"/>
      <alignment horizontal="general" vertical="center" textRotation="0" wrapText="0" indent="0" justifyLastLine="0" shrinkToFit="0" readingOrder="0"/>
    </dxf>
    <dxf>
      <numFmt numFmtId="34" formatCode="_(&quot;$&quot;* #,##0.00_);_(&quot;$&quot;* \(#,##0.00\);_(&quot;$&quot;* &quot;-&quot;??_);_(@_)"/>
    </dxf>
    <dxf>
      <font>
        <b val="0"/>
        <i val="0"/>
        <strike val="0"/>
        <condense val="0"/>
        <extend val="0"/>
        <outline val="0"/>
        <shadow val="0"/>
        <u val="none"/>
        <vertAlign val="baseline"/>
        <sz val="11"/>
        <color rgb="FF000000"/>
        <name val="Calibri"/>
        <family val="2"/>
        <scheme val="none"/>
      </font>
      <numFmt numFmtId="166" formatCode="&quot;$&quot;#,##0.00"/>
      <alignment horizontal="general" vertical="center" textRotation="0" wrapText="0" indent="0" justifyLastLine="0" shrinkToFit="0" readingOrder="0"/>
    </dxf>
    <dxf>
      <numFmt numFmtId="34" formatCode="_(&quot;$&quot;* #,##0.00_);_(&quot;$&quot;* \(#,##0.00\);_(&quot;$&quot;* &quot;-&quot;??_);_(@_)"/>
    </dxf>
    <dxf>
      <font>
        <b val="0"/>
        <i val="0"/>
        <strike val="0"/>
        <condense val="0"/>
        <extend val="0"/>
        <outline val="0"/>
        <shadow val="0"/>
        <u val="none"/>
        <vertAlign val="baseline"/>
        <sz val="11"/>
        <color rgb="FF000000"/>
        <name val="Calibri"/>
        <family val="2"/>
        <scheme val="none"/>
      </font>
      <numFmt numFmtId="166" formatCode="&quot;$&quot;#,##0.00"/>
      <alignment horizontal="general" vertical="center" textRotation="0" wrapText="0" indent="0" justifyLastLine="0" shrinkToFit="0" readingOrder="0"/>
    </dxf>
    <dxf>
      <numFmt numFmtId="34" formatCode="_(&quot;$&quot;* #,##0.00_);_(&quot;$&quot;* \(#,##0.00\);_(&quot;$&quot;* &quot;-&quot;??_);_(@_)"/>
    </dxf>
    <dxf>
      <numFmt numFmtId="166" formatCode="&quot;$&quot;#,##0.00"/>
    </dxf>
    <dxf>
      <border diagonalUp="0" diagonalDown="0" outline="0">
        <left style="thin">
          <color rgb="FFD0D7E5"/>
        </left>
        <right/>
        <top/>
        <bottom/>
      </border>
    </dxf>
    <dxf>
      <font>
        <b val="0"/>
        <i val="0"/>
        <strike val="0"/>
        <condense val="0"/>
        <extend val="0"/>
        <outline val="0"/>
        <shadow val="0"/>
        <u val="none"/>
        <vertAlign val="baseline"/>
        <sz val="11"/>
        <color theme="1"/>
        <name val="Calibri"/>
        <family val="2"/>
        <scheme val="minor"/>
      </font>
      <numFmt numFmtId="170" formatCode="0.000"/>
    </dxf>
    <dxf>
      <border diagonalUp="0" diagonalDown="0" outline="0">
        <left style="thin">
          <color rgb="FFD0D7E5"/>
        </left>
        <right/>
        <top/>
        <bottom/>
      </border>
    </dxf>
    <dxf>
      <font>
        <b val="0"/>
        <i val="0"/>
        <strike val="0"/>
        <condense val="0"/>
        <extend val="0"/>
        <outline val="0"/>
        <shadow val="0"/>
        <u val="none"/>
        <vertAlign val="baseline"/>
        <sz val="11"/>
        <color theme="1"/>
        <name val="Calibri"/>
        <family val="2"/>
        <scheme val="minor"/>
      </font>
      <numFmt numFmtId="170" formatCode="0.000"/>
    </dxf>
    <dxf>
      <border diagonalUp="0" diagonalDown="0" outline="0">
        <left style="thin">
          <color rgb="FFD0D7E5"/>
        </left>
        <right/>
        <top/>
        <bottom/>
      </border>
    </dxf>
    <dxf>
      <font>
        <b val="0"/>
        <i val="0"/>
        <strike val="0"/>
        <condense val="0"/>
        <extend val="0"/>
        <outline val="0"/>
        <shadow val="0"/>
        <u val="none"/>
        <vertAlign val="baseline"/>
        <sz val="11"/>
        <color theme="1"/>
        <name val="Calibri"/>
        <family val="2"/>
        <scheme val="minor"/>
      </font>
      <numFmt numFmtId="170" formatCode="0.000"/>
    </dxf>
    <dxf>
      <border diagonalUp="0" diagonalDown="0" outline="0">
        <left style="thin">
          <color rgb="FFD0D7E5"/>
        </left>
        <right/>
        <top/>
        <bottom/>
      </border>
    </dxf>
    <dxf>
      <font>
        <b val="0"/>
        <i val="0"/>
        <strike val="0"/>
        <condense val="0"/>
        <extend val="0"/>
        <outline val="0"/>
        <shadow val="0"/>
        <u val="none"/>
        <vertAlign val="baseline"/>
        <sz val="11"/>
        <color theme="1"/>
        <name val="Calibri"/>
        <family val="2"/>
        <scheme val="minor"/>
      </font>
      <numFmt numFmtId="170" formatCode="0.000"/>
    </dxf>
    <dxf>
      <border diagonalUp="0" diagonalDown="0" outline="0">
        <left style="thin">
          <color rgb="FFD0D7E5"/>
        </left>
        <right/>
        <top/>
        <bottom/>
      </border>
    </dxf>
    <dxf>
      <font>
        <b val="0"/>
        <i val="0"/>
        <strike val="0"/>
        <condense val="0"/>
        <extend val="0"/>
        <outline val="0"/>
        <shadow val="0"/>
        <u val="none"/>
        <vertAlign val="baseline"/>
        <sz val="11"/>
        <color theme="1"/>
        <name val="Calibri"/>
        <family val="2"/>
        <scheme val="minor"/>
      </font>
      <numFmt numFmtId="170" formatCode="0.000"/>
    </dxf>
    <dxf>
      <border diagonalUp="0" diagonalDown="0" outline="0">
        <left style="thin">
          <color rgb="FFD0D7E5"/>
        </left>
        <right/>
        <top/>
        <bottom/>
      </border>
    </dxf>
    <dxf>
      <font>
        <b val="0"/>
        <i val="0"/>
        <strike val="0"/>
        <condense val="0"/>
        <extend val="0"/>
        <outline val="0"/>
        <shadow val="0"/>
        <u val="none"/>
        <vertAlign val="baseline"/>
        <sz val="11"/>
        <color theme="1"/>
        <name val="Calibri"/>
        <family val="2"/>
        <scheme val="minor"/>
      </font>
      <numFmt numFmtId="170" formatCode="0.000"/>
    </dxf>
    <dxf>
      <border diagonalUp="0" diagonalDown="0" outline="0">
        <left style="thin">
          <color rgb="FFD0D7E5"/>
        </left>
        <right/>
        <top/>
        <bottom/>
      </border>
    </dxf>
    <dxf>
      <font>
        <b val="0"/>
        <i val="0"/>
        <strike val="0"/>
        <condense val="0"/>
        <extend val="0"/>
        <outline val="0"/>
        <shadow val="0"/>
        <u val="none"/>
        <vertAlign val="baseline"/>
        <sz val="11"/>
        <color theme="1"/>
        <name val="Calibri"/>
        <family val="2"/>
        <scheme val="minor"/>
      </font>
      <numFmt numFmtId="1" formatCode="0"/>
    </dxf>
    <dxf>
      <border diagonalUp="0" diagonalDown="0" outline="0">
        <left style="thin">
          <color rgb="FFD0D7E5"/>
        </left>
        <right/>
        <top/>
        <bottom/>
      </border>
    </dxf>
    <dxf>
      <font>
        <b val="0"/>
        <i val="0"/>
        <strike val="0"/>
        <condense val="0"/>
        <extend val="0"/>
        <outline val="0"/>
        <shadow val="0"/>
        <u val="none"/>
        <vertAlign val="baseline"/>
        <sz val="11"/>
        <color theme="1"/>
        <name val="Calibri"/>
        <family val="2"/>
        <scheme val="minor"/>
      </font>
      <numFmt numFmtId="1" formatCode="0"/>
    </dxf>
    <dxf>
      <border diagonalUp="0" diagonalDown="0" outline="0">
        <left style="thin">
          <color rgb="FFD0D7E5"/>
        </left>
        <right/>
        <top/>
        <bottom/>
      </border>
    </dxf>
    <dxf>
      <font>
        <b val="0"/>
        <i val="0"/>
        <strike val="0"/>
        <condense val="0"/>
        <extend val="0"/>
        <outline val="0"/>
        <shadow val="0"/>
        <u val="none"/>
        <vertAlign val="baseline"/>
        <sz val="11"/>
        <color theme="1"/>
        <name val="Calibri"/>
        <family val="2"/>
        <scheme val="minor"/>
      </font>
      <numFmt numFmtId="1" formatCode="0"/>
    </dxf>
    <dxf>
      <border diagonalUp="0" diagonalDown="0" outline="0">
        <left style="thin">
          <color rgb="FFD0D7E5"/>
        </left>
        <right/>
        <top/>
        <bottom/>
      </border>
    </dxf>
    <dxf>
      <font>
        <b val="0"/>
        <i val="0"/>
        <strike val="0"/>
        <condense val="0"/>
        <extend val="0"/>
        <outline val="0"/>
        <shadow val="0"/>
        <u val="none"/>
        <vertAlign val="baseline"/>
        <sz val="11"/>
        <color theme="1"/>
        <name val="Calibri"/>
        <family val="2"/>
        <scheme val="minor"/>
      </font>
      <numFmt numFmtId="165" formatCode="0.0%"/>
    </dxf>
    <dxf>
      <border diagonalUp="0" diagonalDown="0" outline="0">
        <left style="thin">
          <color rgb="FFD0D7E5"/>
        </left>
        <right/>
        <top/>
        <bottom/>
      </border>
    </dxf>
    <dxf>
      <font>
        <b val="0"/>
        <i val="0"/>
        <strike val="0"/>
        <condense val="0"/>
        <extend val="0"/>
        <outline val="0"/>
        <shadow val="0"/>
        <u val="none"/>
        <vertAlign val="baseline"/>
        <sz val="11"/>
        <color theme="1"/>
        <name val="Calibri"/>
        <family val="2"/>
        <scheme val="minor"/>
      </font>
      <numFmt numFmtId="165" formatCode="0.0%"/>
    </dxf>
    <dxf>
      <border diagonalUp="0" diagonalDown="0" outline="0">
        <left style="thin">
          <color rgb="FFD0D7E5"/>
        </left>
        <right/>
        <top/>
        <bottom/>
      </border>
    </dxf>
    <dxf>
      <font>
        <b val="0"/>
        <i val="0"/>
        <strike val="0"/>
        <condense val="0"/>
        <extend val="0"/>
        <outline val="0"/>
        <shadow val="0"/>
        <u val="none"/>
        <vertAlign val="baseline"/>
        <sz val="11"/>
        <color theme="1"/>
        <name val="Calibri"/>
        <family val="2"/>
        <scheme val="minor"/>
      </font>
      <numFmt numFmtId="165" formatCode="0.0%"/>
    </dxf>
    <dxf>
      <border diagonalUp="0" diagonalDown="0" outline="0">
        <left style="thin">
          <color rgb="FFD0D7E5"/>
        </left>
        <right/>
        <top/>
        <bottom/>
      </border>
    </dxf>
    <dxf>
      <numFmt numFmtId="165" formatCode="0.0%"/>
    </dxf>
    <dxf>
      <border diagonalUp="0" diagonalDown="0" outline="0">
        <left style="thin">
          <color rgb="FFD0D7E5"/>
        </left>
        <right/>
        <top/>
        <bottom/>
      </border>
    </dxf>
    <dxf>
      <numFmt numFmtId="165" formatCode="0.0%"/>
    </dxf>
    <dxf>
      <font>
        <b val="0"/>
        <i val="0"/>
        <strike val="0"/>
        <condense val="0"/>
        <extend val="0"/>
        <outline val="0"/>
        <shadow val="0"/>
        <u val="none"/>
        <vertAlign val="baseline"/>
        <sz val="11"/>
        <color rgb="FF000000"/>
        <name val="Calibri"/>
        <family val="2"/>
        <scheme val="none"/>
      </font>
      <numFmt numFmtId="165" formatCode="0.0%"/>
      <alignment horizontal="general" vertical="center" textRotation="0" wrapText="0" indent="0" justifyLastLine="0" shrinkToFit="0" readingOrder="0"/>
      <border diagonalUp="0" diagonalDown="0" outline="0">
        <left style="thin">
          <color rgb="FFD0D7E5"/>
        </left>
        <right style="thin">
          <color rgb="FFD0D7E5"/>
        </right>
        <top/>
        <bottom/>
      </border>
    </dxf>
    <dxf>
      <numFmt numFmtId="165" formatCode="0.0%"/>
    </dxf>
    <dxf>
      <numFmt numFmtId="165" formatCode="0.0%"/>
    </dxf>
    <dxf>
      <font>
        <b val="0"/>
        <i val="0"/>
        <strike val="0"/>
        <condense val="0"/>
        <extend val="0"/>
        <outline val="0"/>
        <shadow val="0"/>
        <u val="none"/>
        <vertAlign val="baseline"/>
        <sz val="11"/>
        <color theme="1"/>
        <name val="Calibri"/>
        <family val="2"/>
        <scheme val="minor"/>
      </font>
      <numFmt numFmtId="165" formatCode="0.0%"/>
    </dxf>
    <dxf>
      <numFmt numFmtId="165" formatCode="0.0%"/>
    </dxf>
    <dxf>
      <font>
        <b val="0"/>
        <i val="0"/>
        <strike val="0"/>
        <condense val="0"/>
        <extend val="0"/>
        <outline val="0"/>
        <shadow val="0"/>
        <u val="none"/>
        <vertAlign val="baseline"/>
        <sz val="11"/>
        <color theme="1"/>
        <name val="Calibri"/>
        <family val="2"/>
        <scheme val="minor"/>
      </font>
      <numFmt numFmtId="165" formatCode="0.0%"/>
    </dxf>
    <dxf>
      <numFmt numFmtId="165" formatCode="0.0%"/>
    </dxf>
    <dxf>
      <font>
        <b val="0"/>
        <i val="0"/>
        <strike val="0"/>
        <condense val="0"/>
        <extend val="0"/>
        <outline val="0"/>
        <shadow val="0"/>
        <u val="none"/>
        <vertAlign val="baseline"/>
        <sz val="11"/>
        <color theme="1"/>
        <name val="Calibri"/>
        <family val="2"/>
        <scheme val="minor"/>
      </font>
      <numFmt numFmtId="165" formatCode="0.0%"/>
    </dxf>
    <dxf>
      <numFmt numFmtId="165" formatCode="0.0%"/>
    </dxf>
    <dxf>
      <font>
        <b val="0"/>
        <i val="0"/>
        <strike val="0"/>
        <condense val="0"/>
        <extend val="0"/>
        <outline val="0"/>
        <shadow val="0"/>
        <u val="none"/>
        <vertAlign val="baseline"/>
        <sz val="11"/>
        <color theme="1"/>
        <name val="Calibri"/>
        <family val="2"/>
        <scheme val="minor"/>
      </font>
      <numFmt numFmtId="1" formatCode="0"/>
    </dxf>
    <dxf>
      <numFmt numFmtId="165" formatCode="0.0%"/>
    </dxf>
    <dxf>
      <font>
        <b val="0"/>
        <i val="0"/>
        <strike val="0"/>
        <condense val="0"/>
        <extend val="0"/>
        <outline val="0"/>
        <shadow val="0"/>
        <u val="none"/>
        <vertAlign val="baseline"/>
        <sz val="11"/>
        <color theme="1"/>
        <name val="Calibri"/>
        <family val="2"/>
        <scheme val="minor"/>
      </font>
      <numFmt numFmtId="1" formatCode="0"/>
    </dxf>
    <dxf>
      <numFmt numFmtId="165" formatCode="0.0%"/>
    </dxf>
    <dxf>
      <font>
        <b val="0"/>
        <i val="0"/>
        <strike val="0"/>
        <condense val="0"/>
        <extend val="0"/>
        <outline val="0"/>
        <shadow val="0"/>
        <u val="none"/>
        <vertAlign val="baseline"/>
        <sz val="11"/>
        <color theme="1"/>
        <name val="Calibri"/>
        <family val="2"/>
        <scheme val="minor"/>
      </font>
      <numFmt numFmtId="1" formatCode="0"/>
    </dxf>
    <dxf>
      <numFmt numFmtId="165" formatCode="0.0%"/>
    </dxf>
    <dxf>
      <numFmt numFmtId="165" formatCode="0.0%"/>
    </dxf>
    <dxf>
      <numFmt numFmtId="165" formatCode="0.0%"/>
    </dxf>
    <dxf>
      <numFmt numFmtId="165" formatCode="0.0%"/>
    </dxf>
    <dxf>
      <numFmt numFmtId="165" formatCode="0.0%"/>
    </dxf>
    <dxf>
      <numFmt numFmtId="165" formatCode="0.0%"/>
    </dxf>
    <dxf>
      <numFmt numFmtId="172" formatCode="#,##0.0"/>
      <border diagonalUp="0" diagonalDown="0" outline="0">
        <left/>
        <right style="thin">
          <color rgb="FFD0D7E5"/>
        </right>
        <top/>
        <bottom/>
      </border>
    </dxf>
    <dxf>
      <numFmt numFmtId="172" formatCode="#,##0.0"/>
    </dxf>
    <dxf>
      <numFmt numFmtId="2" formatCode="0.00"/>
    </dxf>
    <dxf>
      <numFmt numFmtId="2" formatCode="0.00"/>
    </dxf>
    <dxf>
      <numFmt numFmtId="2" formatCode="0.00"/>
    </dxf>
    <dxf>
      <numFmt numFmtId="2" formatCode="0.00"/>
    </dxf>
    <dxf>
      <border diagonalUp="0" diagonalDown="0" outline="0">
        <left style="thin">
          <color rgb="FFD0D7E5"/>
        </left>
        <right/>
        <top/>
        <bottom/>
      </border>
    </dxf>
    <dxf>
      <numFmt numFmtId="0" formatCode="General"/>
    </dxf>
    <dxf>
      <border diagonalUp="0" diagonalDown="0" outline="0">
        <left style="thin">
          <color rgb="FFD0D7E5"/>
        </left>
        <right/>
        <top/>
        <bottom/>
      </border>
    </dxf>
    <dxf>
      <numFmt numFmtId="0" formatCode="General"/>
    </dxf>
    <dxf>
      <border diagonalUp="0" diagonalDown="0" outline="0">
        <left style="thin">
          <color rgb="FFD0D7E5"/>
        </left>
        <right/>
        <top/>
        <bottom/>
      </border>
    </dxf>
    <dxf>
      <numFmt numFmtId="0" formatCode="General"/>
    </dxf>
    <dxf>
      <numFmt numFmtId="2" formatCode="0.00"/>
    </dxf>
    <dxf>
      <font>
        <sz val="9"/>
      </font>
      <numFmt numFmtId="2" formatCode="0.00"/>
      <protection locked="0" hidden="0"/>
    </dxf>
    <dxf>
      <numFmt numFmtId="2" formatCode="0.00"/>
    </dxf>
    <dxf>
      <font>
        <sz val="9"/>
      </font>
      <numFmt numFmtId="2" formatCode="0.00"/>
      <protection locked="0" hidden="0"/>
    </dxf>
    <dxf>
      <numFmt numFmtId="2" formatCode="0.00"/>
    </dxf>
    <dxf>
      <font>
        <strike val="0"/>
        <outline val="0"/>
        <shadow val="0"/>
        <u val="none"/>
        <vertAlign val="baseline"/>
        <sz val="9"/>
        <color theme="1"/>
        <name val="Calibri"/>
        <family val="2"/>
        <scheme val="minor"/>
      </font>
      <numFmt numFmtId="2" formatCode="0.00"/>
      <protection locked="0" hidden="0"/>
    </dxf>
    <dxf>
      <numFmt numFmtId="2" formatCode="0.00"/>
    </dxf>
    <dxf>
      <numFmt numFmtId="2" formatCode="0.00"/>
      <protection locked="0" hidden="0"/>
    </dxf>
    <dxf>
      <font>
        <b val="0"/>
        <i val="0"/>
        <strike val="0"/>
        <condense val="0"/>
        <extend val="0"/>
        <outline val="0"/>
        <shadow val="0"/>
        <u val="none"/>
        <vertAlign val="baseline"/>
        <sz val="11"/>
        <color theme="1"/>
        <name val="Calibri"/>
        <family val="2"/>
        <scheme val="minor"/>
      </font>
      <numFmt numFmtId="0" formatCode="General"/>
    </dxf>
    <dxf>
      <font>
        <b val="0"/>
        <i val="0"/>
        <strike val="0"/>
        <condense val="0"/>
        <extend val="0"/>
        <outline val="0"/>
        <shadow val="0"/>
        <u val="none"/>
        <vertAlign val="baseline"/>
        <sz val="11"/>
        <color theme="1"/>
        <name val="Calibri"/>
        <family val="2"/>
        <scheme val="minor"/>
      </font>
      <numFmt numFmtId="2" formatCode="0.00"/>
      <protection locked="0" hidden="0"/>
    </dxf>
    <dxf>
      <protection locked="0" hidden="0"/>
    </dxf>
    <dxf>
      <protection locked="0" hidden="0"/>
    </dxf>
    <dxf>
      <protection locked="0" hidden="0"/>
    </dxf>
    <dxf>
      <numFmt numFmtId="0" formatCode="General"/>
    </dxf>
    <dxf>
      <alignment vertical="center" textRotation="0" wrapText="1" indent="0" justifyLastLine="0" shrinkToFit="0" readingOrder="0"/>
    </dxf>
    <dxf>
      <font>
        <b val="0"/>
        <i val="0"/>
        <color theme="0"/>
      </font>
    </dxf>
    <dxf>
      <font>
        <b val="0"/>
        <i val="0"/>
        <color theme="0"/>
      </font>
    </dxf>
    <dxf>
      <font>
        <b val="0"/>
        <i val="0"/>
        <color theme="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s>
  <tableStyles count="0" defaultTableStyle="TableStyleMedium2" defaultPivotStyle="PivotStyleLight16"/>
  <colors>
    <mruColors>
      <color rgb="FFFF944B"/>
      <color rgb="FFFFF2CC"/>
      <color rgb="FF4BACC6"/>
      <color rgb="FFE2EFDA"/>
      <color rgb="FFFCE4D6"/>
      <color rgb="FFCCFFCC"/>
      <color rgb="FF00CC54"/>
      <color rgb="FFE0A000"/>
      <color rgb="FF99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5" Type="http://schemas.openxmlformats.org/officeDocument/2006/relationships/image" Target="../media/image8.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9.png"/></Relationships>
</file>

<file path=xl/drawings/_rels/drawing4.xml.rels><?xml version="1.0" encoding="UTF-8" standalone="yes"?>
<Relationships xmlns="http://schemas.openxmlformats.org/package/2006/relationships"><Relationship Id="rId1" Type="http://schemas.openxmlformats.org/officeDocument/2006/relationships/image" Target="../media/image10.jpg"/></Relationships>
</file>

<file path=xl/drawings/drawing1.xml><?xml version="1.0" encoding="utf-8"?>
<xdr:wsDr xmlns:xdr="http://schemas.openxmlformats.org/drawingml/2006/spreadsheetDrawing" xmlns:a="http://schemas.openxmlformats.org/drawingml/2006/main">
  <xdr:twoCellAnchor>
    <xdr:from>
      <xdr:col>17</xdr:col>
      <xdr:colOff>47625</xdr:colOff>
      <xdr:row>133</xdr:row>
      <xdr:rowOff>11906</xdr:rowOff>
    </xdr:from>
    <xdr:to>
      <xdr:col>25</xdr:col>
      <xdr:colOff>285750</xdr:colOff>
      <xdr:row>142</xdr:row>
      <xdr:rowOff>342304</xdr:rowOff>
    </xdr:to>
    <xdr:pic>
      <xdr:nvPicPr>
        <xdr:cNvPr id="8" name="Picture 7">
          <a:extLst>
            <a:ext uri="{FF2B5EF4-FFF2-40B4-BE49-F238E27FC236}">
              <a16:creationId xmlns:a16="http://schemas.microsoft.com/office/drawing/2014/main" id="{B50CCA2C-E3BE-4F2D-B6A7-A01FBBC81C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29900" y="30977681"/>
          <a:ext cx="5114925" cy="2864048"/>
        </a:xfrm>
        <a:prstGeom prst="rect">
          <a:avLst/>
        </a:prstGeom>
      </xdr:spPr>
    </xdr:pic>
    <xdr:clientData/>
  </xdr:twoCellAnchor>
  <xdr:twoCellAnchor>
    <xdr:from>
      <xdr:col>17</xdr:col>
      <xdr:colOff>42845</xdr:colOff>
      <xdr:row>156</xdr:row>
      <xdr:rowOff>30940</xdr:rowOff>
    </xdr:from>
    <xdr:to>
      <xdr:col>26</xdr:col>
      <xdr:colOff>285750</xdr:colOff>
      <xdr:row>166</xdr:row>
      <xdr:rowOff>324587</xdr:rowOff>
    </xdr:to>
    <xdr:pic>
      <xdr:nvPicPr>
        <xdr:cNvPr id="9" name="Picture 8">
          <a:extLst>
            <a:ext uri="{FF2B5EF4-FFF2-40B4-BE49-F238E27FC236}">
              <a16:creationId xmlns:a16="http://schemas.microsoft.com/office/drawing/2014/main" id="{F08C50D1-404C-4521-9F69-1F40F4F2A83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625120" y="34101865"/>
          <a:ext cx="5729305" cy="3208297"/>
        </a:xfrm>
        <a:prstGeom prst="rect">
          <a:avLst/>
        </a:prstGeom>
      </xdr:spPr>
    </xdr:pic>
    <xdr:clientData/>
  </xdr:twoCellAnchor>
  <xdr:twoCellAnchor>
    <xdr:from>
      <xdr:col>17</xdr:col>
      <xdr:colOff>49969</xdr:colOff>
      <xdr:row>144</xdr:row>
      <xdr:rowOff>38061</xdr:rowOff>
    </xdr:from>
    <xdr:to>
      <xdr:col>26</xdr:col>
      <xdr:colOff>253500</xdr:colOff>
      <xdr:row>154</xdr:row>
      <xdr:rowOff>309561</xdr:rowOff>
    </xdr:to>
    <xdr:pic>
      <xdr:nvPicPr>
        <xdr:cNvPr id="10" name="Picture 9">
          <a:extLst>
            <a:ext uri="{FF2B5EF4-FFF2-40B4-BE49-F238E27FC236}">
              <a16:creationId xmlns:a16="http://schemas.microsoft.com/office/drawing/2014/main" id="{7D6EBC8D-16EE-4299-B212-7C822F10728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632244" y="34070925"/>
          <a:ext cx="5689931" cy="0"/>
        </a:xfrm>
        <a:prstGeom prst="rect">
          <a:avLst/>
        </a:prstGeom>
      </xdr:spPr>
    </xdr:pic>
    <xdr:clientData/>
  </xdr:twoCellAnchor>
  <xdr:twoCellAnchor>
    <xdr:from>
      <xdr:col>0</xdr:col>
      <xdr:colOff>523875</xdr:colOff>
      <xdr:row>144</xdr:row>
      <xdr:rowOff>23812</xdr:rowOff>
    </xdr:from>
    <xdr:to>
      <xdr:col>26</xdr:col>
      <xdr:colOff>345281</xdr:colOff>
      <xdr:row>155</xdr:row>
      <xdr:rowOff>1</xdr:rowOff>
    </xdr:to>
    <xdr:sp macro="" textlink="">
      <xdr:nvSpPr>
        <xdr:cNvPr id="11" name="Rectangle 10">
          <a:extLst>
            <a:ext uri="{FF2B5EF4-FFF2-40B4-BE49-F238E27FC236}">
              <a16:creationId xmlns:a16="http://schemas.microsoft.com/office/drawing/2014/main" id="{B9E24F39-9E07-4DB8-B297-1E45200E0F76}"/>
            </a:ext>
          </a:extLst>
        </xdr:cNvPr>
        <xdr:cNvSpPr/>
      </xdr:nvSpPr>
      <xdr:spPr>
        <a:xfrm>
          <a:off x="523875" y="34070925"/>
          <a:ext cx="15890081" cy="0"/>
        </a:xfrm>
        <a:prstGeom prst="rect">
          <a:avLst/>
        </a:prstGeom>
        <a:solidFill>
          <a:schemeClr val="dk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9600"/>
            <a:t>X</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5635625</xdr:colOff>
      <xdr:row>17</xdr:row>
      <xdr:rowOff>142875</xdr:rowOff>
    </xdr:from>
    <xdr:to>
      <xdr:col>12</xdr:col>
      <xdr:colOff>555441</xdr:colOff>
      <xdr:row>28</xdr:row>
      <xdr:rowOff>158750</xdr:rowOff>
    </xdr:to>
    <xdr:pic>
      <xdr:nvPicPr>
        <xdr:cNvPr id="2" name="Picture 1">
          <a:extLst>
            <a:ext uri="{FF2B5EF4-FFF2-40B4-BE49-F238E27FC236}">
              <a16:creationId xmlns:a16="http://schemas.microsoft.com/office/drawing/2014/main" id="{CA4EA04F-4FB7-4A43-9B5C-7F06EF757426}"/>
            </a:ext>
          </a:extLst>
        </xdr:cNvPr>
        <xdr:cNvPicPr>
          <a:picLocks noChangeAspect="1"/>
        </xdr:cNvPicPr>
      </xdr:nvPicPr>
      <xdr:blipFill>
        <a:blip xmlns:r="http://schemas.openxmlformats.org/officeDocument/2006/relationships" r:embed="rId1"/>
        <a:stretch>
          <a:fillRect/>
        </a:stretch>
      </xdr:blipFill>
      <xdr:spPr>
        <a:xfrm>
          <a:off x="18361025" y="4972050"/>
          <a:ext cx="4559116" cy="2111375"/>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7</xdr:col>
      <xdr:colOff>4318001</xdr:colOff>
      <xdr:row>32</xdr:row>
      <xdr:rowOff>47624</xdr:rowOff>
    </xdr:from>
    <xdr:to>
      <xdr:col>20</xdr:col>
      <xdr:colOff>564185</xdr:colOff>
      <xdr:row>75</xdr:row>
      <xdr:rowOff>128949</xdr:rowOff>
    </xdr:to>
    <xdr:pic>
      <xdr:nvPicPr>
        <xdr:cNvPr id="3" name="Picture 2">
          <a:extLst>
            <a:ext uri="{FF2B5EF4-FFF2-40B4-BE49-F238E27FC236}">
              <a16:creationId xmlns:a16="http://schemas.microsoft.com/office/drawing/2014/main" id="{7C7FF5F6-80B6-4C3A-82D3-C519B95934D1}"/>
            </a:ext>
          </a:extLst>
        </xdr:cNvPr>
        <xdr:cNvPicPr>
          <a:picLocks noChangeAspect="1"/>
        </xdr:cNvPicPr>
      </xdr:nvPicPr>
      <xdr:blipFill>
        <a:blip xmlns:r="http://schemas.openxmlformats.org/officeDocument/2006/relationships" r:embed="rId2"/>
        <a:stretch>
          <a:fillRect/>
        </a:stretch>
      </xdr:blipFill>
      <xdr:spPr>
        <a:xfrm>
          <a:off x="17043401" y="7734299"/>
          <a:ext cx="11448084" cy="8272825"/>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26</xdr:col>
      <xdr:colOff>206375</xdr:colOff>
      <xdr:row>33</xdr:row>
      <xdr:rowOff>63500</xdr:rowOff>
    </xdr:from>
    <xdr:to>
      <xdr:col>36</xdr:col>
      <xdr:colOff>526256</xdr:colOff>
      <xdr:row>39</xdr:row>
      <xdr:rowOff>120500</xdr:rowOff>
    </xdr:to>
    <xdr:pic>
      <xdr:nvPicPr>
        <xdr:cNvPr id="5" name="Picture 4">
          <a:extLst>
            <a:ext uri="{FF2B5EF4-FFF2-40B4-BE49-F238E27FC236}">
              <a16:creationId xmlns:a16="http://schemas.microsoft.com/office/drawing/2014/main" id="{83BD62B9-5609-4AB0-BD96-6BE488A93FEE}"/>
            </a:ext>
          </a:extLst>
        </xdr:cNvPr>
        <xdr:cNvPicPr>
          <a:picLocks noChangeAspect="1"/>
        </xdr:cNvPicPr>
      </xdr:nvPicPr>
      <xdr:blipFill>
        <a:blip xmlns:r="http://schemas.openxmlformats.org/officeDocument/2006/relationships" r:embed="rId3"/>
        <a:stretch>
          <a:fillRect/>
        </a:stretch>
      </xdr:blipFill>
      <xdr:spPr>
        <a:xfrm>
          <a:off x="32162750" y="8366125"/>
          <a:ext cx="6352381" cy="1200000"/>
        </a:xfrm>
        <a:prstGeom prst="rect">
          <a:avLst/>
        </a:prstGeom>
      </xdr:spPr>
    </xdr:pic>
    <xdr:clientData/>
  </xdr:twoCellAnchor>
  <xdr:twoCellAnchor editAs="oneCell">
    <xdr:from>
      <xdr:col>8</xdr:col>
      <xdr:colOff>133350</xdr:colOff>
      <xdr:row>78</xdr:row>
      <xdr:rowOff>76200</xdr:rowOff>
    </xdr:from>
    <xdr:to>
      <xdr:col>17</xdr:col>
      <xdr:colOff>448580</xdr:colOff>
      <xdr:row>102</xdr:row>
      <xdr:rowOff>627</xdr:rowOff>
    </xdr:to>
    <xdr:pic>
      <xdr:nvPicPr>
        <xdr:cNvPr id="6" name="Picture 5">
          <a:extLst>
            <a:ext uri="{FF2B5EF4-FFF2-40B4-BE49-F238E27FC236}">
              <a16:creationId xmlns:a16="http://schemas.microsoft.com/office/drawing/2014/main" id="{E6FD0E82-C668-4914-882E-D7D3051F2DDA}"/>
            </a:ext>
          </a:extLst>
        </xdr:cNvPr>
        <xdr:cNvPicPr>
          <a:picLocks noChangeAspect="1"/>
        </xdr:cNvPicPr>
      </xdr:nvPicPr>
      <xdr:blipFill>
        <a:blip xmlns:r="http://schemas.openxmlformats.org/officeDocument/2006/relationships" r:embed="rId4"/>
        <a:stretch>
          <a:fillRect/>
        </a:stretch>
      </xdr:blipFill>
      <xdr:spPr>
        <a:xfrm>
          <a:off x="20059650" y="17783175"/>
          <a:ext cx="6487430" cy="4496427"/>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8</xdr:col>
      <xdr:colOff>123825</xdr:colOff>
      <xdr:row>102</xdr:row>
      <xdr:rowOff>180975</xdr:rowOff>
    </xdr:from>
    <xdr:to>
      <xdr:col>21</xdr:col>
      <xdr:colOff>277448</xdr:colOff>
      <xdr:row>127</xdr:row>
      <xdr:rowOff>57797</xdr:rowOff>
    </xdr:to>
    <xdr:pic>
      <xdr:nvPicPr>
        <xdr:cNvPr id="4" name="Picture 3">
          <a:extLst>
            <a:ext uri="{FF2B5EF4-FFF2-40B4-BE49-F238E27FC236}">
              <a16:creationId xmlns:a16="http://schemas.microsoft.com/office/drawing/2014/main" id="{E4218FF2-E567-460E-AA70-9A83BE15F95B}"/>
            </a:ext>
          </a:extLst>
        </xdr:cNvPr>
        <xdr:cNvPicPr>
          <a:picLocks noChangeAspect="1"/>
        </xdr:cNvPicPr>
      </xdr:nvPicPr>
      <xdr:blipFill>
        <a:blip xmlns:r="http://schemas.openxmlformats.org/officeDocument/2006/relationships" r:embed="rId5"/>
        <a:stretch>
          <a:fillRect/>
        </a:stretch>
      </xdr:blipFill>
      <xdr:spPr>
        <a:xfrm>
          <a:off x="20050125" y="22459950"/>
          <a:ext cx="8764223" cy="4639322"/>
        </a:xfrm>
        <a:prstGeom prst="rect">
          <a:avLst/>
        </a:prstGeom>
        <a:ln>
          <a:noFill/>
        </a:ln>
        <a:effectLst>
          <a:outerShdw blurRad="292100" dist="139700" dir="2700000" algn="tl" rotWithShape="0">
            <a:srgbClr val="333333">
              <a:alpha val="65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38099</xdr:colOff>
      <xdr:row>4</xdr:row>
      <xdr:rowOff>6048</xdr:rowOff>
    </xdr:from>
    <xdr:to>
      <xdr:col>16</xdr:col>
      <xdr:colOff>123824</xdr:colOff>
      <xdr:row>15</xdr:row>
      <xdr:rowOff>57149</xdr:rowOff>
    </xdr:to>
    <xdr:pic>
      <xdr:nvPicPr>
        <xdr:cNvPr id="2" name="Picture 1">
          <a:extLst>
            <a:ext uri="{FF2B5EF4-FFF2-40B4-BE49-F238E27FC236}">
              <a16:creationId xmlns:a16="http://schemas.microsoft.com/office/drawing/2014/main" id="{6453EB1A-A177-4171-8612-502150BA7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62849" y="768048"/>
          <a:ext cx="3133725" cy="25276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854075</xdr:colOff>
      <xdr:row>0</xdr:row>
      <xdr:rowOff>0</xdr:rowOff>
    </xdr:from>
    <xdr:to>
      <xdr:col>12</xdr:col>
      <xdr:colOff>193676</xdr:colOff>
      <xdr:row>5</xdr:row>
      <xdr:rowOff>38605</xdr:rowOff>
    </xdr:to>
    <xdr:pic>
      <xdr:nvPicPr>
        <xdr:cNvPr id="3" name="Picture 2">
          <a:extLst>
            <a:ext uri="{FF2B5EF4-FFF2-40B4-BE49-F238E27FC236}">
              <a16:creationId xmlns:a16="http://schemas.microsoft.com/office/drawing/2014/main" id="{354283B7-EFE7-634C-A3CD-923799A107A0}"/>
            </a:ext>
          </a:extLst>
        </xdr:cNvPr>
        <xdr:cNvPicPr>
          <a:picLocks noChangeAspect="1"/>
        </xdr:cNvPicPr>
      </xdr:nvPicPr>
      <xdr:blipFill>
        <a:blip xmlns:r="http://schemas.openxmlformats.org/officeDocument/2006/relationships" r:embed="rId1"/>
        <a:stretch>
          <a:fillRect/>
        </a:stretch>
      </xdr:blipFill>
      <xdr:spPr>
        <a:xfrm>
          <a:off x="8677275" y="0"/>
          <a:ext cx="4479926" cy="11909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threesf-my.sharepoint.com/Sffs01/rv%20team/Link%20Busta%20(DO%20NOT%20DELETE%20THIS%20FIL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threesf-my.sharepoint.com/M:/USERS/EMosley/General%20Marketing/Bloomberg%20One%20Pag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Link Busta (DO NOT DELETE THIS "/>
      <sheetName val="Traffic_Rev"/>
      <sheetName val="RTL-IP-Dep-FA"/>
      <sheetName val="IA - Summary"/>
      <sheetName val="Assumptions"/>
      <sheetName val="#REF"/>
      <sheetName val="IPRD"/>
      <sheetName val="Inventec"/>
      <sheetName val="Broadcom"/>
      <sheetName val="VARS"/>
      <sheetName val="7 Qtr (1Q00-3Q01)"/>
      <sheetName val="Cap-FA"/>
      <sheetName val="Assumptions and Inputs"/>
      <sheetName val="Summary"/>
      <sheetName val="Risk Data"/>
      <sheetName val="Bal Sht 9-30-01"/>
      <sheetName val="Do not use"/>
      <sheetName val="LOH0197"/>
      <sheetName val="CAPITAL"/>
      <sheetName val="CAPMIP"/>
      <sheetName val="Input1"/>
      <sheetName val="Input2"/>
      <sheetName val="EPG"/>
      <sheetName val="Music"/>
      <sheetName val="Shopping"/>
      <sheetName val="Weather"/>
      <sheetName val="Banking"/>
      <sheetName val="Cost to Customer"/>
      <sheetName val="2001"/>
      <sheetName val="Q3"/>
      <sheetName val="Q4"/>
      <sheetName val="Projections 2"/>
      <sheetName val="Inputs"/>
      <sheetName val="key_inputs"/>
      <sheetName val="Proj. Financials"/>
      <sheetName val="KeyMultInputs"/>
      <sheetName val="Attrition"/>
      <sheetName val="Iowa Curves"/>
      <sheetName val="Historical"/>
      <sheetName val="Mult-3yr"/>
      <sheetName val="WP_Hist ABC"/>
      <sheetName val="Exb II.1_Summary Taira"/>
      <sheetName val="Detail Schedules"/>
      <sheetName val="Forecast"/>
      <sheetName val="Jobs"/>
      <sheetName val="dom-salaries"/>
      <sheetName val="Trends &amp; Rates"/>
      <sheetName val="Deferred Maint - old"/>
      <sheetName val="Deferred Add"/>
      <sheetName val="Existing"/>
      <sheetName val="INPUT"/>
      <sheetName val="DCF"/>
      <sheetName val="Historical IS"/>
      <sheetName val="LC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Pager"/>
      <sheetName val="1st Bond"/>
      <sheetName val="2nd Bond"/>
      <sheetName val="3rd Bond"/>
      <sheetName val="Quote"/>
    </sheetNames>
    <sheetDataSet>
      <sheetData sheetId="0" refreshError="1">
        <row r="2">
          <cell r="A2" t="str">
            <v>One New Orchard Road, Armonk, NY 10504, United States</v>
          </cell>
          <cell r="G2" t="str">
            <v>N.A.</v>
          </cell>
          <cell r="I2" t="str">
            <v>914-499-1900</v>
          </cell>
        </row>
        <row r="3">
          <cell r="Q3" t="str">
            <v>One New Orchard Road</v>
          </cell>
        </row>
        <row r="5">
          <cell r="A5" t="str">
            <v>Description</v>
          </cell>
        </row>
        <row r="6">
          <cell r="A6" t="str">
            <v>International Business Machines Corporation (IBM) provides customer solutions</v>
          </cell>
        </row>
      </sheetData>
      <sheetData sheetId="1" refreshError="1"/>
      <sheetData sheetId="2" refreshError="1"/>
      <sheetData sheetId="3" refreshError="1"/>
      <sheetData sheetId="4" refreshError="1"/>
    </sheetDataSet>
  </externalBook>
</externalLink>
</file>

<file path=xl/persons/person.xml><?xml version="1.0" encoding="utf-8"?>
<personList xmlns="http://schemas.microsoft.com/office/spreadsheetml/2018/threadedcomments" xmlns:x="http://schemas.openxmlformats.org/spreadsheetml/2006/main">
  <person displayName="Nicholas Fette" id="{D19AB3ED-C799-431D-9B29-6E7E55EDB4D8}" userId="Nicholas Fette"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4DF15-829D-474B-A545-B0717C66DCA7}" name="Table2" displayName="Table2" ref="A9:BD110" totalsRowCount="1" headerRowDxfId="122">
  <autoFilter ref="A9:BD109" xr:uid="{9B7F033E-38CD-458E-AD9C-D1D8B5B5EEAB}"/>
  <tableColumns count="56">
    <tableColumn id="1" xr3:uid="{2FE45123-F5BE-4C07-9277-77D67B9DDDC7}" name="Device installation year" totalsRowLabel="Total" dataDxfId="121">
      <calculatedColumnFormula>$B$2</calculatedColumnFormula>
    </tableColumn>
    <tableColumn id="2" xr3:uid="{9102451F-B0A7-4698-B795-FF64258ADFDD}" name="MeasureID" dataDxfId="120"/>
    <tableColumn id="32" xr3:uid="{F044C0B3-2AB2-4E58-BB11-86AA5EA33AF1}" name="NormUnit" dataDxfId="119"/>
    <tableColumn id="3" xr3:uid="{800F72DA-1D7F-4B56-9F5F-E6D23B467988}" name="MeasAppType" dataDxfId="118"/>
    <tableColumn id="56" xr3:uid="{473BCAFB-A9EE-48B8-821D-9F8D2C1E1885}" name="RUL (not required for this version of the tool)" dataDxfId="117" totalsRowDxfId="116" dataCellStyle="Explanatory Text">
      <calculatedColumnFormula>IF(Table2[[#This Row],[MeasAppType]]="NR","N/A","N/A")</calculatedColumnFormula>
    </tableColumn>
    <tableColumn id="7" xr3:uid="{F269BD39-0BB9-434E-B87F-31B126A5113A}" name="EUL" dataDxfId="115" totalsRowDxfId="114"/>
    <tableColumn id="57" xr3:uid="{C8689299-49B8-43BD-BCAA-9AC9441357B0}" name="Pre tech lookup (not required for &quot;NR&quot; measure application types)" dataDxfId="113" totalsRowDxfId="112"/>
    <tableColumn id="58" xr3:uid="{68629EEB-255D-424E-AEE3-842FCBCFFA08}" name="Std tech lookup (not required for &quot;AR&quot; measure application types)" dataDxfId="111" totalsRowDxfId="110"/>
    <tableColumn id="59" xr3:uid="{1CC6CB6B-DDC1-47BD-85A4-A1074654861B}" name="Msr tech lookup" dataDxfId="109" totalsRowDxfId="108"/>
    <tableColumn id="9" xr3:uid="{A7F30287-7955-4E9B-8B2E-4CB00B8E2CDC}" name="Pre Refrigerant Type" dataDxfId="107" totalsRowDxfId="106">
      <calculatedColumnFormula>INDEX(Table3[CommonRefrigerantType],MATCH(Table2[[#This Row],[Pre tech lookup (not required for "NR" measure application types)]],DropdownRefrigTech,0))</calculatedColumnFormula>
    </tableColumn>
    <tableColumn id="64" xr3:uid="{2A4E218D-3345-4628-A248-E0BF3E8E4FB4}" name="Std Refrigerant Type" dataDxfId="105" totalsRowDxfId="104">
      <calculatedColumnFormula>INDEX(Table3[CommonRefrigerantType],MATCH(Table2[[#This Row],[Std tech lookup (not required for "AR" measure application types)]],DropdownRefrigTech,0))</calculatedColumnFormula>
    </tableColumn>
    <tableColumn id="65" xr3:uid="{BD40B368-B362-4766-BB0E-D1772191B9BF}" name="Msr Refrigerant Type" dataDxfId="103" totalsRowDxfId="102">
      <calculatedColumnFormula>INDEX(Table3[CommonRefrigerantType],MATCH(Table2[[#This Row],[Msr tech lookup]],DropdownRefrigTech,0))</calculatedColumnFormula>
    </tableColumn>
    <tableColumn id="12" xr3:uid="{A0270D1E-06AB-40E4-887E-473019E190B8}" name="Pre Refrigerant charge (lbs) per NormUnit" dataDxfId="101" totalsRowDxfId="100">
      <calculatedColumnFormula>INDEX(Table3[RefrigChargePoundsPerNormUnit],MATCH(Table2[[#This Row],[Pre tech lookup (not required for "NR" measure application types)]],DropdownRefrigTech,0))</calculatedColumnFormula>
    </tableColumn>
    <tableColumn id="6" xr3:uid="{1AFA84D2-7D68-45C0-B598-4CB70B4CBE50}" name="Std Refrigerant charge (lbs)per NormUnit" dataDxfId="99" totalsRowDxfId="98">
      <calculatedColumnFormula>INDEX(Table3[RefrigChargePoundsPerNormUnit],MATCH(Table2[[#This Row],[Std tech lookup (not required for "AR" measure application types)]],DropdownRefrigTech,0))</calculatedColumnFormula>
    </tableColumn>
    <tableColumn id="8" xr3:uid="{3D496F12-D65A-4470-8616-57EAB9126A4C}" name="Msr Refrigerant charge (lbs)per NormUnit" dataDxfId="97" totalsRowDxfId="96">
      <calculatedColumnFormula>INDEX(Table3[RefrigChargePoundsPerNormUnit],MATCH(Table2[[#This Row],[Msr tech lookup]],DropdownRefrigTech,0))</calculatedColumnFormula>
    </tableColumn>
    <tableColumn id="11" xr3:uid="{6F16FC2C-C7D0-41A9-A017-E343F5EC09A1}" name="Pre annual refrigerant leakage %" dataDxfId="95" totalsRowDxfId="94" dataCellStyle="Percent">
      <calculatedColumnFormula>INDEX(Table3[AnnualLeakageRate],MATCH(Table2[[#This Row],[Pre tech lookup (not required for "NR" measure application types)]],DropdownRefrigTech,0))</calculatedColumnFormula>
    </tableColumn>
    <tableColumn id="60" xr3:uid="{1DF76F72-7B79-45CE-8447-EE05D0583C6D}" name="Std annual refrigerant leakage %" dataDxfId="93" totalsRowDxfId="92" dataCellStyle="Percent">
      <calculatedColumnFormula>INDEX(Table3[AnnualLeakageRate],MATCH(Table2[[#This Row],[Std tech lookup (not required for "AR" measure application types)]],DropdownRefrigTech,0))</calculatedColumnFormula>
    </tableColumn>
    <tableColumn id="61" xr3:uid="{2711D594-2103-4439-8CF1-941F766CF667}" name="Msr annual refrigerant leakage %" dataDxfId="91" totalsRowDxfId="90" dataCellStyle="Percent">
      <calculatedColumnFormula>INDEX(Table3[AnnualLeakageRate],MATCH(Table2[[#This Row],[Msr tech lookup]],DropdownRefrigTech,0))</calculatedColumnFormula>
    </tableColumn>
    <tableColumn id="18" xr3:uid="{6A976D99-CF0A-4B3A-B919-278662C3C4FB}" name="Pre t_EOL" dataDxfId="89" totalsRowDxfId="88" dataCellStyle="Percent">
      <calculatedColumnFormula>INDEX(Table3[t_EOL],MATCH(Table2[[#This Row],[Pre tech lookup (not required for "NR" measure application types)]],DropdownRefrigTech,0))</calculatedColumnFormula>
    </tableColumn>
    <tableColumn id="19" xr3:uid="{C3FF8A0C-F8F2-45DD-B62E-223C49B4F547}" name="Std t_EOL" dataDxfId="87" totalsRowDxfId="86" dataCellStyle="Percent">
      <calculatedColumnFormula>INDEX(Table3[t_EOL],MATCH(Table2[[#This Row],[Std tech lookup (not required for "AR" measure application types)]],DropdownRefrigTech,0))</calculatedColumnFormula>
    </tableColumn>
    <tableColumn id="20" xr3:uid="{672B2E4A-C2B1-4E01-B45C-E14CCB70C1B4}" name="Msr t_EOL" dataDxfId="85" totalsRowDxfId="84" dataCellStyle="Percent">
      <calculatedColumnFormula>INDEX(Table3[t_EOL],MATCH(Table2[[#This Row],[Msr tech lookup]],DropdownRefrigTech,0))</calculatedColumnFormula>
    </tableColumn>
    <tableColumn id="21" xr3:uid="{16264EF9-ECF0-448B-9EFF-3EA8CB90F982}" name="Pre charging remaining (%)" dataDxfId="83" totalsRowDxfId="82" dataCellStyle="Percent">
      <calculatedColumnFormula>1-Table2[[#This Row],[Pre annual refrigerant leakage %]]*Table2[[#This Row],[Pre t_EOL]]</calculatedColumnFormula>
    </tableColumn>
    <tableColumn id="22" xr3:uid="{D7815B2C-5AD8-49FF-8938-3E3175E5BD95}" name="Std charging remaining (%)" dataDxfId="81" totalsRowDxfId="80" dataCellStyle="Percent">
      <calculatedColumnFormula>1-Table2[[#This Row],[Std annual refrigerant leakage %]]*Table2[[#This Row],[Std t_EOL]]</calculatedColumnFormula>
    </tableColumn>
    <tableColumn id="23" xr3:uid="{5E2FD8C5-305D-4418-B552-77D451974515}" name="Msr charging remaining (%)" dataDxfId="79" totalsRowDxfId="78" dataCellStyle="Percent">
      <calculatedColumnFormula>1-Table2[[#This Row],[Msr annual refrigerant leakage %]]*Table2[[#This Row],[Msr t_EOL]]</calculatedColumnFormula>
    </tableColumn>
    <tableColumn id="13" xr3:uid="{8136075C-2F25-48F0-9289-7D787EA7F740}" name="Pre gross EOL refrigerant leakage %" dataDxfId="77" totalsRowDxfId="76" dataCellStyle="Percent">
      <calculatedColumnFormula>INDEX(Table3[q_EOL],MATCH(Table2[[#This Row],[Pre tech lookup (not required for "NR" measure application types)]],DropdownRefrigTech,0))</calculatedColumnFormula>
    </tableColumn>
    <tableColumn id="62" xr3:uid="{59EA4E4B-FF56-41D9-B567-998226B7B18D}" name="Std gross EOL refrigerant leakage %" dataDxfId="75" totalsRowDxfId="74" dataCellStyle="Percent">
      <calculatedColumnFormula>INDEX(Table3[q_EOL],MATCH(Table2[[#This Row],[Std tech lookup (not required for "AR" measure application types)]],DropdownRefrigTech,0))</calculatedColumnFormula>
    </tableColumn>
    <tableColumn id="63" xr3:uid="{641DAC18-1B60-4765-A994-0354AE54F844}" name="Msr gross EOL refrigerant leakage %" dataDxfId="73" totalsRowDxfId="72" dataCellStyle="Percent">
      <calculatedColumnFormula>INDEX(Table3[q_EOL],MATCH(Table2[[#This Row],[Msr tech lookup]],DropdownRefrigTech,0))</calculatedColumnFormula>
    </tableColumn>
    <tableColumn id="24" xr3:uid="{B8472D05-E7FB-41EE-8010-949A8C001E7B}" name="Pre net EOL refrigerant leakage (%)" dataDxfId="71" totalsRowDxfId="70" dataCellStyle="Percent">
      <calculatedColumnFormula>Table2[[#This Row],[Pre charging remaining (%)]]*Table2[[#This Row],[Pre gross EOL refrigerant leakage %]]</calculatedColumnFormula>
    </tableColumn>
    <tableColumn id="25" xr3:uid="{D4069C24-AC1D-484E-B0FE-322954BF7DF9}" name="Std net EOL refrigerant leakage (%)" dataDxfId="69" totalsRowDxfId="68" dataCellStyle="Percent">
      <calculatedColumnFormula>Table2[[#This Row],[Std charging remaining (%)]]*Table2[[#This Row],[Std gross EOL refrigerant leakage %]]</calculatedColumnFormula>
    </tableColumn>
    <tableColumn id="26" xr3:uid="{D3D19953-6D65-4C26-809F-9FCAC38FE297}" name="Msr net EOL refrigerant leakage (%)" dataDxfId="67" totalsRowDxfId="66" dataCellStyle="Percent">
      <calculatedColumnFormula>Table2[[#This Row],[Msr charging remaining (%)]]*Table2[[#This Row],[Msr gross EOL refrigerant leakage %]]</calculatedColumnFormula>
    </tableColumn>
    <tableColumn id="66" xr3:uid="{844ED56F-C1A9-4767-935D-E4BB643ED53D}" name="Pre GWP" dataDxfId="65" totalsRowDxfId="64" dataCellStyle="Percent">
      <calculatedColumnFormula array="1">INDEX(_xlfn.SWITCH($B$4,"20-yr",GWP_Values_20_year_AR4,"100-yr",GWP_Values_100_year_AR4),MATCH(Table2[[#This Row],[Pre Refrigerant Type]],RefrigDropdownList,0))</calculatedColumnFormula>
    </tableColumn>
    <tableColumn id="67" xr3:uid="{D2591B4A-F2FD-4EA1-8A4B-E55203792BC7}" name="Std GWP" dataDxfId="63" totalsRowDxfId="62" dataCellStyle="Percent">
      <calculatedColumnFormula array="1">INDEX(_xlfn.SWITCH($B$4,"20-yr",GWP_Values_20_year_AR4,"100-yr",GWP_Values_100_year_AR4),MATCH(Table2[[#This Row],[Std Refrigerant Type]],RefrigDropdownList,0))</calculatedColumnFormula>
    </tableColumn>
    <tableColumn id="68" xr3:uid="{E16CB40F-FE9A-49A2-AA05-9407653258CE}" name="Msr GWP" dataDxfId="61" totalsRowDxfId="60" dataCellStyle="Percent">
      <calculatedColumnFormula array="1">INDEX(_xlfn.SWITCH($B$4,"20-yr",GWP_Values_20_year_AR4,"100-yr",GWP_Values_100_year_AR4),MATCH(Table2[[#This Row],[Msr Refrigerant Type]],RefrigDropdownList,0))</calculatedColumnFormula>
    </tableColumn>
    <tableColumn id="69" xr3:uid="{2CA59E80-ECFC-406C-942D-8FA58111F92D}" name="Pre Annual leakage tons CO2e" dataDxfId="59" totalsRowDxfId="58" dataCellStyle="Percent">
      <calculatedColumnFormula>(Table2[[#This Row],[Pre Refrigerant charge (lbs) per NormUnit]]/pounds_per_metric_ton)*Table2[[#This Row],[Pre annual refrigerant leakage %]]*Table2[[#This Row],[Pre GWP]]</calculatedColumnFormula>
    </tableColumn>
    <tableColumn id="70" xr3:uid="{AB64D5EE-BDEE-4894-AC02-F4BAA76F2AB0}" name="Std Annual leakage tons CO2e" dataDxfId="57" totalsRowDxfId="56" dataCellStyle="Percent">
      <calculatedColumnFormula>(Table2[[#This Row],[Std Refrigerant charge (lbs)per NormUnit]]/pounds_per_metric_ton)*Table2[[#This Row],[Std annual refrigerant leakage %]]*Table2[[#This Row],[Std GWP]]</calculatedColumnFormula>
    </tableColumn>
    <tableColumn id="71" xr3:uid="{EC37355F-AB93-4278-96C4-D01E5D54CBB9}" name="Msr Annual leakage tons CO2e" dataDxfId="55" totalsRowDxfId="54" dataCellStyle="Percent">
      <calculatedColumnFormula>(Table2[[#This Row],[Msr Refrigerant charge (lbs)per NormUnit]]/pounds_per_metric_ton)*Table2[[#This Row],[Msr annual refrigerant leakage %]]*Table2[[#This Row],[Msr GWP]]</calculatedColumnFormula>
    </tableColumn>
    <tableColumn id="4" xr3:uid="{01420B70-219E-4290-ACA6-6FEB84CBD24F}" name="Pre EOL leakage tons CO2e" dataDxfId="53" totalsRowDxfId="52" dataCellStyle="Percent">
      <calculatedColumnFormula>(Table2[[#This Row],[Pre Refrigerant charge (lbs) per NormUnit]]/pounds_per_metric_ton)*Table2[[#This Row],[Pre net EOL refrigerant leakage (%)]]*Table2[[#This Row],[Pre GWP]]</calculatedColumnFormula>
    </tableColumn>
    <tableColumn id="10" xr3:uid="{27D51AF2-ACBE-44F8-A843-4120DA6BBE48}" name="Std EOL leakage tons CO2e" dataDxfId="51" totalsRowDxfId="50" dataCellStyle="Percent">
      <calculatedColumnFormula>(Table2[[#This Row],[Std Refrigerant charge (lbs)per NormUnit]]/pounds_per_metric_ton)*Table2[[#This Row],[Std net EOL refrigerant leakage (%)]]*Table2[[#This Row],[Std GWP]]</calculatedColumnFormula>
    </tableColumn>
    <tableColumn id="14" xr3:uid="{D74A2D15-7564-4BF0-BFB6-432E778C577C}" name="Msr EOL leakage tons CO2e" dataDxfId="49" totalsRowDxfId="48" dataCellStyle="Percent">
      <calculatedColumnFormula>(Table2[[#This Row],[Msr Refrigerant charge (lbs)per NormUnit]]/pounds_per_metric_ton)*Table2[[#This Row],[Msr net EOL refrigerant leakage (%)]]*Table2[[#This Row],[Msr GWP]]</calculatedColumnFormula>
    </tableColumn>
    <tableColumn id="31" xr3:uid="{30571349-C80D-44D6-A8EB-55B7D90ED059}" name="Pre NPV Cost of Annual Leakage" dataDxfId="47" totalsRowDxfId="46" dataCellStyle="Currency">
      <calculatedColumnFormula array="1">IF(Table2[[#This Row],[MeasAppType]]="AR",Table2[[#This Row],[Pre Annual leakage tons CO2e]]*NPV(WACC,OFFSET(const_ones,0,0,1,Table2[[#This Row],[EUL]])*OFFSET(GHG_Adder_dollar_per_tonne,0,(Table2[[#This Row],[Device installation year]])-GHG_Adder_Yr1,1,Table2[[#This Row],[EUL]]))/(1+WACC)^(Table2[[#This Row],[Device installation year]]-DY),0)</calculatedColumnFormula>
    </tableColumn>
    <tableColumn id="72" xr3:uid="{6D3114F1-A048-43B2-97CC-E0FCCB7F7A38}" name="Std NPV Cost of Annual Leakage" dataDxfId="45" totalsRowDxfId="44" dataCellStyle="Currency">
      <calculatedColumnFormula array="1">IF(Table2[[#This Row],[MeasAppType]]="AR",0,Table2[[#This Row],[Std Annual leakage tons CO2e]]*NPV(WACC,OFFSET(const_ones,0,0,1,Table2[[#This Row],[EUL]])*OFFSET(GHG_Adder_dollar_per_tonne,0,(Table2[[#This Row],[Device installation year]])-GHG_Adder_Yr1,1,Table2[[#This Row],[EUL]]))/(1+WACC)^(Table2[[#This Row],[Device installation year]]-DY))</calculatedColumnFormula>
    </tableColumn>
    <tableColumn id="73" xr3:uid="{C3EDAE17-D0FC-4B90-9EA9-D4D6FBB1C6C1}" name="Msr NPV Cost of Annual Leakage" dataDxfId="43" totalsRowDxfId="42" dataCellStyle="Currency">
      <calculatedColumnFormula array="1">Table2[[#This Row],[Msr Annual leakage tons CO2e]]*NPV(WACC,OFFSET(const_ones,0,0,1,Table2[[#This Row],[EUL]])*OFFSET(GHG_Adder_dollar_per_tonne,0,((Table2[[#This Row],[Device installation year]])-GHG_Adder_Yr1),1,Table2[[#This Row],[EUL]]))/(1+WACC)^(Table2[[#This Row],[Device installation year]]-DY)</calculatedColumnFormula>
    </tableColumn>
    <tableColumn id="74" xr3:uid="{A3CBA76F-D3C6-43B3-92DE-64350883BE36}" name="Pre NPV Cost of EOL Leakage" dataDxfId="41" totalsRowDxfId="40" dataCellStyle="Currency">
      <calculatedColumnFormula array="1">IF(Table2[[#This Row],[MeasAppType]]="AR",Table2[[#This Row],[Pre EOL leakage tons CO2e]]*NPV(WACC,OFFSET(const_once,0,1-Table2[[#This Row],[EUL]],1,Table2[[#This Row],[EUL]])*OFFSET(GHG_Adder_dollar_per_tonne,0,(Table2[[#This Row],[Device installation year]])-GHG_Adder_Yr1,1,Table2[[#This Row],[EUL]]))/(1+WACC)^(Table2[[#This Row],[Device installation year]]-DY),0)</calculatedColumnFormula>
    </tableColumn>
    <tableColumn id="75" xr3:uid="{3AFBC432-4B87-4426-BC36-817ADAD7344A}" name="Std NPV Cost of EOL Leakage" dataDxfId="39" totalsRowDxfId="38" dataCellStyle="Currency">
      <calculatedColumnFormula array="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calculatedColumnFormula>
    </tableColumn>
    <tableColumn id="76" xr3:uid="{8CA6FC2E-28EB-4C2C-95F2-C90C16CDCD40}" name="Msr NPV Cost of EOL Leakage" dataDxfId="37" totalsRowDxfId="36" dataCellStyle="Currency">
      <calculatedColumnFormula array="1">Table2[[#This Row],[Msr EOL leakage tons CO2e]]*NPV(WACC,OFFSET(const_repeat_after,Table2[[#This Row],[EUL]],0,1,Table2[[#This Row],[EUL]])*OFFSET(GHG_Adder_dollar_per_tonne,0,(Table2[[#This Row],[Device installation year]])-GHG_Adder_Yr1,1,Table2[[#This Row],[EUL]]))/(1+WACC)^(Table2[[#This Row],[Device installation year]]-DY)</calculatedColumnFormula>
    </tableColumn>
    <tableColumn id="5" xr3:uid="{C16EAE89-F744-480E-B347-61FAABA2D4C3}" name="AR immediate NPV cost of leakage" dataDxfId="35" totalsRowDxfId="34" dataCellStyle="Currency">
      <calculatedColumnFormula>0</calculatedColumnFormula>
    </tableColumn>
    <tableColumn id="29" xr3:uid="{15D7F48A-42F9-470F-854D-A076725FB785}" name="RefrigerantNPVCostsNet" dataDxfId="33" totalsRowDxfId="32" dataCellStyle="Currency">
      <calculatedColumnFormula>(Table2[[#This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calculatedColumnFormula>
    </tableColumn>
    <tableColumn id="30" xr3:uid="{61F28813-73F1-4905-953E-2ED39A394C04}" name="Is Net Cost?" dataDxfId="31" totalsRowDxfId="30" dataCellStyle="Currency">
      <calculatedColumnFormula>Table2[[#This Row],[RefrigerantNPVCostsNet]]&gt;0</calculatedColumnFormula>
    </tableColumn>
    <tableColumn id="15" xr3:uid="{C2EC082D-1521-4255-82DA-8E2F1807225A}" name="RefrigerantNPVBenefitsPreBaseline" dataDxfId="29" totalsRowDxfId="28" dataCellStyle="Currency">
      <calculatedColumnFormula>0</calculatedColumnFormula>
    </tableColumn>
    <tableColumn id="16" xr3:uid="{CB8A363A-0217-434F-A5E8-C6126F2DFE89}" name="RefrigerantNPVBenefitsStdBaseline" dataDxfId="27" totalsRowDxfId="26" dataCellStyle="Currency">
      <calculatedColumnFormula>0</calculatedColumnFormula>
    </tableColumn>
    <tableColumn id="17" xr3:uid="{DA69F046-C654-44C9-B202-6BE8C1A37053}" name="RefrigerantNPVBenefitsMea" dataDxfId="25" totalsRowDxfId="24" dataCellStyle="Currency">
      <calculatedColumnFormula>0</calculatedColumnFormula>
    </tableColumn>
    <tableColumn id="77" xr3:uid="{B2270395-FCEC-49F4-81FE-E9A267945C07}" name="RefrigerantNPVCostsPreBaseline" dataDxfId="23" totalsRowDxfId="22" dataCellStyle="Currency">
      <calculatedColumnFormula>Table2[[#This Row],[Pre NPV Cost of Annual Leakage]]+Table2[[#This Row],[Pre NPV Cost of EOL Leakage]]</calculatedColumnFormula>
    </tableColumn>
    <tableColumn id="78" xr3:uid="{9DE845E6-F10C-44FD-87B6-4005D24C44EB}" name="RefrigerantNPVCostsStdBaseline" dataDxfId="21" totalsRowDxfId="20" dataCellStyle="Currency">
      <calculatedColumnFormula>Table2[[#This Row],[Std NPV Cost of Annual Leakage]]+Table2[[#This Row],[Std NPV Cost of EOL Leakage]]</calculatedColumnFormula>
    </tableColumn>
    <tableColumn id="79" xr3:uid="{50010F0D-155D-4BA9-8DA0-64D409B64CB8}" name="RefrigerantNPVCostsMea" dataDxfId="19" totalsRowDxfId="18" dataCellStyle="Currency">
      <calculatedColumnFormula>Table2[[#This Row],[AR immediate NPV cost of leakage]]+Table2[[#This Row],[Msr NPV Cost of Annual Leakage]]+Table2[[#This Row],[Msr NPV Cost of EOL Leakage]]</calculatedColumnFormula>
    </tableColumn>
    <tableColumn id="51" xr3:uid="{66EE3AC1-B34B-41C2-BBED-53672B1B2927}" name="UnitRefrigCosts" dataDxfId="17" totalsRowDxfId="16" dataCellStyle="Currency">
      <calculatedColumnFormula>IF(Table2[[#This Row],[Is Net Cost?]],Table2[[#This Row],[RefrigerantNPVCostsNet]],0)</calculatedColumnFormula>
    </tableColumn>
    <tableColumn id="28" xr3:uid="{8565DD04-A4A2-4A45-9990-E5BA30C4A95C}" name="UnitRefrigBens" dataDxfId="15" totalsRowDxfId="14" dataCellStyle="Currency">
      <calculatedColumnFormula>IF(Table2[[#This Row],[Is Net Cost?]],0,-Table2[[#This Row],[RefrigerantNPVCostsNet]])</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5CA9968-771D-4A9E-AEF2-9C4E9C7BAB60}" name="Table3" displayName="Table3" ref="B4:I27" totalsRowShown="0" headerRowDxfId="13">
  <autoFilter ref="B4:I27" xr:uid="{A5CA9968-771D-4A9E-AEF2-9C4E9C7BAB60}"/>
  <tableColumns count="8">
    <tableColumn id="1" xr3:uid="{A45BEA48-CA03-4F26-9A90-73018477CF9F}" name="DropdownRefrigTech" dataDxfId="12"/>
    <tableColumn id="2" xr3:uid="{628674FC-7627-4928-9B42-D912A4F2CFCC}" name="Case"/>
    <tableColumn id="3" xr3:uid="{2245C5E7-547C-4C9E-8CF9-B7DABC52A29A}" name="CommonRefrigerantType" dataDxfId="11"/>
    <tableColumn id="4" xr3:uid="{2554D024-DECD-45B6-AAAE-BE348086352B}" name="RefrigChargePoundsPerNormUnit" dataDxfId="10"/>
    <tableColumn id="5" xr3:uid="{B44D2EB6-B2E7-4741-9F88-51D7D87B1AAF}" name="LeakageLookupKey" dataDxfId="9"/>
    <tableColumn id="6" xr3:uid="{54D458C5-A8F1-4EB5-B3A7-6734C249F997}" name="AnnualLeakageRate" dataDxfId="8" dataCellStyle="Percent">
      <calculatedColumnFormula>INDEX(q_ann,MATCH(Table3[[#This Row],[LeakageLookupKey]],Dropdown_Leakage_Device_Type,0))</calculatedColumnFormula>
    </tableColumn>
    <tableColumn id="7" xr3:uid="{99B757E4-11DE-4810-9DA1-2BAF960325E5}" name="q_EOL" dataDxfId="7" dataCellStyle="Percent">
      <calculatedColumnFormula>INDEX(q_EOL,MATCH(Table3[[#This Row],[LeakageLookupKey]],Dropdown_Leakage_Device_Type,0))</calculatedColumnFormula>
    </tableColumn>
    <tableColumn id="10" xr3:uid="{56F56194-8F09-4B1B-80A1-33DD65F11A1C}" name="t_EOL" dataDxfId="6" dataCellStyle="Percent">
      <calculatedColumnFormula>INDEX(t_EOL,MATCH(Table3[[#This Row],[LeakageLookupKey]],Dropdown_Leakage_Device_Type,0))</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E3">
      <a:dk1>
        <a:sysClr val="windowText" lastClr="000000"/>
      </a:dk1>
      <a:lt1>
        <a:sysClr val="window" lastClr="FFFFFF"/>
      </a:lt1>
      <a:dk2>
        <a:srgbClr val="315361"/>
      </a:dk2>
      <a:lt2>
        <a:srgbClr val="EEECE1"/>
      </a:lt2>
      <a:accent1>
        <a:srgbClr val="034E6E"/>
      </a:accent1>
      <a:accent2>
        <a:srgbClr val="AF7E00"/>
      </a:accent2>
      <a:accent3>
        <a:srgbClr val="AF2200"/>
      </a:accent3>
      <a:accent4>
        <a:srgbClr val="007E33"/>
      </a:accent4>
      <a:accent5>
        <a:srgbClr val="AF5D00"/>
      </a:accent5>
      <a:accent6>
        <a:srgbClr val="0A1978"/>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O9" dT="2021-10-06T19:46:26.57" personId="{D19AB3ED-C799-431D-9B29-6E7E55EDB4D8}" id="{D4774442-580C-4851-BB9D-D3194ACC703E}">
    <text>Found a bug: expected [@[Std Annual leakage tons CO2e]] in this column but found [@[Pre Annual leakage tons CO2e]]</text>
  </threadedComment>
  <threadedComment ref="AO9" dT="2021-10-06T19:46:31.88" personId="{D19AB3ED-C799-431D-9B29-6E7E55EDB4D8}" id="{F25E4F05-A694-4511-9308-85FB08DADFBA}" parentId="{D4774442-580C-4851-BB9D-D3194ACC703E}">
    <text>Fixed</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hyperlink" Target="https://www.cpuc.ca.gov/industries-and-topics/electrical-energy/demand-side-management/energy-efficiency/idsm" TargetMode="Externa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4.bin"/><Relationship Id="rId1" Type="http://schemas.openxmlformats.org/officeDocument/2006/relationships/hyperlink" Target="https://www.cpuc.ca.gov/industries-and-topics/electrical-energy/demand-side-management/energy-efficiency/idsm" TargetMode="External"/><Relationship Id="rId4" Type="http://schemas.openxmlformats.org/officeDocument/2006/relationships/comments" Target="../comments4.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lochinvar.com/products/commercial-heat-pump-water-heaters/air-source-heat-pump-water-heaters/See%20table%20on%20the%20side%20for%20calculations" TargetMode="External"/><Relationship Id="rId1" Type="http://schemas.openxmlformats.org/officeDocument/2006/relationships/hyperlink" Target="https://www.lochinvar.com/lit/436248CHE-Spec-01.pdf" TargetMode="Externa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hyperlink" Target="https://www.cpuc.ca.gov/industries-and-topics/electrical-energy/demand-side-management/energy-efficiency/idsm" TargetMode="External"/><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hyperlink" Target="https://willdan.app.box.com/v/2021CPUCAvoidedCosts/folder/136593940728" TargetMode="External"/><Relationship Id="rId2" Type="http://schemas.openxmlformats.org/officeDocument/2006/relationships/hyperlink" Target="https://www.cpuc.ca.gov/industries-and-topics/electrical-energy/demand-side-management/energy-efficiency/idsm" TargetMode="External"/><Relationship Id="rId1" Type="http://schemas.openxmlformats.org/officeDocument/2006/relationships/hyperlink" Target="ftp://ftp.cpuc.ca.gov/gopher-data/energy_division/EnergyEfficiency/CostEffectivenes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3C7FB-FE7C-449F-B269-A1C2C8343D65}">
  <sheetPr>
    <tabColor theme="3" tint="-0.249977111117893"/>
    <pageSetUpPr fitToPage="1"/>
  </sheetPr>
  <dimension ref="A1:R255"/>
  <sheetViews>
    <sheetView topLeftCell="A185" zoomScaleNormal="100" workbookViewId="0">
      <selection activeCell="B185" sqref="B185:L225"/>
    </sheetView>
  </sheetViews>
  <sheetFormatPr defaultRowHeight="14.4" outlineLevelRow="1" x14ac:dyDescent="0.3"/>
  <cols>
    <col min="2" max="2" width="9.33203125" customWidth="1"/>
    <col min="3" max="3" width="10.6640625" customWidth="1"/>
    <col min="4" max="6" width="9.33203125" customWidth="1"/>
    <col min="9" max="9" width="9.33203125" customWidth="1"/>
    <col min="11" max="17" width="9.33203125" customWidth="1"/>
  </cols>
  <sheetData>
    <row r="1" spans="1:13" x14ac:dyDescent="0.3">
      <c r="A1" s="153"/>
    </row>
    <row r="2" spans="1:13" ht="31.2" x14ac:dyDescent="0.6">
      <c r="A2" s="153"/>
      <c r="B2" s="186" t="s">
        <v>623</v>
      </c>
    </row>
    <row r="3" spans="1:13" x14ac:dyDescent="0.3">
      <c r="A3" s="153"/>
      <c r="B3" t="s">
        <v>620</v>
      </c>
    </row>
    <row r="4" spans="1:13" x14ac:dyDescent="0.3">
      <c r="A4" s="153"/>
    </row>
    <row r="5" spans="1:13" x14ac:dyDescent="0.3">
      <c r="A5" s="153"/>
      <c r="B5" s="300" t="s">
        <v>646</v>
      </c>
      <c r="C5" s="300"/>
      <c r="D5" s="300"/>
      <c r="E5" s="300"/>
      <c r="F5" s="300"/>
      <c r="G5" s="300"/>
      <c r="H5" s="300"/>
      <c r="I5" s="300"/>
      <c r="J5" s="300"/>
      <c r="K5" s="300"/>
      <c r="L5" s="300"/>
      <c r="M5" s="300"/>
    </row>
    <row r="6" spans="1:13" ht="5.0999999999999996" customHeight="1" x14ac:dyDescent="0.3">
      <c r="A6" s="153"/>
      <c r="B6" s="153"/>
    </row>
    <row r="7" spans="1:13" x14ac:dyDescent="0.3">
      <c r="A7" s="153"/>
      <c r="B7" s="276" t="s">
        <v>648</v>
      </c>
      <c r="C7" s="347" t="s">
        <v>621</v>
      </c>
      <c r="D7" s="348"/>
      <c r="E7" s="347" t="s">
        <v>647</v>
      </c>
      <c r="F7" s="349"/>
      <c r="G7" s="348"/>
      <c r="H7" s="350" t="s">
        <v>622</v>
      </c>
      <c r="I7" s="350"/>
      <c r="J7" s="350"/>
      <c r="K7" s="350"/>
      <c r="L7" s="350"/>
      <c r="M7" s="350"/>
    </row>
    <row r="8" spans="1:13" ht="38.25" customHeight="1" x14ac:dyDescent="0.3">
      <c r="A8" s="153"/>
      <c r="B8" s="257" t="s">
        <v>675</v>
      </c>
      <c r="C8" s="331">
        <v>44406</v>
      </c>
      <c r="D8" s="332"/>
      <c r="E8" s="333" t="s">
        <v>669</v>
      </c>
      <c r="F8" s="334"/>
      <c r="G8" s="335"/>
      <c r="H8" s="336" t="s">
        <v>649</v>
      </c>
      <c r="I8" s="336"/>
      <c r="J8" s="336"/>
      <c r="K8" s="336"/>
      <c r="L8" s="336"/>
      <c r="M8" s="336"/>
    </row>
    <row r="9" spans="1:13" x14ac:dyDescent="0.3">
      <c r="A9" s="153"/>
      <c r="B9" s="337">
        <v>0.1</v>
      </c>
      <c r="C9" s="340">
        <v>44434</v>
      </c>
      <c r="D9" s="341"/>
      <c r="E9" s="346" t="s">
        <v>669</v>
      </c>
      <c r="F9" s="280"/>
      <c r="G9" s="281"/>
      <c r="H9" s="279" t="s">
        <v>733</v>
      </c>
      <c r="I9" s="280"/>
      <c r="J9" s="280"/>
      <c r="K9" s="280"/>
      <c r="L9" s="280"/>
      <c r="M9" s="281"/>
    </row>
    <row r="10" spans="1:13" x14ac:dyDescent="0.3">
      <c r="B10" s="338"/>
      <c r="C10" s="342"/>
      <c r="D10" s="343"/>
      <c r="E10" s="282"/>
      <c r="F10" s="283"/>
      <c r="G10" s="284"/>
      <c r="H10" s="282"/>
      <c r="I10" s="283"/>
      <c r="J10" s="283"/>
      <c r="K10" s="283"/>
      <c r="L10" s="283"/>
      <c r="M10" s="284"/>
    </row>
    <row r="11" spans="1:13" x14ac:dyDescent="0.3">
      <c r="B11" s="338"/>
      <c r="C11" s="342"/>
      <c r="D11" s="343"/>
      <c r="E11" s="282"/>
      <c r="F11" s="283"/>
      <c r="G11" s="284"/>
      <c r="H11" s="282"/>
      <c r="I11" s="283"/>
      <c r="J11" s="283"/>
      <c r="K11" s="283"/>
      <c r="L11" s="283"/>
      <c r="M11" s="284"/>
    </row>
    <row r="12" spans="1:13" x14ac:dyDescent="0.3">
      <c r="B12" s="339"/>
      <c r="C12" s="344"/>
      <c r="D12" s="345"/>
      <c r="E12" s="285"/>
      <c r="F12" s="286"/>
      <c r="G12" s="287"/>
      <c r="H12" s="285"/>
      <c r="I12" s="286"/>
      <c r="J12" s="286"/>
      <c r="K12" s="286"/>
      <c r="L12" s="286"/>
      <c r="M12" s="287"/>
    </row>
    <row r="13" spans="1:13" ht="49.5" customHeight="1" x14ac:dyDescent="0.3">
      <c r="B13" s="262">
        <v>0.2</v>
      </c>
      <c r="C13" s="331">
        <v>44476</v>
      </c>
      <c r="D13" s="332"/>
      <c r="E13" s="333" t="s">
        <v>669</v>
      </c>
      <c r="F13" s="334"/>
      <c r="G13" s="335"/>
      <c r="H13" s="336" t="s">
        <v>769</v>
      </c>
      <c r="I13" s="336"/>
      <c r="J13" s="336"/>
      <c r="K13" s="336"/>
      <c r="L13" s="336"/>
      <c r="M13" s="336"/>
    </row>
    <row r="14" spans="1:13" ht="139.5" customHeight="1" x14ac:dyDescent="0.3">
      <c r="B14" s="262">
        <v>0.3</v>
      </c>
      <c r="C14" s="331">
        <v>44503</v>
      </c>
      <c r="D14" s="332"/>
      <c r="E14" s="333" t="s">
        <v>669</v>
      </c>
      <c r="F14" s="334"/>
      <c r="G14" s="335"/>
      <c r="H14" s="336" t="s">
        <v>770</v>
      </c>
      <c r="I14" s="336"/>
      <c r="J14" s="336"/>
      <c r="K14" s="336"/>
      <c r="L14" s="336"/>
      <c r="M14" s="336"/>
    </row>
    <row r="15" spans="1:13" x14ac:dyDescent="0.3">
      <c r="B15" t="s">
        <v>764</v>
      </c>
    </row>
    <row r="16" spans="1:13" x14ac:dyDescent="0.3">
      <c r="B16" s="266"/>
      <c r="C16" t="s">
        <v>765</v>
      </c>
    </row>
    <row r="17" spans="2:13" x14ac:dyDescent="0.3">
      <c r="B17" s="267"/>
      <c r="C17" t="s">
        <v>766</v>
      </c>
    </row>
    <row r="19" spans="2:13" ht="20.100000000000001" customHeight="1" x14ac:dyDescent="0.3">
      <c r="B19" s="279" t="s">
        <v>795</v>
      </c>
      <c r="C19" s="290"/>
      <c r="D19" s="290"/>
      <c r="E19" s="290"/>
      <c r="F19" s="290"/>
      <c r="G19" s="290"/>
      <c r="H19" s="290"/>
      <c r="I19" s="290"/>
      <c r="J19" s="290"/>
      <c r="K19" s="290"/>
      <c r="L19" s="290"/>
      <c r="M19" s="291"/>
    </row>
    <row r="20" spans="2:13" ht="20.100000000000001" customHeight="1" x14ac:dyDescent="0.3">
      <c r="B20" s="292"/>
      <c r="C20" s="293"/>
      <c r="D20" s="293"/>
      <c r="E20" s="293"/>
      <c r="F20" s="293"/>
      <c r="G20" s="293"/>
      <c r="H20" s="293"/>
      <c r="I20" s="293"/>
      <c r="J20" s="293"/>
      <c r="K20" s="293"/>
      <c r="L20" s="293"/>
      <c r="M20" s="294"/>
    </row>
    <row r="21" spans="2:13" ht="20.100000000000001" customHeight="1" x14ac:dyDescent="0.3">
      <c r="B21" s="292"/>
      <c r="C21" s="293"/>
      <c r="D21" s="293"/>
      <c r="E21" s="293"/>
      <c r="F21" s="293"/>
      <c r="G21" s="293"/>
      <c r="H21" s="293"/>
      <c r="I21" s="293"/>
      <c r="J21" s="293"/>
      <c r="K21" s="293"/>
      <c r="L21" s="293"/>
      <c r="M21" s="294"/>
    </row>
    <row r="22" spans="2:13" ht="20.100000000000001" customHeight="1" x14ac:dyDescent="0.3">
      <c r="B22" s="292"/>
      <c r="C22" s="293"/>
      <c r="D22" s="293"/>
      <c r="E22" s="293"/>
      <c r="F22" s="293"/>
      <c r="G22" s="293"/>
      <c r="H22" s="293"/>
      <c r="I22" s="293"/>
      <c r="J22" s="293"/>
      <c r="K22" s="293"/>
      <c r="L22" s="293"/>
      <c r="M22" s="294"/>
    </row>
    <row r="23" spans="2:13" ht="20.100000000000001" customHeight="1" x14ac:dyDescent="0.3">
      <c r="B23" s="292"/>
      <c r="C23" s="293"/>
      <c r="D23" s="293"/>
      <c r="E23" s="293"/>
      <c r="F23" s="293"/>
      <c r="G23" s="293"/>
      <c r="H23" s="293"/>
      <c r="I23" s="293"/>
      <c r="J23" s="293"/>
      <c r="K23" s="293"/>
      <c r="L23" s="293"/>
      <c r="M23" s="294"/>
    </row>
    <row r="24" spans="2:13" ht="20.100000000000001" customHeight="1" x14ac:dyDescent="0.3">
      <c r="B24" s="292"/>
      <c r="C24" s="293"/>
      <c r="D24" s="293"/>
      <c r="E24" s="293"/>
      <c r="F24" s="293"/>
      <c r="G24" s="293"/>
      <c r="H24" s="293"/>
      <c r="I24" s="293"/>
      <c r="J24" s="293"/>
      <c r="K24" s="293"/>
      <c r="L24" s="293"/>
      <c r="M24" s="294"/>
    </row>
    <row r="25" spans="2:13" ht="20.100000000000001" customHeight="1" x14ac:dyDescent="0.3">
      <c r="B25" s="292"/>
      <c r="C25" s="293"/>
      <c r="D25" s="293"/>
      <c r="E25" s="293"/>
      <c r="F25" s="293"/>
      <c r="G25" s="293"/>
      <c r="H25" s="293"/>
      <c r="I25" s="293"/>
      <c r="J25" s="293"/>
      <c r="K25" s="293"/>
      <c r="L25" s="293"/>
      <c r="M25" s="294"/>
    </row>
    <row r="26" spans="2:13" ht="20.100000000000001" customHeight="1" x14ac:dyDescent="0.3">
      <c r="B26" s="292"/>
      <c r="C26" s="293"/>
      <c r="D26" s="293"/>
      <c r="E26" s="293"/>
      <c r="F26" s="293"/>
      <c r="G26" s="293"/>
      <c r="H26" s="293"/>
      <c r="I26" s="293"/>
      <c r="J26" s="293"/>
      <c r="K26" s="293"/>
      <c r="L26" s="293"/>
      <c r="M26" s="294"/>
    </row>
    <row r="27" spans="2:13" ht="20.100000000000001" customHeight="1" x14ac:dyDescent="0.3">
      <c r="B27" s="292"/>
      <c r="C27" s="293"/>
      <c r="D27" s="293"/>
      <c r="E27" s="293"/>
      <c r="F27" s="293"/>
      <c r="G27" s="293"/>
      <c r="H27" s="293"/>
      <c r="I27" s="293"/>
      <c r="J27" s="293"/>
      <c r="K27" s="293"/>
      <c r="L27" s="293"/>
      <c r="M27" s="294"/>
    </row>
    <row r="28" spans="2:13" ht="20.100000000000001" customHeight="1" x14ac:dyDescent="0.3">
      <c r="B28" s="292"/>
      <c r="C28" s="293"/>
      <c r="D28" s="293"/>
      <c r="E28" s="293"/>
      <c r="F28" s="293"/>
      <c r="G28" s="293"/>
      <c r="H28" s="293"/>
      <c r="I28" s="293"/>
      <c r="J28" s="293"/>
      <c r="K28" s="293"/>
      <c r="L28" s="293"/>
      <c r="M28" s="294"/>
    </row>
    <row r="29" spans="2:13" ht="20.100000000000001" customHeight="1" x14ac:dyDescent="0.3">
      <c r="B29" s="292"/>
      <c r="C29" s="293"/>
      <c r="D29" s="293"/>
      <c r="E29" s="293"/>
      <c r="F29" s="293"/>
      <c r="G29" s="293"/>
      <c r="H29" s="293"/>
      <c r="I29" s="293"/>
      <c r="J29" s="293"/>
      <c r="K29" s="293"/>
      <c r="L29" s="293"/>
      <c r="M29" s="294"/>
    </row>
    <row r="30" spans="2:13" ht="20.100000000000001" customHeight="1" x14ac:dyDescent="0.3">
      <c r="B30" s="295"/>
      <c r="C30" s="296"/>
      <c r="D30" s="296"/>
      <c r="E30" s="296"/>
      <c r="F30" s="296"/>
      <c r="G30" s="296"/>
      <c r="H30" s="296"/>
      <c r="I30" s="296"/>
      <c r="J30" s="296"/>
      <c r="K30" s="296"/>
      <c r="L30" s="296"/>
      <c r="M30" s="297"/>
    </row>
    <row r="31" spans="2:13" ht="20.100000000000001" customHeight="1" x14ac:dyDescent="0.3"/>
    <row r="32" spans="2:13" ht="20.100000000000001" customHeight="1" x14ac:dyDescent="0.3">
      <c r="B32" s="279" t="s">
        <v>808</v>
      </c>
      <c r="C32" s="280"/>
      <c r="D32" s="280"/>
      <c r="E32" s="280"/>
      <c r="F32" s="280"/>
      <c r="G32" s="280"/>
      <c r="H32" s="280"/>
      <c r="I32" s="280"/>
      <c r="J32" s="280"/>
      <c r="K32" s="280"/>
      <c r="L32" s="280"/>
      <c r="M32" s="281"/>
    </row>
    <row r="33" spans="2:13" ht="20.100000000000001" customHeight="1" x14ac:dyDescent="0.3">
      <c r="B33" s="282"/>
      <c r="C33" s="283"/>
      <c r="D33" s="283"/>
      <c r="E33" s="283"/>
      <c r="F33" s="283"/>
      <c r="G33" s="283"/>
      <c r="H33" s="283"/>
      <c r="I33" s="283"/>
      <c r="J33" s="283"/>
      <c r="K33" s="283"/>
      <c r="L33" s="283"/>
      <c r="M33" s="284"/>
    </row>
    <row r="34" spans="2:13" ht="20.100000000000001" customHeight="1" x14ac:dyDescent="0.3">
      <c r="B34" s="282"/>
      <c r="C34" s="283"/>
      <c r="D34" s="283"/>
      <c r="E34" s="283"/>
      <c r="F34" s="283"/>
      <c r="G34" s="283"/>
      <c r="H34" s="283"/>
      <c r="I34" s="283"/>
      <c r="J34" s="283"/>
      <c r="K34" s="283"/>
      <c r="L34" s="283"/>
      <c r="M34" s="284"/>
    </row>
    <row r="35" spans="2:13" ht="20.100000000000001" customHeight="1" x14ac:dyDescent="0.3">
      <c r="B35" s="282"/>
      <c r="C35" s="283"/>
      <c r="D35" s="283"/>
      <c r="E35" s="283"/>
      <c r="F35" s="283"/>
      <c r="G35" s="283"/>
      <c r="H35" s="283"/>
      <c r="I35" s="283"/>
      <c r="J35" s="283"/>
      <c r="K35" s="283"/>
      <c r="L35" s="283"/>
      <c r="M35" s="284"/>
    </row>
    <row r="36" spans="2:13" ht="20.100000000000001" customHeight="1" x14ac:dyDescent="0.3">
      <c r="B36" s="282"/>
      <c r="C36" s="283"/>
      <c r="D36" s="283"/>
      <c r="E36" s="283"/>
      <c r="F36" s="283"/>
      <c r="G36" s="283"/>
      <c r="H36" s="283"/>
      <c r="I36" s="283"/>
      <c r="J36" s="283"/>
      <c r="K36" s="283"/>
      <c r="L36" s="283"/>
      <c r="M36" s="284"/>
    </row>
    <row r="37" spans="2:13" ht="20.100000000000001" customHeight="1" x14ac:dyDescent="0.3">
      <c r="B37" s="282"/>
      <c r="C37" s="283"/>
      <c r="D37" s="283"/>
      <c r="E37" s="283"/>
      <c r="F37" s="283"/>
      <c r="G37" s="283"/>
      <c r="H37" s="283"/>
      <c r="I37" s="283"/>
      <c r="J37" s="283"/>
      <c r="K37" s="283"/>
      <c r="L37" s="283"/>
      <c r="M37" s="284"/>
    </row>
    <row r="38" spans="2:13" ht="20.100000000000001" customHeight="1" x14ac:dyDescent="0.3">
      <c r="B38" s="282"/>
      <c r="C38" s="283"/>
      <c r="D38" s="283"/>
      <c r="E38" s="283"/>
      <c r="F38" s="283"/>
      <c r="G38" s="283"/>
      <c r="H38" s="283"/>
      <c r="I38" s="283"/>
      <c r="J38" s="283"/>
      <c r="K38" s="283"/>
      <c r="L38" s="283"/>
      <c r="M38" s="284"/>
    </row>
    <row r="39" spans="2:13" ht="20.100000000000001" customHeight="1" x14ac:dyDescent="0.3">
      <c r="B39" s="282"/>
      <c r="C39" s="283"/>
      <c r="D39" s="283"/>
      <c r="E39" s="283"/>
      <c r="F39" s="283"/>
      <c r="G39" s="283"/>
      <c r="H39" s="283"/>
      <c r="I39" s="283"/>
      <c r="J39" s="283"/>
      <c r="K39" s="283"/>
      <c r="L39" s="283"/>
      <c r="M39" s="284"/>
    </row>
    <row r="40" spans="2:13" ht="20.100000000000001" customHeight="1" x14ac:dyDescent="0.3">
      <c r="B40" s="282"/>
      <c r="C40" s="283"/>
      <c r="D40" s="283"/>
      <c r="E40" s="283"/>
      <c r="F40" s="283"/>
      <c r="G40" s="283"/>
      <c r="H40" s="283"/>
      <c r="I40" s="283"/>
      <c r="J40" s="283"/>
      <c r="K40" s="283"/>
      <c r="L40" s="283"/>
      <c r="M40" s="284"/>
    </row>
    <row r="41" spans="2:13" ht="20.100000000000001" customHeight="1" x14ac:dyDescent="0.3">
      <c r="B41" s="282"/>
      <c r="C41" s="283"/>
      <c r="D41" s="283"/>
      <c r="E41" s="283"/>
      <c r="F41" s="283"/>
      <c r="G41" s="283"/>
      <c r="H41" s="283"/>
      <c r="I41" s="283"/>
      <c r="J41" s="283"/>
      <c r="K41" s="283"/>
      <c r="L41" s="283"/>
      <c r="M41" s="284"/>
    </row>
    <row r="42" spans="2:13" ht="20.100000000000001" customHeight="1" x14ac:dyDescent="0.3">
      <c r="B42" s="282"/>
      <c r="C42" s="283"/>
      <c r="D42" s="283"/>
      <c r="E42" s="283"/>
      <c r="F42" s="283"/>
      <c r="G42" s="283"/>
      <c r="H42" s="283"/>
      <c r="I42" s="283"/>
      <c r="J42" s="283"/>
      <c r="K42" s="283"/>
      <c r="L42" s="283"/>
      <c r="M42" s="284"/>
    </row>
    <row r="43" spans="2:13" ht="20.100000000000001" customHeight="1" x14ac:dyDescent="0.3">
      <c r="B43" s="282"/>
      <c r="C43" s="283"/>
      <c r="D43" s="283"/>
      <c r="E43" s="283"/>
      <c r="F43" s="283"/>
      <c r="G43" s="283"/>
      <c r="H43" s="283"/>
      <c r="I43" s="283"/>
      <c r="J43" s="283"/>
      <c r="K43" s="283"/>
      <c r="L43" s="283"/>
      <c r="M43" s="284"/>
    </row>
    <row r="44" spans="2:13" ht="20.100000000000001" customHeight="1" x14ac:dyDescent="0.3">
      <c r="B44" s="282"/>
      <c r="C44" s="283"/>
      <c r="D44" s="283"/>
      <c r="E44" s="283"/>
      <c r="F44" s="283"/>
      <c r="G44" s="283"/>
      <c r="H44" s="283"/>
      <c r="I44" s="283"/>
      <c r="J44" s="283"/>
      <c r="K44" s="283"/>
      <c r="L44" s="283"/>
      <c r="M44" s="284"/>
    </row>
    <row r="45" spans="2:13" ht="20.100000000000001" customHeight="1" x14ac:dyDescent="0.3">
      <c r="B45" s="282"/>
      <c r="C45" s="283"/>
      <c r="D45" s="283"/>
      <c r="E45" s="283"/>
      <c r="F45" s="283"/>
      <c r="G45" s="283"/>
      <c r="H45" s="283"/>
      <c r="I45" s="283"/>
      <c r="J45" s="283"/>
      <c r="K45" s="283"/>
      <c r="L45" s="283"/>
      <c r="M45" s="284"/>
    </row>
    <row r="46" spans="2:13" ht="20.100000000000001" customHeight="1" x14ac:dyDescent="0.3">
      <c r="B46" s="282"/>
      <c r="C46" s="283"/>
      <c r="D46" s="283"/>
      <c r="E46" s="283"/>
      <c r="F46" s="283"/>
      <c r="G46" s="283"/>
      <c r="H46" s="283"/>
      <c r="I46" s="283"/>
      <c r="J46" s="283"/>
      <c r="K46" s="283"/>
      <c r="L46" s="283"/>
      <c r="M46" s="284"/>
    </row>
    <row r="47" spans="2:13" ht="20.100000000000001" customHeight="1" x14ac:dyDescent="0.3">
      <c r="B47" s="282"/>
      <c r="C47" s="283"/>
      <c r="D47" s="283"/>
      <c r="E47" s="283"/>
      <c r="F47" s="283"/>
      <c r="G47" s="283"/>
      <c r="H47" s="283"/>
      <c r="I47" s="283"/>
      <c r="J47" s="283"/>
      <c r="K47" s="283"/>
      <c r="L47" s="283"/>
      <c r="M47" s="284"/>
    </row>
    <row r="48" spans="2:13" ht="20.100000000000001" customHeight="1" x14ac:dyDescent="0.3">
      <c r="B48" s="282"/>
      <c r="C48" s="283"/>
      <c r="D48" s="283"/>
      <c r="E48" s="283"/>
      <c r="F48" s="283"/>
      <c r="G48" s="283"/>
      <c r="H48" s="283"/>
      <c r="I48" s="283"/>
      <c r="J48" s="283"/>
      <c r="K48" s="283"/>
      <c r="L48" s="283"/>
      <c r="M48" s="284"/>
    </row>
    <row r="49" spans="2:13" ht="20.100000000000001" customHeight="1" x14ac:dyDescent="0.3">
      <c r="B49" s="282"/>
      <c r="C49" s="283"/>
      <c r="D49" s="283"/>
      <c r="E49" s="283"/>
      <c r="F49" s="283"/>
      <c r="G49" s="283"/>
      <c r="H49" s="283"/>
      <c r="I49" s="283"/>
      <c r="J49" s="283"/>
      <c r="K49" s="283"/>
      <c r="L49" s="283"/>
      <c r="M49" s="284"/>
    </row>
    <row r="50" spans="2:13" ht="20.100000000000001" customHeight="1" x14ac:dyDescent="0.3">
      <c r="B50" s="282"/>
      <c r="C50" s="283"/>
      <c r="D50" s="283"/>
      <c r="E50" s="283"/>
      <c r="F50" s="283"/>
      <c r="G50" s="283"/>
      <c r="H50" s="283"/>
      <c r="I50" s="283"/>
      <c r="J50" s="283"/>
      <c r="K50" s="283"/>
      <c r="L50" s="283"/>
      <c r="M50" s="284"/>
    </row>
    <row r="51" spans="2:13" ht="20.100000000000001" customHeight="1" x14ac:dyDescent="0.3">
      <c r="B51" s="282"/>
      <c r="C51" s="283"/>
      <c r="D51" s="283"/>
      <c r="E51" s="283"/>
      <c r="F51" s="283"/>
      <c r="G51" s="283"/>
      <c r="H51" s="283"/>
      <c r="I51" s="283"/>
      <c r="J51" s="283"/>
      <c r="K51" s="283"/>
      <c r="L51" s="283"/>
      <c r="M51" s="284"/>
    </row>
    <row r="52" spans="2:13" ht="20.100000000000001" customHeight="1" x14ac:dyDescent="0.3">
      <c r="B52" s="282"/>
      <c r="C52" s="283"/>
      <c r="D52" s="283"/>
      <c r="E52" s="283"/>
      <c r="F52" s="283"/>
      <c r="G52" s="283"/>
      <c r="H52" s="283"/>
      <c r="I52" s="283"/>
      <c r="J52" s="283"/>
      <c r="K52" s="283"/>
      <c r="L52" s="283"/>
      <c r="M52" s="284"/>
    </row>
    <row r="53" spans="2:13" ht="20.100000000000001" customHeight="1" x14ac:dyDescent="0.3">
      <c r="B53" s="282"/>
      <c r="C53" s="283"/>
      <c r="D53" s="283"/>
      <c r="E53" s="283"/>
      <c r="F53" s="283"/>
      <c r="G53" s="283"/>
      <c r="H53" s="283"/>
      <c r="I53" s="283"/>
      <c r="J53" s="283"/>
      <c r="K53" s="283"/>
      <c r="L53" s="283"/>
      <c r="M53" s="284"/>
    </row>
    <row r="54" spans="2:13" ht="20.100000000000001" customHeight="1" x14ac:dyDescent="0.3">
      <c r="B54" s="282"/>
      <c r="C54" s="283"/>
      <c r="D54" s="283"/>
      <c r="E54" s="283"/>
      <c r="F54" s="283"/>
      <c r="G54" s="283"/>
      <c r="H54" s="283"/>
      <c r="I54" s="283"/>
      <c r="J54" s="283"/>
      <c r="K54" s="283"/>
      <c r="L54" s="283"/>
      <c r="M54" s="284"/>
    </row>
    <row r="55" spans="2:13" ht="20.100000000000001" customHeight="1" x14ac:dyDescent="0.3">
      <c r="B55" s="282"/>
      <c r="C55" s="283"/>
      <c r="D55" s="283"/>
      <c r="E55" s="283"/>
      <c r="F55" s="283"/>
      <c r="G55" s="283"/>
      <c r="H55" s="283"/>
      <c r="I55" s="283"/>
      <c r="J55" s="283"/>
      <c r="K55" s="283"/>
      <c r="L55" s="283"/>
      <c r="M55" s="284"/>
    </row>
    <row r="56" spans="2:13" ht="20.100000000000001" customHeight="1" x14ac:dyDescent="0.3">
      <c r="B56" s="282"/>
      <c r="C56" s="283"/>
      <c r="D56" s="283"/>
      <c r="E56" s="283"/>
      <c r="F56" s="283"/>
      <c r="G56" s="283"/>
      <c r="H56" s="283"/>
      <c r="I56" s="283"/>
      <c r="J56" s="283"/>
      <c r="K56" s="283"/>
      <c r="L56" s="283"/>
      <c r="M56" s="284"/>
    </row>
    <row r="57" spans="2:13" ht="20.100000000000001" customHeight="1" x14ac:dyDescent="0.3">
      <c r="B57" s="282"/>
      <c r="C57" s="283"/>
      <c r="D57" s="283"/>
      <c r="E57" s="283"/>
      <c r="F57" s="283"/>
      <c r="G57" s="283"/>
      <c r="H57" s="283"/>
      <c r="I57" s="283"/>
      <c r="J57" s="283"/>
      <c r="K57" s="283"/>
      <c r="L57" s="283"/>
      <c r="M57" s="284"/>
    </row>
    <row r="58" spans="2:13" ht="20.100000000000001" customHeight="1" x14ac:dyDescent="0.3">
      <c r="B58" s="282"/>
      <c r="C58" s="283"/>
      <c r="D58" s="283"/>
      <c r="E58" s="283"/>
      <c r="F58" s="283"/>
      <c r="G58" s="283"/>
      <c r="H58" s="283"/>
      <c r="I58" s="283"/>
      <c r="J58" s="283"/>
      <c r="K58" s="283"/>
      <c r="L58" s="283"/>
      <c r="M58" s="284"/>
    </row>
    <row r="59" spans="2:13" ht="20.100000000000001" customHeight="1" x14ac:dyDescent="0.3">
      <c r="B59" s="282"/>
      <c r="C59" s="283"/>
      <c r="D59" s="283"/>
      <c r="E59" s="283"/>
      <c r="F59" s="283"/>
      <c r="G59" s="283"/>
      <c r="H59" s="283"/>
      <c r="I59" s="283"/>
      <c r="J59" s="283"/>
      <c r="K59" s="283"/>
      <c r="L59" s="283"/>
      <c r="M59" s="284"/>
    </row>
    <row r="60" spans="2:13" ht="20.100000000000001" customHeight="1" x14ac:dyDescent="0.3">
      <c r="B60" s="282"/>
      <c r="C60" s="283"/>
      <c r="D60" s="283"/>
      <c r="E60" s="283"/>
      <c r="F60" s="283"/>
      <c r="G60" s="283"/>
      <c r="H60" s="283"/>
      <c r="I60" s="283"/>
      <c r="J60" s="283"/>
      <c r="K60" s="283"/>
      <c r="L60" s="283"/>
      <c r="M60" s="284"/>
    </row>
    <row r="61" spans="2:13" ht="20.100000000000001" customHeight="1" x14ac:dyDescent="0.3">
      <c r="B61" s="282"/>
      <c r="C61" s="283"/>
      <c r="D61" s="283"/>
      <c r="E61" s="283"/>
      <c r="F61" s="283"/>
      <c r="G61" s="283"/>
      <c r="H61" s="283"/>
      <c r="I61" s="283"/>
      <c r="J61" s="283"/>
      <c r="K61" s="283"/>
      <c r="L61" s="283"/>
      <c r="M61" s="284"/>
    </row>
    <row r="62" spans="2:13" ht="20.100000000000001" customHeight="1" x14ac:dyDescent="0.3">
      <c r="B62" s="282"/>
      <c r="C62" s="283"/>
      <c r="D62" s="283"/>
      <c r="E62" s="283"/>
      <c r="F62" s="283"/>
      <c r="G62" s="283"/>
      <c r="H62" s="283"/>
      <c r="I62" s="283"/>
      <c r="J62" s="283"/>
      <c r="K62" s="283"/>
      <c r="L62" s="283"/>
      <c r="M62" s="284"/>
    </row>
    <row r="63" spans="2:13" ht="20.100000000000001" customHeight="1" x14ac:dyDescent="0.3">
      <c r="B63" s="282"/>
      <c r="C63" s="283"/>
      <c r="D63" s="283"/>
      <c r="E63" s="283"/>
      <c r="F63" s="283"/>
      <c r="G63" s="283"/>
      <c r="H63" s="283"/>
      <c r="I63" s="283"/>
      <c r="J63" s="283"/>
      <c r="K63" s="283"/>
      <c r="L63" s="283"/>
      <c r="M63" s="284"/>
    </row>
    <row r="64" spans="2:13" ht="20.100000000000001" customHeight="1" x14ac:dyDescent="0.3">
      <c r="B64" s="282"/>
      <c r="C64" s="283"/>
      <c r="D64" s="283"/>
      <c r="E64" s="283"/>
      <c r="F64" s="283"/>
      <c r="G64" s="283"/>
      <c r="H64" s="283"/>
      <c r="I64" s="283"/>
      <c r="J64" s="283"/>
      <c r="K64" s="283"/>
      <c r="L64" s="283"/>
      <c r="M64" s="284"/>
    </row>
    <row r="65" spans="2:13" ht="20.100000000000001" customHeight="1" x14ac:dyDescent="0.3">
      <c r="B65" s="282"/>
      <c r="C65" s="283"/>
      <c r="D65" s="283"/>
      <c r="E65" s="283"/>
      <c r="F65" s="283"/>
      <c r="G65" s="283"/>
      <c r="H65" s="283"/>
      <c r="I65" s="283"/>
      <c r="J65" s="283"/>
      <c r="K65" s="283"/>
      <c r="L65" s="283"/>
      <c r="M65" s="284"/>
    </row>
    <row r="66" spans="2:13" ht="20.100000000000001" customHeight="1" x14ac:dyDescent="0.3">
      <c r="B66" s="282"/>
      <c r="C66" s="283"/>
      <c r="D66" s="283"/>
      <c r="E66" s="283"/>
      <c r="F66" s="283"/>
      <c r="G66" s="283"/>
      <c r="H66" s="283"/>
      <c r="I66" s="283"/>
      <c r="J66" s="283"/>
      <c r="K66" s="283"/>
      <c r="L66" s="283"/>
      <c r="M66" s="284"/>
    </row>
    <row r="67" spans="2:13" ht="20.100000000000001" customHeight="1" x14ac:dyDescent="0.3">
      <c r="B67" s="282"/>
      <c r="C67" s="283"/>
      <c r="D67" s="283"/>
      <c r="E67" s="283"/>
      <c r="F67" s="283"/>
      <c r="G67" s="283"/>
      <c r="H67" s="283"/>
      <c r="I67" s="283"/>
      <c r="J67" s="283"/>
      <c r="K67" s="283"/>
      <c r="L67" s="283"/>
      <c r="M67" s="284"/>
    </row>
    <row r="68" spans="2:13" ht="20.100000000000001" customHeight="1" x14ac:dyDescent="0.3">
      <c r="B68" s="282"/>
      <c r="C68" s="283"/>
      <c r="D68" s="283"/>
      <c r="E68" s="283"/>
      <c r="F68" s="283"/>
      <c r="G68" s="283"/>
      <c r="H68" s="283"/>
      <c r="I68" s="283"/>
      <c r="J68" s="283"/>
      <c r="K68" s="283"/>
      <c r="L68" s="283"/>
      <c r="M68" s="284"/>
    </row>
    <row r="69" spans="2:13" ht="20.100000000000001" customHeight="1" x14ac:dyDescent="0.3">
      <c r="B69" s="282"/>
      <c r="C69" s="283"/>
      <c r="D69" s="283"/>
      <c r="E69" s="283"/>
      <c r="F69" s="283"/>
      <c r="G69" s="283"/>
      <c r="H69" s="283"/>
      <c r="I69" s="283"/>
      <c r="J69" s="283"/>
      <c r="K69" s="283"/>
      <c r="L69" s="283"/>
      <c r="M69" s="284"/>
    </row>
    <row r="70" spans="2:13" ht="20.100000000000001" customHeight="1" x14ac:dyDescent="0.3">
      <c r="B70" s="282"/>
      <c r="C70" s="283"/>
      <c r="D70" s="283"/>
      <c r="E70" s="283"/>
      <c r="F70" s="283"/>
      <c r="G70" s="283"/>
      <c r="H70" s="283"/>
      <c r="I70" s="283"/>
      <c r="J70" s="283"/>
      <c r="K70" s="283"/>
      <c r="L70" s="283"/>
      <c r="M70" s="284"/>
    </row>
    <row r="71" spans="2:13" ht="20.100000000000001" customHeight="1" x14ac:dyDescent="0.3">
      <c r="B71" s="282"/>
      <c r="C71" s="283"/>
      <c r="D71" s="283"/>
      <c r="E71" s="283"/>
      <c r="F71" s="283"/>
      <c r="G71" s="283"/>
      <c r="H71" s="283"/>
      <c r="I71" s="283"/>
      <c r="J71" s="283"/>
      <c r="K71" s="283"/>
      <c r="L71" s="283"/>
      <c r="M71" s="284"/>
    </row>
    <row r="72" spans="2:13" ht="20.100000000000001" customHeight="1" x14ac:dyDescent="0.3">
      <c r="B72" s="282"/>
      <c r="C72" s="283"/>
      <c r="D72" s="283"/>
      <c r="E72" s="283"/>
      <c r="F72" s="283"/>
      <c r="G72" s="283"/>
      <c r="H72" s="283"/>
      <c r="I72" s="283"/>
      <c r="J72" s="283"/>
      <c r="K72" s="283"/>
      <c r="L72" s="283"/>
      <c r="M72" s="284"/>
    </row>
    <row r="73" spans="2:13" ht="20.100000000000001" customHeight="1" x14ac:dyDescent="0.3">
      <c r="B73" s="282"/>
      <c r="C73" s="283"/>
      <c r="D73" s="283"/>
      <c r="E73" s="283"/>
      <c r="F73" s="283"/>
      <c r="G73" s="283"/>
      <c r="H73" s="283"/>
      <c r="I73" s="283"/>
      <c r="J73" s="283"/>
      <c r="K73" s="283"/>
      <c r="L73" s="283"/>
      <c r="M73" s="284"/>
    </row>
    <row r="74" spans="2:13" ht="20.100000000000001" customHeight="1" x14ac:dyDescent="0.3">
      <c r="B74" s="282"/>
      <c r="C74" s="283"/>
      <c r="D74" s="283"/>
      <c r="E74" s="283"/>
      <c r="F74" s="283"/>
      <c r="G74" s="283"/>
      <c r="H74" s="283"/>
      <c r="I74" s="283"/>
      <c r="J74" s="283"/>
      <c r="K74" s="283"/>
      <c r="L74" s="283"/>
      <c r="M74" s="284"/>
    </row>
    <row r="75" spans="2:13" ht="20.100000000000001" customHeight="1" x14ac:dyDescent="0.3">
      <c r="B75" s="282"/>
      <c r="C75" s="283"/>
      <c r="D75" s="283"/>
      <c r="E75" s="283"/>
      <c r="F75" s="283"/>
      <c r="G75" s="283"/>
      <c r="H75" s="283"/>
      <c r="I75" s="283"/>
      <c r="J75" s="283"/>
      <c r="K75" s="283"/>
      <c r="L75" s="283"/>
      <c r="M75" s="284"/>
    </row>
    <row r="76" spans="2:13" ht="20.100000000000001" customHeight="1" x14ac:dyDescent="0.3">
      <c r="B76" s="282"/>
      <c r="C76" s="283"/>
      <c r="D76" s="283"/>
      <c r="E76" s="283"/>
      <c r="F76" s="283"/>
      <c r="G76" s="283"/>
      <c r="H76" s="283"/>
      <c r="I76" s="283"/>
      <c r="J76" s="283"/>
      <c r="K76" s="283"/>
      <c r="L76" s="283"/>
      <c r="M76" s="284"/>
    </row>
    <row r="77" spans="2:13" ht="20.100000000000001" customHeight="1" x14ac:dyDescent="0.3">
      <c r="B77" s="282"/>
      <c r="C77" s="283"/>
      <c r="D77" s="283"/>
      <c r="E77" s="283"/>
      <c r="F77" s="283"/>
      <c r="G77" s="283"/>
      <c r="H77" s="283"/>
      <c r="I77" s="283"/>
      <c r="J77" s="283"/>
      <c r="K77" s="283"/>
      <c r="L77" s="283"/>
      <c r="M77" s="284"/>
    </row>
    <row r="78" spans="2:13" ht="20.100000000000001" customHeight="1" x14ac:dyDescent="0.3">
      <c r="B78" s="282"/>
      <c r="C78" s="283"/>
      <c r="D78" s="283"/>
      <c r="E78" s="283"/>
      <c r="F78" s="283"/>
      <c r="G78" s="283"/>
      <c r="H78" s="283"/>
      <c r="I78" s="283"/>
      <c r="J78" s="283"/>
      <c r="K78" s="283"/>
      <c r="L78" s="283"/>
      <c r="M78" s="284"/>
    </row>
    <row r="79" spans="2:13" ht="20.100000000000001" customHeight="1" x14ac:dyDescent="0.3">
      <c r="B79" s="282"/>
      <c r="C79" s="283"/>
      <c r="D79" s="283"/>
      <c r="E79" s="283"/>
      <c r="F79" s="283"/>
      <c r="G79" s="283"/>
      <c r="H79" s="283"/>
      <c r="I79" s="283"/>
      <c r="J79" s="283"/>
      <c r="K79" s="283"/>
      <c r="L79" s="283"/>
      <c r="M79" s="284"/>
    </row>
    <row r="80" spans="2:13" ht="20.100000000000001" customHeight="1" x14ac:dyDescent="0.3">
      <c r="B80" s="282"/>
      <c r="C80" s="283"/>
      <c r="D80" s="283"/>
      <c r="E80" s="283"/>
      <c r="F80" s="283"/>
      <c r="G80" s="283"/>
      <c r="H80" s="283"/>
      <c r="I80" s="283"/>
      <c r="J80" s="283"/>
      <c r="K80" s="283"/>
      <c r="L80" s="283"/>
      <c r="M80" s="284"/>
    </row>
    <row r="81" spans="2:13" ht="20.100000000000001" customHeight="1" x14ac:dyDescent="0.3">
      <c r="B81" s="282"/>
      <c r="C81" s="283"/>
      <c r="D81" s="283"/>
      <c r="E81" s="283"/>
      <c r="F81" s="283"/>
      <c r="G81" s="283"/>
      <c r="H81" s="283"/>
      <c r="I81" s="283"/>
      <c r="J81" s="283"/>
      <c r="K81" s="283"/>
      <c r="L81" s="283"/>
      <c r="M81" s="284"/>
    </row>
    <row r="82" spans="2:13" ht="20.100000000000001" customHeight="1" x14ac:dyDescent="0.3">
      <c r="B82" s="282"/>
      <c r="C82" s="283"/>
      <c r="D82" s="283"/>
      <c r="E82" s="283"/>
      <c r="F82" s="283"/>
      <c r="G82" s="283"/>
      <c r="H82" s="283"/>
      <c r="I82" s="283"/>
      <c r="J82" s="283"/>
      <c r="K82" s="283"/>
      <c r="L82" s="283"/>
      <c r="M82" s="284"/>
    </row>
    <row r="83" spans="2:13" ht="20.100000000000001" customHeight="1" x14ac:dyDescent="0.3">
      <c r="B83" s="282"/>
      <c r="C83" s="283"/>
      <c r="D83" s="283"/>
      <c r="E83" s="283"/>
      <c r="F83" s="283"/>
      <c r="G83" s="283"/>
      <c r="H83" s="283"/>
      <c r="I83" s="283"/>
      <c r="J83" s="283"/>
      <c r="K83" s="283"/>
      <c r="L83" s="283"/>
      <c r="M83" s="284"/>
    </row>
    <row r="84" spans="2:13" ht="20.100000000000001" customHeight="1" x14ac:dyDescent="0.3">
      <c r="B84" s="282"/>
      <c r="C84" s="283"/>
      <c r="D84" s="283"/>
      <c r="E84" s="283"/>
      <c r="F84" s="283"/>
      <c r="G84" s="283"/>
      <c r="H84" s="283"/>
      <c r="I84" s="283"/>
      <c r="J84" s="283"/>
      <c r="K84" s="283"/>
      <c r="L84" s="283"/>
      <c r="M84" s="284"/>
    </row>
    <row r="85" spans="2:13" ht="20.100000000000001" customHeight="1" x14ac:dyDescent="0.3">
      <c r="B85" s="282"/>
      <c r="C85" s="283"/>
      <c r="D85" s="283"/>
      <c r="E85" s="283"/>
      <c r="F85" s="283"/>
      <c r="G85" s="283"/>
      <c r="H85" s="283"/>
      <c r="I85" s="283"/>
      <c r="J85" s="283"/>
      <c r="K85" s="283"/>
      <c r="L85" s="283"/>
      <c r="M85" s="284"/>
    </row>
    <row r="86" spans="2:13" ht="20.100000000000001" customHeight="1" x14ac:dyDescent="0.3">
      <c r="B86" s="282"/>
      <c r="C86" s="283"/>
      <c r="D86" s="283"/>
      <c r="E86" s="283"/>
      <c r="F86" s="283"/>
      <c r="G86" s="283"/>
      <c r="H86" s="283"/>
      <c r="I86" s="283"/>
      <c r="J86" s="283"/>
      <c r="K86" s="283"/>
      <c r="L86" s="283"/>
      <c r="M86" s="284"/>
    </row>
    <row r="87" spans="2:13" ht="20.100000000000001" customHeight="1" x14ac:dyDescent="0.3">
      <c r="B87" s="282"/>
      <c r="C87" s="283"/>
      <c r="D87" s="283"/>
      <c r="E87" s="283"/>
      <c r="F87" s="283"/>
      <c r="G87" s="283"/>
      <c r="H87" s="283"/>
      <c r="I87" s="283"/>
      <c r="J87" s="283"/>
      <c r="K87" s="283"/>
      <c r="L87" s="283"/>
      <c r="M87" s="284"/>
    </row>
    <row r="88" spans="2:13" ht="20.100000000000001" customHeight="1" x14ac:dyDescent="0.3">
      <c r="B88" s="282"/>
      <c r="C88" s="283"/>
      <c r="D88" s="283"/>
      <c r="E88" s="283"/>
      <c r="F88" s="283"/>
      <c r="G88" s="283"/>
      <c r="H88" s="283"/>
      <c r="I88" s="283"/>
      <c r="J88" s="283"/>
      <c r="K88" s="283"/>
      <c r="L88" s="283"/>
      <c r="M88" s="284"/>
    </row>
    <row r="89" spans="2:13" ht="20.100000000000001" customHeight="1" x14ac:dyDescent="0.3">
      <c r="B89" s="282"/>
      <c r="C89" s="283"/>
      <c r="D89" s="283"/>
      <c r="E89" s="283"/>
      <c r="F89" s="283"/>
      <c r="G89" s="283"/>
      <c r="H89" s="283"/>
      <c r="I89" s="283"/>
      <c r="J89" s="283"/>
      <c r="K89" s="283"/>
      <c r="L89" s="283"/>
      <c r="M89" s="284"/>
    </row>
    <row r="90" spans="2:13" ht="20.100000000000001" customHeight="1" x14ac:dyDescent="0.3">
      <c r="B90" s="282"/>
      <c r="C90" s="283"/>
      <c r="D90" s="283"/>
      <c r="E90" s="283"/>
      <c r="F90" s="283"/>
      <c r="G90" s="283"/>
      <c r="H90" s="283"/>
      <c r="I90" s="283"/>
      <c r="J90" s="283"/>
      <c r="K90" s="283"/>
      <c r="L90" s="283"/>
      <c r="M90" s="284"/>
    </row>
    <row r="91" spans="2:13" ht="20.100000000000001" customHeight="1" x14ac:dyDescent="0.3">
      <c r="B91" s="282"/>
      <c r="C91" s="283"/>
      <c r="D91" s="283"/>
      <c r="E91" s="283"/>
      <c r="F91" s="283"/>
      <c r="G91" s="283"/>
      <c r="H91" s="283"/>
      <c r="I91" s="283"/>
      <c r="J91" s="283"/>
      <c r="K91" s="283"/>
      <c r="L91" s="283"/>
      <c r="M91" s="284"/>
    </row>
    <row r="92" spans="2:13" ht="20.100000000000001" customHeight="1" x14ac:dyDescent="0.3">
      <c r="B92" s="282"/>
      <c r="C92" s="283"/>
      <c r="D92" s="283"/>
      <c r="E92" s="283"/>
      <c r="F92" s="283"/>
      <c r="G92" s="283"/>
      <c r="H92" s="283"/>
      <c r="I92" s="283"/>
      <c r="J92" s="283"/>
      <c r="K92" s="283"/>
      <c r="L92" s="283"/>
      <c r="M92" s="284"/>
    </row>
    <row r="93" spans="2:13" ht="20.100000000000001" customHeight="1" x14ac:dyDescent="0.3">
      <c r="B93" s="282"/>
      <c r="C93" s="283"/>
      <c r="D93" s="283"/>
      <c r="E93" s="283"/>
      <c r="F93" s="283"/>
      <c r="G93" s="283"/>
      <c r="H93" s="283"/>
      <c r="I93" s="283"/>
      <c r="J93" s="283"/>
      <c r="K93" s="283"/>
      <c r="L93" s="283"/>
      <c r="M93" s="284"/>
    </row>
    <row r="94" spans="2:13" ht="20.100000000000001" customHeight="1" x14ac:dyDescent="0.3">
      <c r="B94" s="282"/>
      <c r="C94" s="283"/>
      <c r="D94" s="283"/>
      <c r="E94" s="283"/>
      <c r="F94" s="283"/>
      <c r="G94" s="283"/>
      <c r="H94" s="283"/>
      <c r="I94" s="283"/>
      <c r="J94" s="283"/>
      <c r="K94" s="283"/>
      <c r="L94" s="283"/>
      <c r="M94" s="284"/>
    </row>
    <row r="95" spans="2:13" ht="20.100000000000001" customHeight="1" x14ac:dyDescent="0.3">
      <c r="B95" s="282"/>
      <c r="C95" s="283"/>
      <c r="D95" s="283"/>
      <c r="E95" s="283"/>
      <c r="F95" s="283"/>
      <c r="G95" s="283"/>
      <c r="H95" s="283"/>
      <c r="I95" s="283"/>
      <c r="J95" s="283"/>
      <c r="K95" s="283"/>
      <c r="L95" s="283"/>
      <c r="M95" s="284"/>
    </row>
    <row r="96" spans="2:13" ht="20.100000000000001" customHeight="1" x14ac:dyDescent="0.3">
      <c r="B96" s="282"/>
      <c r="C96" s="283"/>
      <c r="D96" s="283"/>
      <c r="E96" s="283"/>
      <c r="F96" s="283"/>
      <c r="G96" s="283"/>
      <c r="H96" s="283"/>
      <c r="I96" s="283"/>
      <c r="J96" s="283"/>
      <c r="K96" s="283"/>
      <c r="L96" s="283"/>
      <c r="M96" s="284"/>
    </row>
    <row r="97" spans="2:13" ht="20.100000000000001" customHeight="1" x14ac:dyDescent="0.3">
      <c r="B97" s="282"/>
      <c r="C97" s="283"/>
      <c r="D97" s="283"/>
      <c r="E97" s="283"/>
      <c r="F97" s="283"/>
      <c r="G97" s="283"/>
      <c r="H97" s="283"/>
      <c r="I97" s="283"/>
      <c r="J97" s="283"/>
      <c r="K97" s="283"/>
      <c r="L97" s="283"/>
      <c r="M97" s="284"/>
    </row>
    <row r="98" spans="2:13" ht="20.100000000000001" customHeight="1" x14ac:dyDescent="0.3">
      <c r="B98" s="282"/>
      <c r="C98" s="283"/>
      <c r="D98" s="283"/>
      <c r="E98" s="283"/>
      <c r="F98" s="283"/>
      <c r="G98" s="283"/>
      <c r="H98" s="283"/>
      <c r="I98" s="283"/>
      <c r="J98" s="283"/>
      <c r="K98" s="283"/>
      <c r="L98" s="283"/>
      <c r="M98" s="284"/>
    </row>
    <row r="99" spans="2:13" ht="20.100000000000001" customHeight="1" x14ac:dyDescent="0.3">
      <c r="B99" s="282"/>
      <c r="C99" s="283"/>
      <c r="D99" s="283"/>
      <c r="E99" s="283"/>
      <c r="F99" s="283"/>
      <c r="G99" s="283"/>
      <c r="H99" s="283"/>
      <c r="I99" s="283"/>
      <c r="J99" s="283"/>
      <c r="K99" s="283"/>
      <c r="L99" s="283"/>
      <c r="M99" s="284"/>
    </row>
    <row r="100" spans="2:13" ht="20.100000000000001" customHeight="1" x14ac:dyDescent="0.3">
      <c r="B100" s="282"/>
      <c r="C100" s="283"/>
      <c r="D100" s="283"/>
      <c r="E100" s="283"/>
      <c r="F100" s="283"/>
      <c r="G100" s="283"/>
      <c r="H100" s="283"/>
      <c r="I100" s="283"/>
      <c r="J100" s="283"/>
      <c r="K100" s="283"/>
      <c r="L100" s="283"/>
      <c r="M100" s="284"/>
    </row>
    <row r="101" spans="2:13" ht="20.100000000000001" customHeight="1" x14ac:dyDescent="0.3">
      <c r="B101" s="282"/>
      <c r="C101" s="283"/>
      <c r="D101" s="283"/>
      <c r="E101" s="283"/>
      <c r="F101" s="283"/>
      <c r="G101" s="283"/>
      <c r="H101" s="283"/>
      <c r="I101" s="283"/>
      <c r="J101" s="283"/>
      <c r="K101" s="283"/>
      <c r="L101" s="283"/>
      <c r="M101" s="284"/>
    </row>
    <row r="102" spans="2:13" ht="20.100000000000001" customHeight="1" x14ac:dyDescent="0.3">
      <c r="B102" s="282"/>
      <c r="C102" s="283"/>
      <c r="D102" s="283"/>
      <c r="E102" s="283"/>
      <c r="F102" s="283"/>
      <c r="G102" s="283"/>
      <c r="H102" s="283"/>
      <c r="I102" s="283"/>
      <c r="J102" s="283"/>
      <c r="K102" s="283"/>
      <c r="L102" s="283"/>
      <c r="M102" s="284"/>
    </row>
    <row r="103" spans="2:13" ht="20.100000000000001" customHeight="1" x14ac:dyDescent="0.3">
      <c r="B103" s="282"/>
      <c r="C103" s="283"/>
      <c r="D103" s="283"/>
      <c r="E103" s="283"/>
      <c r="F103" s="283"/>
      <c r="G103" s="283"/>
      <c r="H103" s="283"/>
      <c r="I103" s="283"/>
      <c r="J103" s="283"/>
      <c r="K103" s="283"/>
      <c r="L103" s="283"/>
      <c r="M103" s="284"/>
    </row>
    <row r="104" spans="2:13" ht="20.100000000000001" customHeight="1" x14ac:dyDescent="0.3">
      <c r="B104" s="282"/>
      <c r="C104" s="283"/>
      <c r="D104" s="283"/>
      <c r="E104" s="283"/>
      <c r="F104" s="283"/>
      <c r="G104" s="283"/>
      <c r="H104" s="283"/>
      <c r="I104" s="283"/>
      <c r="J104" s="283"/>
      <c r="K104" s="283"/>
      <c r="L104" s="283"/>
      <c r="M104" s="284"/>
    </row>
    <row r="105" spans="2:13" ht="20.100000000000001" customHeight="1" x14ac:dyDescent="0.3">
      <c r="B105" s="282"/>
      <c r="C105" s="283"/>
      <c r="D105" s="283"/>
      <c r="E105" s="283"/>
      <c r="F105" s="283"/>
      <c r="G105" s="283"/>
      <c r="H105" s="283"/>
      <c r="I105" s="283"/>
      <c r="J105" s="283"/>
      <c r="K105" s="283"/>
      <c r="L105" s="283"/>
      <c r="M105" s="284"/>
    </row>
    <row r="106" spans="2:13" ht="20.100000000000001" customHeight="1" x14ac:dyDescent="0.3">
      <c r="B106" s="282"/>
      <c r="C106" s="283"/>
      <c r="D106" s="283"/>
      <c r="E106" s="283"/>
      <c r="F106" s="283"/>
      <c r="G106" s="283"/>
      <c r="H106" s="283"/>
      <c r="I106" s="283"/>
      <c r="J106" s="283"/>
      <c r="K106" s="283"/>
      <c r="L106" s="283"/>
      <c r="M106" s="284"/>
    </row>
    <row r="107" spans="2:13" ht="20.100000000000001" customHeight="1" x14ac:dyDescent="0.3">
      <c r="B107" s="282"/>
      <c r="C107" s="283"/>
      <c r="D107" s="283"/>
      <c r="E107" s="283"/>
      <c r="F107" s="283"/>
      <c r="G107" s="283"/>
      <c r="H107" s="283"/>
      <c r="I107" s="283"/>
      <c r="J107" s="283"/>
      <c r="K107" s="283"/>
      <c r="L107" s="283"/>
      <c r="M107" s="284"/>
    </row>
    <row r="108" spans="2:13" ht="20.100000000000001" customHeight="1" x14ac:dyDescent="0.3">
      <c r="B108" s="282"/>
      <c r="C108" s="283"/>
      <c r="D108" s="283"/>
      <c r="E108" s="283"/>
      <c r="F108" s="283"/>
      <c r="G108" s="283"/>
      <c r="H108" s="283"/>
      <c r="I108" s="283"/>
      <c r="J108" s="283"/>
      <c r="K108" s="283"/>
      <c r="L108" s="283"/>
      <c r="M108" s="284"/>
    </row>
    <row r="109" spans="2:13" ht="20.100000000000001" customHeight="1" x14ac:dyDescent="0.3">
      <c r="B109" s="282"/>
      <c r="C109" s="283"/>
      <c r="D109" s="283"/>
      <c r="E109" s="283"/>
      <c r="F109" s="283"/>
      <c r="G109" s="283"/>
      <c r="H109" s="283"/>
      <c r="I109" s="283"/>
      <c r="J109" s="283"/>
      <c r="K109" s="283"/>
      <c r="L109" s="283"/>
      <c r="M109" s="284"/>
    </row>
    <row r="110" spans="2:13" ht="20.100000000000001" customHeight="1" x14ac:dyDescent="0.3">
      <c r="B110" s="282"/>
      <c r="C110" s="283"/>
      <c r="D110" s="283"/>
      <c r="E110" s="283"/>
      <c r="F110" s="283"/>
      <c r="G110" s="283"/>
      <c r="H110" s="283"/>
      <c r="I110" s="283"/>
      <c r="J110" s="283"/>
      <c r="K110" s="283"/>
      <c r="L110" s="283"/>
      <c r="M110" s="284"/>
    </row>
    <row r="111" spans="2:13" ht="20.100000000000001" customHeight="1" x14ac:dyDescent="0.3">
      <c r="B111" s="282"/>
      <c r="C111" s="283"/>
      <c r="D111" s="283"/>
      <c r="E111" s="283"/>
      <c r="F111" s="283"/>
      <c r="G111" s="283"/>
      <c r="H111" s="283"/>
      <c r="I111" s="283"/>
      <c r="J111" s="283"/>
      <c r="K111" s="283"/>
      <c r="L111" s="283"/>
      <c r="M111" s="284"/>
    </row>
    <row r="112" spans="2:13" ht="20.100000000000001" customHeight="1" x14ac:dyDescent="0.3">
      <c r="B112" s="282"/>
      <c r="C112" s="283"/>
      <c r="D112" s="283"/>
      <c r="E112" s="283"/>
      <c r="F112" s="283"/>
      <c r="G112" s="283"/>
      <c r="H112" s="283"/>
      <c r="I112" s="283"/>
      <c r="J112" s="283"/>
      <c r="K112" s="283"/>
      <c r="L112" s="283"/>
      <c r="M112" s="284"/>
    </row>
    <row r="113" spans="2:13" ht="20.100000000000001" customHeight="1" x14ac:dyDescent="0.3">
      <c r="B113" s="282"/>
      <c r="C113" s="283"/>
      <c r="D113" s="283"/>
      <c r="E113" s="283"/>
      <c r="F113" s="283"/>
      <c r="G113" s="283"/>
      <c r="H113" s="283"/>
      <c r="I113" s="283"/>
      <c r="J113" s="283"/>
      <c r="K113" s="283"/>
      <c r="L113" s="283"/>
      <c r="M113" s="284"/>
    </row>
    <row r="114" spans="2:13" ht="20.100000000000001" customHeight="1" x14ac:dyDescent="0.3">
      <c r="B114" s="285"/>
      <c r="C114" s="286"/>
      <c r="D114" s="286"/>
      <c r="E114" s="286"/>
      <c r="F114" s="286"/>
      <c r="G114" s="286"/>
      <c r="H114" s="286"/>
      <c r="I114" s="286"/>
      <c r="J114" s="286"/>
      <c r="K114" s="286"/>
      <c r="L114" s="286"/>
      <c r="M114" s="287"/>
    </row>
    <row r="115" spans="2:13" ht="20.100000000000001" customHeight="1" x14ac:dyDescent="0.3"/>
    <row r="116" spans="2:13" ht="20.100000000000001" customHeight="1" x14ac:dyDescent="0.3">
      <c r="B116" s="279" t="s">
        <v>790</v>
      </c>
      <c r="C116" s="290"/>
      <c r="D116" s="290"/>
      <c r="E116" s="290"/>
      <c r="F116" s="290"/>
      <c r="G116" s="290"/>
      <c r="H116" s="290"/>
      <c r="I116" s="290"/>
      <c r="J116" s="290"/>
      <c r="K116" s="290"/>
      <c r="L116" s="290"/>
      <c r="M116" s="291"/>
    </row>
    <row r="117" spans="2:13" ht="20.100000000000001" customHeight="1" x14ac:dyDescent="0.3">
      <c r="B117" s="292"/>
      <c r="C117" s="293"/>
      <c r="D117" s="293"/>
      <c r="E117" s="293"/>
      <c r="F117" s="293"/>
      <c r="G117" s="293"/>
      <c r="H117" s="293"/>
      <c r="I117" s="293"/>
      <c r="J117" s="293"/>
      <c r="K117" s="293"/>
      <c r="L117" s="293"/>
      <c r="M117" s="294"/>
    </row>
    <row r="118" spans="2:13" ht="20.100000000000001" customHeight="1" x14ac:dyDescent="0.3">
      <c r="B118" s="292"/>
      <c r="C118" s="293"/>
      <c r="D118" s="293"/>
      <c r="E118" s="293"/>
      <c r="F118" s="293"/>
      <c r="G118" s="293"/>
      <c r="H118" s="293"/>
      <c r="I118" s="293"/>
      <c r="J118" s="293"/>
      <c r="K118" s="293"/>
      <c r="L118" s="293"/>
      <c r="M118" s="294"/>
    </row>
    <row r="119" spans="2:13" ht="20.100000000000001" customHeight="1" x14ac:dyDescent="0.3">
      <c r="B119" s="292"/>
      <c r="C119" s="293"/>
      <c r="D119" s="293"/>
      <c r="E119" s="293"/>
      <c r="F119" s="293"/>
      <c r="G119" s="293"/>
      <c r="H119" s="293"/>
      <c r="I119" s="293"/>
      <c r="J119" s="293"/>
      <c r="K119" s="293"/>
      <c r="L119" s="293"/>
      <c r="M119" s="294"/>
    </row>
    <row r="120" spans="2:13" ht="20.100000000000001" customHeight="1" x14ac:dyDescent="0.3">
      <c r="B120" s="292"/>
      <c r="C120" s="293"/>
      <c r="D120" s="293"/>
      <c r="E120" s="293"/>
      <c r="F120" s="293"/>
      <c r="G120" s="293"/>
      <c r="H120" s="293"/>
      <c r="I120" s="293"/>
      <c r="J120" s="293"/>
      <c r="K120" s="293"/>
      <c r="L120" s="293"/>
      <c r="M120" s="294"/>
    </row>
    <row r="121" spans="2:13" ht="20.100000000000001" customHeight="1" x14ac:dyDescent="0.3">
      <c r="B121" s="292"/>
      <c r="C121" s="293"/>
      <c r="D121" s="293"/>
      <c r="E121" s="293"/>
      <c r="F121" s="293"/>
      <c r="G121" s="293"/>
      <c r="H121" s="293"/>
      <c r="I121" s="293"/>
      <c r="J121" s="293"/>
      <c r="K121" s="293"/>
      <c r="L121" s="293"/>
      <c r="M121" s="294"/>
    </row>
    <row r="122" spans="2:13" ht="20.100000000000001" customHeight="1" x14ac:dyDescent="0.3">
      <c r="B122" s="292"/>
      <c r="C122" s="293"/>
      <c r="D122" s="293"/>
      <c r="E122" s="293"/>
      <c r="F122" s="293"/>
      <c r="G122" s="293"/>
      <c r="H122" s="293"/>
      <c r="I122" s="293"/>
      <c r="J122" s="293"/>
      <c r="K122" s="293"/>
      <c r="L122" s="293"/>
      <c r="M122" s="294"/>
    </row>
    <row r="123" spans="2:13" ht="20.100000000000001" customHeight="1" x14ac:dyDescent="0.3">
      <c r="B123" s="292"/>
      <c r="C123" s="293"/>
      <c r="D123" s="293"/>
      <c r="E123" s="293"/>
      <c r="F123" s="293"/>
      <c r="G123" s="293"/>
      <c r="H123" s="293"/>
      <c r="I123" s="293"/>
      <c r="J123" s="293"/>
      <c r="K123" s="293"/>
      <c r="L123" s="293"/>
      <c r="M123" s="294"/>
    </row>
    <row r="124" spans="2:13" ht="20.100000000000001" customHeight="1" x14ac:dyDescent="0.3">
      <c r="B124" s="292"/>
      <c r="C124" s="293"/>
      <c r="D124" s="293"/>
      <c r="E124" s="293"/>
      <c r="F124" s="293"/>
      <c r="G124" s="293"/>
      <c r="H124" s="293"/>
      <c r="I124" s="293"/>
      <c r="J124" s="293"/>
      <c r="K124" s="293"/>
      <c r="L124" s="293"/>
      <c r="M124" s="294"/>
    </row>
    <row r="125" spans="2:13" ht="20.100000000000001" customHeight="1" x14ac:dyDescent="0.3">
      <c r="B125" s="292"/>
      <c r="C125" s="293"/>
      <c r="D125" s="293"/>
      <c r="E125" s="293"/>
      <c r="F125" s="293"/>
      <c r="G125" s="293"/>
      <c r="H125" s="293"/>
      <c r="I125" s="293"/>
      <c r="J125" s="293"/>
      <c r="K125" s="293"/>
      <c r="L125" s="293"/>
      <c r="M125" s="294"/>
    </row>
    <row r="126" spans="2:13" ht="20.100000000000001" customHeight="1" x14ac:dyDescent="0.3">
      <c r="B126" s="292"/>
      <c r="C126" s="293"/>
      <c r="D126" s="293"/>
      <c r="E126" s="293"/>
      <c r="F126" s="293"/>
      <c r="G126" s="293"/>
      <c r="H126" s="293"/>
      <c r="I126" s="293"/>
      <c r="J126" s="293"/>
      <c r="K126" s="293"/>
      <c r="L126" s="293"/>
      <c r="M126" s="294"/>
    </row>
    <row r="127" spans="2:13" ht="20.100000000000001" customHeight="1" x14ac:dyDescent="0.3">
      <c r="B127" s="292"/>
      <c r="C127" s="293"/>
      <c r="D127" s="293"/>
      <c r="E127" s="293"/>
      <c r="F127" s="293"/>
      <c r="G127" s="293"/>
      <c r="H127" s="293"/>
      <c r="I127" s="293"/>
      <c r="J127" s="293"/>
      <c r="K127" s="293"/>
      <c r="L127" s="293"/>
      <c r="M127" s="294"/>
    </row>
    <row r="128" spans="2:13" ht="20.100000000000001" customHeight="1" x14ac:dyDescent="0.3">
      <c r="B128" s="292"/>
      <c r="C128" s="293"/>
      <c r="D128" s="293"/>
      <c r="E128" s="293"/>
      <c r="F128" s="293"/>
      <c r="G128" s="293"/>
      <c r="H128" s="293"/>
      <c r="I128" s="293"/>
      <c r="J128" s="293"/>
      <c r="K128" s="293"/>
      <c r="L128" s="293"/>
      <c r="M128" s="294"/>
    </row>
    <row r="129" spans="2:18" ht="20.100000000000001" customHeight="1" x14ac:dyDescent="0.3">
      <c r="B129" s="292"/>
      <c r="C129" s="293"/>
      <c r="D129" s="293"/>
      <c r="E129" s="293"/>
      <c r="F129" s="293"/>
      <c r="G129" s="293"/>
      <c r="H129" s="293"/>
      <c r="I129" s="293"/>
      <c r="J129" s="293"/>
      <c r="K129" s="293"/>
      <c r="L129" s="293"/>
      <c r="M129" s="294"/>
    </row>
    <row r="130" spans="2:18" ht="20.100000000000001" customHeight="1" x14ac:dyDescent="0.3">
      <c r="B130" s="292"/>
      <c r="C130" s="293"/>
      <c r="D130" s="293"/>
      <c r="E130" s="293"/>
      <c r="F130" s="293"/>
      <c r="G130" s="293"/>
      <c r="H130" s="293"/>
      <c r="I130" s="293"/>
      <c r="J130" s="293"/>
      <c r="K130" s="293"/>
      <c r="L130" s="293"/>
      <c r="M130" s="294"/>
    </row>
    <row r="131" spans="2:18" ht="20.100000000000001" customHeight="1" x14ac:dyDescent="0.3">
      <c r="B131" s="292"/>
      <c r="C131" s="293"/>
      <c r="D131" s="293"/>
      <c r="E131" s="293"/>
      <c r="F131" s="293"/>
      <c r="G131" s="293"/>
      <c r="H131" s="293"/>
      <c r="I131" s="293"/>
      <c r="J131" s="293"/>
      <c r="K131" s="293"/>
      <c r="L131" s="293"/>
      <c r="M131" s="294"/>
    </row>
    <row r="132" spans="2:18" ht="20.100000000000001" customHeight="1" x14ac:dyDescent="0.3">
      <c r="B132" s="295"/>
      <c r="C132" s="296"/>
      <c r="D132" s="296"/>
      <c r="E132" s="296"/>
      <c r="F132" s="296"/>
      <c r="G132" s="296"/>
      <c r="H132" s="296"/>
      <c r="I132" s="296"/>
      <c r="J132" s="296"/>
      <c r="K132" s="296"/>
      <c r="L132" s="296"/>
      <c r="M132" s="297"/>
    </row>
    <row r="134" spans="2:18" x14ac:dyDescent="0.3">
      <c r="B134" s="300" t="s">
        <v>686</v>
      </c>
      <c r="C134" s="300"/>
      <c r="D134" s="300"/>
      <c r="E134" s="300"/>
      <c r="F134" s="300"/>
      <c r="G134" s="300"/>
      <c r="H134" s="300"/>
      <c r="I134" s="300"/>
      <c r="J134" s="300"/>
      <c r="K134" s="300"/>
      <c r="L134" s="300"/>
      <c r="M134" s="300"/>
      <c r="N134" s="300"/>
      <c r="O134" s="300"/>
      <c r="P134" s="300"/>
      <c r="Q134" s="300"/>
      <c r="R134" s="300"/>
    </row>
    <row r="135" spans="2:18" ht="5.0999999999999996" customHeight="1" x14ac:dyDescent="0.3"/>
    <row r="136" spans="2:18" ht="15" customHeight="1" x14ac:dyDescent="0.3">
      <c r="B136" s="323" t="s">
        <v>511</v>
      </c>
      <c r="C136" s="325" t="s">
        <v>535</v>
      </c>
      <c r="D136" s="326"/>
      <c r="E136" s="325" t="s">
        <v>512</v>
      </c>
      <c r="F136" s="329"/>
      <c r="G136" s="329"/>
      <c r="H136" s="326"/>
      <c r="I136" s="325" t="s">
        <v>668</v>
      </c>
      <c r="J136" s="326"/>
      <c r="K136" s="320" t="s">
        <v>684</v>
      </c>
      <c r="L136" s="321"/>
      <c r="M136" s="322"/>
      <c r="N136" s="320" t="s">
        <v>685</v>
      </c>
      <c r="O136" s="321"/>
      <c r="P136" s="322"/>
    </row>
    <row r="137" spans="2:18" ht="15" customHeight="1" x14ac:dyDescent="0.3">
      <c r="B137" s="324"/>
      <c r="C137" s="327"/>
      <c r="D137" s="328"/>
      <c r="E137" s="327"/>
      <c r="F137" s="330"/>
      <c r="G137" s="330"/>
      <c r="H137" s="328"/>
      <c r="I137" s="327"/>
      <c r="J137" s="328"/>
      <c r="K137" s="274" t="s">
        <v>481</v>
      </c>
      <c r="L137" s="274" t="s">
        <v>482</v>
      </c>
      <c r="M137" s="275" t="s">
        <v>455</v>
      </c>
      <c r="N137" s="274" t="s">
        <v>481</v>
      </c>
      <c r="O137" s="274" t="s">
        <v>482</v>
      </c>
      <c r="P137" s="275" t="s">
        <v>455</v>
      </c>
    </row>
    <row r="138" spans="2:18" ht="30" customHeight="1" x14ac:dyDescent="0.3">
      <c r="B138" s="210" t="s">
        <v>658</v>
      </c>
      <c r="C138" s="310" t="s">
        <v>625</v>
      </c>
      <c r="D138" s="312"/>
      <c r="E138" s="319" t="s">
        <v>689</v>
      </c>
      <c r="F138" s="319"/>
      <c r="G138" s="319"/>
      <c r="H138" s="319"/>
      <c r="I138" s="310" t="s">
        <v>740</v>
      </c>
      <c r="J138" s="312"/>
      <c r="K138" s="221" t="s">
        <v>683</v>
      </c>
      <c r="L138" s="221" t="s">
        <v>682</v>
      </c>
      <c r="M138" s="222"/>
      <c r="N138" s="221" t="s">
        <v>683</v>
      </c>
      <c r="O138" s="221"/>
      <c r="P138" s="222" t="s">
        <v>682</v>
      </c>
    </row>
    <row r="139" spans="2:18" ht="30" customHeight="1" x14ac:dyDescent="0.3">
      <c r="B139" s="310" t="s">
        <v>652</v>
      </c>
      <c r="C139" s="311"/>
      <c r="D139" s="311"/>
      <c r="E139" s="311"/>
      <c r="F139" s="311"/>
      <c r="G139" s="311"/>
      <c r="H139" s="311"/>
      <c r="I139" s="311"/>
      <c r="J139" s="312"/>
      <c r="K139" s="221"/>
      <c r="L139" s="221" t="s">
        <v>682</v>
      </c>
      <c r="M139" s="222"/>
      <c r="N139" s="221"/>
      <c r="O139" s="221"/>
      <c r="P139" s="222" t="s">
        <v>682</v>
      </c>
    </row>
    <row r="140" spans="2:18" ht="30" customHeight="1" x14ac:dyDescent="0.3">
      <c r="B140" s="210" t="s">
        <v>659</v>
      </c>
      <c r="C140" s="310" t="s">
        <v>626</v>
      </c>
      <c r="D140" s="312"/>
      <c r="E140" s="319" t="s">
        <v>687</v>
      </c>
      <c r="F140" s="319"/>
      <c r="G140" s="319"/>
      <c r="H140" s="319"/>
      <c r="I140" s="310" t="s">
        <v>665</v>
      </c>
      <c r="J140" s="312"/>
      <c r="K140" s="221"/>
      <c r="L140" s="221" t="s">
        <v>682</v>
      </c>
      <c r="M140" s="222"/>
      <c r="N140" s="221"/>
      <c r="O140" s="221"/>
      <c r="P140" s="222" t="s">
        <v>682</v>
      </c>
    </row>
    <row r="141" spans="2:18" ht="30" customHeight="1" x14ac:dyDescent="0.3">
      <c r="B141" s="210" t="s">
        <v>660</v>
      </c>
      <c r="C141" s="310" t="s">
        <v>536</v>
      </c>
      <c r="D141" s="312"/>
      <c r="E141" s="319" t="s">
        <v>688</v>
      </c>
      <c r="F141" s="319"/>
      <c r="G141" s="319"/>
      <c r="H141" s="319"/>
      <c r="I141" s="310" t="s">
        <v>741</v>
      </c>
      <c r="J141" s="312"/>
      <c r="K141" s="221"/>
      <c r="L141" s="221" t="s">
        <v>682</v>
      </c>
      <c r="M141" s="222"/>
      <c r="N141" s="221"/>
      <c r="O141" s="221"/>
      <c r="P141" s="222" t="s">
        <v>682</v>
      </c>
    </row>
    <row r="142" spans="2:18" ht="30" customHeight="1" x14ac:dyDescent="0.3">
      <c r="B142" s="310" t="s">
        <v>652</v>
      </c>
      <c r="C142" s="311"/>
      <c r="D142" s="311"/>
      <c r="E142" s="311"/>
      <c r="F142" s="311"/>
      <c r="G142" s="311"/>
      <c r="H142" s="311"/>
      <c r="I142" s="311"/>
      <c r="J142" s="312"/>
      <c r="K142" s="221"/>
      <c r="L142" s="221" t="s">
        <v>682</v>
      </c>
      <c r="M142" s="222"/>
      <c r="N142" s="221"/>
      <c r="O142" s="221"/>
      <c r="P142" s="222" t="s">
        <v>682</v>
      </c>
    </row>
    <row r="143" spans="2:18" ht="30" customHeight="1" x14ac:dyDescent="0.3">
      <c r="B143" s="211" t="s">
        <v>661</v>
      </c>
      <c r="C143" s="313" t="s">
        <v>627</v>
      </c>
      <c r="D143" s="313"/>
      <c r="E143" s="314" t="s">
        <v>690</v>
      </c>
      <c r="F143" s="315"/>
      <c r="G143" s="315"/>
      <c r="H143" s="316"/>
      <c r="I143" s="310" t="s">
        <v>679</v>
      </c>
      <c r="J143" s="312"/>
      <c r="K143" s="221"/>
      <c r="L143" s="221" t="s">
        <v>743</v>
      </c>
      <c r="M143" s="222"/>
      <c r="N143" s="221"/>
      <c r="O143" s="221"/>
      <c r="P143" s="222" t="s">
        <v>743</v>
      </c>
    </row>
    <row r="145" spans="2:18" outlineLevel="1" x14ac:dyDescent="0.3">
      <c r="B145" s="300" t="s">
        <v>666</v>
      </c>
      <c r="C145" s="300"/>
      <c r="D145" s="300"/>
      <c r="E145" s="300"/>
      <c r="F145" s="300"/>
      <c r="G145" s="300"/>
      <c r="H145" s="300"/>
      <c r="I145" s="300"/>
      <c r="J145" s="300"/>
      <c r="K145" s="300"/>
      <c r="L145" s="300"/>
      <c r="M145" s="300"/>
      <c r="N145" s="300"/>
      <c r="O145" s="300"/>
      <c r="P145" s="300"/>
      <c r="Q145" s="300"/>
      <c r="R145" s="300"/>
    </row>
    <row r="146" spans="2:18" ht="5.0999999999999996" customHeight="1" outlineLevel="1" x14ac:dyDescent="0.3"/>
    <row r="147" spans="2:18" ht="15" customHeight="1" outlineLevel="1" x14ac:dyDescent="0.3">
      <c r="B147" s="323" t="s">
        <v>511</v>
      </c>
      <c r="C147" s="325" t="s">
        <v>535</v>
      </c>
      <c r="D147" s="326"/>
      <c r="E147" s="325" t="s">
        <v>512</v>
      </c>
      <c r="F147" s="329"/>
      <c r="G147" s="329"/>
      <c r="H147" s="326"/>
      <c r="I147" s="325" t="s">
        <v>668</v>
      </c>
      <c r="J147" s="326"/>
      <c r="K147" s="320" t="s">
        <v>684</v>
      </c>
      <c r="L147" s="321"/>
      <c r="M147" s="322"/>
      <c r="N147" s="320" t="s">
        <v>685</v>
      </c>
      <c r="O147" s="321"/>
      <c r="P147" s="322"/>
    </row>
    <row r="148" spans="2:18" ht="15" customHeight="1" outlineLevel="1" x14ac:dyDescent="0.3">
      <c r="B148" s="324"/>
      <c r="C148" s="327"/>
      <c r="D148" s="328"/>
      <c r="E148" s="327"/>
      <c r="F148" s="330"/>
      <c r="G148" s="330"/>
      <c r="H148" s="328"/>
      <c r="I148" s="327"/>
      <c r="J148" s="328"/>
      <c r="K148" s="274" t="s">
        <v>481</v>
      </c>
      <c r="L148" s="274" t="s">
        <v>482</v>
      </c>
      <c r="M148" s="275" t="s">
        <v>455</v>
      </c>
      <c r="N148" s="274" t="s">
        <v>481</v>
      </c>
      <c r="O148" s="274" t="s">
        <v>482</v>
      </c>
      <c r="P148" s="275" t="s">
        <v>455</v>
      </c>
    </row>
    <row r="149" spans="2:18" ht="30" customHeight="1" outlineLevel="1" x14ac:dyDescent="0.3">
      <c r="B149" s="210" t="s">
        <v>751</v>
      </c>
      <c r="C149" s="310" t="s">
        <v>625</v>
      </c>
      <c r="D149" s="312"/>
      <c r="E149" s="319" t="s">
        <v>753</v>
      </c>
      <c r="F149" s="319"/>
      <c r="G149" s="319"/>
      <c r="H149" s="319"/>
      <c r="I149" s="310" t="s">
        <v>752</v>
      </c>
      <c r="J149" s="312"/>
      <c r="K149" s="221"/>
      <c r="L149" s="221"/>
      <c r="M149" s="222"/>
      <c r="N149" s="221" t="s">
        <v>683</v>
      </c>
      <c r="O149" s="221"/>
      <c r="P149" s="222"/>
    </row>
    <row r="150" spans="2:18" ht="30" customHeight="1" outlineLevel="1" x14ac:dyDescent="0.3">
      <c r="B150" s="210" t="s">
        <v>658</v>
      </c>
      <c r="C150" s="310" t="s">
        <v>625</v>
      </c>
      <c r="D150" s="312"/>
      <c r="E150" s="319" t="s">
        <v>672</v>
      </c>
      <c r="F150" s="319"/>
      <c r="G150" s="319"/>
      <c r="H150" s="319"/>
      <c r="I150" s="310" t="s">
        <v>742</v>
      </c>
      <c r="J150" s="312"/>
      <c r="K150" s="221" t="s">
        <v>682</v>
      </c>
      <c r="L150" s="221"/>
      <c r="M150" s="222"/>
      <c r="N150" s="221"/>
      <c r="O150" s="221"/>
      <c r="P150" s="222" t="s">
        <v>682</v>
      </c>
    </row>
    <row r="151" spans="2:18" ht="30" customHeight="1" outlineLevel="1" x14ac:dyDescent="0.3">
      <c r="B151" s="310" t="s">
        <v>652</v>
      </c>
      <c r="C151" s="311"/>
      <c r="D151" s="311"/>
      <c r="E151" s="311"/>
      <c r="F151" s="311"/>
      <c r="G151" s="311"/>
      <c r="H151" s="311"/>
      <c r="I151" s="311"/>
      <c r="J151" s="312"/>
      <c r="K151" s="221" t="s">
        <v>682</v>
      </c>
      <c r="L151" s="221"/>
      <c r="M151" s="222"/>
      <c r="N151" s="221"/>
      <c r="O151" s="221"/>
      <c r="P151" s="222" t="s">
        <v>682</v>
      </c>
    </row>
    <row r="152" spans="2:18" ht="30" customHeight="1" outlineLevel="1" x14ac:dyDescent="0.3">
      <c r="B152" s="210" t="s">
        <v>659</v>
      </c>
      <c r="C152" s="310" t="s">
        <v>626</v>
      </c>
      <c r="D152" s="312"/>
      <c r="E152" s="319" t="s">
        <v>537</v>
      </c>
      <c r="F152" s="319"/>
      <c r="G152" s="319"/>
      <c r="H152" s="319"/>
      <c r="I152" s="310" t="s">
        <v>665</v>
      </c>
      <c r="J152" s="312"/>
      <c r="K152" s="221" t="s">
        <v>763</v>
      </c>
      <c r="L152" s="221"/>
      <c r="M152" s="222"/>
      <c r="N152" s="221"/>
      <c r="O152" s="221"/>
      <c r="P152" s="222" t="s">
        <v>682</v>
      </c>
    </row>
    <row r="153" spans="2:18" ht="30" customHeight="1" outlineLevel="1" x14ac:dyDescent="0.3">
      <c r="B153" s="210" t="s">
        <v>660</v>
      </c>
      <c r="C153" s="310" t="s">
        <v>536</v>
      </c>
      <c r="D153" s="312"/>
      <c r="E153" s="319" t="s">
        <v>538</v>
      </c>
      <c r="F153" s="319"/>
      <c r="G153" s="319"/>
      <c r="H153" s="319"/>
      <c r="I153" s="310" t="s">
        <v>741</v>
      </c>
      <c r="J153" s="312"/>
      <c r="K153" s="221"/>
      <c r="L153" s="221" t="s">
        <v>762</v>
      </c>
      <c r="M153" s="222"/>
      <c r="N153" s="221"/>
      <c r="O153" s="221"/>
      <c r="P153" s="222" t="s">
        <v>682</v>
      </c>
    </row>
    <row r="154" spans="2:18" ht="30" customHeight="1" outlineLevel="1" x14ac:dyDescent="0.3">
      <c r="B154" s="310" t="s">
        <v>652</v>
      </c>
      <c r="C154" s="311"/>
      <c r="D154" s="311"/>
      <c r="E154" s="311"/>
      <c r="F154" s="311"/>
      <c r="G154" s="311"/>
      <c r="H154" s="311"/>
      <c r="I154" s="311"/>
      <c r="J154" s="312"/>
      <c r="K154" s="221"/>
      <c r="L154" s="221" t="s">
        <v>682</v>
      </c>
      <c r="M154" s="222"/>
      <c r="N154" s="221"/>
      <c r="O154" s="221"/>
      <c r="P154" s="222" t="s">
        <v>682</v>
      </c>
    </row>
    <row r="155" spans="2:18" ht="30" customHeight="1" outlineLevel="1" x14ac:dyDescent="0.3">
      <c r="B155" s="211" t="s">
        <v>661</v>
      </c>
      <c r="C155" s="313" t="s">
        <v>627</v>
      </c>
      <c r="D155" s="313"/>
      <c r="E155" s="314" t="s">
        <v>673</v>
      </c>
      <c r="F155" s="315"/>
      <c r="G155" s="315"/>
      <c r="H155" s="316"/>
      <c r="I155" s="310" t="s">
        <v>679</v>
      </c>
      <c r="J155" s="312"/>
      <c r="K155" s="221"/>
      <c r="L155" s="221" t="s">
        <v>762</v>
      </c>
      <c r="M155" s="222"/>
      <c r="N155" s="221"/>
      <c r="O155" s="221"/>
      <c r="P155" s="222" t="s">
        <v>750</v>
      </c>
    </row>
    <row r="156" spans="2:18" outlineLevel="1" x14ac:dyDescent="0.3"/>
    <row r="157" spans="2:18" x14ac:dyDescent="0.3">
      <c r="B157" s="300" t="s">
        <v>777</v>
      </c>
      <c r="C157" s="300"/>
      <c r="D157" s="300"/>
      <c r="E157" s="300"/>
      <c r="F157" s="300"/>
      <c r="G157" s="300"/>
      <c r="H157" s="300"/>
      <c r="I157" s="300"/>
      <c r="J157" s="300"/>
      <c r="K157" s="300"/>
      <c r="L157" s="300"/>
      <c r="M157" s="300"/>
      <c r="N157" s="300"/>
      <c r="O157" s="300"/>
      <c r="P157" s="300"/>
      <c r="Q157" s="300"/>
      <c r="R157" s="300"/>
    </row>
    <row r="158" spans="2:18" ht="5.0999999999999996" customHeight="1" x14ac:dyDescent="0.3"/>
    <row r="159" spans="2:18" ht="15" customHeight="1" x14ac:dyDescent="0.3">
      <c r="B159" s="323" t="s">
        <v>511</v>
      </c>
      <c r="C159" s="325" t="s">
        <v>535</v>
      </c>
      <c r="D159" s="326"/>
      <c r="E159" s="325" t="s">
        <v>512</v>
      </c>
      <c r="F159" s="329"/>
      <c r="G159" s="329"/>
      <c r="H159" s="326"/>
      <c r="I159" s="325" t="s">
        <v>668</v>
      </c>
      <c r="J159" s="326"/>
      <c r="K159" s="320" t="s">
        <v>684</v>
      </c>
      <c r="L159" s="321"/>
      <c r="M159" s="322"/>
      <c r="N159" s="320" t="s">
        <v>685</v>
      </c>
      <c r="O159" s="321"/>
      <c r="P159" s="322"/>
    </row>
    <row r="160" spans="2:18" ht="15" customHeight="1" x14ac:dyDescent="0.3">
      <c r="B160" s="324"/>
      <c r="C160" s="327"/>
      <c r="D160" s="328"/>
      <c r="E160" s="327"/>
      <c r="F160" s="330"/>
      <c r="G160" s="330"/>
      <c r="H160" s="328"/>
      <c r="I160" s="327"/>
      <c r="J160" s="328"/>
      <c r="K160" s="274" t="s">
        <v>481</v>
      </c>
      <c r="L160" s="274" t="s">
        <v>482</v>
      </c>
      <c r="M160" s="275" t="s">
        <v>455</v>
      </c>
      <c r="N160" s="274" t="s">
        <v>481</v>
      </c>
      <c r="O160" s="274" t="s">
        <v>482</v>
      </c>
      <c r="P160" s="275" t="s">
        <v>455</v>
      </c>
    </row>
    <row r="161" spans="2:16" ht="30" customHeight="1" x14ac:dyDescent="0.3">
      <c r="B161" s="210" t="s">
        <v>751</v>
      </c>
      <c r="C161" s="310" t="s">
        <v>779</v>
      </c>
      <c r="D161" s="312"/>
      <c r="E161" s="319" t="s">
        <v>753</v>
      </c>
      <c r="F161" s="319"/>
      <c r="G161" s="319"/>
      <c r="H161" s="319"/>
      <c r="I161" s="310" t="s">
        <v>752</v>
      </c>
      <c r="J161" s="312"/>
      <c r="K161" s="221" t="s">
        <v>743</v>
      </c>
      <c r="L161" s="221"/>
      <c r="M161" s="222"/>
      <c r="N161" s="221" t="s">
        <v>743</v>
      </c>
      <c r="O161" s="221"/>
      <c r="P161" s="222"/>
    </row>
    <row r="162" spans="2:16" ht="30" customHeight="1" x14ac:dyDescent="0.3">
      <c r="B162" s="210" t="s">
        <v>658</v>
      </c>
      <c r="C162" s="310" t="s">
        <v>625</v>
      </c>
      <c r="D162" s="312"/>
      <c r="E162" s="319" t="s">
        <v>781</v>
      </c>
      <c r="F162" s="319"/>
      <c r="G162" s="319"/>
      <c r="H162" s="319"/>
      <c r="I162" s="310" t="s">
        <v>742</v>
      </c>
      <c r="J162" s="312"/>
      <c r="K162" s="221" t="s">
        <v>682</v>
      </c>
      <c r="L162" s="221"/>
      <c r="M162" s="222"/>
      <c r="N162" s="221"/>
      <c r="O162" s="221"/>
      <c r="P162" s="222" t="s">
        <v>682</v>
      </c>
    </row>
    <row r="163" spans="2:16" ht="30" customHeight="1" x14ac:dyDescent="0.3">
      <c r="B163" s="310" t="s">
        <v>652</v>
      </c>
      <c r="C163" s="311"/>
      <c r="D163" s="311"/>
      <c r="E163" s="311"/>
      <c r="F163" s="311"/>
      <c r="G163" s="311"/>
      <c r="H163" s="311"/>
      <c r="I163" s="311"/>
      <c r="J163" s="312"/>
      <c r="K163" s="221" t="s">
        <v>682</v>
      </c>
      <c r="L163" s="221"/>
      <c r="M163" s="222"/>
      <c r="N163" s="221"/>
      <c r="O163" s="221"/>
      <c r="P163" s="222" t="s">
        <v>682</v>
      </c>
    </row>
    <row r="164" spans="2:16" ht="30" customHeight="1" x14ac:dyDescent="0.3">
      <c r="B164" s="210" t="s">
        <v>659</v>
      </c>
      <c r="C164" s="310" t="s">
        <v>626</v>
      </c>
      <c r="D164" s="312"/>
      <c r="E164" s="319" t="s">
        <v>687</v>
      </c>
      <c r="F164" s="319"/>
      <c r="G164" s="319"/>
      <c r="H164" s="319"/>
      <c r="I164" s="310" t="s">
        <v>665</v>
      </c>
      <c r="J164" s="312"/>
      <c r="K164" s="221" t="s">
        <v>682</v>
      </c>
      <c r="L164" s="221"/>
      <c r="M164" s="222"/>
      <c r="N164" s="221"/>
      <c r="O164" s="221"/>
      <c r="P164" s="222" t="s">
        <v>682</v>
      </c>
    </row>
    <row r="165" spans="2:16" ht="30" customHeight="1" x14ac:dyDescent="0.3">
      <c r="B165" s="210" t="s">
        <v>660</v>
      </c>
      <c r="C165" s="310" t="s">
        <v>536</v>
      </c>
      <c r="D165" s="312"/>
      <c r="E165" s="319" t="s">
        <v>688</v>
      </c>
      <c r="F165" s="319"/>
      <c r="G165" s="319"/>
      <c r="H165" s="319"/>
      <c r="I165" s="310" t="s">
        <v>741</v>
      </c>
      <c r="J165" s="312"/>
      <c r="K165" s="221" t="s">
        <v>762</v>
      </c>
      <c r="L165" s="221"/>
      <c r="M165" s="222"/>
      <c r="N165" s="221"/>
      <c r="O165" s="221"/>
      <c r="P165" s="222" t="s">
        <v>682</v>
      </c>
    </row>
    <row r="166" spans="2:16" ht="30" customHeight="1" x14ac:dyDescent="0.3">
      <c r="B166" s="310" t="s">
        <v>652</v>
      </c>
      <c r="C166" s="311"/>
      <c r="D166" s="311"/>
      <c r="E166" s="311"/>
      <c r="F166" s="311"/>
      <c r="G166" s="311"/>
      <c r="H166" s="311"/>
      <c r="I166" s="311"/>
      <c r="J166" s="312"/>
      <c r="K166" s="221" t="s">
        <v>682</v>
      </c>
      <c r="L166" s="221"/>
      <c r="M166" s="222"/>
      <c r="N166" s="221"/>
      <c r="O166" s="221"/>
      <c r="P166" s="222" t="s">
        <v>682</v>
      </c>
    </row>
    <row r="167" spans="2:16" ht="30" customHeight="1" x14ac:dyDescent="0.3">
      <c r="B167" s="211" t="s">
        <v>661</v>
      </c>
      <c r="C167" s="313" t="s">
        <v>627</v>
      </c>
      <c r="D167" s="313"/>
      <c r="E167" s="314" t="s">
        <v>780</v>
      </c>
      <c r="F167" s="315"/>
      <c r="G167" s="315"/>
      <c r="H167" s="316"/>
      <c r="I167" s="310" t="s">
        <v>679</v>
      </c>
      <c r="J167" s="312"/>
      <c r="K167" s="221" t="s">
        <v>778</v>
      </c>
      <c r="L167" s="221"/>
      <c r="M167" s="222"/>
      <c r="N167" s="221"/>
      <c r="O167" s="221"/>
      <c r="P167" s="222" t="s">
        <v>750</v>
      </c>
    </row>
    <row r="169" spans="2:16" x14ac:dyDescent="0.3">
      <c r="B169" s="298" t="s">
        <v>791</v>
      </c>
      <c r="C169" s="299"/>
      <c r="D169" s="299"/>
      <c r="E169" s="299"/>
      <c r="F169" s="299"/>
      <c r="G169" s="299"/>
      <c r="H169" s="299"/>
      <c r="I169" s="299"/>
      <c r="J169" s="299"/>
      <c r="K169" s="299"/>
      <c r="L169" s="299"/>
    </row>
    <row r="170" spans="2:16" x14ac:dyDescent="0.3">
      <c r="B170" s="299"/>
      <c r="C170" s="299"/>
      <c r="D170" s="299"/>
      <c r="E170" s="299"/>
      <c r="F170" s="299"/>
      <c r="G170" s="299"/>
      <c r="H170" s="299"/>
      <c r="I170" s="299"/>
      <c r="J170" s="299"/>
      <c r="K170" s="299"/>
      <c r="L170" s="299"/>
    </row>
    <row r="171" spans="2:16" x14ac:dyDescent="0.3">
      <c r="B171" s="299"/>
      <c r="C171" s="299"/>
      <c r="D171" s="299"/>
      <c r="E171" s="299"/>
      <c r="F171" s="299"/>
      <c r="G171" s="299"/>
      <c r="H171" s="299"/>
      <c r="I171" s="299"/>
      <c r="J171" s="299"/>
      <c r="K171" s="299"/>
      <c r="L171" s="299"/>
    </row>
    <row r="172" spans="2:16" x14ac:dyDescent="0.3">
      <c r="B172" s="299"/>
      <c r="C172" s="299"/>
      <c r="D172" s="299"/>
      <c r="E172" s="299"/>
      <c r="F172" s="299"/>
      <c r="G172" s="299"/>
      <c r="H172" s="299"/>
      <c r="I172" s="299"/>
      <c r="J172" s="299"/>
      <c r="K172" s="299"/>
      <c r="L172" s="299"/>
    </row>
    <row r="173" spans="2:16" x14ac:dyDescent="0.3">
      <c r="B173" s="299"/>
      <c r="C173" s="299"/>
      <c r="D173" s="299"/>
      <c r="E173" s="299"/>
      <c r="F173" s="299"/>
      <c r="G173" s="299"/>
      <c r="H173" s="299"/>
      <c r="I173" s="299"/>
      <c r="J173" s="299"/>
      <c r="K173" s="299"/>
      <c r="L173" s="299"/>
    </row>
    <row r="175" spans="2:16" x14ac:dyDescent="0.3">
      <c r="B175" s="153" t="s">
        <v>624</v>
      </c>
    </row>
    <row r="176" spans="2:16" ht="5.0999999999999996" customHeight="1" x14ac:dyDescent="0.3"/>
    <row r="177" spans="2:12" ht="15" customHeight="1" x14ac:dyDescent="0.3">
      <c r="B177" s="317" t="s">
        <v>529</v>
      </c>
      <c r="C177" s="317"/>
      <c r="D177" s="317"/>
      <c r="E177" s="317"/>
      <c r="F177" s="318" t="s">
        <v>530</v>
      </c>
      <c r="G177" s="318"/>
      <c r="H177" s="318"/>
      <c r="I177" s="318"/>
      <c r="J177" s="318"/>
      <c r="K177" s="318"/>
    </row>
    <row r="178" spans="2:12" ht="30" customHeight="1" x14ac:dyDescent="0.3">
      <c r="B178" s="309" t="s">
        <v>531</v>
      </c>
      <c r="C178" s="309"/>
      <c r="D178" s="309"/>
      <c r="E178" s="309"/>
      <c r="F178" s="308" t="s">
        <v>518</v>
      </c>
      <c r="G178" s="308"/>
      <c r="H178" s="308"/>
      <c r="I178" s="308"/>
      <c r="J178" s="308"/>
      <c r="K178" s="308"/>
    </row>
    <row r="179" spans="2:12" ht="30" customHeight="1" x14ac:dyDescent="0.3">
      <c r="B179" s="308" t="s">
        <v>532</v>
      </c>
      <c r="C179" s="308"/>
      <c r="D179" s="308"/>
      <c r="E179" s="308"/>
      <c r="F179" s="308" t="s">
        <v>520</v>
      </c>
      <c r="G179" s="308"/>
      <c r="H179" s="308"/>
      <c r="I179" s="308"/>
      <c r="J179" s="308"/>
      <c r="K179" s="308"/>
    </row>
    <row r="180" spans="2:12" ht="30" customHeight="1" x14ac:dyDescent="0.3">
      <c r="B180" s="308" t="s">
        <v>650</v>
      </c>
      <c r="C180" s="308"/>
      <c r="D180" s="308"/>
      <c r="E180" s="308"/>
      <c r="F180" s="308" t="s">
        <v>522</v>
      </c>
      <c r="G180" s="308"/>
      <c r="H180" s="308"/>
      <c r="I180" s="308"/>
      <c r="J180" s="308"/>
      <c r="K180" s="308"/>
    </row>
    <row r="181" spans="2:12" ht="45" customHeight="1" x14ac:dyDescent="0.3">
      <c r="B181" s="308" t="s">
        <v>533</v>
      </c>
      <c r="C181" s="308"/>
      <c r="D181" s="308"/>
      <c r="E181" s="308"/>
      <c r="F181" s="308" t="s">
        <v>523</v>
      </c>
      <c r="G181" s="308"/>
      <c r="H181" s="308"/>
      <c r="I181" s="308"/>
      <c r="J181" s="308"/>
      <c r="K181" s="308"/>
    </row>
    <row r="182" spans="2:12" ht="45" customHeight="1" x14ac:dyDescent="0.3">
      <c r="B182" s="308" t="s">
        <v>534</v>
      </c>
      <c r="C182" s="308"/>
      <c r="D182" s="308"/>
      <c r="E182" s="308"/>
      <c r="F182" s="308" t="s">
        <v>524</v>
      </c>
      <c r="G182" s="308"/>
      <c r="H182" s="308"/>
      <c r="I182" s="308"/>
      <c r="J182" s="308"/>
      <c r="K182" s="308"/>
    </row>
    <row r="183" spans="2:12" ht="45" customHeight="1" x14ac:dyDescent="0.3">
      <c r="B183" s="308" t="s">
        <v>651</v>
      </c>
      <c r="C183" s="308"/>
      <c r="D183" s="308"/>
      <c r="E183" s="308"/>
      <c r="F183" s="308" t="s">
        <v>526</v>
      </c>
      <c r="G183" s="308"/>
      <c r="H183" s="308"/>
      <c r="I183" s="308"/>
      <c r="J183" s="308"/>
      <c r="K183" s="308"/>
    </row>
    <row r="185" spans="2:12" ht="20.100000000000001" customHeight="1" x14ac:dyDescent="0.3">
      <c r="B185" s="279" t="s">
        <v>809</v>
      </c>
      <c r="C185" s="280"/>
      <c r="D185" s="280"/>
      <c r="E185" s="280"/>
      <c r="F185" s="280"/>
      <c r="G185" s="280"/>
      <c r="H185" s="280"/>
      <c r="I185" s="280"/>
      <c r="J185" s="280"/>
      <c r="K185" s="280"/>
      <c r="L185" s="281"/>
    </row>
    <row r="186" spans="2:12" ht="20.100000000000001" customHeight="1" x14ac:dyDescent="0.3">
      <c r="B186" s="282"/>
      <c r="C186" s="283"/>
      <c r="D186" s="283"/>
      <c r="E186" s="283"/>
      <c r="F186" s="283"/>
      <c r="G186" s="283"/>
      <c r="H186" s="283"/>
      <c r="I186" s="283"/>
      <c r="J186" s="283"/>
      <c r="K186" s="283"/>
      <c r="L186" s="284"/>
    </row>
    <row r="187" spans="2:12" ht="20.100000000000001" customHeight="1" x14ac:dyDescent="0.3">
      <c r="B187" s="282"/>
      <c r="C187" s="283"/>
      <c r="D187" s="283"/>
      <c r="E187" s="283"/>
      <c r="F187" s="283"/>
      <c r="G187" s="283"/>
      <c r="H187" s="283"/>
      <c r="I187" s="283"/>
      <c r="J187" s="283"/>
      <c r="K187" s="283"/>
      <c r="L187" s="284"/>
    </row>
    <row r="188" spans="2:12" ht="20.100000000000001" customHeight="1" x14ac:dyDescent="0.3">
      <c r="B188" s="282"/>
      <c r="C188" s="283"/>
      <c r="D188" s="283"/>
      <c r="E188" s="283"/>
      <c r="F188" s="283"/>
      <c r="G188" s="283"/>
      <c r="H188" s="283"/>
      <c r="I188" s="283"/>
      <c r="J188" s="283"/>
      <c r="K188" s="283"/>
      <c r="L188" s="284"/>
    </row>
    <row r="189" spans="2:12" ht="20.100000000000001" customHeight="1" x14ac:dyDescent="0.3">
      <c r="B189" s="282"/>
      <c r="C189" s="283"/>
      <c r="D189" s="283"/>
      <c r="E189" s="283"/>
      <c r="F189" s="283"/>
      <c r="G189" s="283"/>
      <c r="H189" s="283"/>
      <c r="I189" s="283"/>
      <c r="J189" s="283"/>
      <c r="K189" s="283"/>
      <c r="L189" s="284"/>
    </row>
    <row r="190" spans="2:12" ht="20.100000000000001" customHeight="1" x14ac:dyDescent="0.3">
      <c r="B190" s="282"/>
      <c r="C190" s="283"/>
      <c r="D190" s="283"/>
      <c r="E190" s="283"/>
      <c r="F190" s="283"/>
      <c r="G190" s="283"/>
      <c r="H190" s="283"/>
      <c r="I190" s="283"/>
      <c r="J190" s="283"/>
      <c r="K190" s="283"/>
      <c r="L190" s="284"/>
    </row>
    <row r="191" spans="2:12" ht="20.100000000000001" customHeight="1" x14ac:dyDescent="0.3">
      <c r="B191" s="282"/>
      <c r="C191" s="283"/>
      <c r="D191" s="283"/>
      <c r="E191" s="283"/>
      <c r="F191" s="283"/>
      <c r="G191" s="283"/>
      <c r="H191" s="283"/>
      <c r="I191" s="283"/>
      <c r="J191" s="283"/>
      <c r="K191" s="283"/>
      <c r="L191" s="284"/>
    </row>
    <row r="192" spans="2:12" ht="20.100000000000001" customHeight="1" x14ac:dyDescent="0.3">
      <c r="B192" s="282"/>
      <c r="C192" s="283"/>
      <c r="D192" s="283"/>
      <c r="E192" s="283"/>
      <c r="F192" s="283"/>
      <c r="G192" s="283"/>
      <c r="H192" s="283"/>
      <c r="I192" s="283"/>
      <c r="J192" s="283"/>
      <c r="K192" s="283"/>
      <c r="L192" s="284"/>
    </row>
    <row r="193" spans="2:12" ht="20.100000000000001" customHeight="1" x14ac:dyDescent="0.3">
      <c r="B193" s="282"/>
      <c r="C193" s="283"/>
      <c r="D193" s="283"/>
      <c r="E193" s="283"/>
      <c r="F193" s="283"/>
      <c r="G193" s="283"/>
      <c r="H193" s="283"/>
      <c r="I193" s="283"/>
      <c r="J193" s="283"/>
      <c r="K193" s="283"/>
      <c r="L193" s="284"/>
    </row>
    <row r="194" spans="2:12" ht="20.100000000000001" customHeight="1" x14ac:dyDescent="0.3">
      <c r="B194" s="282"/>
      <c r="C194" s="283"/>
      <c r="D194" s="283"/>
      <c r="E194" s="283"/>
      <c r="F194" s="283"/>
      <c r="G194" s="283"/>
      <c r="H194" s="283"/>
      <c r="I194" s="283"/>
      <c r="J194" s="283"/>
      <c r="K194" s="283"/>
      <c r="L194" s="284"/>
    </row>
    <row r="195" spans="2:12" ht="20.100000000000001" customHeight="1" x14ac:dyDescent="0.3">
      <c r="B195" s="282"/>
      <c r="C195" s="283"/>
      <c r="D195" s="283"/>
      <c r="E195" s="283"/>
      <c r="F195" s="283"/>
      <c r="G195" s="283"/>
      <c r="H195" s="283"/>
      <c r="I195" s="283"/>
      <c r="J195" s="283"/>
      <c r="K195" s="283"/>
      <c r="L195" s="284"/>
    </row>
    <row r="196" spans="2:12" ht="20.100000000000001" customHeight="1" x14ac:dyDescent="0.3">
      <c r="B196" s="282"/>
      <c r="C196" s="283"/>
      <c r="D196" s="283"/>
      <c r="E196" s="283"/>
      <c r="F196" s="283"/>
      <c r="G196" s="283"/>
      <c r="H196" s="283"/>
      <c r="I196" s="283"/>
      <c r="J196" s="283"/>
      <c r="K196" s="283"/>
      <c r="L196" s="284"/>
    </row>
    <row r="197" spans="2:12" ht="20.100000000000001" customHeight="1" x14ac:dyDescent="0.3">
      <c r="B197" s="282"/>
      <c r="C197" s="283"/>
      <c r="D197" s="283"/>
      <c r="E197" s="283"/>
      <c r="F197" s="283"/>
      <c r="G197" s="283"/>
      <c r="H197" s="283"/>
      <c r="I197" s="283"/>
      <c r="J197" s="283"/>
      <c r="K197" s="283"/>
      <c r="L197" s="284"/>
    </row>
    <row r="198" spans="2:12" ht="20.100000000000001" customHeight="1" x14ac:dyDescent="0.3">
      <c r="B198" s="282"/>
      <c r="C198" s="283"/>
      <c r="D198" s="283"/>
      <c r="E198" s="283"/>
      <c r="F198" s="283"/>
      <c r="G198" s="283"/>
      <c r="H198" s="283"/>
      <c r="I198" s="283"/>
      <c r="J198" s="283"/>
      <c r="K198" s="283"/>
      <c r="L198" s="284"/>
    </row>
    <row r="199" spans="2:12" ht="20.100000000000001" customHeight="1" x14ac:dyDescent="0.3">
      <c r="B199" s="282"/>
      <c r="C199" s="283"/>
      <c r="D199" s="283"/>
      <c r="E199" s="283"/>
      <c r="F199" s="283"/>
      <c r="G199" s="283"/>
      <c r="H199" s="283"/>
      <c r="I199" s="283"/>
      <c r="J199" s="283"/>
      <c r="K199" s="283"/>
      <c r="L199" s="284"/>
    </row>
    <row r="200" spans="2:12" ht="20.100000000000001" customHeight="1" x14ac:dyDescent="0.3">
      <c r="B200" s="282"/>
      <c r="C200" s="283"/>
      <c r="D200" s="283"/>
      <c r="E200" s="283"/>
      <c r="F200" s="283"/>
      <c r="G200" s="283"/>
      <c r="H200" s="283"/>
      <c r="I200" s="283"/>
      <c r="J200" s="283"/>
      <c r="K200" s="283"/>
      <c r="L200" s="284"/>
    </row>
    <row r="201" spans="2:12" ht="20.100000000000001" customHeight="1" x14ac:dyDescent="0.3">
      <c r="B201" s="282"/>
      <c r="C201" s="283"/>
      <c r="D201" s="283"/>
      <c r="E201" s="283"/>
      <c r="F201" s="283"/>
      <c r="G201" s="283"/>
      <c r="H201" s="283"/>
      <c r="I201" s="283"/>
      <c r="J201" s="283"/>
      <c r="K201" s="283"/>
      <c r="L201" s="284"/>
    </row>
    <row r="202" spans="2:12" ht="20.100000000000001" customHeight="1" x14ac:dyDescent="0.3">
      <c r="B202" s="282"/>
      <c r="C202" s="283"/>
      <c r="D202" s="283"/>
      <c r="E202" s="283"/>
      <c r="F202" s="283"/>
      <c r="G202" s="283"/>
      <c r="H202" s="283"/>
      <c r="I202" s="283"/>
      <c r="J202" s="283"/>
      <c r="K202" s="283"/>
      <c r="L202" s="284"/>
    </row>
    <row r="203" spans="2:12" ht="20.100000000000001" customHeight="1" x14ac:dyDescent="0.3">
      <c r="B203" s="282"/>
      <c r="C203" s="283"/>
      <c r="D203" s="283"/>
      <c r="E203" s="283"/>
      <c r="F203" s="283"/>
      <c r="G203" s="283"/>
      <c r="H203" s="283"/>
      <c r="I203" s="283"/>
      <c r="J203" s="283"/>
      <c r="K203" s="283"/>
      <c r="L203" s="284"/>
    </row>
    <row r="204" spans="2:12" ht="20.100000000000001" customHeight="1" x14ac:dyDescent="0.3">
      <c r="B204" s="282"/>
      <c r="C204" s="283"/>
      <c r="D204" s="283"/>
      <c r="E204" s="283"/>
      <c r="F204" s="283"/>
      <c r="G204" s="283"/>
      <c r="H204" s="283"/>
      <c r="I204" s="283"/>
      <c r="J204" s="283"/>
      <c r="K204" s="283"/>
      <c r="L204" s="284"/>
    </row>
    <row r="205" spans="2:12" ht="20.100000000000001" customHeight="1" x14ac:dyDescent="0.3">
      <c r="B205" s="282"/>
      <c r="C205" s="283"/>
      <c r="D205" s="283"/>
      <c r="E205" s="283"/>
      <c r="F205" s="283"/>
      <c r="G205" s="283"/>
      <c r="H205" s="283"/>
      <c r="I205" s="283"/>
      <c r="J205" s="283"/>
      <c r="K205" s="283"/>
      <c r="L205" s="284"/>
    </row>
    <row r="206" spans="2:12" ht="20.100000000000001" customHeight="1" x14ac:dyDescent="0.3">
      <c r="B206" s="282"/>
      <c r="C206" s="283"/>
      <c r="D206" s="283"/>
      <c r="E206" s="283"/>
      <c r="F206" s="283"/>
      <c r="G206" s="283"/>
      <c r="H206" s="283"/>
      <c r="I206" s="283"/>
      <c r="J206" s="283"/>
      <c r="K206" s="283"/>
      <c r="L206" s="284"/>
    </row>
    <row r="207" spans="2:12" ht="20.100000000000001" customHeight="1" x14ac:dyDescent="0.3">
      <c r="B207" s="282"/>
      <c r="C207" s="283"/>
      <c r="D207" s="283"/>
      <c r="E207" s="283"/>
      <c r="F207" s="283"/>
      <c r="G207" s="283"/>
      <c r="H207" s="283"/>
      <c r="I207" s="283"/>
      <c r="J207" s="283"/>
      <c r="K207" s="283"/>
      <c r="L207" s="284"/>
    </row>
    <row r="208" spans="2:12" ht="20.100000000000001" customHeight="1" x14ac:dyDescent="0.3">
      <c r="B208" s="282"/>
      <c r="C208" s="283"/>
      <c r="D208" s="283"/>
      <c r="E208" s="283"/>
      <c r="F208" s="283"/>
      <c r="G208" s="283"/>
      <c r="H208" s="283"/>
      <c r="I208" s="283"/>
      <c r="J208" s="283"/>
      <c r="K208" s="283"/>
      <c r="L208" s="284"/>
    </row>
    <row r="209" spans="2:12" ht="20.100000000000001" customHeight="1" x14ac:dyDescent="0.3">
      <c r="B209" s="282"/>
      <c r="C209" s="283"/>
      <c r="D209" s="283"/>
      <c r="E209" s="283"/>
      <c r="F209" s="283"/>
      <c r="G209" s="283"/>
      <c r="H209" s="283"/>
      <c r="I209" s="283"/>
      <c r="J209" s="283"/>
      <c r="K209" s="283"/>
      <c r="L209" s="284"/>
    </row>
    <row r="210" spans="2:12" ht="20.100000000000001" customHeight="1" x14ac:dyDescent="0.3">
      <c r="B210" s="282"/>
      <c r="C210" s="283"/>
      <c r="D210" s="283"/>
      <c r="E210" s="283"/>
      <c r="F210" s="283"/>
      <c r="G210" s="283"/>
      <c r="H210" s="283"/>
      <c r="I210" s="283"/>
      <c r="J210" s="283"/>
      <c r="K210" s="283"/>
      <c r="L210" s="284"/>
    </row>
    <row r="211" spans="2:12" ht="20.100000000000001" customHeight="1" x14ac:dyDescent="0.3">
      <c r="B211" s="282"/>
      <c r="C211" s="283"/>
      <c r="D211" s="283"/>
      <c r="E211" s="283"/>
      <c r="F211" s="283"/>
      <c r="G211" s="283"/>
      <c r="H211" s="283"/>
      <c r="I211" s="283"/>
      <c r="J211" s="283"/>
      <c r="K211" s="283"/>
      <c r="L211" s="284"/>
    </row>
    <row r="212" spans="2:12" ht="20.100000000000001" customHeight="1" x14ac:dyDescent="0.3">
      <c r="B212" s="282"/>
      <c r="C212" s="283"/>
      <c r="D212" s="283"/>
      <c r="E212" s="283"/>
      <c r="F212" s="283"/>
      <c r="G212" s="283"/>
      <c r="H212" s="283"/>
      <c r="I212" s="283"/>
      <c r="J212" s="283"/>
      <c r="K212" s="283"/>
      <c r="L212" s="284"/>
    </row>
    <row r="213" spans="2:12" ht="20.100000000000001" customHeight="1" x14ac:dyDescent="0.3">
      <c r="B213" s="282"/>
      <c r="C213" s="283"/>
      <c r="D213" s="283"/>
      <c r="E213" s="283"/>
      <c r="F213" s="283"/>
      <c r="G213" s="283"/>
      <c r="H213" s="283"/>
      <c r="I213" s="283"/>
      <c r="J213" s="283"/>
      <c r="K213" s="283"/>
      <c r="L213" s="284"/>
    </row>
    <row r="214" spans="2:12" ht="20.100000000000001" customHeight="1" x14ac:dyDescent="0.3">
      <c r="B214" s="282"/>
      <c r="C214" s="283"/>
      <c r="D214" s="283"/>
      <c r="E214" s="283"/>
      <c r="F214" s="283"/>
      <c r="G214" s="283"/>
      <c r="H214" s="283"/>
      <c r="I214" s="283"/>
      <c r="J214" s="283"/>
      <c r="K214" s="283"/>
      <c r="L214" s="284"/>
    </row>
    <row r="215" spans="2:12" ht="20.100000000000001" customHeight="1" x14ac:dyDescent="0.3">
      <c r="B215" s="282"/>
      <c r="C215" s="283"/>
      <c r="D215" s="283"/>
      <c r="E215" s="283"/>
      <c r="F215" s="283"/>
      <c r="G215" s="283"/>
      <c r="H215" s="283"/>
      <c r="I215" s="283"/>
      <c r="J215" s="283"/>
      <c r="K215" s="283"/>
      <c r="L215" s="284"/>
    </row>
    <row r="216" spans="2:12" ht="20.100000000000001" customHeight="1" x14ac:dyDescent="0.3">
      <c r="B216" s="282"/>
      <c r="C216" s="283"/>
      <c r="D216" s="283"/>
      <c r="E216" s="283"/>
      <c r="F216" s="283"/>
      <c r="G216" s="283"/>
      <c r="H216" s="283"/>
      <c r="I216" s="283"/>
      <c r="J216" s="283"/>
      <c r="K216" s="283"/>
      <c r="L216" s="284"/>
    </row>
    <row r="217" spans="2:12" ht="20.100000000000001" customHeight="1" x14ac:dyDescent="0.3">
      <c r="B217" s="282"/>
      <c r="C217" s="283"/>
      <c r="D217" s="283"/>
      <c r="E217" s="283"/>
      <c r="F217" s="283"/>
      <c r="G217" s="283"/>
      <c r="H217" s="283"/>
      <c r="I217" s="283"/>
      <c r="J217" s="283"/>
      <c r="K217" s="283"/>
      <c r="L217" s="284"/>
    </row>
    <row r="218" spans="2:12" ht="20.100000000000001" customHeight="1" x14ac:dyDescent="0.3">
      <c r="B218" s="282"/>
      <c r="C218" s="283"/>
      <c r="D218" s="283"/>
      <c r="E218" s="283"/>
      <c r="F218" s="283"/>
      <c r="G218" s="283"/>
      <c r="H218" s="283"/>
      <c r="I218" s="283"/>
      <c r="J218" s="283"/>
      <c r="K218" s="283"/>
      <c r="L218" s="284"/>
    </row>
    <row r="219" spans="2:12" ht="20.100000000000001" customHeight="1" x14ac:dyDescent="0.3">
      <c r="B219" s="282"/>
      <c r="C219" s="283"/>
      <c r="D219" s="283"/>
      <c r="E219" s="283"/>
      <c r="F219" s="283"/>
      <c r="G219" s="283"/>
      <c r="H219" s="283"/>
      <c r="I219" s="283"/>
      <c r="J219" s="283"/>
      <c r="K219" s="283"/>
      <c r="L219" s="284"/>
    </row>
    <row r="220" spans="2:12" ht="20.100000000000001" customHeight="1" x14ac:dyDescent="0.3">
      <c r="B220" s="282"/>
      <c r="C220" s="283"/>
      <c r="D220" s="283"/>
      <c r="E220" s="283"/>
      <c r="F220" s="283"/>
      <c r="G220" s="283"/>
      <c r="H220" s="283"/>
      <c r="I220" s="283"/>
      <c r="J220" s="283"/>
      <c r="K220" s="283"/>
      <c r="L220" s="284"/>
    </row>
    <row r="221" spans="2:12" ht="20.100000000000001" customHeight="1" x14ac:dyDescent="0.3">
      <c r="B221" s="282"/>
      <c r="C221" s="283"/>
      <c r="D221" s="283"/>
      <c r="E221" s="283"/>
      <c r="F221" s="283"/>
      <c r="G221" s="283"/>
      <c r="H221" s="283"/>
      <c r="I221" s="283"/>
      <c r="J221" s="283"/>
      <c r="K221" s="283"/>
      <c r="L221" s="284"/>
    </row>
    <row r="222" spans="2:12" ht="20.100000000000001" customHeight="1" x14ac:dyDescent="0.3">
      <c r="B222" s="282"/>
      <c r="C222" s="283"/>
      <c r="D222" s="283"/>
      <c r="E222" s="283"/>
      <c r="F222" s="283"/>
      <c r="G222" s="283"/>
      <c r="H222" s="283"/>
      <c r="I222" s="283"/>
      <c r="J222" s="283"/>
      <c r="K222" s="283"/>
      <c r="L222" s="284"/>
    </row>
    <row r="223" spans="2:12" ht="20.100000000000001" customHeight="1" x14ac:dyDescent="0.3">
      <c r="B223" s="282"/>
      <c r="C223" s="283"/>
      <c r="D223" s="283"/>
      <c r="E223" s="283"/>
      <c r="F223" s="283"/>
      <c r="G223" s="283"/>
      <c r="H223" s="283"/>
      <c r="I223" s="283"/>
      <c r="J223" s="283"/>
      <c r="K223" s="283"/>
      <c r="L223" s="284"/>
    </row>
    <row r="224" spans="2:12" ht="20.100000000000001" customHeight="1" x14ac:dyDescent="0.3">
      <c r="B224" s="282"/>
      <c r="C224" s="283"/>
      <c r="D224" s="283"/>
      <c r="E224" s="283"/>
      <c r="F224" s="283"/>
      <c r="G224" s="283"/>
      <c r="H224" s="283"/>
      <c r="I224" s="283"/>
      <c r="J224" s="283"/>
      <c r="K224" s="283"/>
      <c r="L224" s="284"/>
    </row>
    <row r="225" spans="2:12" ht="20.100000000000001" customHeight="1" x14ac:dyDescent="0.3">
      <c r="B225" s="285"/>
      <c r="C225" s="286"/>
      <c r="D225" s="286"/>
      <c r="E225" s="286"/>
      <c r="F225" s="286"/>
      <c r="G225" s="286"/>
      <c r="H225" s="286"/>
      <c r="I225" s="286"/>
      <c r="J225" s="286"/>
      <c r="K225" s="286"/>
      <c r="L225" s="287"/>
    </row>
    <row r="227" spans="2:12" x14ac:dyDescent="0.3">
      <c r="B227" s="300" t="s">
        <v>513</v>
      </c>
      <c r="C227" s="300"/>
      <c r="D227" s="300"/>
      <c r="E227" s="300"/>
      <c r="F227" s="300"/>
      <c r="G227" s="300"/>
      <c r="H227" s="300"/>
      <c r="I227" s="300"/>
      <c r="J227" s="300"/>
      <c r="K227" s="300"/>
      <c r="L227" s="300"/>
    </row>
    <row r="228" spans="2:12" ht="5.0999999999999996" customHeight="1" x14ac:dyDescent="0.3">
      <c r="B228" s="153"/>
    </row>
    <row r="229" spans="2:12" x14ac:dyDescent="0.3">
      <c r="B229" s="301" t="s">
        <v>514</v>
      </c>
      <c r="C229" s="301"/>
      <c r="D229" s="301" t="s">
        <v>516</v>
      </c>
      <c r="E229" s="301"/>
      <c r="F229" s="302" t="s">
        <v>691</v>
      </c>
      <c r="G229" s="303"/>
      <c r="H229" s="303"/>
      <c r="I229" s="304"/>
      <c r="J229" s="301" t="s">
        <v>667</v>
      </c>
      <c r="K229" s="301"/>
      <c r="L229" s="301"/>
    </row>
    <row r="230" spans="2:12" ht="45" customHeight="1" x14ac:dyDescent="0.3">
      <c r="B230" s="289" t="s">
        <v>515</v>
      </c>
      <c r="C230" s="289"/>
      <c r="D230" s="289" t="s">
        <v>481</v>
      </c>
      <c r="E230" s="289"/>
      <c r="F230" s="288" t="s">
        <v>657</v>
      </c>
      <c r="G230" s="288"/>
      <c r="H230" s="288"/>
      <c r="I230" s="288"/>
      <c r="J230" s="305" t="s">
        <v>653</v>
      </c>
      <c r="K230" s="306"/>
      <c r="L230" s="307"/>
    </row>
    <row r="231" spans="2:12" ht="45" customHeight="1" x14ac:dyDescent="0.3">
      <c r="B231" s="289"/>
      <c r="C231" s="289"/>
      <c r="D231" s="289" t="s">
        <v>482</v>
      </c>
      <c r="E231" s="289"/>
      <c r="F231" s="288" t="s">
        <v>692</v>
      </c>
      <c r="G231" s="288"/>
      <c r="H231" s="288"/>
      <c r="I231" s="288"/>
      <c r="J231" s="288" t="s">
        <v>654</v>
      </c>
      <c r="K231" s="288"/>
      <c r="L231" s="288"/>
    </row>
    <row r="232" spans="2:12" ht="45" customHeight="1" x14ac:dyDescent="0.3">
      <c r="B232" s="289"/>
      <c r="C232" s="289"/>
      <c r="D232" s="289" t="s">
        <v>681</v>
      </c>
      <c r="E232" s="289"/>
      <c r="F232" s="288" t="s">
        <v>693</v>
      </c>
      <c r="G232" s="288"/>
      <c r="H232" s="288"/>
      <c r="I232" s="288"/>
      <c r="J232" s="288" t="s">
        <v>655</v>
      </c>
      <c r="K232" s="288"/>
      <c r="L232" s="288"/>
    </row>
    <row r="233" spans="2:12" ht="63.75" customHeight="1" x14ac:dyDescent="0.3">
      <c r="B233" s="289" t="s">
        <v>495</v>
      </c>
      <c r="C233" s="289"/>
      <c r="D233" s="289" t="s">
        <v>481</v>
      </c>
      <c r="E233" s="289"/>
      <c r="F233" s="288" t="s">
        <v>772</v>
      </c>
      <c r="G233" s="288"/>
      <c r="H233" s="288"/>
      <c r="I233" s="288"/>
      <c r="J233" s="288" t="s">
        <v>654</v>
      </c>
      <c r="K233" s="288"/>
      <c r="L233" s="288"/>
    </row>
    <row r="234" spans="2:12" ht="45" customHeight="1" x14ac:dyDescent="0.3">
      <c r="B234" s="289"/>
      <c r="C234" s="289"/>
      <c r="D234" s="289" t="s">
        <v>482</v>
      </c>
      <c r="E234" s="289"/>
      <c r="F234" s="288" t="s">
        <v>771</v>
      </c>
      <c r="G234" s="288"/>
      <c r="H234" s="288"/>
      <c r="I234" s="288"/>
      <c r="J234" s="288" t="s">
        <v>653</v>
      </c>
      <c r="K234" s="288"/>
      <c r="L234" s="288"/>
    </row>
    <row r="235" spans="2:12" ht="45" customHeight="1" x14ac:dyDescent="0.3">
      <c r="B235" s="289"/>
      <c r="C235" s="289"/>
      <c r="D235" s="289" t="s">
        <v>681</v>
      </c>
      <c r="E235" s="289"/>
      <c r="F235" s="288" t="s">
        <v>694</v>
      </c>
      <c r="G235" s="288"/>
      <c r="H235" s="288"/>
      <c r="I235" s="288"/>
      <c r="J235" s="288" t="s">
        <v>655</v>
      </c>
      <c r="K235" s="288"/>
      <c r="L235" s="288"/>
    </row>
    <row r="236" spans="2:12" ht="5.0999999999999996" customHeight="1" x14ac:dyDescent="0.3"/>
    <row r="237" spans="2:12" x14ac:dyDescent="0.3">
      <c r="B237" t="s">
        <v>656</v>
      </c>
    </row>
    <row r="238" spans="2:12" x14ac:dyDescent="0.3">
      <c r="B238" t="s">
        <v>773</v>
      </c>
    </row>
    <row r="240" spans="2:12" x14ac:dyDescent="0.3">
      <c r="B240" s="279" t="s">
        <v>792</v>
      </c>
      <c r="C240" s="280"/>
      <c r="D240" s="280"/>
      <c r="E240" s="280"/>
      <c r="F240" s="280"/>
      <c r="G240" s="280"/>
      <c r="H240" s="280"/>
      <c r="I240" s="280"/>
      <c r="J240" s="280"/>
      <c r="K240" s="280"/>
      <c r="L240" s="281"/>
    </row>
    <row r="241" spans="2:12" x14ac:dyDescent="0.3">
      <c r="B241" s="282"/>
      <c r="C241" s="283"/>
      <c r="D241" s="283"/>
      <c r="E241" s="283"/>
      <c r="F241" s="283"/>
      <c r="G241" s="283"/>
      <c r="H241" s="283"/>
      <c r="I241" s="283"/>
      <c r="J241" s="283"/>
      <c r="K241" s="283"/>
      <c r="L241" s="284"/>
    </row>
    <row r="242" spans="2:12" x14ac:dyDescent="0.3">
      <c r="B242" s="282"/>
      <c r="C242" s="283"/>
      <c r="D242" s="283"/>
      <c r="E242" s="283"/>
      <c r="F242" s="283"/>
      <c r="G242" s="283"/>
      <c r="H242" s="283"/>
      <c r="I242" s="283"/>
      <c r="J242" s="283"/>
      <c r="K242" s="283"/>
      <c r="L242" s="284"/>
    </row>
    <row r="243" spans="2:12" x14ac:dyDescent="0.3">
      <c r="B243" s="282"/>
      <c r="C243" s="283"/>
      <c r="D243" s="283"/>
      <c r="E243" s="283"/>
      <c r="F243" s="283"/>
      <c r="G243" s="283"/>
      <c r="H243" s="283"/>
      <c r="I243" s="283"/>
      <c r="J243" s="283"/>
      <c r="K243" s="283"/>
      <c r="L243" s="284"/>
    </row>
    <row r="244" spans="2:12" x14ac:dyDescent="0.3">
      <c r="B244" s="282"/>
      <c r="C244" s="283"/>
      <c r="D244" s="283"/>
      <c r="E244" s="283"/>
      <c r="F244" s="283"/>
      <c r="G244" s="283"/>
      <c r="H244" s="283"/>
      <c r="I244" s="283"/>
      <c r="J244" s="283"/>
      <c r="K244" s="283"/>
      <c r="L244" s="284"/>
    </row>
    <row r="245" spans="2:12" x14ac:dyDescent="0.3">
      <c r="B245" s="282"/>
      <c r="C245" s="283"/>
      <c r="D245" s="283"/>
      <c r="E245" s="283"/>
      <c r="F245" s="283"/>
      <c r="G245" s="283"/>
      <c r="H245" s="283"/>
      <c r="I245" s="283"/>
      <c r="J245" s="283"/>
      <c r="K245" s="283"/>
      <c r="L245" s="284"/>
    </row>
    <row r="246" spans="2:12" x14ac:dyDescent="0.3">
      <c r="B246" s="282"/>
      <c r="C246" s="283"/>
      <c r="D246" s="283"/>
      <c r="E246" s="283"/>
      <c r="F246" s="283"/>
      <c r="G246" s="283"/>
      <c r="H246" s="283"/>
      <c r="I246" s="283"/>
      <c r="J246" s="283"/>
      <c r="K246" s="283"/>
      <c r="L246" s="284"/>
    </row>
    <row r="247" spans="2:12" x14ac:dyDescent="0.3">
      <c r="B247" s="282"/>
      <c r="C247" s="283"/>
      <c r="D247" s="283"/>
      <c r="E247" s="283"/>
      <c r="F247" s="283"/>
      <c r="G247" s="283"/>
      <c r="H247" s="283"/>
      <c r="I247" s="283"/>
      <c r="J247" s="283"/>
      <c r="K247" s="283"/>
      <c r="L247" s="284"/>
    </row>
    <row r="248" spans="2:12" x14ac:dyDescent="0.3">
      <c r="B248" s="282"/>
      <c r="C248" s="283"/>
      <c r="D248" s="283"/>
      <c r="E248" s="283"/>
      <c r="F248" s="283"/>
      <c r="G248" s="283"/>
      <c r="H248" s="283"/>
      <c r="I248" s="283"/>
      <c r="J248" s="283"/>
      <c r="K248" s="283"/>
      <c r="L248" s="284"/>
    </row>
    <row r="249" spans="2:12" x14ac:dyDescent="0.3">
      <c r="B249" s="282"/>
      <c r="C249" s="283"/>
      <c r="D249" s="283"/>
      <c r="E249" s="283"/>
      <c r="F249" s="283"/>
      <c r="G249" s="283"/>
      <c r="H249" s="283"/>
      <c r="I249" s="283"/>
      <c r="J249" s="283"/>
      <c r="K249" s="283"/>
      <c r="L249" s="284"/>
    </row>
    <row r="250" spans="2:12" x14ac:dyDescent="0.3">
      <c r="B250" s="282"/>
      <c r="C250" s="283"/>
      <c r="D250" s="283"/>
      <c r="E250" s="283"/>
      <c r="F250" s="283"/>
      <c r="G250" s="283"/>
      <c r="H250" s="283"/>
      <c r="I250" s="283"/>
      <c r="J250" s="283"/>
      <c r="K250" s="283"/>
      <c r="L250" s="284"/>
    </row>
    <row r="251" spans="2:12" x14ac:dyDescent="0.3">
      <c r="B251" s="282"/>
      <c r="C251" s="283"/>
      <c r="D251" s="283"/>
      <c r="E251" s="283"/>
      <c r="F251" s="283"/>
      <c r="G251" s="283"/>
      <c r="H251" s="283"/>
      <c r="I251" s="283"/>
      <c r="J251" s="283"/>
      <c r="K251" s="283"/>
      <c r="L251" s="284"/>
    </row>
    <row r="252" spans="2:12" x14ac:dyDescent="0.3">
      <c r="B252" s="282"/>
      <c r="C252" s="283"/>
      <c r="D252" s="283"/>
      <c r="E252" s="283"/>
      <c r="F252" s="283"/>
      <c r="G252" s="283"/>
      <c r="H252" s="283"/>
      <c r="I252" s="283"/>
      <c r="J252" s="283"/>
      <c r="K252" s="283"/>
      <c r="L252" s="284"/>
    </row>
    <row r="253" spans="2:12" x14ac:dyDescent="0.3">
      <c r="B253" s="285"/>
      <c r="C253" s="286"/>
      <c r="D253" s="286"/>
      <c r="E253" s="286"/>
      <c r="F253" s="286"/>
      <c r="G253" s="286"/>
      <c r="H253" s="286"/>
      <c r="I253" s="286"/>
      <c r="J253" s="286"/>
      <c r="K253" s="286"/>
      <c r="L253" s="287"/>
    </row>
    <row r="255" spans="2:12" x14ac:dyDescent="0.3">
      <c r="B255" t="s">
        <v>767</v>
      </c>
      <c r="D255" t="s">
        <v>768</v>
      </c>
    </row>
  </sheetData>
  <sheetProtection algorithmName="SHA-512" hashValue="8fdnJ7YHa7pKX59lJ7KDGBtJuQ6YCDjoVvHbw+2kNIZtGj7DdVMWwxIdG2t832O7RTWcdpJp+G45WnIZnYEsPA==" saltValue="wcQfYFKM5LtF1BwXkhOyqg==" spinCount="100000" sheet="1" objects="1" scenarios="1"/>
  <mergeCells count="131">
    <mergeCell ref="B9:B12"/>
    <mergeCell ref="C9:D12"/>
    <mergeCell ref="E9:G12"/>
    <mergeCell ref="H9:M12"/>
    <mergeCell ref="C13:D13"/>
    <mergeCell ref="E13:G13"/>
    <mergeCell ref="H13:M13"/>
    <mergeCell ref="B5:M5"/>
    <mergeCell ref="C7:D7"/>
    <mergeCell ref="E7:G7"/>
    <mergeCell ref="H7:M7"/>
    <mergeCell ref="C8:D8"/>
    <mergeCell ref="E8:G8"/>
    <mergeCell ref="H8:M8"/>
    <mergeCell ref="C138:D138"/>
    <mergeCell ref="E138:H138"/>
    <mergeCell ref="I138:J138"/>
    <mergeCell ref="B139:J139"/>
    <mergeCell ref="C140:D140"/>
    <mergeCell ref="E140:H140"/>
    <mergeCell ref="I140:J140"/>
    <mergeCell ref="C14:D14"/>
    <mergeCell ref="E14:G14"/>
    <mergeCell ref="H14:M14"/>
    <mergeCell ref="B134:R134"/>
    <mergeCell ref="B136:B137"/>
    <mergeCell ref="C136:D137"/>
    <mergeCell ref="E136:H137"/>
    <mergeCell ref="I136:J137"/>
    <mergeCell ref="K136:M136"/>
    <mergeCell ref="N136:P136"/>
    <mergeCell ref="B145:R145"/>
    <mergeCell ref="B147:B148"/>
    <mergeCell ref="C147:D148"/>
    <mergeCell ref="E147:H148"/>
    <mergeCell ref="I147:J148"/>
    <mergeCell ref="K147:M147"/>
    <mergeCell ref="N147:P147"/>
    <mergeCell ref="C141:D141"/>
    <mergeCell ref="E141:H141"/>
    <mergeCell ref="I141:J141"/>
    <mergeCell ref="B142:J142"/>
    <mergeCell ref="C143:D143"/>
    <mergeCell ref="E143:H143"/>
    <mergeCell ref="I143:J143"/>
    <mergeCell ref="B151:J151"/>
    <mergeCell ref="C152:D152"/>
    <mergeCell ref="E152:H152"/>
    <mergeCell ref="I152:J152"/>
    <mergeCell ref="C153:D153"/>
    <mergeCell ref="E153:H153"/>
    <mergeCell ref="I153:J153"/>
    <mergeCell ref="C149:D149"/>
    <mergeCell ref="E149:H149"/>
    <mergeCell ref="I149:J149"/>
    <mergeCell ref="C150:D150"/>
    <mergeCell ref="E150:H150"/>
    <mergeCell ref="I150:J150"/>
    <mergeCell ref="B154:J154"/>
    <mergeCell ref="C155:D155"/>
    <mergeCell ref="E155:H155"/>
    <mergeCell ref="I155:J155"/>
    <mergeCell ref="B157:R157"/>
    <mergeCell ref="B159:B160"/>
    <mergeCell ref="C159:D160"/>
    <mergeCell ref="E159:H160"/>
    <mergeCell ref="I159:J160"/>
    <mergeCell ref="K159:M159"/>
    <mergeCell ref="B163:J163"/>
    <mergeCell ref="C164:D164"/>
    <mergeCell ref="E164:H164"/>
    <mergeCell ref="I164:J164"/>
    <mergeCell ref="C165:D165"/>
    <mergeCell ref="E165:H165"/>
    <mergeCell ref="I165:J165"/>
    <mergeCell ref="N159:P159"/>
    <mergeCell ref="C161:D161"/>
    <mergeCell ref="E161:H161"/>
    <mergeCell ref="I161:J161"/>
    <mergeCell ref="C162:D162"/>
    <mergeCell ref="E162:H162"/>
    <mergeCell ref="I162:J162"/>
    <mergeCell ref="B178:E178"/>
    <mergeCell ref="F178:K178"/>
    <mergeCell ref="B179:E179"/>
    <mergeCell ref="F179:K179"/>
    <mergeCell ref="B180:E180"/>
    <mergeCell ref="F180:K180"/>
    <mergeCell ref="B166:J166"/>
    <mergeCell ref="C167:D167"/>
    <mergeCell ref="E167:H167"/>
    <mergeCell ref="I167:J167"/>
    <mergeCell ref="B177:E177"/>
    <mergeCell ref="F177:K177"/>
    <mergeCell ref="J229:L229"/>
    <mergeCell ref="B230:C232"/>
    <mergeCell ref="D230:E230"/>
    <mergeCell ref="F230:I230"/>
    <mergeCell ref="J230:L230"/>
    <mergeCell ref="D231:E231"/>
    <mergeCell ref="B181:E181"/>
    <mergeCell ref="F181:K181"/>
    <mergeCell ref="B182:E182"/>
    <mergeCell ref="F182:K182"/>
    <mergeCell ref="B183:E183"/>
    <mergeCell ref="F183:K183"/>
    <mergeCell ref="B185:L225"/>
    <mergeCell ref="B240:L253"/>
    <mergeCell ref="F234:I234"/>
    <mergeCell ref="J234:L234"/>
    <mergeCell ref="D235:E235"/>
    <mergeCell ref="F235:I235"/>
    <mergeCell ref="J235:L235"/>
    <mergeCell ref="B19:M30"/>
    <mergeCell ref="B32:M114"/>
    <mergeCell ref="B116:M132"/>
    <mergeCell ref="B169:L173"/>
    <mergeCell ref="F231:I231"/>
    <mergeCell ref="J231:L231"/>
    <mergeCell ref="D232:E232"/>
    <mergeCell ref="F232:I232"/>
    <mergeCell ref="J232:L232"/>
    <mergeCell ref="B233:C235"/>
    <mergeCell ref="D233:E233"/>
    <mergeCell ref="F233:I233"/>
    <mergeCell ref="J233:L233"/>
    <mergeCell ref="D234:E234"/>
    <mergeCell ref="B227:L227"/>
    <mergeCell ref="B229:C229"/>
    <mergeCell ref="D229:E229"/>
    <mergeCell ref="F229:I229"/>
  </mergeCells>
  <pageMargins left="0.7" right="0.7" top="0.75" bottom="0.75" header="0.3" footer="0.3"/>
  <pageSetup scale="54" fitToHeight="0"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0BF21-17A6-5B4B-98B7-48E2F05EDD4F}">
  <sheetPr codeName="Sheet16">
    <tabColor theme="8" tint="-0.249977111117893"/>
  </sheetPr>
  <dimension ref="A1:L48"/>
  <sheetViews>
    <sheetView workbookViewId="0">
      <selection activeCell="D2" sqref="D2"/>
    </sheetView>
  </sheetViews>
  <sheetFormatPr defaultColWidth="11.44140625" defaultRowHeight="14.4" x14ac:dyDescent="0.3"/>
  <cols>
    <col min="1" max="1" width="27.44140625" bestFit="1" customWidth="1"/>
    <col min="2" max="2" width="48.44140625" customWidth="1"/>
    <col min="3" max="3" width="18.44140625" bestFit="1" customWidth="1"/>
    <col min="4" max="4" width="18.44140625" customWidth="1"/>
    <col min="5" max="5" width="19.44140625" customWidth="1"/>
    <col min="6" max="6" width="27.44140625" customWidth="1"/>
    <col min="7" max="7" width="29.44140625" customWidth="1"/>
    <col min="8" max="9" width="14.44140625" customWidth="1"/>
  </cols>
  <sheetData>
    <row r="1" spans="1:12" ht="72" x14ac:dyDescent="0.3">
      <c r="A1" s="7" t="s">
        <v>8</v>
      </c>
      <c r="B1" s="7" t="s">
        <v>6</v>
      </c>
      <c r="C1" s="7" t="s">
        <v>9</v>
      </c>
      <c r="D1" s="7" t="s">
        <v>10</v>
      </c>
      <c r="E1" s="7" t="s">
        <v>11</v>
      </c>
      <c r="F1" s="7" t="s">
        <v>12</v>
      </c>
      <c r="G1" s="7" t="s">
        <v>13</v>
      </c>
      <c r="H1" s="7" t="s">
        <v>14</v>
      </c>
      <c r="I1" s="7" t="s">
        <v>15</v>
      </c>
      <c r="J1" s="188" t="s">
        <v>632</v>
      </c>
      <c r="K1" s="188" t="s">
        <v>630</v>
      </c>
      <c r="L1" s="188" t="s">
        <v>633</v>
      </c>
    </row>
    <row r="2" spans="1:12" x14ac:dyDescent="0.3">
      <c r="A2" s="365" t="s">
        <v>16</v>
      </c>
      <c r="B2" s="8" t="s">
        <v>17</v>
      </c>
      <c r="C2" s="9">
        <v>15</v>
      </c>
      <c r="D2" s="10">
        <v>3352</v>
      </c>
      <c r="E2" s="11">
        <v>0.24199999999999999</v>
      </c>
      <c r="F2" s="11">
        <v>0.2</v>
      </c>
      <c r="G2" s="9">
        <v>0</v>
      </c>
      <c r="H2" s="12">
        <f>(E2*C2+F2*(1-E2*G2))</f>
        <v>3.83</v>
      </c>
      <c r="I2" s="13">
        <f>H2*D2</f>
        <v>12838.16</v>
      </c>
      <c r="J2" s="187">
        <f>1-(1-E2)^G2</f>
        <v>0</v>
      </c>
      <c r="K2" s="187">
        <f>G2*E2</f>
        <v>0</v>
      </c>
      <c r="L2" s="189">
        <f>K2-J2</f>
        <v>0</v>
      </c>
    </row>
    <row r="3" spans="1:12" x14ac:dyDescent="0.3">
      <c r="A3" s="365"/>
      <c r="B3" s="8" t="s">
        <v>18</v>
      </c>
      <c r="C3" s="9">
        <v>15</v>
      </c>
      <c r="D3" s="10">
        <v>684</v>
      </c>
      <c r="E3" s="11">
        <v>0.22900000000000001</v>
      </c>
      <c r="F3" s="11">
        <v>0.2</v>
      </c>
      <c r="G3" s="9">
        <v>0</v>
      </c>
      <c r="H3" s="12">
        <f t="shared" ref="H3:H40" si="0">(E3*C3+F3*(1-E3*G3))</f>
        <v>3.6350000000000002</v>
      </c>
      <c r="I3" s="13">
        <f t="shared" ref="I3:I40" si="1">H3*D3</f>
        <v>2486.34</v>
      </c>
      <c r="J3" s="187">
        <f t="shared" ref="J3:J41" si="2">1-(1-E3)^G3</f>
        <v>0</v>
      </c>
      <c r="K3" s="187">
        <f t="shared" ref="K3:K41" si="3">G3*E3</f>
        <v>0</v>
      </c>
      <c r="L3" s="189">
        <f t="shared" ref="L3:L41" si="4">K3-J3</f>
        <v>0</v>
      </c>
    </row>
    <row r="4" spans="1:12" x14ac:dyDescent="0.3">
      <c r="A4" s="365"/>
      <c r="B4" s="8" t="s">
        <v>19</v>
      </c>
      <c r="C4" s="9">
        <v>20</v>
      </c>
      <c r="D4" s="10">
        <v>103</v>
      </c>
      <c r="E4" s="11">
        <v>0.156</v>
      </c>
      <c r="F4" s="14">
        <v>0.2</v>
      </c>
      <c r="G4" s="9">
        <v>0</v>
      </c>
      <c r="H4" s="12">
        <f t="shared" si="0"/>
        <v>3.3200000000000003</v>
      </c>
      <c r="I4" s="13">
        <f t="shared" si="1"/>
        <v>341.96000000000004</v>
      </c>
      <c r="J4" s="187">
        <f t="shared" si="2"/>
        <v>0</v>
      </c>
      <c r="K4" s="187">
        <f t="shared" si="3"/>
        <v>0</v>
      </c>
      <c r="L4" s="189">
        <f t="shared" si="4"/>
        <v>0</v>
      </c>
    </row>
    <row r="5" spans="1:12" x14ac:dyDescent="0.3">
      <c r="A5" s="365"/>
      <c r="B5" s="8" t="s">
        <v>20</v>
      </c>
      <c r="C5" s="9">
        <v>14</v>
      </c>
      <c r="D5" s="10">
        <v>23</v>
      </c>
      <c r="E5" s="11">
        <v>0.15</v>
      </c>
      <c r="F5" s="11">
        <v>0.34</v>
      </c>
      <c r="G5" s="9">
        <v>0</v>
      </c>
      <c r="H5" s="12">
        <f t="shared" si="0"/>
        <v>2.44</v>
      </c>
      <c r="I5" s="13">
        <f t="shared" si="1"/>
        <v>56.12</v>
      </c>
      <c r="J5" s="187">
        <f t="shared" si="2"/>
        <v>0</v>
      </c>
      <c r="K5" s="187">
        <f t="shared" si="3"/>
        <v>0</v>
      </c>
      <c r="L5" s="189">
        <f t="shared" si="4"/>
        <v>0</v>
      </c>
    </row>
    <row r="6" spans="1:12" x14ac:dyDescent="0.3">
      <c r="A6" s="365"/>
      <c r="B6" s="8" t="s">
        <v>21</v>
      </c>
      <c r="C6" s="9">
        <v>15</v>
      </c>
      <c r="D6" s="10">
        <v>3352</v>
      </c>
      <c r="E6" s="11">
        <v>0.24199999999999999</v>
      </c>
      <c r="F6" s="11">
        <v>0.2</v>
      </c>
      <c r="G6" s="9">
        <v>0</v>
      </c>
      <c r="H6" s="12">
        <f t="shared" si="0"/>
        <v>3.83</v>
      </c>
      <c r="I6" s="13">
        <f t="shared" si="1"/>
        <v>12838.16</v>
      </c>
      <c r="J6" s="187">
        <f t="shared" si="2"/>
        <v>0</v>
      </c>
      <c r="K6" s="187">
        <f t="shared" si="3"/>
        <v>0</v>
      </c>
      <c r="L6" s="189">
        <f t="shared" si="4"/>
        <v>0</v>
      </c>
    </row>
    <row r="7" spans="1:12" x14ac:dyDescent="0.3">
      <c r="A7" s="365"/>
      <c r="B7" s="8" t="s">
        <v>22</v>
      </c>
      <c r="C7" s="9">
        <v>15</v>
      </c>
      <c r="D7" s="10">
        <v>684</v>
      </c>
      <c r="E7" s="11">
        <v>0.22900000000000001</v>
      </c>
      <c r="F7" s="11">
        <v>0.2</v>
      </c>
      <c r="G7" s="9">
        <v>0</v>
      </c>
      <c r="H7" s="12">
        <f t="shared" si="0"/>
        <v>3.6350000000000002</v>
      </c>
      <c r="I7" s="13">
        <f t="shared" si="1"/>
        <v>2486.34</v>
      </c>
      <c r="J7" s="187">
        <f t="shared" si="2"/>
        <v>0</v>
      </c>
      <c r="K7" s="187">
        <f t="shared" si="3"/>
        <v>0</v>
      </c>
      <c r="L7" s="189">
        <f t="shared" si="4"/>
        <v>0</v>
      </c>
    </row>
    <row r="8" spans="1:12" x14ac:dyDescent="0.3">
      <c r="A8" s="365"/>
      <c r="B8" s="8" t="s">
        <v>23</v>
      </c>
      <c r="C8" s="9">
        <v>20</v>
      </c>
      <c r="D8" s="10">
        <v>103</v>
      </c>
      <c r="E8" s="11">
        <v>0.156</v>
      </c>
      <c r="F8" s="11">
        <v>0.2</v>
      </c>
      <c r="G8" s="9">
        <v>0</v>
      </c>
      <c r="H8" s="12">
        <f t="shared" si="0"/>
        <v>3.3200000000000003</v>
      </c>
      <c r="I8" s="13">
        <f t="shared" si="1"/>
        <v>341.96000000000004</v>
      </c>
      <c r="J8" s="187">
        <f t="shared" si="2"/>
        <v>0</v>
      </c>
      <c r="K8" s="187">
        <f t="shared" si="3"/>
        <v>0</v>
      </c>
      <c r="L8" s="189">
        <f t="shared" si="4"/>
        <v>0</v>
      </c>
    </row>
    <row r="9" spans="1:12" x14ac:dyDescent="0.3">
      <c r="A9" s="365"/>
      <c r="B9" s="8" t="s">
        <v>24</v>
      </c>
      <c r="C9" s="9">
        <v>14</v>
      </c>
      <c r="D9" s="10">
        <v>23</v>
      </c>
      <c r="E9" s="11">
        <v>0.15</v>
      </c>
      <c r="F9" s="11">
        <v>0.34</v>
      </c>
      <c r="G9" s="9">
        <v>0</v>
      </c>
      <c r="H9" s="12">
        <f t="shared" si="0"/>
        <v>2.44</v>
      </c>
      <c r="I9" s="13">
        <f t="shared" si="1"/>
        <v>56.12</v>
      </c>
      <c r="J9" s="187">
        <f t="shared" si="2"/>
        <v>0</v>
      </c>
      <c r="K9" s="187">
        <f t="shared" si="3"/>
        <v>0</v>
      </c>
      <c r="L9" s="189">
        <f t="shared" si="4"/>
        <v>0</v>
      </c>
    </row>
    <row r="10" spans="1:12" x14ac:dyDescent="0.3">
      <c r="A10" s="365"/>
      <c r="B10" s="8" t="s">
        <v>25</v>
      </c>
      <c r="C10" s="9">
        <v>20</v>
      </c>
      <c r="D10" s="10">
        <v>7252</v>
      </c>
      <c r="E10" s="11">
        <v>0.14799999999999999</v>
      </c>
      <c r="F10" s="11">
        <v>0.2</v>
      </c>
      <c r="G10" s="9">
        <v>0</v>
      </c>
      <c r="H10" s="12">
        <f t="shared" si="0"/>
        <v>3.16</v>
      </c>
      <c r="I10" s="13">
        <f t="shared" si="1"/>
        <v>22916.32</v>
      </c>
      <c r="J10" s="187">
        <f t="shared" si="2"/>
        <v>0</v>
      </c>
      <c r="K10" s="187">
        <f t="shared" si="3"/>
        <v>0</v>
      </c>
      <c r="L10" s="189">
        <f t="shared" si="4"/>
        <v>0</v>
      </c>
    </row>
    <row r="11" spans="1:12" x14ac:dyDescent="0.3">
      <c r="A11" s="365"/>
      <c r="B11" s="8" t="s">
        <v>26</v>
      </c>
      <c r="C11" s="9">
        <v>20</v>
      </c>
      <c r="D11" s="10">
        <v>552</v>
      </c>
      <c r="E11" s="11">
        <v>0.10299999999999999</v>
      </c>
      <c r="F11" s="11">
        <v>0.2</v>
      </c>
      <c r="G11" s="9">
        <v>0</v>
      </c>
      <c r="H11" s="12">
        <f t="shared" si="0"/>
        <v>2.2600000000000002</v>
      </c>
      <c r="I11" s="13">
        <f t="shared" si="1"/>
        <v>1247.5200000000002</v>
      </c>
      <c r="J11" s="187">
        <f t="shared" si="2"/>
        <v>0</v>
      </c>
      <c r="K11" s="187">
        <f t="shared" si="3"/>
        <v>0</v>
      </c>
      <c r="L11" s="189">
        <f t="shared" si="4"/>
        <v>0</v>
      </c>
    </row>
    <row r="12" spans="1:12" x14ac:dyDescent="0.3">
      <c r="A12" s="365"/>
      <c r="B12" s="8" t="s">
        <v>27</v>
      </c>
      <c r="C12" s="9">
        <v>20</v>
      </c>
      <c r="D12" s="10">
        <v>113</v>
      </c>
      <c r="E12" s="11">
        <v>0.04</v>
      </c>
      <c r="F12" s="11">
        <v>0.2</v>
      </c>
      <c r="G12" s="9">
        <v>0</v>
      </c>
      <c r="H12" s="12">
        <f t="shared" si="0"/>
        <v>1</v>
      </c>
      <c r="I12" s="13">
        <f t="shared" si="1"/>
        <v>113</v>
      </c>
      <c r="J12" s="187">
        <f t="shared" si="2"/>
        <v>0</v>
      </c>
      <c r="K12" s="187">
        <f t="shared" si="3"/>
        <v>0</v>
      </c>
      <c r="L12" s="189">
        <f t="shared" si="4"/>
        <v>0</v>
      </c>
    </row>
    <row r="13" spans="1:12" x14ac:dyDescent="0.3">
      <c r="A13" s="365"/>
      <c r="B13" s="8" t="s">
        <v>28</v>
      </c>
      <c r="C13" s="9">
        <v>20</v>
      </c>
      <c r="D13" s="10">
        <v>5873</v>
      </c>
      <c r="E13" s="11">
        <v>0.123</v>
      </c>
      <c r="F13" s="11">
        <v>0.2</v>
      </c>
      <c r="G13" s="9">
        <v>0</v>
      </c>
      <c r="H13" s="12">
        <f t="shared" si="0"/>
        <v>2.66</v>
      </c>
      <c r="I13" s="13">
        <f t="shared" si="1"/>
        <v>15622.18</v>
      </c>
      <c r="J13" s="187">
        <f t="shared" si="2"/>
        <v>0</v>
      </c>
      <c r="K13" s="187">
        <f t="shared" si="3"/>
        <v>0</v>
      </c>
      <c r="L13" s="189">
        <f t="shared" si="4"/>
        <v>0</v>
      </c>
    </row>
    <row r="14" spans="1:12" x14ac:dyDescent="0.3">
      <c r="A14" s="365"/>
      <c r="B14" s="8" t="s">
        <v>29</v>
      </c>
      <c r="C14" s="9">
        <v>20</v>
      </c>
      <c r="D14" s="10">
        <v>660</v>
      </c>
      <c r="E14" s="11">
        <v>0.125</v>
      </c>
      <c r="F14" s="11">
        <v>0.2</v>
      </c>
      <c r="G14" s="9">
        <v>0</v>
      </c>
      <c r="H14" s="12">
        <f t="shared" si="0"/>
        <v>2.7</v>
      </c>
      <c r="I14" s="13">
        <f t="shared" si="1"/>
        <v>1782.0000000000002</v>
      </c>
      <c r="J14" s="187">
        <f t="shared" si="2"/>
        <v>0</v>
      </c>
      <c r="K14" s="187">
        <f t="shared" si="3"/>
        <v>0</v>
      </c>
      <c r="L14" s="189">
        <f t="shared" si="4"/>
        <v>0</v>
      </c>
    </row>
    <row r="15" spans="1:12" x14ac:dyDescent="0.3">
      <c r="A15" s="365"/>
      <c r="B15" s="8" t="s">
        <v>30</v>
      </c>
      <c r="C15" s="9">
        <v>20</v>
      </c>
      <c r="D15" s="10">
        <v>104</v>
      </c>
      <c r="E15" s="11">
        <v>9.0999999999999998E-2</v>
      </c>
      <c r="F15" s="11">
        <v>0.2</v>
      </c>
      <c r="G15" s="9">
        <v>0</v>
      </c>
      <c r="H15" s="12">
        <f t="shared" si="0"/>
        <v>2.02</v>
      </c>
      <c r="I15" s="13">
        <f t="shared" si="1"/>
        <v>210.08</v>
      </c>
      <c r="J15" s="187">
        <f t="shared" si="2"/>
        <v>0</v>
      </c>
      <c r="K15" s="187">
        <f t="shared" si="3"/>
        <v>0</v>
      </c>
      <c r="L15" s="189">
        <f t="shared" si="4"/>
        <v>0</v>
      </c>
    </row>
    <row r="16" spans="1:12" x14ac:dyDescent="0.3">
      <c r="A16" s="365"/>
      <c r="B16" s="8" t="s">
        <v>31</v>
      </c>
      <c r="C16" s="9">
        <v>20</v>
      </c>
      <c r="D16" s="15">
        <v>1.0229999999999999</v>
      </c>
      <c r="E16" s="11">
        <v>0.01</v>
      </c>
      <c r="F16" s="11">
        <v>0.98499999999999999</v>
      </c>
      <c r="G16" s="9">
        <v>10</v>
      </c>
      <c r="H16" s="12">
        <f t="shared" si="0"/>
        <v>1.0865</v>
      </c>
      <c r="I16" s="13">
        <f t="shared" si="1"/>
        <v>1.1114895</v>
      </c>
      <c r="J16" s="187">
        <f t="shared" si="2"/>
        <v>9.5617924991195702E-2</v>
      </c>
      <c r="K16" s="187">
        <f t="shared" si="3"/>
        <v>0.1</v>
      </c>
      <c r="L16" s="189">
        <f t="shared" si="4"/>
        <v>4.3820750088043037E-3</v>
      </c>
    </row>
    <row r="17" spans="1:12" x14ac:dyDescent="0.3">
      <c r="A17" s="365"/>
      <c r="B17" s="8" t="s">
        <v>32</v>
      </c>
      <c r="C17" s="9">
        <v>12</v>
      </c>
      <c r="D17" s="16">
        <v>3</v>
      </c>
      <c r="E17" s="11">
        <v>0.01</v>
      </c>
      <c r="F17" s="11">
        <v>0.98499999999999999</v>
      </c>
      <c r="G17" s="9">
        <v>6</v>
      </c>
      <c r="H17" s="12">
        <f t="shared" si="0"/>
        <v>1.0459000000000001</v>
      </c>
      <c r="I17" s="13">
        <f t="shared" si="1"/>
        <v>3.1377000000000002</v>
      </c>
      <c r="J17" s="187">
        <f t="shared" si="2"/>
        <v>5.8519850599000112E-2</v>
      </c>
      <c r="K17" s="187">
        <f t="shared" si="3"/>
        <v>0.06</v>
      </c>
      <c r="L17" s="189">
        <f t="shared" si="4"/>
        <v>1.4801494009998861E-3</v>
      </c>
    </row>
    <row r="18" spans="1:12" x14ac:dyDescent="0.3">
      <c r="A18" s="365"/>
      <c r="B18" s="8" t="s">
        <v>33</v>
      </c>
      <c r="C18" s="9">
        <v>5</v>
      </c>
      <c r="D18" s="16">
        <v>3.31</v>
      </c>
      <c r="E18" s="11">
        <v>5.0000000000000001E-3</v>
      </c>
      <c r="F18" s="11">
        <v>0.98499999999999999</v>
      </c>
      <c r="G18" s="9">
        <v>5</v>
      </c>
      <c r="H18" s="12">
        <f t="shared" si="0"/>
        <v>0.985375</v>
      </c>
      <c r="I18" s="13">
        <f t="shared" si="1"/>
        <v>3.2615912499999999</v>
      </c>
      <c r="J18" s="187">
        <f t="shared" si="2"/>
        <v>2.4751246878124911E-2</v>
      </c>
      <c r="K18" s="187">
        <f t="shared" si="3"/>
        <v>2.5000000000000001E-2</v>
      </c>
      <c r="L18" s="189">
        <f t="shared" si="4"/>
        <v>2.4875312187509074E-4</v>
      </c>
    </row>
    <row r="19" spans="1:12" x14ac:dyDescent="0.3">
      <c r="A19" s="365"/>
      <c r="B19" s="8" t="s">
        <v>34</v>
      </c>
      <c r="C19" s="9">
        <v>14</v>
      </c>
      <c r="D19" s="17">
        <v>0.25</v>
      </c>
      <c r="E19" s="11">
        <v>0.01</v>
      </c>
      <c r="F19" s="11">
        <v>0.98499999999999999</v>
      </c>
      <c r="G19" s="9">
        <v>14</v>
      </c>
      <c r="H19" s="12">
        <f t="shared" si="0"/>
        <v>0.98709999999999998</v>
      </c>
      <c r="I19" s="13">
        <f t="shared" si="1"/>
        <v>0.24677499999999999</v>
      </c>
      <c r="J19" s="187">
        <f t="shared" si="2"/>
        <v>0.13125418723102189</v>
      </c>
      <c r="K19" s="187">
        <f t="shared" si="3"/>
        <v>0.14000000000000001</v>
      </c>
      <c r="L19" s="189">
        <f t="shared" si="4"/>
        <v>8.7458127689781229E-3</v>
      </c>
    </row>
    <row r="20" spans="1:12" x14ac:dyDescent="0.3">
      <c r="A20" s="365"/>
      <c r="B20" s="8" t="s">
        <v>35</v>
      </c>
      <c r="C20" s="9">
        <v>15</v>
      </c>
      <c r="D20" s="17">
        <v>0.63</v>
      </c>
      <c r="E20" s="11">
        <v>0.01</v>
      </c>
      <c r="F20" s="11">
        <v>0.98499999999999999</v>
      </c>
      <c r="G20" s="9">
        <v>15</v>
      </c>
      <c r="H20" s="12">
        <f t="shared" si="0"/>
        <v>0.98724999999999996</v>
      </c>
      <c r="I20" s="13">
        <f t="shared" si="1"/>
        <v>0.62196750000000001</v>
      </c>
      <c r="J20" s="187">
        <f t="shared" si="2"/>
        <v>0.13994164535871167</v>
      </c>
      <c r="K20" s="187">
        <f t="shared" si="3"/>
        <v>0.15</v>
      </c>
      <c r="L20" s="189">
        <f t="shared" si="4"/>
        <v>1.005835464128832E-2</v>
      </c>
    </row>
    <row r="21" spans="1:12" x14ac:dyDescent="0.3">
      <c r="A21" s="365"/>
      <c r="B21" s="8" t="s">
        <v>36</v>
      </c>
      <c r="C21" s="9">
        <v>14</v>
      </c>
      <c r="D21" s="17">
        <v>2.4</v>
      </c>
      <c r="E21" s="11">
        <v>0.01</v>
      </c>
      <c r="F21" s="11">
        <v>1</v>
      </c>
      <c r="G21" s="9">
        <v>14</v>
      </c>
      <c r="H21" s="12">
        <f t="shared" si="0"/>
        <v>1</v>
      </c>
      <c r="I21" s="13">
        <f t="shared" si="1"/>
        <v>2.4</v>
      </c>
      <c r="J21" s="187">
        <f t="shared" si="2"/>
        <v>0.13125418723102189</v>
      </c>
      <c r="K21" s="187">
        <f t="shared" si="3"/>
        <v>0.14000000000000001</v>
      </c>
      <c r="L21" s="189">
        <f t="shared" si="4"/>
        <v>8.7458127689781229E-3</v>
      </c>
    </row>
    <row r="22" spans="1:12" x14ac:dyDescent="0.3">
      <c r="A22" s="365"/>
      <c r="B22" s="8" t="s">
        <v>37</v>
      </c>
      <c r="C22" s="9">
        <v>14</v>
      </c>
      <c r="D22" s="15">
        <v>0.88200000000000001</v>
      </c>
      <c r="E22" s="11">
        <v>0.01</v>
      </c>
      <c r="F22" s="11">
        <v>1</v>
      </c>
      <c r="G22" s="9">
        <v>14</v>
      </c>
      <c r="H22" s="12">
        <f t="shared" si="0"/>
        <v>1</v>
      </c>
      <c r="I22" s="13">
        <f t="shared" si="1"/>
        <v>0.88200000000000001</v>
      </c>
      <c r="J22" s="187">
        <f t="shared" si="2"/>
        <v>0.13125418723102189</v>
      </c>
      <c r="K22" s="187">
        <f t="shared" si="3"/>
        <v>0.14000000000000001</v>
      </c>
      <c r="L22" s="189">
        <f t="shared" si="4"/>
        <v>8.7458127689781229E-3</v>
      </c>
    </row>
    <row r="23" spans="1:12" x14ac:dyDescent="0.3">
      <c r="A23" s="365"/>
      <c r="B23" s="8" t="s">
        <v>38</v>
      </c>
      <c r="C23" s="9">
        <v>14</v>
      </c>
      <c r="D23" s="15">
        <v>0.34200000000000003</v>
      </c>
      <c r="E23" s="11">
        <v>0.01</v>
      </c>
      <c r="F23" s="11">
        <v>0.77</v>
      </c>
      <c r="G23" s="9">
        <v>14</v>
      </c>
      <c r="H23" s="12">
        <f t="shared" si="0"/>
        <v>0.80220000000000002</v>
      </c>
      <c r="I23" s="13">
        <f t="shared" si="1"/>
        <v>0.27435240000000005</v>
      </c>
      <c r="J23" s="187">
        <f t="shared" si="2"/>
        <v>0.13125418723102189</v>
      </c>
      <c r="K23" s="187">
        <f t="shared" si="3"/>
        <v>0.14000000000000001</v>
      </c>
      <c r="L23" s="189">
        <f t="shared" si="4"/>
        <v>8.7458127689781229E-3</v>
      </c>
    </row>
    <row r="24" spans="1:12" x14ac:dyDescent="0.3">
      <c r="A24" s="365" t="s">
        <v>39</v>
      </c>
      <c r="B24" s="8" t="s">
        <v>40</v>
      </c>
      <c r="C24" s="9">
        <v>20</v>
      </c>
      <c r="D24" s="10">
        <v>3978</v>
      </c>
      <c r="E24" s="11">
        <v>2.3E-2</v>
      </c>
      <c r="F24" s="11">
        <v>0.2</v>
      </c>
      <c r="G24" s="9">
        <v>0</v>
      </c>
      <c r="H24" s="12">
        <f t="shared" si="0"/>
        <v>0.65999999999999992</v>
      </c>
      <c r="I24" s="13">
        <f t="shared" si="1"/>
        <v>2625.4799999999996</v>
      </c>
      <c r="J24" s="187">
        <f t="shared" si="2"/>
        <v>0</v>
      </c>
      <c r="K24" s="187">
        <f t="shared" si="3"/>
        <v>0</v>
      </c>
      <c r="L24" s="189">
        <f t="shared" si="4"/>
        <v>0</v>
      </c>
    </row>
    <row r="25" spans="1:12" x14ac:dyDescent="0.3">
      <c r="A25" s="365"/>
      <c r="B25" s="8" t="s">
        <v>41</v>
      </c>
      <c r="C25" s="9">
        <v>20</v>
      </c>
      <c r="D25" s="10">
        <v>526</v>
      </c>
      <c r="E25" s="11">
        <v>0.03</v>
      </c>
      <c r="F25" s="11">
        <v>0.2</v>
      </c>
      <c r="G25" s="9">
        <v>0</v>
      </c>
      <c r="H25" s="12">
        <f t="shared" si="0"/>
        <v>0.8</v>
      </c>
      <c r="I25" s="13">
        <f t="shared" si="1"/>
        <v>420.8</v>
      </c>
      <c r="J25" s="187">
        <f t="shared" si="2"/>
        <v>0</v>
      </c>
      <c r="K25" s="187">
        <f t="shared" si="3"/>
        <v>0</v>
      </c>
      <c r="L25" s="189">
        <f t="shared" si="4"/>
        <v>0</v>
      </c>
    </row>
    <row r="26" spans="1:12" x14ac:dyDescent="0.3">
      <c r="A26" s="365"/>
      <c r="B26" s="8" t="s">
        <v>42</v>
      </c>
      <c r="C26" s="9">
        <v>20</v>
      </c>
      <c r="D26" s="10">
        <v>70</v>
      </c>
      <c r="E26" s="136">
        <v>7.0000000000000007E-2</v>
      </c>
      <c r="F26" s="11">
        <v>0.2</v>
      </c>
      <c r="G26" s="9">
        <v>0</v>
      </c>
      <c r="H26" s="12">
        <f>(E26*C26+F26*(1-E26*G26))</f>
        <v>1.6</v>
      </c>
      <c r="I26" s="13">
        <f t="shared" si="1"/>
        <v>112</v>
      </c>
      <c r="J26" s="187">
        <f t="shared" si="2"/>
        <v>0</v>
      </c>
      <c r="K26" s="187">
        <f t="shared" si="3"/>
        <v>0</v>
      </c>
      <c r="L26" s="189">
        <f t="shared" si="4"/>
        <v>0</v>
      </c>
    </row>
    <row r="27" spans="1:12" ht="43.2" x14ac:dyDescent="0.3">
      <c r="A27" s="365"/>
      <c r="B27" s="8" t="s">
        <v>43</v>
      </c>
      <c r="C27" s="9">
        <v>15</v>
      </c>
      <c r="D27" s="16">
        <v>18.2</v>
      </c>
      <c r="E27" s="136">
        <v>4.7E-2</v>
      </c>
      <c r="F27" s="11">
        <v>0.56000000000000005</v>
      </c>
      <c r="G27" s="9">
        <v>0</v>
      </c>
      <c r="H27" s="12">
        <f t="shared" si="0"/>
        <v>1.2650000000000001</v>
      </c>
      <c r="I27" s="13">
        <f t="shared" si="1"/>
        <v>23.023</v>
      </c>
      <c r="J27" s="187">
        <f t="shared" si="2"/>
        <v>0</v>
      </c>
      <c r="K27" s="187">
        <f t="shared" si="3"/>
        <v>0</v>
      </c>
      <c r="L27" s="189">
        <f t="shared" si="4"/>
        <v>0</v>
      </c>
    </row>
    <row r="28" spans="1:12" x14ac:dyDescent="0.3">
      <c r="A28" s="365"/>
      <c r="B28" s="8" t="s">
        <v>44</v>
      </c>
      <c r="C28" s="9">
        <v>12</v>
      </c>
      <c r="D28" s="17">
        <v>1.54</v>
      </c>
      <c r="E28" s="11">
        <v>0.02</v>
      </c>
      <c r="F28" s="11">
        <v>0.98499999999999999</v>
      </c>
      <c r="G28" s="9">
        <v>12</v>
      </c>
      <c r="H28" s="12">
        <f t="shared" si="0"/>
        <v>0.98860000000000003</v>
      </c>
      <c r="I28" s="13">
        <f t="shared" si="1"/>
        <v>1.5224440000000001</v>
      </c>
      <c r="J28" s="187">
        <f t="shared" si="2"/>
        <v>0.21528327626520027</v>
      </c>
      <c r="K28" s="187">
        <f t="shared" si="3"/>
        <v>0.24</v>
      </c>
      <c r="L28" s="189">
        <f t="shared" si="4"/>
        <v>2.4716723734799717E-2</v>
      </c>
    </row>
    <row r="29" spans="1:12" x14ac:dyDescent="0.3">
      <c r="A29" s="365"/>
      <c r="B29" s="8" t="s">
        <v>45</v>
      </c>
      <c r="C29" s="9">
        <v>15</v>
      </c>
      <c r="D29" s="16">
        <v>7.5</v>
      </c>
      <c r="E29" s="11">
        <v>0.05</v>
      </c>
      <c r="F29" s="11">
        <v>0.8</v>
      </c>
      <c r="G29" s="9">
        <v>3</v>
      </c>
      <c r="H29" s="12">
        <f t="shared" si="0"/>
        <v>1.4300000000000002</v>
      </c>
      <c r="I29" s="13">
        <f t="shared" si="1"/>
        <v>10.725000000000001</v>
      </c>
      <c r="J29" s="187">
        <f t="shared" si="2"/>
        <v>0.14262500000000011</v>
      </c>
      <c r="K29" s="187">
        <f t="shared" si="3"/>
        <v>0.15000000000000002</v>
      </c>
      <c r="L29" s="189">
        <f t="shared" si="4"/>
        <v>7.3749999999999094E-3</v>
      </c>
    </row>
    <row r="30" spans="1:12" x14ac:dyDescent="0.3">
      <c r="A30" s="365"/>
      <c r="B30" s="8" t="s">
        <v>46</v>
      </c>
      <c r="C30" s="9">
        <v>15</v>
      </c>
      <c r="D30" s="16">
        <v>8.1999999999999993</v>
      </c>
      <c r="E30" s="11">
        <v>5.2999999999999999E-2</v>
      </c>
      <c r="F30" s="11">
        <v>0.8</v>
      </c>
      <c r="G30" s="9">
        <v>3</v>
      </c>
      <c r="H30" s="12">
        <f t="shared" si="0"/>
        <v>1.4678</v>
      </c>
      <c r="I30" s="13">
        <f t="shared" si="1"/>
        <v>12.035959999999999</v>
      </c>
      <c r="J30" s="187">
        <f t="shared" si="2"/>
        <v>0.15072187700000017</v>
      </c>
      <c r="K30" s="187">
        <f t="shared" si="3"/>
        <v>0.159</v>
      </c>
      <c r="L30" s="189">
        <f t="shared" si="4"/>
        <v>8.2781229999998318E-3</v>
      </c>
    </row>
    <row r="31" spans="1:12" ht="28.8" x14ac:dyDescent="0.3">
      <c r="A31" s="365"/>
      <c r="B31" s="8" t="s">
        <v>47</v>
      </c>
      <c r="C31" s="9">
        <v>12</v>
      </c>
      <c r="D31" s="17">
        <v>1.54</v>
      </c>
      <c r="E31" s="11">
        <v>0.02</v>
      </c>
      <c r="F31" s="11">
        <v>0.98499999999999999</v>
      </c>
      <c r="G31" s="9">
        <v>12</v>
      </c>
      <c r="H31" s="12">
        <f t="shared" si="0"/>
        <v>0.98860000000000003</v>
      </c>
      <c r="I31" s="13">
        <f t="shared" si="1"/>
        <v>1.5224440000000001</v>
      </c>
      <c r="J31" s="187">
        <f t="shared" si="2"/>
        <v>0.21528327626520027</v>
      </c>
      <c r="K31" s="187">
        <f t="shared" si="3"/>
        <v>0.24</v>
      </c>
      <c r="L31" s="189">
        <f t="shared" si="4"/>
        <v>2.4716723734799717E-2</v>
      </c>
    </row>
    <row r="32" spans="1:12" x14ac:dyDescent="0.3">
      <c r="A32" s="365"/>
      <c r="B32" s="8" t="s">
        <v>48</v>
      </c>
      <c r="C32" s="9">
        <v>10</v>
      </c>
      <c r="D32" s="17">
        <v>1.54</v>
      </c>
      <c r="E32" s="11">
        <v>0.01</v>
      </c>
      <c r="F32" s="11">
        <v>0.98499999999999999</v>
      </c>
      <c r="G32" s="9">
        <v>10</v>
      </c>
      <c r="H32" s="12">
        <f t="shared" si="0"/>
        <v>0.98649999999999993</v>
      </c>
      <c r="I32" s="13">
        <f t="shared" si="1"/>
        <v>1.5192099999999999</v>
      </c>
      <c r="J32" s="187">
        <f t="shared" si="2"/>
        <v>9.5617924991195702E-2</v>
      </c>
      <c r="K32" s="187">
        <f t="shared" si="3"/>
        <v>0.1</v>
      </c>
      <c r="L32" s="189">
        <f t="shared" si="4"/>
        <v>4.3820750088043037E-3</v>
      </c>
    </row>
    <row r="33" spans="1:12" x14ac:dyDescent="0.3">
      <c r="A33" s="365"/>
      <c r="B33" s="8" t="s">
        <v>49</v>
      </c>
      <c r="C33" s="9">
        <v>5</v>
      </c>
      <c r="D33" s="17">
        <v>1</v>
      </c>
      <c r="E33" s="11">
        <v>0.01</v>
      </c>
      <c r="F33" s="11">
        <v>0.98499999999999999</v>
      </c>
      <c r="G33" s="9">
        <v>5</v>
      </c>
      <c r="H33" s="12">
        <f t="shared" si="0"/>
        <v>0.98575000000000002</v>
      </c>
      <c r="I33" s="13">
        <f t="shared" si="1"/>
        <v>0.98575000000000002</v>
      </c>
      <c r="J33" s="187">
        <f t="shared" si="2"/>
        <v>4.9009950100000088E-2</v>
      </c>
      <c r="K33" s="187">
        <f t="shared" si="3"/>
        <v>0.05</v>
      </c>
      <c r="L33" s="189">
        <f t="shared" si="4"/>
        <v>9.9004989999991466E-4</v>
      </c>
    </row>
    <row r="34" spans="1:12" x14ac:dyDescent="0.3">
      <c r="A34" s="365" t="s">
        <v>50</v>
      </c>
      <c r="B34" s="8" t="s">
        <v>51</v>
      </c>
      <c r="C34" s="9">
        <v>12</v>
      </c>
      <c r="D34" s="17">
        <v>1.52</v>
      </c>
      <c r="E34" s="11">
        <v>0.08</v>
      </c>
      <c r="F34" s="11">
        <v>0.42499999999999999</v>
      </c>
      <c r="G34" s="9">
        <v>2</v>
      </c>
      <c r="H34" s="12">
        <f t="shared" si="0"/>
        <v>1.3169999999999999</v>
      </c>
      <c r="I34" s="13">
        <f t="shared" si="1"/>
        <v>2.0018400000000001</v>
      </c>
      <c r="J34" s="187">
        <f t="shared" si="2"/>
        <v>0.15359999999999996</v>
      </c>
      <c r="K34" s="187">
        <f t="shared" si="3"/>
        <v>0.16</v>
      </c>
      <c r="L34" s="189">
        <f t="shared" si="4"/>
        <v>6.4000000000000445E-3</v>
      </c>
    </row>
    <row r="35" spans="1:12" x14ac:dyDescent="0.3">
      <c r="A35" s="365"/>
      <c r="B35" s="8" t="s">
        <v>52</v>
      </c>
      <c r="C35" s="9">
        <v>10</v>
      </c>
      <c r="D35" s="17">
        <v>2.92</v>
      </c>
      <c r="E35" s="11">
        <v>0.33800000000000002</v>
      </c>
      <c r="F35" s="11">
        <v>0.51339999999999997</v>
      </c>
      <c r="G35" s="9">
        <v>1</v>
      </c>
      <c r="H35" s="12">
        <f t="shared" si="0"/>
        <v>3.7198708000000003</v>
      </c>
      <c r="I35" s="13">
        <f t="shared" si="1"/>
        <v>10.862022736</v>
      </c>
      <c r="J35" s="187">
        <f t="shared" si="2"/>
        <v>0.33800000000000008</v>
      </c>
      <c r="K35" s="187">
        <f t="shared" si="3"/>
        <v>0.33800000000000002</v>
      </c>
      <c r="L35" s="189">
        <f t="shared" si="4"/>
        <v>0</v>
      </c>
    </row>
    <row r="36" spans="1:12" x14ac:dyDescent="0.3">
      <c r="A36" s="365"/>
      <c r="B36" s="8" t="s">
        <v>53</v>
      </c>
      <c r="C36" s="9">
        <v>12</v>
      </c>
      <c r="D36" s="16">
        <v>21.8</v>
      </c>
      <c r="E36" s="11">
        <v>0.11699999999999999</v>
      </c>
      <c r="F36" s="11">
        <v>0.49</v>
      </c>
      <c r="G36" s="9">
        <v>1</v>
      </c>
      <c r="H36" s="12">
        <f t="shared" si="0"/>
        <v>1.8366699999999998</v>
      </c>
      <c r="I36" s="13">
        <f t="shared" si="1"/>
        <v>40.039406</v>
      </c>
      <c r="J36" s="187">
        <f t="shared" si="2"/>
        <v>0.11699999999999999</v>
      </c>
      <c r="K36" s="187">
        <f t="shared" si="3"/>
        <v>0.11699999999999999</v>
      </c>
      <c r="L36" s="189">
        <f t="shared" si="4"/>
        <v>0</v>
      </c>
    </row>
    <row r="37" spans="1:12" x14ac:dyDescent="0.3">
      <c r="A37" s="365"/>
      <c r="B37" s="8" t="s">
        <v>54</v>
      </c>
      <c r="C37" s="9">
        <v>10</v>
      </c>
      <c r="D37" s="17">
        <v>2.4300000000000002</v>
      </c>
      <c r="E37" s="11">
        <v>0.33800000000000002</v>
      </c>
      <c r="F37" s="11">
        <v>0.51300000000000001</v>
      </c>
      <c r="G37" s="9">
        <v>1</v>
      </c>
      <c r="H37" s="12">
        <f t="shared" si="0"/>
        <v>3.7196060000000002</v>
      </c>
      <c r="I37" s="13">
        <f t="shared" si="1"/>
        <v>9.0386425800000012</v>
      </c>
      <c r="J37" s="187">
        <f t="shared" si="2"/>
        <v>0.33800000000000008</v>
      </c>
      <c r="K37" s="187">
        <f t="shared" si="3"/>
        <v>0.33800000000000002</v>
      </c>
      <c r="L37" s="189">
        <f t="shared" si="4"/>
        <v>0</v>
      </c>
    </row>
    <row r="38" spans="1:12" x14ac:dyDescent="0.3">
      <c r="A38" s="365"/>
      <c r="B38" s="8" t="s">
        <v>55</v>
      </c>
      <c r="C38" s="9">
        <v>7</v>
      </c>
      <c r="D38" s="10">
        <v>16</v>
      </c>
      <c r="E38" s="11">
        <v>0.15</v>
      </c>
      <c r="F38" s="11">
        <v>0.49</v>
      </c>
      <c r="G38" s="9">
        <v>1</v>
      </c>
      <c r="H38" s="12">
        <f t="shared" si="0"/>
        <v>1.4664999999999999</v>
      </c>
      <c r="I38" s="13">
        <f t="shared" si="1"/>
        <v>23.463999999999999</v>
      </c>
      <c r="J38" s="187">
        <f t="shared" si="2"/>
        <v>0.15000000000000002</v>
      </c>
      <c r="K38" s="187">
        <f t="shared" si="3"/>
        <v>0.15</v>
      </c>
      <c r="L38" s="189">
        <f t="shared" si="4"/>
        <v>0</v>
      </c>
    </row>
    <row r="39" spans="1:12" x14ac:dyDescent="0.3">
      <c r="A39" s="365"/>
      <c r="B39" s="8" t="s">
        <v>56</v>
      </c>
      <c r="C39" s="9">
        <v>5</v>
      </c>
      <c r="D39" s="16">
        <v>33.1</v>
      </c>
      <c r="E39" s="11">
        <v>0.05</v>
      </c>
      <c r="F39" s="11">
        <v>0.191</v>
      </c>
      <c r="G39" s="9">
        <v>1</v>
      </c>
      <c r="H39" s="12">
        <f t="shared" si="0"/>
        <v>0.43145</v>
      </c>
      <c r="I39" s="13">
        <f t="shared" si="1"/>
        <v>14.280995000000001</v>
      </c>
      <c r="J39" s="187">
        <f t="shared" si="2"/>
        <v>5.0000000000000044E-2</v>
      </c>
      <c r="K39" s="187">
        <f t="shared" si="3"/>
        <v>0.05</v>
      </c>
      <c r="L39" s="189">
        <f t="shared" si="4"/>
        <v>0</v>
      </c>
    </row>
    <row r="40" spans="1:12" x14ac:dyDescent="0.3">
      <c r="A40" s="365"/>
      <c r="B40" s="8" t="s">
        <v>57</v>
      </c>
      <c r="C40" s="9">
        <v>15</v>
      </c>
      <c r="D40" s="10">
        <v>273.2</v>
      </c>
      <c r="E40" s="11">
        <v>0.36599999999999999</v>
      </c>
      <c r="F40" s="11">
        <v>0</v>
      </c>
      <c r="G40" s="9">
        <v>1</v>
      </c>
      <c r="H40" s="12">
        <f t="shared" si="0"/>
        <v>5.49</v>
      </c>
      <c r="I40" s="13">
        <f t="shared" si="1"/>
        <v>1499.8679999999999</v>
      </c>
      <c r="J40" s="187">
        <f t="shared" si="2"/>
        <v>0.36599999999999999</v>
      </c>
      <c r="K40" s="187">
        <f t="shared" si="3"/>
        <v>0.36599999999999999</v>
      </c>
      <c r="L40" s="189">
        <f t="shared" si="4"/>
        <v>0</v>
      </c>
    </row>
    <row r="41" spans="1:12" x14ac:dyDescent="0.3">
      <c r="A41" t="s">
        <v>493</v>
      </c>
      <c r="B41" t="s">
        <v>494</v>
      </c>
      <c r="D41">
        <v>0</v>
      </c>
      <c r="E41" s="160">
        <v>0</v>
      </c>
      <c r="F41" s="160">
        <v>0</v>
      </c>
      <c r="G41" s="161">
        <v>0</v>
      </c>
      <c r="H41" s="162">
        <v>0</v>
      </c>
      <c r="I41" s="162">
        <v>0</v>
      </c>
      <c r="J41" s="187">
        <f t="shared" si="2"/>
        <v>0</v>
      </c>
      <c r="K41" s="187">
        <f t="shared" si="3"/>
        <v>0</v>
      </c>
      <c r="L41" s="189">
        <f t="shared" si="4"/>
        <v>0</v>
      </c>
    </row>
    <row r="44" spans="1:12" x14ac:dyDescent="0.3">
      <c r="A44" t="s">
        <v>377</v>
      </c>
    </row>
    <row r="45" spans="1:12" x14ac:dyDescent="0.3">
      <c r="A45" s="183" t="s">
        <v>706</v>
      </c>
      <c r="B45" s="241" t="s">
        <v>695</v>
      </c>
      <c r="C45" s="242"/>
      <c r="D45" s="242"/>
      <c r="E45" s="242"/>
      <c r="F45" s="243"/>
    </row>
    <row r="46" spans="1:12" x14ac:dyDescent="0.3">
      <c r="A46" s="185"/>
      <c r="B46" s="244" t="s">
        <v>700</v>
      </c>
      <c r="C46" s="245"/>
      <c r="D46" s="245"/>
      <c r="E46" s="245"/>
      <c r="F46" s="246"/>
    </row>
    <row r="47" spans="1:12" x14ac:dyDescent="0.3">
      <c r="A47" s="9" t="s">
        <v>702</v>
      </c>
      <c r="B47" s="247" t="s">
        <v>701</v>
      </c>
      <c r="C47" s="248"/>
      <c r="D47" s="248"/>
      <c r="E47" s="248"/>
      <c r="F47" s="249"/>
    </row>
    <row r="48" spans="1:12" x14ac:dyDescent="0.3">
      <c r="A48" s="9" t="s">
        <v>703</v>
      </c>
      <c r="B48" s="247" t="s">
        <v>714</v>
      </c>
      <c r="C48" s="248"/>
      <c r="D48" s="248"/>
      <c r="E48" s="248"/>
      <c r="F48" s="249"/>
    </row>
  </sheetData>
  <sheetProtection algorithmName="SHA-512" hashValue="zasCrwsUiesfvlJStFtGAT7wkI7RuIWnSrO3CbZ5vFsUfNzTIcb9R9FmOJmSoB5DsXR9XYoyGjqWI0X4/ApMRg==" saltValue="PGZz+z6kLeb43Q1lmVaQmQ==" spinCount="100000" sheet="1" objects="1" scenarios="1"/>
  <mergeCells count="3">
    <mergeCell ref="A2:A23"/>
    <mergeCell ref="A24:A33"/>
    <mergeCell ref="A34:A40"/>
  </mergeCells>
  <hyperlinks>
    <hyperlink ref="B45" r:id="rId1" xr:uid="{C7C25A59-7888-478A-A4E7-8E9708E2DC60}"/>
  </hyperlinks>
  <pageMargins left="0.7" right="0.7" top="0.75" bottom="0.75" header="0.3" footer="0.3"/>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B73B5-D6FC-914E-BB19-E1F37F9777AB}">
  <sheetPr codeName="Sheet17">
    <tabColor theme="8" tint="-0.249977111117893"/>
    <pageSetUpPr fitToPage="1"/>
  </sheetPr>
  <dimension ref="A1:O188"/>
  <sheetViews>
    <sheetView workbookViewId="0">
      <selection activeCell="D13" sqref="D13"/>
    </sheetView>
  </sheetViews>
  <sheetFormatPr defaultColWidth="11.44140625" defaultRowHeight="13.2" x14ac:dyDescent="0.25"/>
  <cols>
    <col min="1" max="1" width="27.44140625" style="23" customWidth="1"/>
    <col min="2" max="2" width="40.44140625" style="23" customWidth="1"/>
    <col min="3" max="3" width="14.44140625" style="23" customWidth="1"/>
    <col min="4" max="5" width="18.44140625" style="23" bestFit="1" customWidth="1"/>
    <col min="6" max="6" width="78.44140625" style="23" bestFit="1" customWidth="1"/>
    <col min="7" max="256" width="8.44140625" style="23" customWidth="1"/>
    <col min="257" max="257" width="27.44140625" style="23" customWidth="1"/>
    <col min="258" max="258" width="40.44140625" style="23" customWidth="1"/>
    <col min="259" max="261" width="14.44140625" style="23" customWidth="1"/>
    <col min="262" max="512" width="8.44140625" style="23" customWidth="1"/>
    <col min="513" max="513" width="27.44140625" style="23" customWidth="1"/>
    <col min="514" max="514" width="40.44140625" style="23" customWidth="1"/>
    <col min="515" max="517" width="14.44140625" style="23" customWidth="1"/>
    <col min="518" max="768" width="8.44140625" style="23" customWidth="1"/>
    <col min="769" max="769" width="27.44140625" style="23" customWidth="1"/>
    <col min="770" max="770" width="40.44140625" style="23" customWidth="1"/>
    <col min="771" max="773" width="14.44140625" style="23" customWidth="1"/>
    <col min="774" max="1024" width="8.44140625" style="23" customWidth="1"/>
    <col min="1025" max="1025" width="27.44140625" style="23" customWidth="1"/>
    <col min="1026" max="1026" width="40.44140625" style="23" customWidth="1"/>
    <col min="1027" max="1029" width="14.44140625" style="23" customWidth="1"/>
    <col min="1030" max="1280" width="8.44140625" style="23" customWidth="1"/>
    <col min="1281" max="1281" width="27.44140625" style="23" customWidth="1"/>
    <col min="1282" max="1282" width="40.44140625" style="23" customWidth="1"/>
    <col min="1283" max="1285" width="14.44140625" style="23" customWidth="1"/>
    <col min="1286" max="1536" width="8.44140625" style="23" customWidth="1"/>
    <col min="1537" max="1537" width="27.44140625" style="23" customWidth="1"/>
    <col min="1538" max="1538" width="40.44140625" style="23" customWidth="1"/>
    <col min="1539" max="1541" width="14.44140625" style="23" customWidth="1"/>
    <col min="1542" max="1792" width="8.44140625" style="23" customWidth="1"/>
    <col min="1793" max="1793" width="27.44140625" style="23" customWidth="1"/>
    <col min="1794" max="1794" width="40.44140625" style="23" customWidth="1"/>
    <col min="1795" max="1797" width="14.44140625" style="23" customWidth="1"/>
    <col min="1798" max="2048" width="8.44140625" style="23" customWidth="1"/>
    <col min="2049" max="2049" width="27.44140625" style="23" customWidth="1"/>
    <col min="2050" max="2050" width="40.44140625" style="23" customWidth="1"/>
    <col min="2051" max="2053" width="14.44140625" style="23" customWidth="1"/>
    <col min="2054" max="2304" width="8.44140625" style="23" customWidth="1"/>
    <col min="2305" max="2305" width="27.44140625" style="23" customWidth="1"/>
    <col min="2306" max="2306" width="40.44140625" style="23" customWidth="1"/>
    <col min="2307" max="2309" width="14.44140625" style="23" customWidth="1"/>
    <col min="2310" max="2560" width="8.44140625" style="23" customWidth="1"/>
    <col min="2561" max="2561" width="27.44140625" style="23" customWidth="1"/>
    <col min="2562" max="2562" width="40.44140625" style="23" customWidth="1"/>
    <col min="2563" max="2565" width="14.44140625" style="23" customWidth="1"/>
    <col min="2566" max="2816" width="8.44140625" style="23" customWidth="1"/>
    <col min="2817" max="2817" width="27.44140625" style="23" customWidth="1"/>
    <col min="2818" max="2818" width="40.44140625" style="23" customWidth="1"/>
    <col min="2819" max="2821" width="14.44140625" style="23" customWidth="1"/>
    <col min="2822" max="3072" width="8.44140625" style="23" customWidth="1"/>
    <col min="3073" max="3073" width="27.44140625" style="23" customWidth="1"/>
    <col min="3074" max="3074" width="40.44140625" style="23" customWidth="1"/>
    <col min="3075" max="3077" width="14.44140625" style="23" customWidth="1"/>
    <col min="3078" max="3328" width="8.44140625" style="23" customWidth="1"/>
    <col min="3329" max="3329" width="27.44140625" style="23" customWidth="1"/>
    <col min="3330" max="3330" width="40.44140625" style="23" customWidth="1"/>
    <col min="3331" max="3333" width="14.44140625" style="23" customWidth="1"/>
    <col min="3334" max="3584" width="8.44140625" style="23" customWidth="1"/>
    <col min="3585" max="3585" width="27.44140625" style="23" customWidth="1"/>
    <col min="3586" max="3586" width="40.44140625" style="23" customWidth="1"/>
    <col min="3587" max="3589" width="14.44140625" style="23" customWidth="1"/>
    <col min="3590" max="3840" width="8.44140625" style="23" customWidth="1"/>
    <col min="3841" max="3841" width="27.44140625" style="23" customWidth="1"/>
    <col min="3842" max="3842" width="40.44140625" style="23" customWidth="1"/>
    <col min="3843" max="3845" width="14.44140625" style="23" customWidth="1"/>
    <col min="3846" max="4096" width="8.44140625" style="23" customWidth="1"/>
    <col min="4097" max="4097" width="27.44140625" style="23" customWidth="1"/>
    <col min="4098" max="4098" width="40.44140625" style="23" customWidth="1"/>
    <col min="4099" max="4101" width="14.44140625" style="23" customWidth="1"/>
    <col min="4102" max="4352" width="8.44140625" style="23" customWidth="1"/>
    <col min="4353" max="4353" width="27.44140625" style="23" customWidth="1"/>
    <col min="4354" max="4354" width="40.44140625" style="23" customWidth="1"/>
    <col min="4355" max="4357" width="14.44140625" style="23" customWidth="1"/>
    <col min="4358" max="4608" width="8.44140625" style="23" customWidth="1"/>
    <col min="4609" max="4609" width="27.44140625" style="23" customWidth="1"/>
    <col min="4610" max="4610" width="40.44140625" style="23" customWidth="1"/>
    <col min="4611" max="4613" width="14.44140625" style="23" customWidth="1"/>
    <col min="4614" max="4864" width="8.44140625" style="23" customWidth="1"/>
    <col min="4865" max="4865" width="27.44140625" style="23" customWidth="1"/>
    <col min="4866" max="4866" width="40.44140625" style="23" customWidth="1"/>
    <col min="4867" max="4869" width="14.44140625" style="23" customWidth="1"/>
    <col min="4870" max="5120" width="8.44140625" style="23" customWidth="1"/>
    <col min="5121" max="5121" width="27.44140625" style="23" customWidth="1"/>
    <col min="5122" max="5122" width="40.44140625" style="23" customWidth="1"/>
    <col min="5123" max="5125" width="14.44140625" style="23" customWidth="1"/>
    <col min="5126" max="5376" width="8.44140625" style="23" customWidth="1"/>
    <col min="5377" max="5377" width="27.44140625" style="23" customWidth="1"/>
    <col min="5378" max="5378" width="40.44140625" style="23" customWidth="1"/>
    <col min="5379" max="5381" width="14.44140625" style="23" customWidth="1"/>
    <col min="5382" max="5632" width="8.44140625" style="23" customWidth="1"/>
    <col min="5633" max="5633" width="27.44140625" style="23" customWidth="1"/>
    <col min="5634" max="5634" width="40.44140625" style="23" customWidth="1"/>
    <col min="5635" max="5637" width="14.44140625" style="23" customWidth="1"/>
    <col min="5638" max="5888" width="8.44140625" style="23" customWidth="1"/>
    <col min="5889" max="5889" width="27.44140625" style="23" customWidth="1"/>
    <col min="5890" max="5890" width="40.44140625" style="23" customWidth="1"/>
    <col min="5891" max="5893" width="14.44140625" style="23" customWidth="1"/>
    <col min="5894" max="6144" width="8.44140625" style="23" customWidth="1"/>
    <col min="6145" max="6145" width="27.44140625" style="23" customWidth="1"/>
    <col min="6146" max="6146" width="40.44140625" style="23" customWidth="1"/>
    <col min="6147" max="6149" width="14.44140625" style="23" customWidth="1"/>
    <col min="6150" max="6400" width="8.44140625" style="23" customWidth="1"/>
    <col min="6401" max="6401" width="27.44140625" style="23" customWidth="1"/>
    <col min="6402" max="6402" width="40.44140625" style="23" customWidth="1"/>
    <col min="6403" max="6405" width="14.44140625" style="23" customWidth="1"/>
    <col min="6406" max="6656" width="8.44140625" style="23" customWidth="1"/>
    <col min="6657" max="6657" width="27.44140625" style="23" customWidth="1"/>
    <col min="6658" max="6658" width="40.44140625" style="23" customWidth="1"/>
    <col min="6659" max="6661" width="14.44140625" style="23" customWidth="1"/>
    <col min="6662" max="6912" width="8.44140625" style="23" customWidth="1"/>
    <col min="6913" max="6913" width="27.44140625" style="23" customWidth="1"/>
    <col min="6914" max="6914" width="40.44140625" style="23" customWidth="1"/>
    <col min="6915" max="6917" width="14.44140625" style="23" customWidth="1"/>
    <col min="6918" max="7168" width="8.44140625" style="23" customWidth="1"/>
    <col min="7169" max="7169" width="27.44140625" style="23" customWidth="1"/>
    <col min="7170" max="7170" width="40.44140625" style="23" customWidth="1"/>
    <col min="7171" max="7173" width="14.44140625" style="23" customWidth="1"/>
    <col min="7174" max="7424" width="8.44140625" style="23" customWidth="1"/>
    <col min="7425" max="7425" width="27.44140625" style="23" customWidth="1"/>
    <col min="7426" max="7426" width="40.44140625" style="23" customWidth="1"/>
    <col min="7427" max="7429" width="14.44140625" style="23" customWidth="1"/>
    <col min="7430" max="7680" width="8.44140625" style="23" customWidth="1"/>
    <col min="7681" max="7681" width="27.44140625" style="23" customWidth="1"/>
    <col min="7682" max="7682" width="40.44140625" style="23" customWidth="1"/>
    <col min="7683" max="7685" width="14.44140625" style="23" customWidth="1"/>
    <col min="7686" max="7936" width="8.44140625" style="23" customWidth="1"/>
    <col min="7937" max="7937" width="27.44140625" style="23" customWidth="1"/>
    <col min="7938" max="7938" width="40.44140625" style="23" customWidth="1"/>
    <col min="7939" max="7941" width="14.44140625" style="23" customWidth="1"/>
    <col min="7942" max="8192" width="8.44140625" style="23" customWidth="1"/>
    <col min="8193" max="8193" width="27.44140625" style="23" customWidth="1"/>
    <col min="8194" max="8194" width="40.44140625" style="23" customWidth="1"/>
    <col min="8195" max="8197" width="14.44140625" style="23" customWidth="1"/>
    <col min="8198" max="8448" width="8.44140625" style="23" customWidth="1"/>
    <col min="8449" max="8449" width="27.44140625" style="23" customWidth="1"/>
    <col min="8450" max="8450" width="40.44140625" style="23" customWidth="1"/>
    <col min="8451" max="8453" width="14.44140625" style="23" customWidth="1"/>
    <col min="8454" max="8704" width="8.44140625" style="23" customWidth="1"/>
    <col min="8705" max="8705" width="27.44140625" style="23" customWidth="1"/>
    <col min="8706" max="8706" width="40.44140625" style="23" customWidth="1"/>
    <col min="8707" max="8709" width="14.44140625" style="23" customWidth="1"/>
    <col min="8710" max="8960" width="8.44140625" style="23" customWidth="1"/>
    <col min="8961" max="8961" width="27.44140625" style="23" customWidth="1"/>
    <col min="8962" max="8962" width="40.44140625" style="23" customWidth="1"/>
    <col min="8963" max="8965" width="14.44140625" style="23" customWidth="1"/>
    <col min="8966" max="9216" width="8.44140625" style="23" customWidth="1"/>
    <col min="9217" max="9217" width="27.44140625" style="23" customWidth="1"/>
    <col min="9218" max="9218" width="40.44140625" style="23" customWidth="1"/>
    <col min="9219" max="9221" width="14.44140625" style="23" customWidth="1"/>
    <col min="9222" max="9472" width="8.44140625" style="23" customWidth="1"/>
    <col min="9473" max="9473" width="27.44140625" style="23" customWidth="1"/>
    <col min="9474" max="9474" width="40.44140625" style="23" customWidth="1"/>
    <col min="9475" max="9477" width="14.44140625" style="23" customWidth="1"/>
    <col min="9478" max="9728" width="8.44140625" style="23" customWidth="1"/>
    <col min="9729" max="9729" width="27.44140625" style="23" customWidth="1"/>
    <col min="9730" max="9730" width="40.44140625" style="23" customWidth="1"/>
    <col min="9731" max="9733" width="14.44140625" style="23" customWidth="1"/>
    <col min="9734" max="9984" width="8.44140625" style="23" customWidth="1"/>
    <col min="9985" max="9985" width="27.44140625" style="23" customWidth="1"/>
    <col min="9986" max="9986" width="40.44140625" style="23" customWidth="1"/>
    <col min="9987" max="9989" width="14.44140625" style="23" customWidth="1"/>
    <col min="9990" max="10240" width="8.44140625" style="23" customWidth="1"/>
    <col min="10241" max="10241" width="27.44140625" style="23" customWidth="1"/>
    <col min="10242" max="10242" width="40.44140625" style="23" customWidth="1"/>
    <col min="10243" max="10245" width="14.44140625" style="23" customWidth="1"/>
    <col min="10246" max="10496" width="8.44140625" style="23" customWidth="1"/>
    <col min="10497" max="10497" width="27.44140625" style="23" customWidth="1"/>
    <col min="10498" max="10498" width="40.44140625" style="23" customWidth="1"/>
    <col min="10499" max="10501" width="14.44140625" style="23" customWidth="1"/>
    <col min="10502" max="10752" width="8.44140625" style="23" customWidth="1"/>
    <col min="10753" max="10753" width="27.44140625" style="23" customWidth="1"/>
    <col min="10754" max="10754" width="40.44140625" style="23" customWidth="1"/>
    <col min="10755" max="10757" width="14.44140625" style="23" customWidth="1"/>
    <col min="10758" max="11008" width="8.44140625" style="23" customWidth="1"/>
    <col min="11009" max="11009" width="27.44140625" style="23" customWidth="1"/>
    <col min="11010" max="11010" width="40.44140625" style="23" customWidth="1"/>
    <col min="11011" max="11013" width="14.44140625" style="23" customWidth="1"/>
    <col min="11014" max="11264" width="8.44140625" style="23" customWidth="1"/>
    <col min="11265" max="11265" width="27.44140625" style="23" customWidth="1"/>
    <col min="11266" max="11266" width="40.44140625" style="23" customWidth="1"/>
    <col min="11267" max="11269" width="14.44140625" style="23" customWidth="1"/>
    <col min="11270" max="11520" width="8.44140625" style="23" customWidth="1"/>
    <col min="11521" max="11521" width="27.44140625" style="23" customWidth="1"/>
    <col min="11522" max="11522" width="40.44140625" style="23" customWidth="1"/>
    <col min="11523" max="11525" width="14.44140625" style="23" customWidth="1"/>
    <col min="11526" max="11776" width="8.44140625" style="23" customWidth="1"/>
    <col min="11777" max="11777" width="27.44140625" style="23" customWidth="1"/>
    <col min="11778" max="11778" width="40.44140625" style="23" customWidth="1"/>
    <col min="11779" max="11781" width="14.44140625" style="23" customWidth="1"/>
    <col min="11782" max="12032" width="8.44140625" style="23" customWidth="1"/>
    <col min="12033" max="12033" width="27.44140625" style="23" customWidth="1"/>
    <col min="12034" max="12034" width="40.44140625" style="23" customWidth="1"/>
    <col min="12035" max="12037" width="14.44140625" style="23" customWidth="1"/>
    <col min="12038" max="12288" width="8.44140625" style="23" customWidth="1"/>
    <col min="12289" max="12289" width="27.44140625" style="23" customWidth="1"/>
    <col min="12290" max="12290" width="40.44140625" style="23" customWidth="1"/>
    <col min="12291" max="12293" width="14.44140625" style="23" customWidth="1"/>
    <col min="12294" max="12544" width="8.44140625" style="23" customWidth="1"/>
    <col min="12545" max="12545" width="27.44140625" style="23" customWidth="1"/>
    <col min="12546" max="12546" width="40.44140625" style="23" customWidth="1"/>
    <col min="12547" max="12549" width="14.44140625" style="23" customWidth="1"/>
    <col min="12550" max="12800" width="8.44140625" style="23" customWidth="1"/>
    <col min="12801" max="12801" width="27.44140625" style="23" customWidth="1"/>
    <col min="12802" max="12802" width="40.44140625" style="23" customWidth="1"/>
    <col min="12803" max="12805" width="14.44140625" style="23" customWidth="1"/>
    <col min="12806" max="13056" width="8.44140625" style="23" customWidth="1"/>
    <col min="13057" max="13057" width="27.44140625" style="23" customWidth="1"/>
    <col min="13058" max="13058" width="40.44140625" style="23" customWidth="1"/>
    <col min="13059" max="13061" width="14.44140625" style="23" customWidth="1"/>
    <col min="13062" max="13312" width="8.44140625" style="23" customWidth="1"/>
    <col min="13313" max="13313" width="27.44140625" style="23" customWidth="1"/>
    <col min="13314" max="13314" width="40.44140625" style="23" customWidth="1"/>
    <col min="13315" max="13317" width="14.44140625" style="23" customWidth="1"/>
    <col min="13318" max="13568" width="8.44140625" style="23" customWidth="1"/>
    <col min="13569" max="13569" width="27.44140625" style="23" customWidth="1"/>
    <col min="13570" max="13570" width="40.44140625" style="23" customWidth="1"/>
    <col min="13571" max="13573" width="14.44140625" style="23" customWidth="1"/>
    <col min="13574" max="13824" width="8.44140625" style="23" customWidth="1"/>
    <col min="13825" max="13825" width="27.44140625" style="23" customWidth="1"/>
    <col min="13826" max="13826" width="40.44140625" style="23" customWidth="1"/>
    <col min="13827" max="13829" width="14.44140625" style="23" customWidth="1"/>
    <col min="13830" max="14080" width="8.44140625" style="23" customWidth="1"/>
    <col min="14081" max="14081" width="27.44140625" style="23" customWidth="1"/>
    <col min="14082" max="14082" width="40.44140625" style="23" customWidth="1"/>
    <col min="14083" max="14085" width="14.44140625" style="23" customWidth="1"/>
    <col min="14086" max="14336" width="8.44140625" style="23" customWidth="1"/>
    <col min="14337" max="14337" width="27.44140625" style="23" customWidth="1"/>
    <col min="14338" max="14338" width="40.44140625" style="23" customWidth="1"/>
    <col min="14339" max="14341" width="14.44140625" style="23" customWidth="1"/>
    <col min="14342" max="14592" width="8.44140625" style="23" customWidth="1"/>
    <col min="14593" max="14593" width="27.44140625" style="23" customWidth="1"/>
    <col min="14594" max="14594" width="40.44140625" style="23" customWidth="1"/>
    <col min="14595" max="14597" width="14.44140625" style="23" customWidth="1"/>
    <col min="14598" max="14848" width="8.44140625" style="23" customWidth="1"/>
    <col min="14849" max="14849" width="27.44140625" style="23" customWidth="1"/>
    <col min="14850" max="14850" width="40.44140625" style="23" customWidth="1"/>
    <col min="14851" max="14853" width="14.44140625" style="23" customWidth="1"/>
    <col min="14854" max="15104" width="8.44140625" style="23" customWidth="1"/>
    <col min="15105" max="15105" width="27.44140625" style="23" customWidth="1"/>
    <col min="15106" max="15106" width="40.44140625" style="23" customWidth="1"/>
    <col min="15107" max="15109" width="14.44140625" style="23" customWidth="1"/>
    <col min="15110" max="15360" width="8.44140625" style="23" customWidth="1"/>
    <col min="15361" max="15361" width="27.44140625" style="23" customWidth="1"/>
    <col min="15362" max="15362" width="40.44140625" style="23" customWidth="1"/>
    <col min="15363" max="15365" width="14.44140625" style="23" customWidth="1"/>
    <col min="15366" max="15616" width="8.44140625" style="23" customWidth="1"/>
    <col min="15617" max="15617" width="27.44140625" style="23" customWidth="1"/>
    <col min="15618" max="15618" width="40.44140625" style="23" customWidth="1"/>
    <col min="15619" max="15621" width="14.44140625" style="23" customWidth="1"/>
    <col min="15622" max="15872" width="8.44140625" style="23" customWidth="1"/>
    <col min="15873" max="15873" width="27.44140625" style="23" customWidth="1"/>
    <col min="15874" max="15874" width="40.44140625" style="23" customWidth="1"/>
    <col min="15875" max="15877" width="14.44140625" style="23" customWidth="1"/>
    <col min="15878" max="16128" width="8.44140625" style="23" customWidth="1"/>
    <col min="16129" max="16129" width="27.44140625" style="23" customWidth="1"/>
    <col min="16130" max="16130" width="40.44140625" style="23" customWidth="1"/>
    <col min="16131" max="16133" width="14.44140625" style="23" customWidth="1"/>
    <col min="16134" max="16384" width="8.44140625" style="23" customWidth="1"/>
  </cols>
  <sheetData>
    <row r="1" spans="1:7" s="18" customFormat="1" ht="78" customHeight="1" x14ac:dyDescent="0.25">
      <c r="A1" s="7" t="s">
        <v>58</v>
      </c>
      <c r="B1" s="7" t="s">
        <v>59</v>
      </c>
      <c r="C1" s="7" t="s">
        <v>60</v>
      </c>
      <c r="D1" s="7" t="s">
        <v>61</v>
      </c>
      <c r="E1" s="7" t="s">
        <v>62</v>
      </c>
      <c r="F1" s="7" t="s">
        <v>5</v>
      </c>
      <c r="G1" s="7" t="s">
        <v>381</v>
      </c>
    </row>
    <row r="2" spans="1:7" ht="15.6" x14ac:dyDescent="0.35">
      <c r="A2" s="19" t="s">
        <v>63</v>
      </c>
      <c r="B2" s="20" t="s">
        <v>64</v>
      </c>
      <c r="C2" s="21">
        <v>45</v>
      </c>
      <c r="D2" s="21">
        <v>4750</v>
      </c>
      <c r="E2" s="22">
        <v>6730</v>
      </c>
      <c r="F2" s="366" t="s">
        <v>416</v>
      </c>
      <c r="G2" s="20">
        <f>IF('E3 Dashboard'!$D$37="100-yr",D2,E2)</f>
        <v>4750</v>
      </c>
    </row>
    <row r="3" spans="1:7" ht="15.6" x14ac:dyDescent="0.35">
      <c r="A3" s="19" t="s">
        <v>65</v>
      </c>
      <c r="B3" s="20" t="s">
        <v>66</v>
      </c>
      <c r="C3" s="21">
        <v>100</v>
      </c>
      <c r="D3" s="21">
        <v>10900</v>
      </c>
      <c r="E3" s="22">
        <v>11000</v>
      </c>
      <c r="F3" s="366"/>
      <c r="G3" s="20">
        <f>IF('E3 Dashboard'!$D$37="100-yr",D3,E3)</f>
        <v>10900</v>
      </c>
    </row>
    <row r="4" spans="1:7" ht="15.6" x14ac:dyDescent="0.35">
      <c r="A4" s="19" t="s">
        <v>67</v>
      </c>
      <c r="B4" s="20" t="s">
        <v>68</v>
      </c>
      <c r="C4" s="21">
        <v>640</v>
      </c>
      <c r="D4" s="21">
        <v>14400</v>
      </c>
      <c r="E4" s="22">
        <v>10800</v>
      </c>
      <c r="F4" s="366"/>
      <c r="G4" s="20">
        <f>IF('E3 Dashboard'!$D$37="100-yr",D4,E4)</f>
        <v>14400</v>
      </c>
    </row>
    <row r="5" spans="1:7" ht="15.6" x14ac:dyDescent="0.35">
      <c r="A5" s="19" t="s">
        <v>69</v>
      </c>
      <c r="B5" s="20" t="s">
        <v>70</v>
      </c>
      <c r="C5" s="21">
        <v>85</v>
      </c>
      <c r="D5" s="21">
        <v>6130</v>
      </c>
      <c r="E5" s="22">
        <v>6540</v>
      </c>
      <c r="F5" s="366"/>
      <c r="G5" s="20">
        <f>IF('E3 Dashboard'!$D$37="100-yr",D5,E5)</f>
        <v>6130</v>
      </c>
    </row>
    <row r="6" spans="1:7" ht="15.6" x14ac:dyDescent="0.35">
      <c r="A6" s="19" t="s">
        <v>71</v>
      </c>
      <c r="B6" s="20" t="s">
        <v>72</v>
      </c>
      <c r="C6" s="21">
        <v>190</v>
      </c>
      <c r="D6" s="21">
        <v>10000</v>
      </c>
      <c r="E6" s="22">
        <v>8040</v>
      </c>
      <c r="F6" s="366"/>
      <c r="G6" s="20">
        <f>IF('E3 Dashboard'!$D$37="100-yr",D6,E6)</f>
        <v>10000</v>
      </c>
    </row>
    <row r="7" spans="1:7" ht="15.6" x14ac:dyDescent="0.35">
      <c r="A7" s="19" t="s">
        <v>73</v>
      </c>
      <c r="B7" s="20" t="s">
        <v>74</v>
      </c>
      <c r="C7" s="21">
        <v>1020</v>
      </c>
      <c r="D7" s="21">
        <v>7370</v>
      </c>
      <c r="E7" s="22">
        <v>5310</v>
      </c>
      <c r="F7" s="366"/>
      <c r="G7" s="20">
        <f>IF('E3 Dashboard'!$D$37="100-yr",D7,E7)</f>
        <v>7370</v>
      </c>
    </row>
    <row r="8" spans="1:7" ht="15.6" x14ac:dyDescent="0.35">
      <c r="A8" s="24" t="s">
        <v>75</v>
      </c>
      <c r="B8" s="25" t="s">
        <v>76</v>
      </c>
      <c r="C8" s="21">
        <v>16</v>
      </c>
      <c r="D8" s="26">
        <v>1890</v>
      </c>
      <c r="E8" s="27">
        <v>4750</v>
      </c>
      <c r="F8" s="366"/>
      <c r="G8" s="20">
        <f>IF('E3 Dashboard'!$D$37="100-yr",D8,E8)</f>
        <v>1890</v>
      </c>
    </row>
    <row r="9" spans="1:7" ht="15.6" x14ac:dyDescent="0.35">
      <c r="A9" s="28" t="s">
        <v>77</v>
      </c>
      <c r="B9" s="29" t="s">
        <v>78</v>
      </c>
      <c r="C9" s="21">
        <v>65</v>
      </c>
      <c r="D9" s="21">
        <v>7140</v>
      </c>
      <c r="E9" s="22">
        <v>8480</v>
      </c>
      <c r="F9" s="366"/>
      <c r="G9" s="20">
        <f>IF('E3 Dashboard'!$D$37="100-yr",D9,E9)</f>
        <v>7140</v>
      </c>
    </row>
    <row r="10" spans="1:7" ht="15.6" x14ac:dyDescent="0.35">
      <c r="A10" s="28" t="s">
        <v>79</v>
      </c>
      <c r="B10" s="29" t="s">
        <v>80</v>
      </c>
      <c r="C10" s="21">
        <v>20</v>
      </c>
      <c r="D10" s="21">
        <v>1640</v>
      </c>
      <c r="E10" s="22">
        <v>3680</v>
      </c>
      <c r="F10" s="366"/>
      <c r="G10" s="20">
        <f>IF('E3 Dashboard'!$D$37="100-yr",D10,E10)</f>
        <v>1640</v>
      </c>
    </row>
    <row r="11" spans="1:7" ht="15.6" x14ac:dyDescent="0.35">
      <c r="A11" s="28" t="s">
        <v>81</v>
      </c>
      <c r="B11" s="29" t="s">
        <v>82</v>
      </c>
      <c r="C11" s="21">
        <v>26</v>
      </c>
      <c r="D11" s="21">
        <v>1400</v>
      </c>
      <c r="E11" s="22">
        <v>2700</v>
      </c>
      <c r="F11" s="366"/>
      <c r="G11" s="20">
        <f>IF('E3 Dashboard'!$D$37="100-yr",D11,E11)</f>
        <v>1400</v>
      </c>
    </row>
    <row r="12" spans="1:7" ht="15.6" x14ac:dyDescent="0.35">
      <c r="A12" s="28" t="s">
        <v>83</v>
      </c>
      <c r="B12" s="29" t="s">
        <v>84</v>
      </c>
      <c r="C12" s="21">
        <v>0.8</v>
      </c>
      <c r="D12" s="21">
        <v>5</v>
      </c>
      <c r="E12" s="22">
        <v>17</v>
      </c>
      <c r="F12" s="366"/>
      <c r="G12" s="20">
        <f>IF('E3 Dashboard'!$D$37="100-yr",D12,E12)</f>
        <v>5</v>
      </c>
    </row>
    <row r="13" spans="1:7" ht="15.6" x14ac:dyDescent="0.35">
      <c r="A13" s="28" t="s">
        <v>85</v>
      </c>
      <c r="B13" s="29" t="s">
        <v>86</v>
      </c>
      <c r="C13" s="21">
        <v>5</v>
      </c>
      <c r="D13" s="21">
        <v>146</v>
      </c>
      <c r="E13" s="22">
        <v>506</v>
      </c>
      <c r="F13" s="366"/>
      <c r="G13" s="20">
        <f>IF('E3 Dashboard'!$D$37="100-yr",D13,E13)</f>
        <v>146</v>
      </c>
    </row>
    <row r="14" spans="1:7" ht="15.6" x14ac:dyDescent="0.35">
      <c r="A14" s="30" t="s">
        <v>87</v>
      </c>
      <c r="B14" s="31" t="s">
        <v>88</v>
      </c>
      <c r="C14" s="21">
        <v>0.38</v>
      </c>
      <c r="D14" s="32">
        <v>8.6999999999999993</v>
      </c>
      <c r="E14" s="33">
        <v>31</v>
      </c>
      <c r="F14" s="366"/>
      <c r="G14" s="20">
        <f>IF('E3 Dashboard'!$D$37="100-yr",D14,E14)</f>
        <v>8.6999999999999993</v>
      </c>
    </row>
    <row r="15" spans="1:7" ht="15.6" x14ac:dyDescent="0.35">
      <c r="A15" s="28" t="s">
        <v>89</v>
      </c>
      <c r="B15" s="20" t="s">
        <v>90</v>
      </c>
      <c r="C15" s="21">
        <v>1.7</v>
      </c>
      <c r="D15" s="21">
        <v>148</v>
      </c>
      <c r="E15" s="22">
        <v>543</v>
      </c>
      <c r="F15" s="366"/>
      <c r="G15" s="20">
        <f>IF('E3 Dashboard'!$D$37="100-yr",D15,E15)</f>
        <v>148</v>
      </c>
    </row>
    <row r="16" spans="1:7" ht="15.6" x14ac:dyDescent="0.35">
      <c r="A16" s="28" t="s">
        <v>91</v>
      </c>
      <c r="B16" s="20" t="s">
        <v>92</v>
      </c>
      <c r="C16" s="21">
        <v>11.9</v>
      </c>
      <c r="D16" s="21">
        <v>1810</v>
      </c>
      <c r="E16" s="22">
        <v>5160</v>
      </c>
      <c r="F16" s="366"/>
      <c r="G16" s="20">
        <f>IF('E3 Dashboard'!$D$37="100-yr",D16,E16)</f>
        <v>1810</v>
      </c>
    </row>
    <row r="17" spans="1:15" ht="15.6" x14ac:dyDescent="0.35">
      <c r="A17" s="28" t="s">
        <v>93</v>
      </c>
      <c r="B17" s="20" t="s">
        <v>94</v>
      </c>
      <c r="C17" s="21">
        <v>1.3</v>
      </c>
      <c r="D17" s="21">
        <v>77</v>
      </c>
      <c r="E17" s="22">
        <v>273</v>
      </c>
      <c r="F17" s="366"/>
      <c r="G17" s="20">
        <f>IF('E3 Dashboard'!$D$37="100-yr",D17,E17)</f>
        <v>77</v>
      </c>
    </row>
    <row r="18" spans="1:15" ht="15.6" x14ac:dyDescent="0.35">
      <c r="A18" s="28" t="s">
        <v>95</v>
      </c>
      <c r="B18" s="20" t="s">
        <v>96</v>
      </c>
      <c r="C18" s="21">
        <v>5.9</v>
      </c>
      <c r="D18" s="21">
        <v>609</v>
      </c>
      <c r="E18" s="22">
        <v>2070</v>
      </c>
      <c r="F18" s="366"/>
      <c r="G18" s="20">
        <f>IF('E3 Dashboard'!$D$37="100-yr",D18,E18)</f>
        <v>609</v>
      </c>
    </row>
    <row r="19" spans="1:15" ht="15.6" x14ac:dyDescent="0.35">
      <c r="A19" s="28" t="s">
        <v>97</v>
      </c>
      <c r="B19" s="20" t="s">
        <v>98</v>
      </c>
      <c r="C19" s="21">
        <v>9.1999999999999993</v>
      </c>
      <c r="D19" s="21">
        <v>725</v>
      </c>
      <c r="E19" s="22">
        <v>2250</v>
      </c>
      <c r="F19" s="366"/>
      <c r="G19" s="20">
        <f>IF('E3 Dashboard'!$D$37="100-yr",D19,E19)</f>
        <v>725</v>
      </c>
    </row>
    <row r="20" spans="1:15" ht="15.6" x14ac:dyDescent="0.35">
      <c r="A20" s="28" t="s">
        <v>99</v>
      </c>
      <c r="B20" s="20" t="s">
        <v>100</v>
      </c>
      <c r="C20" s="21">
        <v>17.2</v>
      </c>
      <c r="D20" s="21">
        <v>2310</v>
      </c>
      <c r="E20" s="22">
        <v>5490</v>
      </c>
      <c r="F20" s="366"/>
      <c r="G20" s="20">
        <f>IF('E3 Dashboard'!$D$37="100-yr",D20,E20)</f>
        <v>2310</v>
      </c>
    </row>
    <row r="21" spans="1:15" ht="15.6" x14ac:dyDescent="0.35">
      <c r="A21" s="28" t="s">
        <v>101</v>
      </c>
      <c r="B21" s="20" t="s">
        <v>102</v>
      </c>
      <c r="C21" s="21">
        <v>1.9</v>
      </c>
      <c r="D21" s="21">
        <v>122</v>
      </c>
      <c r="E21" s="22">
        <v>429</v>
      </c>
      <c r="F21" s="366"/>
      <c r="G21" s="20">
        <f>IF('E3 Dashboard'!$D$37="100-yr",D21,E21)</f>
        <v>122</v>
      </c>
    </row>
    <row r="22" spans="1:15" ht="15.6" x14ac:dyDescent="0.35">
      <c r="A22" s="28" t="s">
        <v>103</v>
      </c>
      <c r="B22" s="20" t="s">
        <v>104</v>
      </c>
      <c r="C22" s="21">
        <v>5.9</v>
      </c>
      <c r="D22" s="21">
        <v>595</v>
      </c>
      <c r="E22" s="22">
        <v>2030</v>
      </c>
      <c r="F22" s="366"/>
      <c r="G22" s="20">
        <f>IF('E3 Dashboard'!$D$37="100-yr",D22,E22)</f>
        <v>595</v>
      </c>
    </row>
    <row r="23" spans="1:15" ht="15.6" x14ac:dyDescent="0.35">
      <c r="A23" s="34" t="s">
        <v>105</v>
      </c>
      <c r="B23" s="20" t="s">
        <v>106</v>
      </c>
      <c r="C23" s="21" t="s">
        <v>107</v>
      </c>
      <c r="D23" s="21">
        <v>1</v>
      </c>
      <c r="E23" s="22">
        <v>1</v>
      </c>
      <c r="F23" s="20"/>
      <c r="G23" s="20">
        <f>IF('E3 Dashboard'!$D$37="100-yr",D23,E23)</f>
        <v>1</v>
      </c>
    </row>
    <row r="24" spans="1:15" ht="15.6" x14ac:dyDescent="0.35">
      <c r="A24" s="34" t="s">
        <v>108</v>
      </c>
      <c r="B24" s="20" t="s">
        <v>109</v>
      </c>
      <c r="C24" s="21">
        <v>12</v>
      </c>
      <c r="D24" s="21">
        <v>25</v>
      </c>
      <c r="E24" s="22">
        <v>72</v>
      </c>
      <c r="F24" s="20"/>
      <c r="G24" s="20">
        <f>IF('E3 Dashboard'!$D$37="100-yr",D24,E24)</f>
        <v>25</v>
      </c>
    </row>
    <row r="25" spans="1:15" ht="15.6" x14ac:dyDescent="0.35">
      <c r="A25" s="34" t="s">
        <v>110</v>
      </c>
      <c r="B25" s="20" t="s">
        <v>111</v>
      </c>
      <c r="C25" s="21">
        <v>114</v>
      </c>
      <c r="D25" s="21">
        <v>298</v>
      </c>
      <c r="E25" s="22">
        <v>289</v>
      </c>
      <c r="F25" s="20"/>
      <c r="G25" s="20">
        <f>IF('E3 Dashboard'!$D$37="100-yr",D25,E25)</f>
        <v>298</v>
      </c>
    </row>
    <row r="26" spans="1:15" ht="15.6" x14ac:dyDescent="0.35">
      <c r="A26" s="28" t="s">
        <v>112</v>
      </c>
      <c r="B26" s="35" t="s">
        <v>113</v>
      </c>
      <c r="C26" s="21">
        <v>260</v>
      </c>
      <c r="D26" s="21">
        <v>14800</v>
      </c>
      <c r="E26" s="22">
        <v>12000</v>
      </c>
      <c r="F26" s="20"/>
      <c r="G26" s="20">
        <f>IF('E3 Dashboard'!$D$37="100-yr",D26,E26)</f>
        <v>14800</v>
      </c>
    </row>
    <row r="27" spans="1:15" customFormat="1" ht="15.6" x14ac:dyDescent="0.35">
      <c r="A27" s="126" t="s">
        <v>114</v>
      </c>
      <c r="B27" s="127" t="s">
        <v>115</v>
      </c>
      <c r="C27" s="128">
        <v>5</v>
      </c>
      <c r="D27" s="128">
        <v>675</v>
      </c>
      <c r="E27" s="141">
        <v>2330</v>
      </c>
      <c r="F27" s="129"/>
      <c r="G27" s="129">
        <f>IF('E3 Dashboard'!$D$37="100-yr",D27,E27)</f>
        <v>675</v>
      </c>
      <c r="I27" s="23"/>
      <c r="J27" s="23"/>
      <c r="K27" s="23"/>
      <c r="L27" s="23"/>
      <c r="M27" s="23"/>
      <c r="N27" s="23"/>
      <c r="O27" s="23"/>
    </row>
    <row r="28" spans="1:15" ht="15.6" x14ac:dyDescent="0.35">
      <c r="A28" s="28" t="s">
        <v>116</v>
      </c>
      <c r="B28" s="35" t="s">
        <v>117</v>
      </c>
      <c r="C28" s="21">
        <v>29</v>
      </c>
      <c r="D28" s="21">
        <v>3500</v>
      </c>
      <c r="E28" s="22">
        <v>6350</v>
      </c>
      <c r="F28" s="20"/>
      <c r="G28" s="20">
        <f>IF('E3 Dashboard'!$D$37="100-yr",D28,E28)</f>
        <v>3500</v>
      </c>
    </row>
    <row r="29" spans="1:15" ht="15.6" x14ac:dyDescent="0.35">
      <c r="A29" s="28" t="s">
        <v>118</v>
      </c>
      <c r="B29" s="35" t="s">
        <v>119</v>
      </c>
      <c r="C29" s="21">
        <v>13.8</v>
      </c>
      <c r="D29" s="21">
        <v>1430</v>
      </c>
      <c r="E29" s="22">
        <v>3830</v>
      </c>
      <c r="F29" s="20"/>
      <c r="G29" s="20">
        <f>IF('E3 Dashboard'!$D$37="100-yr",D29,E29)</f>
        <v>1430</v>
      </c>
    </row>
    <row r="30" spans="1:15" ht="15.6" x14ac:dyDescent="0.35">
      <c r="A30" s="28" t="s">
        <v>120</v>
      </c>
      <c r="B30" s="35" t="s">
        <v>121</v>
      </c>
      <c r="C30" s="21">
        <v>52</v>
      </c>
      <c r="D30" s="21">
        <v>4470</v>
      </c>
      <c r="E30" s="22">
        <v>5890</v>
      </c>
      <c r="F30" s="20"/>
      <c r="G30" s="20">
        <f>IF('E3 Dashboard'!$D$37="100-yr",D30,E30)</f>
        <v>4470</v>
      </c>
    </row>
    <row r="31" spans="1:15" ht="15.6" x14ac:dyDescent="0.35">
      <c r="A31" s="28" t="s">
        <v>122</v>
      </c>
      <c r="B31" s="35" t="s">
        <v>123</v>
      </c>
      <c r="C31" s="21">
        <v>1.4</v>
      </c>
      <c r="D31" s="21">
        <v>124</v>
      </c>
      <c r="E31" s="22">
        <v>437</v>
      </c>
      <c r="F31" s="20"/>
      <c r="G31" s="20">
        <f>IF('E3 Dashboard'!$D$37="100-yr",D31,E31)</f>
        <v>124</v>
      </c>
    </row>
    <row r="32" spans="1:15" ht="15.6" x14ac:dyDescent="0.35">
      <c r="A32" s="28" t="s">
        <v>124</v>
      </c>
      <c r="B32" s="36" t="s">
        <v>125</v>
      </c>
      <c r="C32" s="21">
        <v>0.25</v>
      </c>
      <c r="D32" s="21"/>
      <c r="E32" s="22"/>
      <c r="F32" s="20"/>
      <c r="G32" s="20">
        <f>IF('E3 Dashboard'!$D$37="100-yr",D32,E32)</f>
        <v>0</v>
      </c>
    </row>
    <row r="33" spans="1:7" ht="15.6" x14ac:dyDescent="0.35">
      <c r="A33" s="28" t="s">
        <v>126</v>
      </c>
      <c r="B33" s="23" t="s">
        <v>127</v>
      </c>
      <c r="C33" s="21">
        <v>33</v>
      </c>
      <c r="D33" s="21">
        <v>3220</v>
      </c>
      <c r="E33" s="22">
        <v>5310</v>
      </c>
      <c r="F33" s="20"/>
      <c r="G33" s="20">
        <f>IF('E3 Dashboard'!$D$37="100-yr",D33,E33)</f>
        <v>3220</v>
      </c>
    </row>
    <row r="34" spans="1:7" ht="15.6" x14ac:dyDescent="0.35">
      <c r="A34" s="28" t="s">
        <v>128</v>
      </c>
      <c r="B34" s="29" t="s">
        <v>129</v>
      </c>
      <c r="C34" s="21">
        <v>220</v>
      </c>
      <c r="D34" s="21">
        <v>9810</v>
      </c>
      <c r="E34" s="22">
        <v>8100</v>
      </c>
      <c r="F34" s="20"/>
      <c r="G34" s="20">
        <f>IF('E3 Dashboard'!$D$37="100-yr",D34,E34)</f>
        <v>9810</v>
      </c>
    </row>
    <row r="35" spans="1:7" ht="15.6" x14ac:dyDescent="0.35">
      <c r="A35" s="28" t="s">
        <v>130</v>
      </c>
      <c r="B35" s="23" t="s">
        <v>131</v>
      </c>
      <c r="C35" s="21">
        <v>7.2</v>
      </c>
      <c r="D35" s="21">
        <v>1030</v>
      </c>
      <c r="E35" s="22">
        <v>3380</v>
      </c>
      <c r="F35" s="20"/>
      <c r="G35" s="20">
        <f>IF('E3 Dashboard'!$D$37="100-yr",D35,E35)</f>
        <v>1030</v>
      </c>
    </row>
    <row r="36" spans="1:7" ht="15.6" x14ac:dyDescent="0.35">
      <c r="A36" s="28" t="s">
        <v>132</v>
      </c>
      <c r="B36" s="23" t="s">
        <v>133</v>
      </c>
      <c r="C36" s="21">
        <v>9.9</v>
      </c>
      <c r="D36" s="21">
        <v>794</v>
      </c>
      <c r="E36" s="22">
        <v>2520</v>
      </c>
      <c r="F36" s="20"/>
      <c r="G36" s="20">
        <f>IF('E3 Dashboard'!$D$37="100-yr",D36,E36)</f>
        <v>794</v>
      </c>
    </row>
    <row r="37" spans="1:7" ht="15.6" x14ac:dyDescent="0.35">
      <c r="A37" s="28" t="s">
        <v>134</v>
      </c>
      <c r="B37" s="23" t="s">
        <v>135</v>
      </c>
      <c r="C37" s="21">
        <v>15</v>
      </c>
      <c r="D37" s="21">
        <v>1640</v>
      </c>
      <c r="E37" s="22">
        <v>4140</v>
      </c>
      <c r="F37" s="20"/>
      <c r="G37" s="20">
        <f>IF('E3 Dashboard'!$D$37="100-yr",D37,E37)</f>
        <v>1640</v>
      </c>
    </row>
    <row r="38" spans="1:7" ht="15.6" x14ac:dyDescent="0.35">
      <c r="A38" s="28" t="s">
        <v>136</v>
      </c>
      <c r="B38" s="23" t="s">
        <v>137</v>
      </c>
      <c r="C38" s="21">
        <v>5</v>
      </c>
      <c r="D38" s="21">
        <v>390</v>
      </c>
      <c r="E38" s="22">
        <v>1040</v>
      </c>
      <c r="F38" s="20"/>
      <c r="G38" s="20">
        <f>IF('E3 Dashboard'!$D$37="100-yr",D38,E38)</f>
        <v>390</v>
      </c>
    </row>
    <row r="39" spans="1:7" ht="15.6" x14ac:dyDescent="0.35">
      <c r="A39" s="28" t="s">
        <v>138</v>
      </c>
      <c r="B39" s="23" t="s">
        <v>139</v>
      </c>
      <c r="C39" s="21">
        <v>0.77</v>
      </c>
      <c r="D39" s="21">
        <v>55</v>
      </c>
      <c r="E39" s="22">
        <v>207</v>
      </c>
      <c r="F39" s="20"/>
      <c r="G39" s="20">
        <f>IF('E3 Dashboard'!$D$37="100-yr",D39,E39)</f>
        <v>55</v>
      </c>
    </row>
    <row r="40" spans="1:7" x14ac:dyDescent="0.25">
      <c r="A40" s="28" t="s">
        <v>140</v>
      </c>
      <c r="B40" s="23" t="s">
        <v>141</v>
      </c>
      <c r="C40" s="21">
        <v>0.77</v>
      </c>
      <c r="D40" s="21">
        <v>55</v>
      </c>
      <c r="E40" s="22"/>
      <c r="F40" s="20"/>
      <c r="G40" s="20">
        <f>IF('E3 Dashboard'!$D$37="100-yr",D40,E40)</f>
        <v>55</v>
      </c>
    </row>
    <row r="41" spans="1:7" ht="15.6" x14ac:dyDescent="0.35">
      <c r="A41" s="28" t="s">
        <v>142</v>
      </c>
      <c r="B41" s="29" t="s">
        <v>143</v>
      </c>
      <c r="C41" s="21">
        <v>50000</v>
      </c>
      <c r="D41" s="37">
        <v>7390</v>
      </c>
      <c r="E41" s="38">
        <v>5210</v>
      </c>
      <c r="F41" s="20"/>
      <c r="G41" s="20">
        <f>IF('E3 Dashboard'!$D$37="100-yr",D41,E41)</f>
        <v>7390</v>
      </c>
    </row>
    <row r="42" spans="1:7" ht="15.6" x14ac:dyDescent="0.35">
      <c r="A42" s="28" t="s">
        <v>144</v>
      </c>
      <c r="B42" s="29" t="s">
        <v>145</v>
      </c>
      <c r="C42" s="21">
        <v>10000</v>
      </c>
      <c r="D42" s="37">
        <v>12200</v>
      </c>
      <c r="E42" s="38">
        <v>8630</v>
      </c>
      <c r="F42" s="20"/>
      <c r="G42" s="20">
        <f>IF('E3 Dashboard'!$D$37="100-yr",D42,E42)</f>
        <v>12200</v>
      </c>
    </row>
    <row r="43" spans="1:7" ht="15.6" x14ac:dyDescent="0.35">
      <c r="A43" s="28" t="s">
        <v>146</v>
      </c>
      <c r="B43" s="29" t="s">
        <v>147</v>
      </c>
      <c r="C43" s="21">
        <v>2600</v>
      </c>
      <c r="D43" s="21">
        <v>8830</v>
      </c>
      <c r="E43" s="22">
        <v>6310</v>
      </c>
      <c r="F43" s="20"/>
      <c r="G43" s="20">
        <f>IF('E3 Dashboard'!$D$37="100-yr",D43,E43)</f>
        <v>8830</v>
      </c>
    </row>
    <row r="44" spans="1:7" ht="15.6" x14ac:dyDescent="0.35">
      <c r="A44" s="28" t="s">
        <v>148</v>
      </c>
      <c r="B44" s="29" t="s">
        <v>149</v>
      </c>
      <c r="C44" s="21">
        <v>3200</v>
      </c>
      <c r="D44" s="21">
        <v>10300</v>
      </c>
      <c r="E44" s="22">
        <v>7310</v>
      </c>
      <c r="F44" s="20"/>
      <c r="G44" s="20">
        <f>IF('E3 Dashboard'!$D$37="100-yr",D44,E44)</f>
        <v>10300</v>
      </c>
    </row>
    <row r="45" spans="1:7" ht="15.6" x14ac:dyDescent="0.35">
      <c r="A45" s="28" t="s">
        <v>150</v>
      </c>
      <c r="B45" s="29" t="s">
        <v>151</v>
      </c>
      <c r="C45" s="21">
        <v>2600</v>
      </c>
      <c r="D45" s="21">
        <v>8860</v>
      </c>
      <c r="E45" s="22">
        <v>6330</v>
      </c>
      <c r="F45" s="20"/>
      <c r="G45" s="20">
        <f>IF('E3 Dashboard'!$D$37="100-yr",D45,E45)</f>
        <v>8860</v>
      </c>
    </row>
    <row r="46" spans="1:7" ht="15.6" x14ac:dyDescent="0.35">
      <c r="A46" s="28" t="s">
        <v>152</v>
      </c>
      <c r="B46" s="29" t="s">
        <v>153</v>
      </c>
      <c r="C46" s="21">
        <v>4100</v>
      </c>
      <c r="D46" s="21">
        <v>9160</v>
      </c>
      <c r="E46" s="22">
        <v>6510</v>
      </c>
      <c r="F46" s="20"/>
      <c r="G46" s="20">
        <f>IF('E3 Dashboard'!$D$37="100-yr",D46,E46)</f>
        <v>9160</v>
      </c>
    </row>
    <row r="47" spans="1:7" ht="15.6" x14ac:dyDescent="0.35">
      <c r="A47" s="28" t="s">
        <v>154</v>
      </c>
      <c r="B47" s="29" t="s">
        <v>155</v>
      </c>
      <c r="C47" s="21">
        <v>3200</v>
      </c>
      <c r="D47" s="21">
        <v>9300</v>
      </c>
      <c r="E47" s="22">
        <v>6600</v>
      </c>
      <c r="F47" s="20"/>
      <c r="G47" s="20">
        <f>IF('E3 Dashboard'!$D$37="100-yr",D47,E47)</f>
        <v>9300</v>
      </c>
    </row>
    <row r="48" spans="1:7" ht="15.6" x14ac:dyDescent="0.35">
      <c r="A48" s="28" t="s">
        <v>156</v>
      </c>
      <c r="B48" s="29" t="s">
        <v>157</v>
      </c>
      <c r="C48" s="21" t="s">
        <v>158</v>
      </c>
      <c r="D48" s="21" t="s">
        <v>159</v>
      </c>
      <c r="E48" s="22" t="s">
        <v>160</v>
      </c>
      <c r="F48" s="20"/>
      <c r="G48" s="20" t="str">
        <f>IF('E3 Dashboard'!$D$37="100-yr",D48,E48)</f>
        <v>&gt;7500</v>
      </c>
    </row>
    <row r="49" spans="1:7" ht="15.6" x14ac:dyDescent="0.35">
      <c r="A49" s="28" t="s">
        <v>161</v>
      </c>
      <c r="B49" s="29" t="s">
        <v>162</v>
      </c>
      <c r="C49" s="21">
        <v>3200</v>
      </c>
      <c r="D49" s="21">
        <v>22800</v>
      </c>
      <c r="E49" s="22">
        <v>16300</v>
      </c>
      <c r="F49" s="20"/>
      <c r="G49" s="20">
        <f>IF('E3 Dashboard'!$D$37="100-yr",D49,E49)</f>
        <v>22800</v>
      </c>
    </row>
    <row r="50" spans="1:7" ht="15.6" x14ac:dyDescent="0.35">
      <c r="A50" s="28" t="s">
        <v>163</v>
      </c>
      <c r="B50" s="20" t="s">
        <v>164</v>
      </c>
      <c r="C50" s="21">
        <v>740</v>
      </c>
      <c r="D50" s="21">
        <v>17200</v>
      </c>
      <c r="E50" s="22">
        <v>12300</v>
      </c>
      <c r="F50" s="20"/>
      <c r="G50" s="20">
        <f>IF('E3 Dashboard'!$D$37="100-yr",D50,E50)</f>
        <v>17200</v>
      </c>
    </row>
    <row r="51" spans="1:7" ht="23.1" customHeight="1" x14ac:dyDescent="0.35">
      <c r="A51" s="30" t="s">
        <v>165</v>
      </c>
      <c r="B51" s="31" t="s">
        <v>166</v>
      </c>
      <c r="C51" s="21">
        <v>36</v>
      </c>
      <c r="D51" s="32"/>
      <c r="E51" s="33"/>
      <c r="F51" s="20"/>
      <c r="G51" s="20">
        <f>IF('E3 Dashboard'!$D$37="100-yr",D51,E51)</f>
        <v>0</v>
      </c>
    </row>
    <row r="52" spans="1:7" ht="28.8" x14ac:dyDescent="0.35">
      <c r="A52" s="30" t="s">
        <v>167</v>
      </c>
      <c r="B52" s="39" t="s">
        <v>168</v>
      </c>
      <c r="C52" s="21">
        <v>800</v>
      </c>
      <c r="D52" s="32">
        <v>17700</v>
      </c>
      <c r="E52" s="33"/>
      <c r="F52" s="20"/>
      <c r="G52" s="20">
        <f>IF('E3 Dashboard'!$D$37="100-yr",D52,E52)</f>
        <v>17700</v>
      </c>
    </row>
    <row r="53" spans="1:7" ht="14.4" x14ac:dyDescent="0.3">
      <c r="A53" s="19" t="s">
        <v>169</v>
      </c>
      <c r="B53" s="36" t="s">
        <v>170</v>
      </c>
      <c r="C53" s="21">
        <v>5.0000000000000001E-3</v>
      </c>
      <c r="D53" s="21">
        <v>1</v>
      </c>
      <c r="E53" s="22">
        <v>1</v>
      </c>
      <c r="F53" s="20"/>
      <c r="G53" s="20">
        <f>IF('E3 Dashboard'!$D$37="100-yr",D53,E53)</f>
        <v>1</v>
      </c>
    </row>
    <row r="54" spans="1:7" ht="15.6" x14ac:dyDescent="0.35">
      <c r="A54" s="19" t="s">
        <v>171</v>
      </c>
      <c r="B54" s="36" t="s">
        <v>172</v>
      </c>
      <c r="C54" s="21">
        <v>5.0000000000000001E-3</v>
      </c>
      <c r="D54" s="21">
        <v>1</v>
      </c>
      <c r="E54" s="22">
        <v>1</v>
      </c>
      <c r="F54" s="20"/>
      <c r="G54" s="20">
        <f>IF('E3 Dashboard'!$D$37="100-yr",D54,E54)</f>
        <v>1</v>
      </c>
    </row>
    <row r="55" spans="1:7" ht="42" x14ac:dyDescent="0.35">
      <c r="A55" s="19" t="s">
        <v>173</v>
      </c>
      <c r="B55" s="40" t="s">
        <v>174</v>
      </c>
      <c r="C55" s="41"/>
      <c r="D55" s="21">
        <v>1221</v>
      </c>
      <c r="E55" s="22"/>
      <c r="F55" s="20"/>
      <c r="G55" s="20">
        <f>IF('E3 Dashboard'!$D$37="100-yr",D55,E55)</f>
        <v>1221</v>
      </c>
    </row>
    <row r="56" spans="1:7" ht="44.4" x14ac:dyDescent="0.35">
      <c r="A56" s="19" t="s">
        <v>175</v>
      </c>
      <c r="B56" s="42" t="s">
        <v>176</v>
      </c>
      <c r="C56" s="41"/>
      <c r="D56" s="21">
        <v>1101</v>
      </c>
      <c r="E56" s="22"/>
      <c r="F56" s="20"/>
      <c r="G56" s="20">
        <f>IF('E3 Dashboard'!$D$37="100-yr",D56,E56)</f>
        <v>1101</v>
      </c>
    </row>
    <row r="57" spans="1:7" ht="26.4" x14ac:dyDescent="0.25">
      <c r="A57" s="19" t="s">
        <v>177</v>
      </c>
      <c r="B57" s="42" t="s">
        <v>178</v>
      </c>
      <c r="C57" s="41"/>
      <c r="D57" s="43">
        <v>1606</v>
      </c>
      <c r="E57" s="44"/>
      <c r="F57" s="20"/>
      <c r="G57" s="20">
        <f>IF('E3 Dashboard'!$D$37="100-yr",D57,E57)</f>
        <v>1606</v>
      </c>
    </row>
    <row r="58" spans="1:7" ht="50.1" customHeight="1" x14ac:dyDescent="0.25">
      <c r="A58" s="19" t="s">
        <v>179</v>
      </c>
      <c r="B58" s="42" t="s">
        <v>180</v>
      </c>
      <c r="C58" s="41"/>
      <c r="D58" s="43">
        <v>1568.6</v>
      </c>
      <c r="E58" s="44"/>
      <c r="F58" s="20"/>
      <c r="G58" s="20">
        <f>IF('E3 Dashboard'!$D$37="100-yr",D58,E58)</f>
        <v>1568.6</v>
      </c>
    </row>
    <row r="59" spans="1:7" ht="57" customHeight="1" x14ac:dyDescent="0.25">
      <c r="A59" s="19" t="s">
        <v>181</v>
      </c>
      <c r="B59" s="42" t="s">
        <v>182</v>
      </c>
      <c r="C59" s="41"/>
      <c r="D59" s="43">
        <v>1081.29</v>
      </c>
      <c r="E59" s="44"/>
      <c r="F59" s="20"/>
      <c r="G59" s="20">
        <f>IF('E3 Dashboard'!$D$37="100-yr",D59,E59)</f>
        <v>1081.29</v>
      </c>
    </row>
    <row r="60" spans="1:7" ht="52.35" customHeight="1" x14ac:dyDescent="0.25">
      <c r="A60" s="45" t="s">
        <v>183</v>
      </c>
      <c r="B60" s="42" t="s">
        <v>184</v>
      </c>
      <c r="C60" s="41"/>
      <c r="D60" s="41">
        <v>1730.4999999999998</v>
      </c>
      <c r="E60" s="46"/>
      <c r="F60" s="20"/>
      <c r="G60" s="20">
        <f>IF('E3 Dashboard'!$D$37="100-yr",D60,E60)</f>
        <v>1730.4999999999998</v>
      </c>
    </row>
    <row r="61" spans="1:7" ht="57" customHeight="1" x14ac:dyDescent="0.25">
      <c r="A61" s="19" t="s">
        <v>185</v>
      </c>
      <c r="B61" s="42" t="s">
        <v>186</v>
      </c>
      <c r="C61" s="41"/>
      <c r="D61" s="41">
        <v>1892.7199999999998</v>
      </c>
      <c r="E61" s="46"/>
      <c r="F61" s="20"/>
      <c r="G61" s="20">
        <f>IF('E3 Dashboard'!$D$37="100-yr",D61,E61)</f>
        <v>1892.7199999999998</v>
      </c>
    </row>
    <row r="62" spans="1:7" ht="67.349999999999994" customHeight="1" x14ac:dyDescent="0.25">
      <c r="A62" s="19" t="s">
        <v>187</v>
      </c>
      <c r="B62" s="42" t="s">
        <v>188</v>
      </c>
      <c r="C62" s="41"/>
      <c r="D62" s="41">
        <v>2376.7199999999998</v>
      </c>
      <c r="E62" s="46"/>
      <c r="F62" s="20"/>
      <c r="G62" s="20">
        <f>IF('E3 Dashboard'!$D$37="100-yr",D62,E62)</f>
        <v>2376.7199999999998</v>
      </c>
    </row>
    <row r="63" spans="1:7" ht="59.85" customHeight="1" x14ac:dyDescent="0.25">
      <c r="A63" s="19" t="s">
        <v>189</v>
      </c>
      <c r="B63" s="42" t="s">
        <v>190</v>
      </c>
      <c r="C63" s="41"/>
      <c r="D63" s="43">
        <v>1809.4250000000002</v>
      </c>
      <c r="E63" s="44">
        <v>4256.3410000000003</v>
      </c>
      <c r="F63" s="20"/>
      <c r="G63" s="20">
        <f>IF('E3 Dashboard'!$D$37="100-yr",D63,E63)</f>
        <v>1809.4250000000002</v>
      </c>
    </row>
    <row r="64" spans="1:7" ht="59.85" customHeight="1" x14ac:dyDescent="0.25">
      <c r="A64" s="19" t="s">
        <v>191</v>
      </c>
      <c r="B64" s="42" t="s">
        <v>192</v>
      </c>
      <c r="C64" s="41"/>
      <c r="D64" s="43">
        <v>124</v>
      </c>
      <c r="E64" s="44">
        <v>437</v>
      </c>
      <c r="F64" s="20"/>
      <c r="G64" s="20">
        <f>IF('E3 Dashboard'!$D$37="100-yr",D64,E64)</f>
        <v>124</v>
      </c>
    </row>
    <row r="65" spans="1:7" ht="59.85" customHeight="1" x14ac:dyDescent="0.25">
      <c r="A65" s="19" t="s">
        <v>193</v>
      </c>
      <c r="B65" s="42" t="s">
        <v>194</v>
      </c>
      <c r="C65" s="41"/>
      <c r="D65" s="43"/>
      <c r="E65" s="44"/>
      <c r="F65" s="20"/>
      <c r="G65" s="20">
        <f>IF('E3 Dashboard'!$D$37="100-yr",D65,E65)</f>
        <v>0</v>
      </c>
    </row>
    <row r="66" spans="1:7" ht="39.6" x14ac:dyDescent="0.25">
      <c r="A66" s="19" t="s">
        <v>195</v>
      </c>
      <c r="B66" s="42" t="s">
        <v>196</v>
      </c>
      <c r="C66" s="41"/>
      <c r="D66" s="43">
        <v>3141.1255000000001</v>
      </c>
      <c r="E66" s="44">
        <v>6029.0649999999996</v>
      </c>
      <c r="F66" s="20"/>
      <c r="G66" s="20">
        <f>IF('E3 Dashboard'!$D$37="100-yr",D66,E66)</f>
        <v>3141.1255000000001</v>
      </c>
    </row>
    <row r="67" spans="1:7" ht="39.6" x14ac:dyDescent="0.25">
      <c r="A67" s="19" t="s">
        <v>197</v>
      </c>
      <c r="B67" s="42" t="s">
        <v>198</v>
      </c>
      <c r="C67" s="41"/>
      <c r="D67" s="43">
        <v>2375.1999999999998</v>
      </c>
      <c r="E67" s="44">
        <v>5265.85</v>
      </c>
      <c r="F67" s="20"/>
      <c r="G67" s="20">
        <f>IF('E3 Dashboard'!$D$37="100-yr",D67,E67)</f>
        <v>2375.1999999999998</v>
      </c>
    </row>
    <row r="68" spans="1:7" ht="51.6" customHeight="1" x14ac:dyDescent="0.25">
      <c r="A68" s="19" t="s">
        <v>199</v>
      </c>
      <c r="B68" s="42" t="s">
        <v>200</v>
      </c>
      <c r="C68" s="41"/>
      <c r="D68" s="21">
        <v>1182.48</v>
      </c>
      <c r="E68" s="22">
        <v>3495.4100000000003</v>
      </c>
      <c r="F68" s="20"/>
      <c r="G68" s="20">
        <f>IF('E3 Dashboard'!$D$37="100-yr",D68,E68)</f>
        <v>1182.48</v>
      </c>
    </row>
    <row r="69" spans="1:7" ht="52.8" x14ac:dyDescent="0.25">
      <c r="A69" s="19" t="s">
        <v>201</v>
      </c>
      <c r="B69" s="42" t="s">
        <v>202</v>
      </c>
      <c r="C69" s="41"/>
      <c r="D69" s="21">
        <v>1288.26</v>
      </c>
      <c r="E69" s="22">
        <v>3775.27</v>
      </c>
      <c r="F69" s="20"/>
      <c r="G69" s="20">
        <f>IF('E3 Dashboard'!$D$37="100-yr",D69,E69)</f>
        <v>1288.26</v>
      </c>
    </row>
    <row r="70" spans="1:7" ht="55.5" customHeight="1" x14ac:dyDescent="0.25">
      <c r="A70" s="19" t="s">
        <v>203</v>
      </c>
      <c r="B70" s="42" t="s">
        <v>204</v>
      </c>
      <c r="C70" s="41"/>
      <c r="D70" s="21">
        <v>932.58</v>
      </c>
      <c r="E70" s="22">
        <v>2844.7500000000005</v>
      </c>
      <c r="F70" s="20"/>
      <c r="G70" s="20">
        <f>IF('E3 Dashboard'!$D$37="100-yr",D70,E70)</f>
        <v>932.58</v>
      </c>
    </row>
    <row r="71" spans="1:7" ht="39.6" x14ac:dyDescent="0.25">
      <c r="A71" s="19" t="s">
        <v>205</v>
      </c>
      <c r="B71" s="42" t="s">
        <v>206</v>
      </c>
      <c r="C71" s="41"/>
      <c r="D71" s="21">
        <v>2788</v>
      </c>
      <c r="E71" s="22">
        <v>5770.866</v>
      </c>
      <c r="F71" s="20"/>
      <c r="G71" s="20">
        <f>IF('E3 Dashboard'!$D$37="100-yr",D71,E71)</f>
        <v>2788</v>
      </c>
    </row>
    <row r="72" spans="1:7" ht="39.6" x14ac:dyDescent="0.25">
      <c r="A72" s="19" t="s">
        <v>207</v>
      </c>
      <c r="B72" s="42" t="s">
        <v>208</v>
      </c>
      <c r="C72" s="41"/>
      <c r="D72" s="21">
        <v>2416</v>
      </c>
      <c r="E72" s="22">
        <v>5509.0659999999998</v>
      </c>
      <c r="F72" s="20"/>
      <c r="G72" s="20">
        <f>IF('E3 Dashboard'!$D$37="100-yr",D72,E72)</f>
        <v>2416</v>
      </c>
    </row>
    <row r="73" spans="1:7" ht="39.6" x14ac:dyDescent="0.25">
      <c r="A73" s="19" t="s">
        <v>209</v>
      </c>
      <c r="B73" s="42" t="s">
        <v>210</v>
      </c>
      <c r="C73" s="41"/>
      <c r="D73" s="21">
        <v>4458</v>
      </c>
      <c r="E73" s="22">
        <v>5350.665</v>
      </c>
      <c r="F73" s="20"/>
      <c r="G73" s="20">
        <f>IF('E3 Dashboard'!$D$37="100-yr",D73,E73)</f>
        <v>4458</v>
      </c>
    </row>
    <row r="74" spans="1:7" ht="66" x14ac:dyDescent="0.25">
      <c r="A74" s="19" t="s">
        <v>211</v>
      </c>
      <c r="B74" s="42" t="s">
        <v>212</v>
      </c>
      <c r="C74" s="41" t="s">
        <v>213</v>
      </c>
      <c r="D74" s="41">
        <v>3921.6000000000004</v>
      </c>
      <c r="E74" s="46">
        <v>6010</v>
      </c>
      <c r="F74" s="20"/>
      <c r="G74" s="20">
        <f>IF('E3 Dashboard'!$D$37="100-yr",D74,E74)</f>
        <v>3921.6000000000004</v>
      </c>
    </row>
    <row r="75" spans="1:7" ht="39.6" x14ac:dyDescent="0.25">
      <c r="A75" s="19" t="s">
        <v>214</v>
      </c>
      <c r="B75" s="42" t="s">
        <v>215</v>
      </c>
      <c r="C75" s="41"/>
      <c r="D75" s="41">
        <v>1942.7199999999998</v>
      </c>
      <c r="E75" s="46">
        <v>5089.0200000000004</v>
      </c>
      <c r="F75" s="20"/>
      <c r="G75" s="20">
        <f>IF('E3 Dashboard'!$D$37="100-yr",D75,E75)</f>
        <v>1942.7199999999998</v>
      </c>
    </row>
    <row r="76" spans="1:7" ht="52.8" x14ac:dyDescent="0.25">
      <c r="A76" s="19" t="s">
        <v>216</v>
      </c>
      <c r="B76" s="42" t="s">
        <v>217</v>
      </c>
      <c r="C76" s="41" t="s">
        <v>218</v>
      </c>
      <c r="D76" s="41">
        <v>2107</v>
      </c>
      <c r="E76" s="46">
        <v>4538</v>
      </c>
      <c r="F76" s="20"/>
      <c r="G76" s="20">
        <f>IF('E3 Dashboard'!$D$37="100-yr",D76,E76)</f>
        <v>2107</v>
      </c>
    </row>
    <row r="77" spans="1:7" ht="39.6" x14ac:dyDescent="0.25">
      <c r="A77" s="19" t="s">
        <v>219</v>
      </c>
      <c r="B77" s="42" t="s">
        <v>220</v>
      </c>
      <c r="C77" s="41"/>
      <c r="D77" s="41">
        <v>2245</v>
      </c>
      <c r="E77" s="46">
        <v>4494</v>
      </c>
      <c r="F77" s="20"/>
      <c r="G77" s="20">
        <f>IF('E3 Dashboard'!$D$37="100-yr",D77,E77)</f>
        <v>2245</v>
      </c>
    </row>
    <row r="78" spans="1:7" ht="39.6" x14ac:dyDescent="0.25">
      <c r="A78" s="19" t="s">
        <v>221</v>
      </c>
      <c r="B78" s="42" t="s">
        <v>222</v>
      </c>
      <c r="C78" s="41"/>
      <c r="D78" s="21">
        <v>1773.85</v>
      </c>
      <c r="E78" s="22">
        <v>4115</v>
      </c>
      <c r="F78" s="20"/>
      <c r="G78" s="20">
        <f>IF('E3 Dashboard'!$D$37="100-yr",D78,E78)</f>
        <v>1773.85</v>
      </c>
    </row>
    <row r="79" spans="1:7" ht="39.6" x14ac:dyDescent="0.25">
      <c r="A79" s="19" t="s">
        <v>223</v>
      </c>
      <c r="B79" s="42" t="s">
        <v>224</v>
      </c>
      <c r="C79" s="41"/>
      <c r="D79" s="47">
        <v>1627.25</v>
      </c>
      <c r="E79" s="48">
        <v>3983</v>
      </c>
      <c r="F79" s="20"/>
      <c r="G79" s="20">
        <f>IF('E3 Dashboard'!$D$37="100-yr",D79,E79)</f>
        <v>1627.25</v>
      </c>
    </row>
    <row r="80" spans="1:7" ht="39.6" x14ac:dyDescent="0.25">
      <c r="A80" s="19" t="s">
        <v>225</v>
      </c>
      <c r="B80" s="42" t="s">
        <v>226</v>
      </c>
      <c r="C80" s="41"/>
      <c r="D80" s="21">
        <v>1824.5</v>
      </c>
      <c r="E80" s="22">
        <v>4136</v>
      </c>
      <c r="F80" s="20"/>
      <c r="G80" s="20">
        <f>IF('E3 Dashboard'!$D$37="100-yr",D80,E80)</f>
        <v>1824.5</v>
      </c>
    </row>
    <row r="81" spans="1:7" ht="39.6" x14ac:dyDescent="0.25">
      <c r="A81" s="19" t="s">
        <v>227</v>
      </c>
      <c r="B81" s="42" t="s">
        <v>228</v>
      </c>
      <c r="C81" s="41"/>
      <c r="D81" s="21">
        <v>1495.125</v>
      </c>
      <c r="E81" s="22">
        <v>3720.5</v>
      </c>
      <c r="F81" s="20"/>
      <c r="G81" s="20">
        <f>IF('E3 Dashboard'!$D$37="100-yr",D81,E81)</f>
        <v>1495.125</v>
      </c>
    </row>
    <row r="82" spans="1:7" ht="39.6" x14ac:dyDescent="0.25">
      <c r="A82" s="19" t="s">
        <v>229</v>
      </c>
      <c r="B82" s="42" t="s">
        <v>230</v>
      </c>
      <c r="C82" s="41"/>
      <c r="D82" s="21">
        <v>3151.9000000000005</v>
      </c>
      <c r="E82" s="22">
        <v>5579.1</v>
      </c>
      <c r="F82" s="20"/>
      <c r="G82" s="20">
        <f>IF('E3 Dashboard'!$D$37="100-yr",D82,E82)</f>
        <v>3151.9000000000005</v>
      </c>
    </row>
    <row r="83" spans="1:7" ht="55.35" customHeight="1" x14ac:dyDescent="0.25">
      <c r="A83" s="19" t="s">
        <v>231</v>
      </c>
      <c r="B83" s="42" t="s">
        <v>232</v>
      </c>
      <c r="C83" s="41"/>
      <c r="D83" s="43">
        <v>1585</v>
      </c>
      <c r="E83" s="44">
        <v>4437</v>
      </c>
      <c r="F83" s="20"/>
      <c r="G83" s="20">
        <f>IF('E3 Dashboard'!$D$37="100-yr",D83,E83)</f>
        <v>1585</v>
      </c>
    </row>
    <row r="84" spans="1:7" customFormat="1" ht="53.4" x14ac:dyDescent="0.3">
      <c r="A84" s="130" t="s">
        <v>233</v>
      </c>
      <c r="B84" s="131" t="s">
        <v>234</v>
      </c>
      <c r="C84" s="132" t="s">
        <v>218</v>
      </c>
      <c r="D84" s="132">
        <v>2087.5</v>
      </c>
      <c r="E84" s="140">
        <v>4340</v>
      </c>
      <c r="F84" s="129"/>
      <c r="G84" s="129">
        <f>IF('E3 Dashboard'!$D$37="100-yr",D84,E84)</f>
        <v>2087.5</v>
      </c>
    </row>
    <row r="85" spans="1:7" ht="52.8" x14ac:dyDescent="0.25">
      <c r="A85" s="19" t="s">
        <v>235</v>
      </c>
      <c r="B85" s="42" t="s">
        <v>236</v>
      </c>
      <c r="C85" s="41" t="s">
        <v>218</v>
      </c>
      <c r="D85" s="41">
        <v>2228.75</v>
      </c>
      <c r="E85" s="46">
        <v>4541</v>
      </c>
      <c r="F85" s="20"/>
      <c r="G85" s="20">
        <f>IF('E3 Dashboard'!$D$37="100-yr",D85,E85)</f>
        <v>2228.75</v>
      </c>
    </row>
    <row r="86" spans="1:7" ht="39.6" x14ac:dyDescent="0.25">
      <c r="A86" s="45" t="s">
        <v>237</v>
      </c>
      <c r="B86" s="42" t="s">
        <v>238</v>
      </c>
      <c r="C86" s="41"/>
      <c r="D86" s="41">
        <v>1597.4350000000002</v>
      </c>
      <c r="E86" s="46">
        <v>4563.1149999999998</v>
      </c>
      <c r="F86" s="20"/>
      <c r="G86" s="20">
        <f>IF('E3 Dashboard'!$D$37="100-yr",D86,E86)</f>
        <v>1597.4350000000002</v>
      </c>
    </row>
    <row r="87" spans="1:7" ht="39.6" x14ac:dyDescent="0.25">
      <c r="A87" s="45" t="s">
        <v>239</v>
      </c>
      <c r="B87" s="42" t="s">
        <v>240</v>
      </c>
      <c r="C87" s="41"/>
      <c r="D87" s="41">
        <v>1705.2099999999998</v>
      </c>
      <c r="E87" s="46">
        <v>4863.5999999999995</v>
      </c>
      <c r="F87" s="20"/>
      <c r="G87" s="20">
        <f>IF('E3 Dashboard'!$D$37="100-yr",D87,E87)</f>
        <v>1705.2099999999998</v>
      </c>
    </row>
    <row r="88" spans="1:7" ht="39.6" x14ac:dyDescent="0.25">
      <c r="A88" s="19" t="s">
        <v>241</v>
      </c>
      <c r="B88" s="42" t="s">
        <v>242</v>
      </c>
      <c r="C88" s="41"/>
      <c r="D88" s="43">
        <v>2053</v>
      </c>
      <c r="E88" s="44">
        <v>3938.4500000000003</v>
      </c>
      <c r="F88" s="20"/>
      <c r="G88" s="20">
        <f>IF('E3 Dashboard'!$D$37="100-yr",D88,E88)</f>
        <v>2053</v>
      </c>
    </row>
    <row r="89" spans="1:7" ht="52.8" x14ac:dyDescent="0.25">
      <c r="A89" s="45" t="s">
        <v>243</v>
      </c>
      <c r="B89" s="42" t="s">
        <v>244</v>
      </c>
      <c r="C89" s="41"/>
      <c r="D89" s="43">
        <v>1478</v>
      </c>
      <c r="E89" s="44">
        <v>3768.42</v>
      </c>
      <c r="F89" s="20"/>
      <c r="G89" s="20">
        <f>IF('E3 Dashboard'!$D$37="100-yr",D89,E89)</f>
        <v>1478</v>
      </c>
    </row>
    <row r="90" spans="1:7" ht="52.8" x14ac:dyDescent="0.25">
      <c r="A90" s="19" t="s">
        <v>245</v>
      </c>
      <c r="B90" s="42" t="s">
        <v>246</v>
      </c>
      <c r="C90" s="41"/>
      <c r="D90" s="43">
        <v>1362</v>
      </c>
      <c r="E90" s="44">
        <v>3898.5450000000001</v>
      </c>
      <c r="F90" s="20"/>
      <c r="G90" s="20">
        <f>IF('E3 Dashboard'!$D$37="100-yr",D90,E90)</f>
        <v>1362</v>
      </c>
    </row>
    <row r="91" spans="1:7" ht="52.8" x14ac:dyDescent="0.25">
      <c r="A91" s="19" t="s">
        <v>247</v>
      </c>
      <c r="B91" s="42" t="s">
        <v>248</v>
      </c>
      <c r="C91" s="41"/>
      <c r="D91" s="43">
        <v>1084.3</v>
      </c>
      <c r="E91" s="44">
        <v>3077.395</v>
      </c>
      <c r="F91" s="20"/>
      <c r="G91" s="20">
        <f>IF('E3 Dashboard'!$D$37="100-yr",D91,E91)</f>
        <v>1084.3</v>
      </c>
    </row>
    <row r="92" spans="1:7" ht="39.6" x14ac:dyDescent="0.25">
      <c r="A92" s="19" t="s">
        <v>249</v>
      </c>
      <c r="B92" s="42" t="s">
        <v>250</v>
      </c>
      <c r="C92" s="41"/>
      <c r="D92" s="43">
        <v>2346.1019999999999</v>
      </c>
      <c r="E92" s="44">
        <v>4874.2020000000002</v>
      </c>
      <c r="F92" s="20"/>
      <c r="G92" s="20">
        <f>IF('E3 Dashboard'!$D$37="100-yr",D92,E92)</f>
        <v>2346.1019999999999</v>
      </c>
    </row>
    <row r="93" spans="1:7" ht="39.6" x14ac:dyDescent="0.25">
      <c r="A93" s="19" t="s">
        <v>251</v>
      </c>
      <c r="B93" s="42" t="s">
        <v>252</v>
      </c>
      <c r="C93" s="41"/>
      <c r="D93" s="43">
        <v>3026.0574999999999</v>
      </c>
      <c r="E93" s="44">
        <v>5715.5575000000008</v>
      </c>
      <c r="F93" s="20"/>
      <c r="G93" s="20">
        <f>IF('E3 Dashboard'!$D$37="100-yr",D93,E93)</f>
        <v>3026.0574999999999</v>
      </c>
    </row>
    <row r="94" spans="1:7" ht="39.6" x14ac:dyDescent="0.25">
      <c r="A94" s="19" t="s">
        <v>253</v>
      </c>
      <c r="B94" s="42" t="s">
        <v>190</v>
      </c>
      <c r="C94" s="41"/>
      <c r="D94" s="43">
        <v>1809.4080000000001</v>
      </c>
      <c r="E94" s="44">
        <v>4256.375</v>
      </c>
      <c r="F94" s="20"/>
      <c r="G94" s="20">
        <f>IF('E3 Dashboard'!$D$37="100-yr",D94,E94)</f>
        <v>1809.4080000000001</v>
      </c>
    </row>
    <row r="95" spans="1:7" ht="26.4" x14ac:dyDescent="0.25">
      <c r="A95" s="19" t="s">
        <v>254</v>
      </c>
      <c r="B95" s="42" t="s">
        <v>255</v>
      </c>
      <c r="C95" s="41"/>
      <c r="D95" s="43">
        <v>1535.6000000000001</v>
      </c>
      <c r="E95" s="44">
        <v>4029.2</v>
      </c>
      <c r="F95" s="20"/>
      <c r="G95" s="20">
        <f>IF('E3 Dashboard'!$D$37="100-yr",D95,E95)</f>
        <v>1535.6000000000001</v>
      </c>
    </row>
    <row r="96" spans="1:7" ht="26.4" x14ac:dyDescent="0.25">
      <c r="A96" s="45" t="s">
        <v>256</v>
      </c>
      <c r="B96" s="42" t="s">
        <v>257</v>
      </c>
      <c r="C96" s="41"/>
      <c r="D96" s="43">
        <v>2630.6</v>
      </c>
      <c r="E96" s="44">
        <v>5291.5999999999995</v>
      </c>
      <c r="F96" s="20"/>
      <c r="G96" s="20">
        <f>IF('E3 Dashboard'!$D$37="100-yr",D96,E96)</f>
        <v>2630.6</v>
      </c>
    </row>
    <row r="97" spans="1:7" ht="26.4" x14ac:dyDescent="0.25">
      <c r="A97" s="45" t="s">
        <v>258</v>
      </c>
      <c r="B97" s="42" t="s">
        <v>259</v>
      </c>
      <c r="C97" s="41"/>
      <c r="D97" s="43">
        <v>3189.5</v>
      </c>
      <c r="E97" s="44">
        <v>5972</v>
      </c>
      <c r="F97" s="20"/>
      <c r="G97" s="20">
        <f>IF('E3 Dashboard'!$D$37="100-yr",D97,E97)</f>
        <v>3189.5</v>
      </c>
    </row>
    <row r="98" spans="1:7" ht="39.6" x14ac:dyDescent="0.25">
      <c r="A98" s="19" t="s">
        <v>260</v>
      </c>
      <c r="B98" s="42" t="s">
        <v>261</v>
      </c>
      <c r="C98" s="41"/>
      <c r="D98" s="43">
        <v>3143.0519999999997</v>
      </c>
      <c r="E98" s="44">
        <v>5844.4019999999991</v>
      </c>
      <c r="F98" s="20"/>
      <c r="G98" s="20">
        <f>IF('E3 Dashboard'!$D$37="100-yr",D98,E98)</f>
        <v>3143.0519999999997</v>
      </c>
    </row>
    <row r="99" spans="1:7" ht="39.6" x14ac:dyDescent="0.25">
      <c r="A99" s="19" t="s">
        <v>262</v>
      </c>
      <c r="B99" s="42" t="s">
        <v>263</v>
      </c>
      <c r="C99" s="41"/>
      <c r="D99" s="43">
        <v>2525.6900000000005</v>
      </c>
      <c r="E99" s="44">
        <v>5101.1900000000005</v>
      </c>
      <c r="F99" s="20"/>
      <c r="G99" s="20">
        <f>IF('E3 Dashboard'!$D$37="100-yr",D99,E99)</f>
        <v>2525.6900000000005</v>
      </c>
    </row>
    <row r="100" spans="1:7" ht="39.6" x14ac:dyDescent="0.25">
      <c r="A100" s="19" t="s">
        <v>264</v>
      </c>
      <c r="B100" s="42" t="s">
        <v>265</v>
      </c>
      <c r="C100" s="41"/>
      <c r="D100" s="43">
        <v>3084.59</v>
      </c>
      <c r="E100" s="44">
        <v>5781.59</v>
      </c>
      <c r="F100" s="20"/>
      <c r="G100" s="20">
        <f>IF('E3 Dashboard'!$D$37="100-yr",D100,E100)</f>
        <v>3084.59</v>
      </c>
    </row>
    <row r="101" spans="1:7" ht="39.6" x14ac:dyDescent="0.25">
      <c r="A101" s="19" t="s">
        <v>266</v>
      </c>
      <c r="B101" s="42" t="s">
        <v>267</v>
      </c>
      <c r="C101" s="41"/>
      <c r="D101" s="43">
        <v>2729.0519999999997</v>
      </c>
      <c r="E101" s="44">
        <v>5340.402</v>
      </c>
      <c r="F101" s="20"/>
      <c r="G101" s="20">
        <f>IF('E3 Dashboard'!$D$37="100-yr",D101,E101)</f>
        <v>2729.0519999999997</v>
      </c>
    </row>
    <row r="102" spans="1:7" ht="39.6" x14ac:dyDescent="0.25">
      <c r="A102" s="19" t="s">
        <v>268</v>
      </c>
      <c r="B102" s="42" t="s">
        <v>269</v>
      </c>
      <c r="C102" s="41"/>
      <c r="D102" s="43">
        <v>2280.25</v>
      </c>
      <c r="E102" s="44">
        <v>4533</v>
      </c>
      <c r="F102" s="20"/>
      <c r="G102" s="20">
        <f>IF('E3 Dashboard'!$D$37="100-yr",D102,E102)</f>
        <v>2280.25</v>
      </c>
    </row>
    <row r="103" spans="1:7" ht="66" x14ac:dyDescent="0.25">
      <c r="A103" s="19" t="s">
        <v>270</v>
      </c>
      <c r="B103" s="42" t="s">
        <v>271</v>
      </c>
      <c r="C103" s="41"/>
      <c r="D103" s="43">
        <v>2439.6161000000002</v>
      </c>
      <c r="E103" s="44">
        <v>5006.8661000000002</v>
      </c>
      <c r="F103" s="20"/>
      <c r="G103" s="20">
        <f>IF('E3 Dashboard'!$D$37="100-yr",D103,E103)</f>
        <v>2439.6161000000002</v>
      </c>
    </row>
    <row r="104" spans="1:7" ht="52.8" x14ac:dyDescent="0.25">
      <c r="A104" s="19" t="s">
        <v>272</v>
      </c>
      <c r="B104" s="42" t="s">
        <v>273</v>
      </c>
      <c r="C104" s="41"/>
      <c r="D104" s="43">
        <v>1508.47</v>
      </c>
      <c r="E104" s="44">
        <v>3885.82</v>
      </c>
      <c r="F104" s="20"/>
      <c r="G104" s="20">
        <f>IF('E3 Dashboard'!$D$37="100-yr",D104,E104)</f>
        <v>1508.47</v>
      </c>
    </row>
    <row r="105" spans="1:7" ht="52.8" x14ac:dyDescent="0.25">
      <c r="A105" s="19" t="s">
        <v>274</v>
      </c>
      <c r="B105" s="42" t="s">
        <v>275</v>
      </c>
      <c r="C105" s="41"/>
      <c r="D105" s="43">
        <v>2138.25</v>
      </c>
      <c r="E105" s="44">
        <v>4441</v>
      </c>
      <c r="F105" s="20"/>
      <c r="G105" s="20">
        <f>IF('E3 Dashboard'!$D$37="100-yr",D105,E105)</f>
        <v>2138.25</v>
      </c>
    </row>
    <row r="106" spans="1:7" ht="52.8" x14ac:dyDescent="0.25">
      <c r="A106" s="19" t="s">
        <v>276</v>
      </c>
      <c r="B106" s="42" t="s">
        <v>277</v>
      </c>
      <c r="C106" s="41"/>
      <c r="D106" s="43">
        <v>3607.3598000000002</v>
      </c>
      <c r="E106" s="44">
        <v>6100.1098000000002</v>
      </c>
      <c r="F106" s="20"/>
      <c r="G106" s="20">
        <f>IF('E3 Dashboard'!$D$37="100-yr",D106,E106)</f>
        <v>3607.3598000000002</v>
      </c>
    </row>
    <row r="107" spans="1:7" ht="52.8" x14ac:dyDescent="0.25">
      <c r="A107" s="19" t="s">
        <v>278</v>
      </c>
      <c r="B107" s="42" t="s">
        <v>279</v>
      </c>
      <c r="C107" s="41"/>
      <c r="D107" s="43">
        <v>3245.4839999999999</v>
      </c>
      <c r="E107" s="44">
        <v>5686.2839999999997</v>
      </c>
      <c r="F107" s="20"/>
      <c r="G107" s="20">
        <f>IF('E3 Dashboard'!$D$37="100-yr",D107,E107)</f>
        <v>3245.4839999999999</v>
      </c>
    </row>
    <row r="108" spans="1:7" ht="26.4" x14ac:dyDescent="0.25">
      <c r="A108" s="19" t="s">
        <v>280</v>
      </c>
      <c r="B108" s="42" t="s">
        <v>281</v>
      </c>
      <c r="C108" s="41"/>
      <c r="D108" s="43">
        <v>5</v>
      </c>
      <c r="E108" s="44">
        <v>5</v>
      </c>
      <c r="F108" s="20"/>
      <c r="G108" s="20">
        <f>IF('E3 Dashboard'!$D$37="100-yr",D108,E108)</f>
        <v>5</v>
      </c>
    </row>
    <row r="109" spans="1:7" ht="52.8" x14ac:dyDescent="0.25">
      <c r="A109" s="19" t="s">
        <v>282</v>
      </c>
      <c r="B109" s="42" t="s">
        <v>283</v>
      </c>
      <c r="C109" s="41"/>
      <c r="D109" s="43">
        <v>1805.164</v>
      </c>
      <c r="E109" s="44">
        <v>4244.9139999999998</v>
      </c>
      <c r="F109" s="20"/>
      <c r="G109" s="20">
        <f>IF('E3 Dashboard'!$D$37="100-yr",D109,E109)</f>
        <v>1805.164</v>
      </c>
    </row>
    <row r="110" spans="1:7" ht="79.349999999999994" customHeight="1" x14ac:dyDescent="0.25">
      <c r="A110" s="19" t="s">
        <v>284</v>
      </c>
      <c r="B110" s="42" t="s">
        <v>285</v>
      </c>
      <c r="C110" s="41"/>
      <c r="D110" s="43">
        <v>2237.98</v>
      </c>
      <c r="E110" s="44">
        <v>4659.2299999999996</v>
      </c>
      <c r="F110" s="20"/>
      <c r="G110" s="20">
        <f>IF('E3 Dashboard'!$D$37="100-yr",D110,E110)</f>
        <v>2237.98</v>
      </c>
    </row>
    <row r="111" spans="1:7" ht="52.8" x14ac:dyDescent="0.25">
      <c r="A111" s="19" t="s">
        <v>286</v>
      </c>
      <c r="B111" s="42" t="s">
        <v>287</v>
      </c>
      <c r="C111" s="41"/>
      <c r="D111" s="43">
        <v>5</v>
      </c>
      <c r="E111" s="44">
        <v>5</v>
      </c>
      <c r="F111" s="20"/>
      <c r="G111" s="20">
        <f>IF('E3 Dashboard'!$D$37="100-yr",D111,E111)</f>
        <v>5</v>
      </c>
    </row>
    <row r="112" spans="1:7" ht="79.2" x14ac:dyDescent="0.25">
      <c r="A112" s="19" t="s">
        <v>288</v>
      </c>
      <c r="B112" s="42" t="s">
        <v>289</v>
      </c>
      <c r="C112" s="41"/>
      <c r="D112" s="43">
        <v>1887.97</v>
      </c>
      <c r="E112" s="44">
        <v>4118.41</v>
      </c>
      <c r="F112" s="20"/>
      <c r="G112" s="20">
        <f>IF('E3 Dashboard'!$D$37="100-yr",D112,E112)</f>
        <v>1887.97</v>
      </c>
    </row>
    <row r="113" spans="1:7" ht="39.6" x14ac:dyDescent="0.25">
      <c r="A113" s="19" t="s">
        <v>290</v>
      </c>
      <c r="B113" s="42" t="s">
        <v>291</v>
      </c>
      <c r="C113" s="41"/>
      <c r="D113" s="43"/>
      <c r="E113" s="44"/>
      <c r="F113" s="20"/>
      <c r="G113" s="20">
        <f>IF('E3 Dashboard'!$D$37="100-yr",D113,E113)</f>
        <v>0</v>
      </c>
    </row>
    <row r="114" spans="1:7" ht="39.6" x14ac:dyDescent="0.25">
      <c r="A114" s="19" t="s">
        <v>292</v>
      </c>
      <c r="B114" s="42" t="s">
        <v>293</v>
      </c>
      <c r="C114" s="41" t="s">
        <v>294</v>
      </c>
      <c r="D114" s="43">
        <v>88.03</v>
      </c>
      <c r="E114" s="44">
        <v>302.27999999999997</v>
      </c>
      <c r="F114" s="20"/>
      <c r="G114" s="20">
        <f>IF('E3 Dashboard'!$D$37="100-yr",D114,E114)</f>
        <v>88.03</v>
      </c>
    </row>
    <row r="115" spans="1:7" ht="45.6" customHeight="1" x14ac:dyDescent="0.25">
      <c r="A115" s="19" t="s">
        <v>295</v>
      </c>
      <c r="B115" s="42" t="s">
        <v>296</v>
      </c>
      <c r="C115" s="41" t="s">
        <v>294</v>
      </c>
      <c r="D115" s="43">
        <v>293.01</v>
      </c>
      <c r="E115" s="44">
        <v>1011.135</v>
      </c>
      <c r="F115" s="20"/>
      <c r="G115" s="20">
        <f>IF('E3 Dashboard'!$D$37="100-yr",D115,E115)</f>
        <v>293.01</v>
      </c>
    </row>
    <row r="116" spans="1:7" ht="49.5" customHeight="1" x14ac:dyDescent="0.25">
      <c r="A116" s="19" t="s">
        <v>297</v>
      </c>
      <c r="B116" s="42" t="s">
        <v>298</v>
      </c>
      <c r="C116" s="41" t="s">
        <v>294</v>
      </c>
      <c r="D116" s="43">
        <v>129.60999999999999</v>
      </c>
      <c r="E116" s="44">
        <v>345.61</v>
      </c>
      <c r="F116" s="20"/>
      <c r="G116" s="20">
        <f>IF('E3 Dashboard'!$D$37="100-yr",D116,E116)</f>
        <v>129.60999999999999</v>
      </c>
    </row>
    <row r="117" spans="1:7" ht="49.5" customHeight="1" x14ac:dyDescent="0.25">
      <c r="A117" s="19" t="s">
        <v>299</v>
      </c>
      <c r="B117" s="42" t="s">
        <v>300</v>
      </c>
      <c r="C117" s="41" t="s">
        <v>294</v>
      </c>
      <c r="D117" s="43">
        <v>459.38000000000005</v>
      </c>
      <c r="E117" s="44">
        <v>1584.78</v>
      </c>
      <c r="F117" s="20"/>
      <c r="G117" s="20">
        <f>IF('E3 Dashboard'!$D$37="100-yr",D117,E117)</f>
        <v>459.38000000000005</v>
      </c>
    </row>
    <row r="118" spans="1:7" ht="39.6" x14ac:dyDescent="0.25">
      <c r="A118" s="19" t="s">
        <v>301</v>
      </c>
      <c r="B118" s="42" t="s">
        <v>302</v>
      </c>
      <c r="C118" s="41" t="s">
        <v>294</v>
      </c>
      <c r="D118" s="43">
        <v>600</v>
      </c>
      <c r="E118" s="44"/>
      <c r="F118" s="20"/>
      <c r="G118" s="20">
        <f>IF('E3 Dashboard'!$D$37="100-yr",D118,E118)</f>
        <v>600</v>
      </c>
    </row>
    <row r="119" spans="1:7" ht="39.6" x14ac:dyDescent="0.25">
      <c r="A119" s="19" t="s">
        <v>303</v>
      </c>
      <c r="B119" s="42" t="s">
        <v>304</v>
      </c>
      <c r="C119" s="41"/>
      <c r="D119" s="43">
        <v>739.24</v>
      </c>
      <c r="E119" s="44">
        <v>2092.6400000000003</v>
      </c>
      <c r="F119" s="20"/>
      <c r="G119" s="20">
        <f>IF('E3 Dashboard'!$D$37="100-yr",D119,E119)</f>
        <v>739.24</v>
      </c>
    </row>
    <row r="120" spans="1:7" ht="79.2" x14ac:dyDescent="0.25">
      <c r="A120" s="19" t="s">
        <v>305</v>
      </c>
      <c r="B120" s="42" t="s">
        <v>306</v>
      </c>
      <c r="C120" s="41"/>
      <c r="D120" s="43">
        <v>1386.07</v>
      </c>
      <c r="E120" s="44">
        <v>3061.3700000000003</v>
      </c>
      <c r="F120" s="20"/>
      <c r="G120" s="20">
        <f>IF('E3 Dashboard'!$D$37="100-yr",D120,E120)</f>
        <v>1386.07</v>
      </c>
    </row>
    <row r="121" spans="1:7" ht="66" x14ac:dyDescent="0.25">
      <c r="A121" s="19" t="s">
        <v>307</v>
      </c>
      <c r="B121" s="42" t="s">
        <v>308</v>
      </c>
      <c r="C121" s="41"/>
      <c r="D121" s="43">
        <v>1396.288</v>
      </c>
      <c r="E121" s="44">
        <v>3119.203</v>
      </c>
      <c r="F121" s="20"/>
      <c r="G121" s="20">
        <f>IF('E3 Dashboard'!$D$37="100-yr",D121,E121)</f>
        <v>1396.288</v>
      </c>
    </row>
    <row r="122" spans="1:7" ht="66" x14ac:dyDescent="0.25">
      <c r="A122" s="19" t="s">
        <v>309</v>
      </c>
      <c r="B122" s="42" t="s">
        <v>310</v>
      </c>
      <c r="C122" s="41"/>
      <c r="D122" s="43">
        <v>1411.222</v>
      </c>
      <c r="E122" s="44">
        <v>3176.0320000000002</v>
      </c>
      <c r="F122" s="20"/>
      <c r="G122" s="20">
        <f>IF('E3 Dashboard'!$D$37="100-yr",D122,E122)</f>
        <v>1411.222</v>
      </c>
    </row>
    <row r="123" spans="1:7" ht="26.4" x14ac:dyDescent="0.25">
      <c r="A123" s="19" t="s">
        <v>311</v>
      </c>
      <c r="B123" s="42" t="s">
        <v>312</v>
      </c>
      <c r="C123" s="41"/>
      <c r="D123" s="43">
        <v>601.18000000000006</v>
      </c>
      <c r="E123" s="44"/>
      <c r="F123" s="20"/>
      <c r="G123" s="20">
        <f>IF('E3 Dashboard'!$D$37="100-yr",D123,E123)</f>
        <v>601.18000000000006</v>
      </c>
    </row>
    <row r="124" spans="1:7" ht="26.4" x14ac:dyDescent="0.25">
      <c r="A124" s="19" t="s">
        <v>313</v>
      </c>
      <c r="B124" s="42" t="s">
        <v>314</v>
      </c>
      <c r="C124" s="41"/>
      <c r="D124" s="43">
        <v>146.75799999999998</v>
      </c>
      <c r="E124" s="44"/>
      <c r="F124" s="20"/>
      <c r="G124" s="20">
        <f>IF('E3 Dashboard'!$D$37="100-yr",D124,E124)</f>
        <v>146.75799999999998</v>
      </c>
    </row>
    <row r="125" spans="1:7" ht="26.4" x14ac:dyDescent="0.25">
      <c r="A125" s="19" t="s">
        <v>315</v>
      </c>
      <c r="B125" s="42" t="s">
        <v>316</v>
      </c>
      <c r="C125" s="41"/>
      <c r="D125" s="43">
        <v>161.048</v>
      </c>
      <c r="E125" s="44"/>
      <c r="F125" s="20"/>
      <c r="G125" s="20">
        <f>IF('E3 Dashboard'!$D$37="100-yr",D125,E125)</f>
        <v>161.048</v>
      </c>
    </row>
    <row r="126" spans="1:7" ht="44.1" customHeight="1" x14ac:dyDescent="0.25">
      <c r="A126" s="19" t="s">
        <v>317</v>
      </c>
      <c r="B126" s="42" t="s">
        <v>318</v>
      </c>
      <c r="C126" s="41"/>
      <c r="D126" s="43">
        <v>2139.5500000000002</v>
      </c>
      <c r="E126" s="44">
        <v>4003.1000000000004</v>
      </c>
      <c r="F126" s="20"/>
      <c r="G126" s="20">
        <f>IF('E3 Dashboard'!$D$37="100-yr",D126,E126)</f>
        <v>2139.5500000000002</v>
      </c>
    </row>
    <row r="127" spans="1:7" ht="47.1" customHeight="1" x14ac:dyDescent="0.25">
      <c r="A127" s="19" t="s">
        <v>319</v>
      </c>
      <c r="B127" s="42" t="s">
        <v>320</v>
      </c>
      <c r="C127" s="41"/>
      <c r="D127" s="43">
        <v>697.51</v>
      </c>
      <c r="E127" s="44">
        <v>2005.8600000000001</v>
      </c>
      <c r="F127" s="20"/>
      <c r="G127" s="20">
        <f>IF('E3 Dashboard'!$D$37="100-yr",D127,E127)</f>
        <v>697.51</v>
      </c>
    </row>
    <row r="128" spans="1:7" ht="77.849999999999994" customHeight="1" x14ac:dyDescent="0.25">
      <c r="A128" s="19" t="s">
        <v>321</v>
      </c>
      <c r="B128" s="42" t="s">
        <v>322</v>
      </c>
      <c r="C128" s="41"/>
      <c r="D128" s="43">
        <v>2219.64</v>
      </c>
      <c r="E128" s="44">
        <v>4165.0150000000003</v>
      </c>
      <c r="F128" s="20"/>
      <c r="G128" s="20">
        <f>IF('E3 Dashboard'!$D$37="100-yr",D128,E128)</f>
        <v>2219.64</v>
      </c>
    </row>
    <row r="129" spans="1:7" ht="105.6" x14ac:dyDescent="0.25">
      <c r="A129" s="19" t="s">
        <v>323</v>
      </c>
      <c r="B129" s="42" t="s">
        <v>324</v>
      </c>
      <c r="C129" s="41"/>
      <c r="D129" s="43">
        <v>1765.3879999999999</v>
      </c>
      <c r="E129" s="44">
        <v>4062.0880000000002</v>
      </c>
      <c r="F129" s="20"/>
      <c r="G129" s="20">
        <f>IF('E3 Dashboard'!$D$37="100-yr",D129,E129)</f>
        <v>1765.3879999999999</v>
      </c>
    </row>
    <row r="130" spans="1:7" ht="26.4" x14ac:dyDescent="0.25">
      <c r="A130" s="19" t="s">
        <v>325</v>
      </c>
      <c r="B130" s="42" t="s">
        <v>326</v>
      </c>
      <c r="C130" s="41"/>
      <c r="D130" s="43">
        <v>239</v>
      </c>
      <c r="E130" s="44">
        <v>816.15</v>
      </c>
      <c r="F130" s="20"/>
      <c r="G130" s="20">
        <f>IF('E3 Dashboard'!$D$37="100-yr",D130,E130)</f>
        <v>239</v>
      </c>
    </row>
    <row r="131" spans="1:7" ht="26.4" x14ac:dyDescent="0.25">
      <c r="A131" s="19" t="s">
        <v>327</v>
      </c>
      <c r="B131" s="42" t="s">
        <v>328</v>
      </c>
      <c r="C131" s="41"/>
      <c r="D131" s="43">
        <v>465.99999999999994</v>
      </c>
      <c r="E131" s="44">
        <v>1605.6809999999998</v>
      </c>
      <c r="F131" s="20"/>
      <c r="G131" s="20">
        <f>IF('E3 Dashboard'!$D$37="100-yr",D131,E131)</f>
        <v>465.99999999999994</v>
      </c>
    </row>
    <row r="132" spans="1:7" ht="39.6" x14ac:dyDescent="0.25">
      <c r="A132" s="19" t="s">
        <v>329</v>
      </c>
      <c r="B132" s="42" t="s">
        <v>330</v>
      </c>
      <c r="C132" s="41"/>
      <c r="D132" s="21">
        <v>145.91</v>
      </c>
      <c r="E132" s="22">
        <v>501.73500000000001</v>
      </c>
      <c r="F132" s="20"/>
      <c r="G132" s="20">
        <f>IF('E3 Dashboard'!$D$37="100-yr",D132,E132)</f>
        <v>145.91</v>
      </c>
    </row>
    <row r="133" spans="1:7" ht="42" x14ac:dyDescent="0.35">
      <c r="A133" s="19" t="s">
        <v>331</v>
      </c>
      <c r="B133" s="42" t="s">
        <v>332</v>
      </c>
      <c r="C133" s="41"/>
      <c r="D133" s="43">
        <v>145.91</v>
      </c>
      <c r="E133" s="44">
        <v>501.73499999999996</v>
      </c>
      <c r="F133" s="20"/>
      <c r="G133" s="20">
        <f>IF('E3 Dashboard'!$D$37="100-yr",D133,E133)</f>
        <v>145.91</v>
      </c>
    </row>
    <row r="134" spans="1:7" ht="38.1" customHeight="1" x14ac:dyDescent="0.25">
      <c r="A134" s="19" t="s">
        <v>333</v>
      </c>
      <c r="B134" s="42" t="s">
        <v>334</v>
      </c>
      <c r="C134" s="41"/>
      <c r="D134" s="49">
        <v>684.49</v>
      </c>
      <c r="E134" s="49">
        <v>1863.79</v>
      </c>
      <c r="F134" s="20"/>
      <c r="G134" s="20">
        <f>IF('E3 Dashboard'!$D$37="100-yr",D134,E134)</f>
        <v>684.49</v>
      </c>
    </row>
    <row r="135" spans="1:7" ht="39.6" x14ac:dyDescent="0.25">
      <c r="A135" s="19" t="s">
        <v>335</v>
      </c>
      <c r="B135" s="42" t="s">
        <v>336</v>
      </c>
      <c r="C135" s="41"/>
      <c r="D135" s="21">
        <v>137.08000000000001</v>
      </c>
      <c r="E135" s="22">
        <v>472.53999999999996</v>
      </c>
      <c r="F135" s="20"/>
      <c r="G135" s="20">
        <f>IF('E3 Dashboard'!$D$37="100-yr",D135,E135)</f>
        <v>137.08000000000001</v>
      </c>
    </row>
    <row r="136" spans="1:7" ht="79.2" x14ac:dyDescent="0.25">
      <c r="A136" s="19" t="s">
        <v>337</v>
      </c>
      <c r="B136" s="42" t="s">
        <v>338</v>
      </c>
      <c r="C136" s="41"/>
      <c r="D136" s="21">
        <v>1649.9549999999999</v>
      </c>
      <c r="E136" s="22">
        <v>3848.72</v>
      </c>
      <c r="F136" s="20"/>
      <c r="G136" s="20">
        <f>IF('E3 Dashboard'!$D$37="100-yr",D136,E136)</f>
        <v>1649.9549999999999</v>
      </c>
    </row>
    <row r="137" spans="1:7" ht="78.599999999999994" customHeight="1" x14ac:dyDescent="0.25">
      <c r="A137" s="19" t="s">
        <v>339</v>
      </c>
      <c r="B137" s="42" t="s">
        <v>340</v>
      </c>
      <c r="C137" s="41"/>
      <c r="D137" s="21">
        <v>2767.1900000000005</v>
      </c>
      <c r="E137" s="22">
        <v>5278.1900000000005</v>
      </c>
      <c r="F137" s="20"/>
      <c r="G137" s="20">
        <f>IF('E3 Dashboard'!$D$37="100-yr",D137,E137)</f>
        <v>2767.1900000000005</v>
      </c>
    </row>
    <row r="138" spans="1:7" ht="66" x14ac:dyDescent="0.25">
      <c r="A138" s="19" t="s">
        <v>341</v>
      </c>
      <c r="B138" s="42" t="s">
        <v>342</v>
      </c>
      <c r="C138" s="41"/>
      <c r="D138" s="21">
        <v>2249.44</v>
      </c>
      <c r="E138" s="22">
        <v>4679.79</v>
      </c>
      <c r="F138" s="20"/>
      <c r="G138" s="20">
        <f>IF('E3 Dashboard'!$D$37="100-yr",D138,E138)</f>
        <v>2249.44</v>
      </c>
    </row>
    <row r="139" spans="1:7" ht="44.85" customHeight="1" x14ac:dyDescent="0.25">
      <c r="A139" s="19" t="s">
        <v>343</v>
      </c>
      <c r="B139" s="42" t="s">
        <v>344</v>
      </c>
      <c r="C139" s="41">
        <f>(0.49*C$27)+(0.115*C$28)+(0.395*C$53)</f>
        <v>5.786975</v>
      </c>
      <c r="D139" s="21">
        <v>733</v>
      </c>
      <c r="E139" s="22">
        <v>1872.345</v>
      </c>
      <c r="F139" s="20"/>
      <c r="G139" s="20">
        <f>IF('E3 Dashboard'!$D$37="100-yr",D139,E139)</f>
        <v>733</v>
      </c>
    </row>
    <row r="140" spans="1:7" ht="32.1" customHeight="1" x14ac:dyDescent="0.25">
      <c r="A140" s="19" t="s">
        <v>345</v>
      </c>
      <c r="B140" s="42" t="s">
        <v>346</v>
      </c>
      <c r="C140" s="41"/>
      <c r="D140" s="43">
        <v>8076.6880000000001</v>
      </c>
      <c r="E140" s="44">
        <v>8232.4940000000006</v>
      </c>
      <c r="F140" s="20"/>
      <c r="G140" s="20">
        <f>IF('E3 Dashboard'!$D$37="100-yr",D140,E140)</f>
        <v>8076.6880000000001</v>
      </c>
    </row>
    <row r="141" spans="1:7" ht="52.8" x14ac:dyDescent="0.25">
      <c r="A141" s="19" t="s">
        <v>347</v>
      </c>
      <c r="B141" s="42" t="s">
        <v>348</v>
      </c>
      <c r="C141" s="41" t="s">
        <v>349</v>
      </c>
      <c r="D141" s="21">
        <v>4656.72</v>
      </c>
      <c r="E141" s="22">
        <v>5236.8</v>
      </c>
      <c r="F141" s="20"/>
      <c r="G141" s="20">
        <f>IF('E3 Dashboard'!$D$37="100-yr",D141,E141)</f>
        <v>4656.72</v>
      </c>
    </row>
    <row r="142" spans="1:7" ht="32.85" customHeight="1" x14ac:dyDescent="0.25">
      <c r="A142" s="19" t="s">
        <v>350</v>
      </c>
      <c r="B142" s="42" t="s">
        <v>351</v>
      </c>
      <c r="C142" s="41"/>
      <c r="D142" s="21">
        <v>14560</v>
      </c>
      <c r="E142" s="22">
        <v>11280</v>
      </c>
      <c r="F142" s="20"/>
      <c r="G142" s="20">
        <f>IF('E3 Dashboard'!$D$37="100-yr",D142,E142)</f>
        <v>14560</v>
      </c>
    </row>
    <row r="143" spans="1:7" ht="52.8" x14ac:dyDescent="0.25">
      <c r="A143" s="19" t="s">
        <v>352</v>
      </c>
      <c r="B143" s="42" t="s">
        <v>353</v>
      </c>
      <c r="C143" s="41" t="s">
        <v>354</v>
      </c>
      <c r="D143" s="21">
        <v>3985</v>
      </c>
      <c r="E143" s="22">
        <v>6120</v>
      </c>
      <c r="F143" s="20"/>
      <c r="G143" s="20">
        <f>IF('E3 Dashboard'!$D$37="100-yr",D143,E143)</f>
        <v>3985</v>
      </c>
    </row>
    <row r="144" spans="1:7" ht="26.4" x14ac:dyDescent="0.25">
      <c r="A144" s="19" t="s">
        <v>355</v>
      </c>
      <c r="B144" s="42" t="s">
        <v>356</v>
      </c>
      <c r="C144" s="41"/>
      <c r="D144" s="21">
        <v>13214</v>
      </c>
      <c r="E144" s="22">
        <v>9944.2999999999993</v>
      </c>
      <c r="F144" s="20"/>
      <c r="G144" s="20">
        <f>IF('E3 Dashboard'!$D$37="100-yr",D144,E144)</f>
        <v>13214</v>
      </c>
    </row>
    <row r="145" spans="1:15" ht="26.4" x14ac:dyDescent="0.25">
      <c r="A145" s="19" t="s">
        <v>357</v>
      </c>
      <c r="B145" s="42" t="s">
        <v>358</v>
      </c>
      <c r="C145" s="41"/>
      <c r="D145" s="21">
        <v>13396</v>
      </c>
      <c r="E145" s="22">
        <v>10180.200000000001</v>
      </c>
      <c r="F145" s="20"/>
      <c r="G145" s="20">
        <f>IF('E3 Dashboard'!$D$37="100-yr",D145,E145)</f>
        <v>13396</v>
      </c>
    </row>
    <row r="146" spans="1:15" ht="42.6" customHeight="1" x14ac:dyDescent="0.25">
      <c r="A146" s="19" t="s">
        <v>359</v>
      </c>
      <c r="B146" s="42" t="s">
        <v>360</v>
      </c>
      <c r="C146" s="41"/>
      <c r="D146" s="43">
        <v>629.76</v>
      </c>
      <c r="E146" s="44">
        <v>1685.76</v>
      </c>
      <c r="F146" s="20"/>
      <c r="G146" s="20">
        <f>IF('E3 Dashboard'!$D$37="100-yr",D146,E146)</f>
        <v>629.76</v>
      </c>
    </row>
    <row r="147" spans="1:15" ht="42.6" customHeight="1" x14ac:dyDescent="0.25">
      <c r="A147" s="19" t="s">
        <v>361</v>
      </c>
      <c r="B147" s="42" t="s">
        <v>362</v>
      </c>
      <c r="C147" s="41"/>
      <c r="D147" s="43">
        <v>2</v>
      </c>
      <c r="E147" s="44">
        <v>2</v>
      </c>
      <c r="F147" s="20"/>
      <c r="G147" s="20">
        <f>IF('E3 Dashboard'!$D$37="100-yr",D147,E147)</f>
        <v>2</v>
      </c>
    </row>
    <row r="148" spans="1:15" ht="36" customHeight="1" x14ac:dyDescent="0.25">
      <c r="A148" s="19" t="s">
        <v>363</v>
      </c>
      <c r="B148" s="42" t="s">
        <v>364</v>
      </c>
      <c r="C148" s="41"/>
      <c r="D148" s="43">
        <v>387.28</v>
      </c>
      <c r="E148" s="44">
        <v>638.07999999999993</v>
      </c>
      <c r="F148" s="20"/>
      <c r="G148" s="20">
        <f>IF('E3 Dashboard'!$D$37="100-yr",D148,E148)</f>
        <v>387.28</v>
      </c>
    </row>
    <row r="149" spans="1:15" ht="42.6" customHeight="1" x14ac:dyDescent="0.25">
      <c r="A149" s="19" t="s">
        <v>365</v>
      </c>
      <c r="B149" s="42" t="s">
        <v>366</v>
      </c>
      <c r="C149" s="41"/>
      <c r="D149" s="21">
        <v>139.685</v>
      </c>
      <c r="E149" s="22">
        <v>387.505</v>
      </c>
      <c r="F149" s="20"/>
      <c r="G149" s="20">
        <f>IF('E3 Dashboard'!$D$37="100-yr",D149,E149)</f>
        <v>139.685</v>
      </c>
    </row>
    <row r="150" spans="1:15" ht="42" x14ac:dyDescent="0.25">
      <c r="A150" s="19" t="s">
        <v>367</v>
      </c>
      <c r="B150" s="42" t="s">
        <v>368</v>
      </c>
      <c r="C150" s="41"/>
      <c r="D150" s="43">
        <v>1372.96</v>
      </c>
      <c r="E150" s="44">
        <v>3676.9599999999996</v>
      </c>
      <c r="F150" s="20"/>
      <c r="G150" s="20">
        <f>IF('E3 Dashboard'!$D$37="100-yr",D150,E150)</f>
        <v>1372.96</v>
      </c>
    </row>
    <row r="151" spans="1:15" ht="23.1" customHeight="1" x14ac:dyDescent="0.25">
      <c r="A151" s="19" t="s">
        <v>369</v>
      </c>
      <c r="B151" s="50" t="s">
        <v>370</v>
      </c>
      <c r="C151" s="41"/>
      <c r="D151" s="43">
        <v>1650</v>
      </c>
      <c r="E151" s="44"/>
      <c r="F151" s="20"/>
      <c r="G151" s="20">
        <f>IF('E3 Dashboard'!$D$37="100-yr",D151,E151)</f>
        <v>1650</v>
      </c>
    </row>
    <row r="152" spans="1:15" ht="23.1" customHeight="1" x14ac:dyDescent="0.25">
      <c r="A152" s="19" t="s">
        <v>371</v>
      </c>
      <c r="B152" s="50" t="s">
        <v>372</v>
      </c>
      <c r="C152" s="41"/>
      <c r="D152" s="43">
        <v>954</v>
      </c>
      <c r="E152" s="44"/>
      <c r="F152" s="20"/>
      <c r="G152" s="20">
        <f>IF('E3 Dashboard'!$D$37="100-yr",D152,E152)</f>
        <v>954</v>
      </c>
    </row>
    <row r="153" spans="1:15" ht="27" customHeight="1" x14ac:dyDescent="0.25">
      <c r="A153" s="19" t="s">
        <v>373</v>
      </c>
      <c r="B153" s="40" t="s">
        <v>374</v>
      </c>
      <c r="C153" s="41"/>
      <c r="D153" s="43">
        <v>148</v>
      </c>
      <c r="E153" s="44"/>
      <c r="F153" s="20"/>
      <c r="G153" s="20">
        <f>IF('E3 Dashboard'!$D$37="100-yr",D153,E153)</f>
        <v>148</v>
      </c>
    </row>
    <row r="154" spans="1:15" ht="31.5" customHeight="1" x14ac:dyDescent="0.25">
      <c r="A154" s="19" t="s">
        <v>375</v>
      </c>
      <c r="B154" s="50" t="s">
        <v>376</v>
      </c>
      <c r="C154" s="41">
        <v>0.02</v>
      </c>
      <c r="D154" s="43">
        <v>5.0000000000000001E-3</v>
      </c>
      <c r="E154" s="44">
        <v>5.0000000000000001E-3</v>
      </c>
      <c r="F154" s="20"/>
      <c r="G154" s="20">
        <f>IF('E3 Dashboard'!$D$37="100-yr",D154,E154)</f>
        <v>5.0000000000000001E-3</v>
      </c>
    </row>
    <row r="155" spans="1:15" customFormat="1" ht="31.5" customHeight="1" x14ac:dyDescent="0.3">
      <c r="A155" s="19" t="s">
        <v>443</v>
      </c>
      <c r="B155" s="50" t="str" cm="1">
        <f t="array" ref="B155:G155">B23:G23</f>
        <v>Carbon Dioxide (CO2)</v>
      </c>
      <c r="C155" s="41" t="str">
        <v>50-200</v>
      </c>
      <c r="D155" s="43">
        <v>1</v>
      </c>
      <c r="E155" s="44">
        <v>1</v>
      </c>
      <c r="F155" s="20">
        <v>0</v>
      </c>
      <c r="G155" s="20">
        <v>1</v>
      </c>
      <c r="I155" s="23"/>
      <c r="J155" s="23"/>
      <c r="K155" s="23"/>
      <c r="L155" s="23"/>
      <c r="M155" s="23"/>
      <c r="N155" s="23"/>
      <c r="O155" s="23"/>
    </row>
    <row r="156" spans="1:15" customFormat="1" ht="31.5" customHeight="1" x14ac:dyDescent="0.3">
      <c r="A156" s="158" t="s">
        <v>439</v>
      </c>
      <c r="D156" s="159">
        <v>0</v>
      </c>
      <c r="E156">
        <v>0</v>
      </c>
      <c r="F156" t="s">
        <v>492</v>
      </c>
      <c r="G156">
        <v>0</v>
      </c>
      <c r="I156" s="23"/>
      <c r="J156" s="23"/>
      <c r="K156" s="23"/>
      <c r="L156" s="23"/>
      <c r="M156" s="23"/>
      <c r="N156" s="23"/>
      <c r="O156" s="23"/>
    </row>
    <row r="157" spans="1:15" customFormat="1" ht="31.5" customHeight="1" x14ac:dyDescent="0.3"/>
    <row r="158" spans="1:15" customFormat="1" ht="31.5" customHeight="1" x14ac:dyDescent="0.3"/>
    <row r="159" spans="1:15" x14ac:dyDescent="0.25">
      <c r="A159" s="23" t="s">
        <v>377</v>
      </c>
      <c r="C159" s="49"/>
      <c r="D159" s="49"/>
      <c r="E159" s="49"/>
    </row>
    <row r="160" spans="1:15" x14ac:dyDescent="0.25">
      <c r="A160" s="23" t="s">
        <v>378</v>
      </c>
      <c r="C160" s="51"/>
      <c r="D160" s="51"/>
      <c r="E160" s="51"/>
    </row>
    <row r="161" spans="1:6" x14ac:dyDescent="0.25">
      <c r="A161" s="23" t="s">
        <v>379</v>
      </c>
      <c r="C161" s="51"/>
      <c r="D161" s="51"/>
      <c r="E161" s="51"/>
    </row>
    <row r="162" spans="1:6" x14ac:dyDescent="0.25">
      <c r="A162" s="23" t="s">
        <v>380</v>
      </c>
      <c r="C162" s="51"/>
      <c r="D162" s="51"/>
      <c r="E162" s="51"/>
    </row>
    <row r="163" spans="1:6" x14ac:dyDescent="0.25">
      <c r="B163" s="23" t="s">
        <v>717</v>
      </c>
      <c r="C163" s="51"/>
      <c r="D163" s="51"/>
      <c r="E163" s="51"/>
    </row>
    <row r="164" spans="1:6" x14ac:dyDescent="0.25">
      <c r="C164" s="51"/>
      <c r="D164" s="51"/>
      <c r="E164" s="51"/>
    </row>
    <row r="165" spans="1:6" ht="14.4" x14ac:dyDescent="0.3">
      <c r="A165" t="s">
        <v>704</v>
      </c>
      <c r="C165" s="51"/>
      <c r="D165" s="51"/>
      <c r="E165" s="51"/>
    </row>
    <row r="166" spans="1:6" ht="14.4" x14ac:dyDescent="0.3">
      <c r="A166" s="183" t="s">
        <v>707</v>
      </c>
      <c r="B166" s="241" t="s">
        <v>695</v>
      </c>
      <c r="C166" s="250"/>
      <c r="D166" s="250"/>
      <c r="E166" s="250"/>
      <c r="F166" s="31"/>
    </row>
    <row r="167" spans="1:6" ht="14.4" x14ac:dyDescent="0.3">
      <c r="A167" s="185"/>
      <c r="B167" s="251" t="s">
        <v>700</v>
      </c>
      <c r="C167" s="252"/>
      <c r="D167" s="252"/>
      <c r="E167" s="252"/>
      <c r="F167" s="253"/>
    </row>
    <row r="168" spans="1:6" ht="14.4" x14ac:dyDescent="0.3">
      <c r="A168" s="247" t="s">
        <v>705</v>
      </c>
      <c r="B168" s="247" t="s">
        <v>714</v>
      </c>
      <c r="C168" s="254"/>
      <c r="D168" s="254"/>
      <c r="E168" s="254"/>
      <c r="F168" s="29"/>
    </row>
    <row r="169" spans="1:6" ht="14.4" x14ac:dyDescent="0.3">
      <c r="A169"/>
      <c r="B169"/>
      <c r="C169" s="51"/>
      <c r="D169" s="51"/>
      <c r="E169" s="51"/>
    </row>
    <row r="170" spans="1:6" x14ac:dyDescent="0.25">
      <c r="C170" s="51"/>
      <c r="D170" s="51"/>
      <c r="E170" s="51"/>
    </row>
    <row r="171" spans="1:6" x14ac:dyDescent="0.25">
      <c r="C171" s="51"/>
      <c r="D171" s="51"/>
      <c r="E171" s="51"/>
    </row>
    <row r="172" spans="1:6" x14ac:dyDescent="0.25">
      <c r="C172" s="51"/>
      <c r="D172" s="51"/>
      <c r="E172" s="51"/>
    </row>
    <row r="173" spans="1:6" x14ac:dyDescent="0.25">
      <c r="C173" s="51"/>
      <c r="D173" s="51"/>
      <c r="E173" s="51"/>
    </row>
    <row r="174" spans="1:6" x14ac:dyDescent="0.25">
      <c r="C174" s="51"/>
      <c r="D174" s="51"/>
      <c r="E174" s="51"/>
    </row>
    <row r="175" spans="1:6" x14ac:dyDescent="0.25">
      <c r="C175" s="51"/>
      <c r="D175" s="51"/>
      <c r="E175" s="51"/>
    </row>
    <row r="176" spans="1:6" x14ac:dyDescent="0.25">
      <c r="C176" s="51"/>
      <c r="D176" s="51"/>
      <c r="E176" s="51"/>
    </row>
    <row r="177" spans="1:5" x14ac:dyDescent="0.25">
      <c r="C177" s="51"/>
      <c r="D177" s="51"/>
      <c r="E177" s="51"/>
    </row>
    <row r="178" spans="1:5" x14ac:dyDescent="0.25">
      <c r="C178" s="51"/>
      <c r="D178" s="51"/>
      <c r="E178" s="51"/>
    </row>
    <row r="179" spans="1:5" x14ac:dyDescent="0.25">
      <c r="C179" s="51"/>
      <c r="D179" s="51"/>
      <c r="E179" s="51"/>
    </row>
    <row r="180" spans="1:5" x14ac:dyDescent="0.25">
      <c r="D180" s="51"/>
      <c r="E180" s="51"/>
    </row>
    <row r="181" spans="1:5" x14ac:dyDescent="0.25">
      <c r="D181" s="51"/>
      <c r="E181" s="51"/>
    </row>
    <row r="182" spans="1:5" x14ac:dyDescent="0.25">
      <c r="D182" s="51"/>
      <c r="E182" s="51"/>
    </row>
    <row r="183" spans="1:5" x14ac:dyDescent="0.25">
      <c r="D183" s="51"/>
      <c r="E183" s="51"/>
    </row>
    <row r="184" spans="1:5" x14ac:dyDescent="0.25">
      <c r="D184" s="51"/>
      <c r="E184" s="51"/>
    </row>
    <row r="188" spans="1:5" x14ac:dyDescent="0.25">
      <c r="A188" s="52"/>
    </row>
  </sheetData>
  <sheetProtection algorithmName="SHA-512" hashValue="p1R7nGN5tIxHM2hzDSFo+9jSA0ES6azBa3d2hgn4D3wi0TiQT12aeddk2S/bWrLqvD28tltyc+bmIJrWurN1CA==" saltValue="OZF7ljLrnRAbYeUDlE7BCA==" spinCount="100000" sheet="1" objects="1" scenarios="1"/>
  <mergeCells count="1">
    <mergeCell ref="F2:F22"/>
  </mergeCells>
  <hyperlinks>
    <hyperlink ref="B166" r:id="rId1" xr:uid="{3B39FA8A-8461-4F3E-AB7C-74FC6455C1B2}"/>
  </hyperlinks>
  <pageMargins left="0.75" right="0.75" top="0.75" bottom="0.75" header="0.5" footer="0.5"/>
  <pageSetup scale="24" fitToHeight="2" orientation="portrait" r:id="rId2"/>
  <headerFooter alignWithMargins="0"/>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64C6F-3BD3-4673-969A-D5D93E9314A8}">
  <sheetPr>
    <tabColor theme="3" tint="-0.249977111117893"/>
  </sheetPr>
  <dimension ref="A1:I109"/>
  <sheetViews>
    <sheetView zoomScale="80" zoomScaleNormal="80" workbookViewId="0">
      <selection activeCell="C7" sqref="C7"/>
    </sheetView>
  </sheetViews>
  <sheetFormatPr defaultRowHeight="14.4" x14ac:dyDescent="0.3"/>
  <cols>
    <col min="1" max="1" width="11" bestFit="1" customWidth="1"/>
    <col min="2" max="9" width="23.44140625" customWidth="1"/>
  </cols>
  <sheetData>
    <row r="1" spans="1:9" ht="43.2" x14ac:dyDescent="0.3">
      <c r="A1" s="263" t="s">
        <v>802</v>
      </c>
      <c r="B1" s="263" t="s">
        <v>744</v>
      </c>
      <c r="C1" s="263" t="s">
        <v>745</v>
      </c>
      <c r="D1" s="263" t="s">
        <v>746</v>
      </c>
      <c r="E1" s="263" t="s">
        <v>747</v>
      </c>
      <c r="F1" s="263" t="s">
        <v>748</v>
      </c>
      <c r="G1" s="263" t="s">
        <v>749</v>
      </c>
      <c r="H1" s="263" t="s">
        <v>803</v>
      </c>
      <c r="I1" s="263" t="s">
        <v>804</v>
      </c>
    </row>
    <row r="2" spans="1:9" x14ac:dyDescent="0.3">
      <c r="A2" s="9" t="str" cm="1">
        <f t="array" ref="A2:A101">Table2[MeasureID]</f>
        <v>SWHC045A</v>
      </c>
      <c r="B2" s="264" cm="1">
        <f t="array" ref="B2:B101">Table2[RefrigerantNPVBenefitsPreBaseline]</f>
        <v>0</v>
      </c>
      <c r="C2" s="264" cm="1">
        <f t="array" ref="C2:C101">Table2[RefrigerantNPVBenefitsStdBaseline]</f>
        <v>0</v>
      </c>
      <c r="D2" s="264" cm="1">
        <f t="array" ref="D2:D101">Table2[RefrigerantNPVBenefitsMea]</f>
        <v>0</v>
      </c>
      <c r="E2" s="264" cm="1">
        <f t="array" aca="1" ref="E2:E101" ca="1">Table2[RefrigerantNPVCostsPreBaseline]</f>
        <v>0</v>
      </c>
      <c r="F2" s="264" cm="1">
        <f t="array" aca="1" ref="F2:F101" ca="1">Table2[RefrigerantNPVCostsStdBaseline]</f>
        <v>139.94104504400406</v>
      </c>
      <c r="G2" s="264" cm="1">
        <f t="array" aca="1" ref="G2:G101" ca="1">Table2[RefrigerantNPVCostsMea]</f>
        <v>157.17586803522866</v>
      </c>
      <c r="H2" s="264" cm="1">
        <f t="array" aca="1" ref="H2:H101" ca="1">Table2[UnitRefrigCosts]</f>
        <v>17.234822991224604</v>
      </c>
      <c r="I2" s="264" cm="1">
        <f t="array" aca="1" ref="I2:I101" ca="1">Table2[UnitRefrigBens]</f>
        <v>0</v>
      </c>
    </row>
    <row r="3" spans="1:9" x14ac:dyDescent="0.3">
      <c r="A3" s="9" t="str">
        <v>SWHC045B</v>
      </c>
      <c r="B3" s="264">
        <v>0</v>
      </c>
      <c r="C3" s="264">
        <v>0</v>
      </c>
      <c r="D3" s="264">
        <v>0</v>
      </c>
      <c r="E3" s="264">
        <f ca="1"/>
        <v>0</v>
      </c>
      <c r="F3" s="264">
        <f ca="1"/>
        <v>139.94104504400406</v>
      </c>
      <c r="G3" s="264">
        <f ca="1"/>
        <v>157.17586803522866</v>
      </c>
      <c r="H3" s="264">
        <f ca="1"/>
        <v>17.234822991224604</v>
      </c>
      <c r="I3" s="264">
        <f ca="1"/>
        <v>0</v>
      </c>
    </row>
    <row r="4" spans="1:9" x14ac:dyDescent="0.3">
      <c r="A4" s="9" t="str">
        <v>SWHC045C</v>
      </c>
      <c r="B4" s="264">
        <v>0</v>
      </c>
      <c r="C4" s="264">
        <v>0</v>
      </c>
      <c r="D4" s="264">
        <v>0</v>
      </c>
      <c r="E4" s="264">
        <f ca="1"/>
        <v>0</v>
      </c>
      <c r="F4" s="264">
        <f ca="1"/>
        <v>139.94104504400406</v>
      </c>
      <c r="G4" s="264">
        <f ca="1"/>
        <v>157.17586803522866</v>
      </c>
      <c r="H4" s="264">
        <f ca="1"/>
        <v>17.234822991224604</v>
      </c>
      <c r="I4" s="264">
        <f ca="1"/>
        <v>0</v>
      </c>
    </row>
    <row r="5" spans="1:9" x14ac:dyDescent="0.3">
      <c r="A5" s="9" t="str">
        <v>SWHC045D</v>
      </c>
      <c r="B5" s="264">
        <v>0</v>
      </c>
      <c r="C5" s="264">
        <v>0</v>
      </c>
      <c r="D5" s="264">
        <v>0</v>
      </c>
      <c r="E5" s="264">
        <f ca="1"/>
        <v>0</v>
      </c>
      <c r="F5" s="264">
        <f ca="1"/>
        <v>139.94104504400406</v>
      </c>
      <c r="G5" s="264">
        <f ca="1"/>
        <v>157.17586803522866</v>
      </c>
      <c r="H5" s="264">
        <f ca="1"/>
        <v>17.234822991224604</v>
      </c>
      <c r="I5" s="264">
        <f ca="1"/>
        <v>0</v>
      </c>
    </row>
    <row r="6" spans="1:9" x14ac:dyDescent="0.3">
      <c r="A6" s="9" t="str">
        <v>SWHC045E</v>
      </c>
      <c r="B6" s="264">
        <v>0</v>
      </c>
      <c r="C6" s="264">
        <v>0</v>
      </c>
      <c r="D6" s="264">
        <v>0</v>
      </c>
      <c r="E6" s="264">
        <f ca="1"/>
        <v>139.94104504400406</v>
      </c>
      <c r="F6" s="264">
        <f ca="1"/>
        <v>0</v>
      </c>
      <c r="G6" s="264">
        <f ca="1"/>
        <v>157.17586803522866</v>
      </c>
      <c r="H6" s="264">
        <f ca="1"/>
        <v>17.234822991224604</v>
      </c>
      <c r="I6" s="264">
        <f ca="1"/>
        <v>0</v>
      </c>
    </row>
    <row r="7" spans="1:9" x14ac:dyDescent="0.3">
      <c r="A7" s="9" t="str">
        <v>SWHC045F</v>
      </c>
      <c r="B7" s="264">
        <v>0</v>
      </c>
      <c r="C7" s="264">
        <v>0</v>
      </c>
      <c r="D7" s="264">
        <v>0</v>
      </c>
      <c r="E7" s="264">
        <f ca="1"/>
        <v>139.94104504400406</v>
      </c>
      <c r="F7" s="264">
        <f ca="1"/>
        <v>0</v>
      </c>
      <c r="G7" s="264">
        <f ca="1"/>
        <v>157.17586803522866</v>
      </c>
      <c r="H7" s="264">
        <f ca="1"/>
        <v>17.234822991224604</v>
      </c>
      <c r="I7" s="264">
        <f ca="1"/>
        <v>0</v>
      </c>
    </row>
    <row r="8" spans="1:9" x14ac:dyDescent="0.3">
      <c r="A8" s="9" t="str">
        <v>SWHC045G</v>
      </c>
      <c r="B8" s="264">
        <v>0</v>
      </c>
      <c r="C8" s="264">
        <v>0</v>
      </c>
      <c r="D8" s="264">
        <v>0</v>
      </c>
      <c r="E8" s="264">
        <f ca="1"/>
        <v>139.94104504400406</v>
      </c>
      <c r="F8" s="264">
        <f ca="1"/>
        <v>0</v>
      </c>
      <c r="G8" s="264">
        <f ca="1"/>
        <v>157.17586803522866</v>
      </c>
      <c r="H8" s="264">
        <f ca="1"/>
        <v>17.234822991224604</v>
      </c>
      <c r="I8" s="264">
        <f ca="1"/>
        <v>0</v>
      </c>
    </row>
    <row r="9" spans="1:9" x14ac:dyDescent="0.3">
      <c r="A9" s="9" t="str">
        <v>SWHC045H</v>
      </c>
      <c r="B9" s="264">
        <v>0</v>
      </c>
      <c r="C9" s="264">
        <v>0</v>
      </c>
      <c r="D9" s="264">
        <v>0</v>
      </c>
      <c r="E9" s="264">
        <f ca="1"/>
        <v>139.94104504400406</v>
      </c>
      <c r="F9" s="264">
        <f ca="1"/>
        <v>0</v>
      </c>
      <c r="G9" s="264">
        <f ca="1"/>
        <v>157.17586803522866</v>
      </c>
      <c r="H9" s="264">
        <f ca="1"/>
        <v>17.234822991224604</v>
      </c>
      <c r="I9" s="264">
        <f ca="1"/>
        <v>0</v>
      </c>
    </row>
    <row r="10" spans="1:9" x14ac:dyDescent="0.3">
      <c r="A10" s="9">
        <v>0</v>
      </c>
      <c r="B10" s="264">
        <v>0</v>
      </c>
      <c r="C10" s="264">
        <v>0</v>
      </c>
      <c r="D10" s="264">
        <v>0</v>
      </c>
      <c r="E10" s="264">
        <f ca="1"/>
        <v>0</v>
      </c>
      <c r="F10" s="264" t="e">
        <f ca="1"/>
        <v>#N/A</v>
      </c>
      <c r="G10" s="264" t="e">
        <f ca="1"/>
        <v>#N/A</v>
      </c>
      <c r="H10" s="264" t="e">
        <f ca="1"/>
        <v>#N/A</v>
      </c>
      <c r="I10" s="264" t="e">
        <f ca="1"/>
        <v>#N/A</v>
      </c>
    </row>
    <row r="11" spans="1:9" x14ac:dyDescent="0.3">
      <c r="A11" s="9">
        <v>0</v>
      </c>
      <c r="B11" s="264">
        <v>0</v>
      </c>
      <c r="C11" s="264">
        <v>0</v>
      </c>
      <c r="D11" s="264">
        <v>0</v>
      </c>
      <c r="E11" s="264">
        <f ca="1"/>
        <v>0</v>
      </c>
      <c r="F11" s="264" t="e">
        <f ca="1"/>
        <v>#N/A</v>
      </c>
      <c r="G11" s="264" t="e">
        <f ca="1"/>
        <v>#N/A</v>
      </c>
      <c r="H11" s="264" t="e">
        <f ca="1"/>
        <v>#N/A</v>
      </c>
      <c r="I11" s="264" t="e">
        <f ca="1"/>
        <v>#N/A</v>
      </c>
    </row>
    <row r="12" spans="1:9" x14ac:dyDescent="0.3">
      <c r="A12" s="9">
        <v>0</v>
      </c>
      <c r="B12" s="264">
        <v>0</v>
      </c>
      <c r="C12" s="264">
        <v>0</v>
      </c>
      <c r="D12" s="264">
        <v>0</v>
      </c>
      <c r="E12" s="264">
        <f ca="1"/>
        <v>0</v>
      </c>
      <c r="F12" s="264" t="e">
        <f ca="1"/>
        <v>#N/A</v>
      </c>
      <c r="G12" s="264" t="e">
        <f ca="1"/>
        <v>#N/A</v>
      </c>
      <c r="H12" s="264" t="e">
        <f ca="1"/>
        <v>#N/A</v>
      </c>
      <c r="I12" s="264" t="e">
        <f ca="1"/>
        <v>#N/A</v>
      </c>
    </row>
    <row r="13" spans="1:9" x14ac:dyDescent="0.3">
      <c r="A13" s="9">
        <v>0</v>
      </c>
      <c r="B13" s="264">
        <v>0</v>
      </c>
      <c r="C13" s="264">
        <v>0</v>
      </c>
      <c r="D13" s="264">
        <v>0</v>
      </c>
      <c r="E13" s="264">
        <f ca="1"/>
        <v>0</v>
      </c>
      <c r="F13" s="264" t="e">
        <f ca="1"/>
        <v>#N/A</v>
      </c>
      <c r="G13" s="264" t="e">
        <f ca="1"/>
        <v>#N/A</v>
      </c>
      <c r="H13" s="264" t="e">
        <f ca="1"/>
        <v>#N/A</v>
      </c>
      <c r="I13" s="264" t="e">
        <f ca="1"/>
        <v>#N/A</v>
      </c>
    </row>
    <row r="14" spans="1:9" x14ac:dyDescent="0.3">
      <c r="A14" s="9">
        <v>0</v>
      </c>
      <c r="B14" s="264">
        <v>0</v>
      </c>
      <c r="C14" s="264">
        <v>0</v>
      </c>
      <c r="D14" s="264">
        <v>0</v>
      </c>
      <c r="E14" s="264">
        <f ca="1"/>
        <v>0</v>
      </c>
      <c r="F14" s="264" t="e">
        <f ca="1"/>
        <v>#N/A</v>
      </c>
      <c r="G14" s="264" t="e">
        <f ca="1"/>
        <v>#N/A</v>
      </c>
      <c r="H14" s="264" t="e">
        <f ca="1"/>
        <v>#N/A</v>
      </c>
      <c r="I14" s="264" t="e">
        <f ca="1"/>
        <v>#N/A</v>
      </c>
    </row>
    <row r="15" spans="1:9" x14ac:dyDescent="0.3">
      <c r="A15" s="9">
        <v>0</v>
      </c>
      <c r="B15" s="264">
        <v>0</v>
      </c>
      <c r="C15" s="264">
        <v>0</v>
      </c>
      <c r="D15" s="264">
        <v>0</v>
      </c>
      <c r="E15" s="264">
        <f ca="1"/>
        <v>0</v>
      </c>
      <c r="F15" s="264" t="e">
        <f ca="1"/>
        <v>#N/A</v>
      </c>
      <c r="G15" s="264" t="e">
        <f ca="1"/>
        <v>#N/A</v>
      </c>
      <c r="H15" s="264" t="e">
        <f ca="1"/>
        <v>#N/A</v>
      </c>
      <c r="I15" s="264" t="e">
        <f ca="1"/>
        <v>#N/A</v>
      </c>
    </row>
    <row r="16" spans="1:9" x14ac:dyDescent="0.3">
      <c r="A16" s="9">
        <v>0</v>
      </c>
      <c r="B16" s="264">
        <v>0</v>
      </c>
      <c r="C16" s="264">
        <v>0</v>
      </c>
      <c r="D16" s="264">
        <v>0</v>
      </c>
      <c r="E16" s="264">
        <f ca="1"/>
        <v>0</v>
      </c>
      <c r="F16" s="264" t="e">
        <f ca="1"/>
        <v>#N/A</v>
      </c>
      <c r="G16" s="264" t="e">
        <f ca="1"/>
        <v>#N/A</v>
      </c>
      <c r="H16" s="264" t="e">
        <f ca="1"/>
        <v>#N/A</v>
      </c>
      <c r="I16" s="264" t="e">
        <f ca="1"/>
        <v>#N/A</v>
      </c>
    </row>
    <row r="17" spans="1:9" x14ac:dyDescent="0.3">
      <c r="A17" s="9">
        <v>0</v>
      </c>
      <c r="B17" s="264">
        <v>0</v>
      </c>
      <c r="C17" s="264">
        <v>0</v>
      </c>
      <c r="D17" s="264">
        <v>0</v>
      </c>
      <c r="E17" s="264">
        <f ca="1"/>
        <v>0</v>
      </c>
      <c r="F17" s="264" t="e">
        <f ca="1"/>
        <v>#N/A</v>
      </c>
      <c r="G17" s="264" t="e">
        <f ca="1"/>
        <v>#N/A</v>
      </c>
      <c r="H17" s="264" t="e">
        <f ca="1"/>
        <v>#N/A</v>
      </c>
      <c r="I17" s="264" t="e">
        <f ca="1"/>
        <v>#N/A</v>
      </c>
    </row>
    <row r="18" spans="1:9" x14ac:dyDescent="0.3">
      <c r="A18" s="9">
        <v>0</v>
      </c>
      <c r="B18" s="264">
        <v>0</v>
      </c>
      <c r="C18" s="264">
        <v>0</v>
      </c>
      <c r="D18" s="264">
        <v>0</v>
      </c>
      <c r="E18" s="264">
        <f ca="1"/>
        <v>0</v>
      </c>
      <c r="F18" s="264" t="e">
        <f ca="1"/>
        <v>#N/A</v>
      </c>
      <c r="G18" s="264" t="e">
        <f ca="1"/>
        <v>#N/A</v>
      </c>
      <c r="H18" s="264" t="e">
        <f ca="1"/>
        <v>#N/A</v>
      </c>
      <c r="I18" s="264" t="e">
        <f ca="1"/>
        <v>#N/A</v>
      </c>
    </row>
    <row r="19" spans="1:9" x14ac:dyDescent="0.3">
      <c r="A19" s="9">
        <v>0</v>
      </c>
      <c r="B19" s="264">
        <v>0</v>
      </c>
      <c r="C19" s="264">
        <v>0</v>
      </c>
      <c r="D19" s="264">
        <v>0</v>
      </c>
      <c r="E19" s="264">
        <f ca="1"/>
        <v>0</v>
      </c>
      <c r="F19" s="264" t="e">
        <f ca="1"/>
        <v>#N/A</v>
      </c>
      <c r="G19" s="264" t="e">
        <f ca="1"/>
        <v>#N/A</v>
      </c>
      <c r="H19" s="264" t="e">
        <f ca="1"/>
        <v>#N/A</v>
      </c>
      <c r="I19" s="264" t="e">
        <f ca="1"/>
        <v>#N/A</v>
      </c>
    </row>
    <row r="20" spans="1:9" x14ac:dyDescent="0.3">
      <c r="A20" s="9">
        <v>0</v>
      </c>
      <c r="B20" s="264">
        <v>0</v>
      </c>
      <c r="C20" s="264">
        <v>0</v>
      </c>
      <c r="D20" s="264">
        <v>0</v>
      </c>
      <c r="E20" s="264">
        <f ca="1"/>
        <v>0</v>
      </c>
      <c r="F20" s="264" t="e">
        <f ca="1"/>
        <v>#N/A</v>
      </c>
      <c r="G20" s="264" t="e">
        <f ca="1"/>
        <v>#N/A</v>
      </c>
      <c r="H20" s="264" t="e">
        <f ca="1"/>
        <v>#N/A</v>
      </c>
      <c r="I20" s="264" t="e">
        <f ca="1"/>
        <v>#N/A</v>
      </c>
    </row>
    <row r="21" spans="1:9" x14ac:dyDescent="0.3">
      <c r="A21" s="9">
        <v>0</v>
      </c>
      <c r="B21" s="264">
        <v>0</v>
      </c>
      <c r="C21" s="264">
        <v>0</v>
      </c>
      <c r="D21" s="264">
        <v>0</v>
      </c>
      <c r="E21" s="264">
        <f ca="1"/>
        <v>0</v>
      </c>
      <c r="F21" s="264" t="e">
        <f ca="1"/>
        <v>#N/A</v>
      </c>
      <c r="G21" s="264" t="e">
        <f ca="1"/>
        <v>#N/A</v>
      </c>
      <c r="H21" s="264" t="e">
        <f ca="1"/>
        <v>#N/A</v>
      </c>
      <c r="I21" s="264" t="e">
        <f ca="1"/>
        <v>#N/A</v>
      </c>
    </row>
    <row r="22" spans="1:9" x14ac:dyDescent="0.3">
      <c r="A22" s="9">
        <v>0</v>
      </c>
      <c r="B22" s="264">
        <v>0</v>
      </c>
      <c r="C22" s="264">
        <v>0</v>
      </c>
      <c r="D22" s="264">
        <v>0</v>
      </c>
      <c r="E22" s="264">
        <f ca="1"/>
        <v>0</v>
      </c>
      <c r="F22" s="264" t="e">
        <f ca="1"/>
        <v>#N/A</v>
      </c>
      <c r="G22" s="264" t="e">
        <f ca="1"/>
        <v>#N/A</v>
      </c>
      <c r="H22" s="264" t="e">
        <f ca="1"/>
        <v>#N/A</v>
      </c>
      <c r="I22" s="264" t="e">
        <f ca="1"/>
        <v>#N/A</v>
      </c>
    </row>
    <row r="23" spans="1:9" x14ac:dyDescent="0.3">
      <c r="A23" s="9">
        <v>0</v>
      </c>
      <c r="B23" s="264">
        <v>0</v>
      </c>
      <c r="C23" s="264">
        <v>0</v>
      </c>
      <c r="D23" s="264">
        <v>0</v>
      </c>
      <c r="E23" s="264">
        <f ca="1"/>
        <v>0</v>
      </c>
      <c r="F23" s="264" t="e">
        <f ca="1"/>
        <v>#N/A</v>
      </c>
      <c r="G23" s="264" t="e">
        <f ca="1"/>
        <v>#N/A</v>
      </c>
      <c r="H23" s="264" t="e">
        <f ca="1"/>
        <v>#N/A</v>
      </c>
      <c r="I23" s="264" t="e">
        <f ca="1"/>
        <v>#N/A</v>
      </c>
    </row>
    <row r="24" spans="1:9" x14ac:dyDescent="0.3">
      <c r="A24" s="9">
        <v>0</v>
      </c>
      <c r="B24" s="264">
        <v>0</v>
      </c>
      <c r="C24" s="264">
        <v>0</v>
      </c>
      <c r="D24" s="264">
        <v>0</v>
      </c>
      <c r="E24" s="264">
        <f ca="1"/>
        <v>0</v>
      </c>
      <c r="F24" s="264" t="e">
        <f ca="1"/>
        <v>#N/A</v>
      </c>
      <c r="G24" s="264" t="e">
        <f ca="1"/>
        <v>#N/A</v>
      </c>
      <c r="H24" s="264" t="e">
        <f ca="1"/>
        <v>#N/A</v>
      </c>
      <c r="I24" s="264" t="e">
        <f ca="1"/>
        <v>#N/A</v>
      </c>
    </row>
    <row r="25" spans="1:9" x14ac:dyDescent="0.3">
      <c r="A25" s="9">
        <v>0</v>
      </c>
      <c r="B25" s="264">
        <v>0</v>
      </c>
      <c r="C25" s="264">
        <v>0</v>
      </c>
      <c r="D25" s="264">
        <v>0</v>
      </c>
      <c r="E25" s="264">
        <f ca="1"/>
        <v>0</v>
      </c>
      <c r="F25" s="264" t="e">
        <f ca="1"/>
        <v>#N/A</v>
      </c>
      <c r="G25" s="264" t="e">
        <f ca="1"/>
        <v>#N/A</v>
      </c>
      <c r="H25" s="264" t="e">
        <f ca="1"/>
        <v>#N/A</v>
      </c>
      <c r="I25" s="264" t="e">
        <f ca="1"/>
        <v>#N/A</v>
      </c>
    </row>
    <row r="26" spans="1:9" x14ac:dyDescent="0.3">
      <c r="A26" s="9">
        <v>0</v>
      </c>
      <c r="B26" s="264">
        <v>0</v>
      </c>
      <c r="C26" s="264">
        <v>0</v>
      </c>
      <c r="D26" s="264">
        <v>0</v>
      </c>
      <c r="E26" s="264">
        <f ca="1"/>
        <v>0</v>
      </c>
      <c r="F26" s="264" t="e">
        <f ca="1"/>
        <v>#N/A</v>
      </c>
      <c r="G26" s="264" t="e">
        <f ca="1"/>
        <v>#N/A</v>
      </c>
      <c r="H26" s="264" t="e">
        <f ca="1"/>
        <v>#N/A</v>
      </c>
      <c r="I26" s="264" t="e">
        <f ca="1"/>
        <v>#N/A</v>
      </c>
    </row>
    <row r="27" spans="1:9" x14ac:dyDescent="0.3">
      <c r="A27" s="9">
        <v>0</v>
      </c>
      <c r="B27" s="264">
        <v>0</v>
      </c>
      <c r="C27" s="264">
        <v>0</v>
      </c>
      <c r="D27" s="264">
        <v>0</v>
      </c>
      <c r="E27" s="264">
        <f ca="1"/>
        <v>0</v>
      </c>
      <c r="F27" s="264" t="e">
        <f ca="1"/>
        <v>#N/A</v>
      </c>
      <c r="G27" s="264" t="e">
        <f ca="1"/>
        <v>#N/A</v>
      </c>
      <c r="H27" s="264" t="e">
        <f ca="1"/>
        <v>#N/A</v>
      </c>
      <c r="I27" s="264" t="e">
        <f ca="1"/>
        <v>#N/A</v>
      </c>
    </row>
    <row r="28" spans="1:9" x14ac:dyDescent="0.3">
      <c r="A28" s="9">
        <v>0</v>
      </c>
      <c r="B28" s="264">
        <v>0</v>
      </c>
      <c r="C28" s="264">
        <v>0</v>
      </c>
      <c r="D28" s="264">
        <v>0</v>
      </c>
      <c r="E28" s="264">
        <f ca="1"/>
        <v>0</v>
      </c>
      <c r="F28" s="264" t="e">
        <f ca="1"/>
        <v>#N/A</v>
      </c>
      <c r="G28" s="264" t="e">
        <f ca="1"/>
        <v>#N/A</v>
      </c>
      <c r="H28" s="264" t="e">
        <f ca="1"/>
        <v>#N/A</v>
      </c>
      <c r="I28" s="264" t="e">
        <f ca="1"/>
        <v>#N/A</v>
      </c>
    </row>
    <row r="29" spans="1:9" x14ac:dyDescent="0.3">
      <c r="A29" s="9">
        <v>0</v>
      </c>
      <c r="B29" s="264">
        <v>0</v>
      </c>
      <c r="C29" s="264">
        <v>0</v>
      </c>
      <c r="D29" s="264">
        <v>0</v>
      </c>
      <c r="E29" s="264">
        <f ca="1"/>
        <v>0</v>
      </c>
      <c r="F29" s="264" t="e">
        <f ca="1"/>
        <v>#N/A</v>
      </c>
      <c r="G29" s="264" t="e">
        <f ca="1"/>
        <v>#N/A</v>
      </c>
      <c r="H29" s="264" t="e">
        <f ca="1"/>
        <v>#N/A</v>
      </c>
      <c r="I29" s="264" t="e">
        <f ca="1"/>
        <v>#N/A</v>
      </c>
    </row>
    <row r="30" spans="1:9" x14ac:dyDescent="0.3">
      <c r="A30" s="9">
        <v>0</v>
      </c>
      <c r="B30" s="264">
        <v>0</v>
      </c>
      <c r="C30" s="264">
        <v>0</v>
      </c>
      <c r="D30" s="264">
        <v>0</v>
      </c>
      <c r="E30" s="264">
        <f ca="1"/>
        <v>0</v>
      </c>
      <c r="F30" s="264" t="e">
        <f ca="1"/>
        <v>#N/A</v>
      </c>
      <c r="G30" s="264" t="e">
        <f ca="1"/>
        <v>#N/A</v>
      </c>
      <c r="H30" s="264" t="e">
        <f ca="1"/>
        <v>#N/A</v>
      </c>
      <c r="I30" s="264" t="e">
        <f ca="1"/>
        <v>#N/A</v>
      </c>
    </row>
    <row r="31" spans="1:9" x14ac:dyDescent="0.3">
      <c r="A31" s="9">
        <v>0</v>
      </c>
      <c r="B31" s="264">
        <v>0</v>
      </c>
      <c r="C31" s="264">
        <v>0</v>
      </c>
      <c r="D31" s="264">
        <v>0</v>
      </c>
      <c r="E31" s="264">
        <f ca="1"/>
        <v>0</v>
      </c>
      <c r="F31" s="264" t="e">
        <f ca="1"/>
        <v>#N/A</v>
      </c>
      <c r="G31" s="264" t="e">
        <f ca="1"/>
        <v>#N/A</v>
      </c>
      <c r="H31" s="264" t="e">
        <f ca="1"/>
        <v>#N/A</v>
      </c>
      <c r="I31" s="264" t="e">
        <f ca="1"/>
        <v>#N/A</v>
      </c>
    </row>
    <row r="32" spans="1:9" x14ac:dyDescent="0.3">
      <c r="A32" s="9">
        <v>0</v>
      </c>
      <c r="B32" s="264">
        <v>0</v>
      </c>
      <c r="C32" s="264">
        <v>0</v>
      </c>
      <c r="D32" s="264">
        <v>0</v>
      </c>
      <c r="E32" s="264">
        <f ca="1"/>
        <v>0</v>
      </c>
      <c r="F32" s="264" t="e">
        <f ca="1"/>
        <v>#N/A</v>
      </c>
      <c r="G32" s="264" t="e">
        <f ca="1"/>
        <v>#N/A</v>
      </c>
      <c r="H32" s="264" t="e">
        <f ca="1"/>
        <v>#N/A</v>
      </c>
      <c r="I32" s="264" t="e">
        <f ca="1"/>
        <v>#N/A</v>
      </c>
    </row>
    <row r="33" spans="1:9" x14ac:dyDescent="0.3">
      <c r="A33" s="9">
        <v>0</v>
      </c>
      <c r="B33" s="264">
        <v>0</v>
      </c>
      <c r="C33" s="264">
        <v>0</v>
      </c>
      <c r="D33" s="264">
        <v>0</v>
      </c>
      <c r="E33" s="264">
        <f ca="1"/>
        <v>0</v>
      </c>
      <c r="F33" s="264" t="e">
        <f ca="1"/>
        <v>#N/A</v>
      </c>
      <c r="G33" s="264" t="e">
        <f ca="1"/>
        <v>#N/A</v>
      </c>
      <c r="H33" s="264" t="e">
        <f ca="1"/>
        <v>#N/A</v>
      </c>
      <c r="I33" s="264" t="e">
        <f ca="1"/>
        <v>#N/A</v>
      </c>
    </row>
    <row r="34" spans="1:9" x14ac:dyDescent="0.3">
      <c r="A34" s="9">
        <v>0</v>
      </c>
      <c r="B34" s="264">
        <v>0</v>
      </c>
      <c r="C34" s="264">
        <v>0</v>
      </c>
      <c r="D34" s="264">
        <v>0</v>
      </c>
      <c r="E34" s="264">
        <f ca="1"/>
        <v>0</v>
      </c>
      <c r="F34" s="264" t="e">
        <f ca="1"/>
        <v>#N/A</v>
      </c>
      <c r="G34" s="264" t="e">
        <f ca="1"/>
        <v>#N/A</v>
      </c>
      <c r="H34" s="264" t="e">
        <f ca="1"/>
        <v>#N/A</v>
      </c>
      <c r="I34" s="264" t="e">
        <f ca="1"/>
        <v>#N/A</v>
      </c>
    </row>
    <row r="35" spans="1:9" x14ac:dyDescent="0.3">
      <c r="A35" s="9">
        <v>0</v>
      </c>
      <c r="B35" s="264">
        <v>0</v>
      </c>
      <c r="C35" s="264">
        <v>0</v>
      </c>
      <c r="D35" s="264">
        <v>0</v>
      </c>
      <c r="E35" s="264">
        <f ca="1"/>
        <v>0</v>
      </c>
      <c r="F35" s="264" t="e">
        <f ca="1"/>
        <v>#N/A</v>
      </c>
      <c r="G35" s="264" t="e">
        <f ca="1"/>
        <v>#N/A</v>
      </c>
      <c r="H35" s="264" t="e">
        <f ca="1"/>
        <v>#N/A</v>
      </c>
      <c r="I35" s="264" t="e">
        <f ca="1"/>
        <v>#N/A</v>
      </c>
    </row>
    <row r="36" spans="1:9" x14ac:dyDescent="0.3">
      <c r="A36" s="9">
        <v>0</v>
      </c>
      <c r="B36" s="264">
        <v>0</v>
      </c>
      <c r="C36" s="264">
        <v>0</v>
      </c>
      <c r="D36" s="264">
        <v>0</v>
      </c>
      <c r="E36" s="264">
        <f ca="1"/>
        <v>0</v>
      </c>
      <c r="F36" s="264" t="e">
        <f ca="1"/>
        <v>#N/A</v>
      </c>
      <c r="G36" s="264" t="e">
        <f ca="1"/>
        <v>#N/A</v>
      </c>
      <c r="H36" s="264" t="e">
        <f ca="1"/>
        <v>#N/A</v>
      </c>
      <c r="I36" s="264" t="e">
        <f ca="1"/>
        <v>#N/A</v>
      </c>
    </row>
    <row r="37" spans="1:9" x14ac:dyDescent="0.3">
      <c r="A37" s="9">
        <v>0</v>
      </c>
      <c r="B37" s="264">
        <v>0</v>
      </c>
      <c r="C37" s="264">
        <v>0</v>
      </c>
      <c r="D37" s="264">
        <v>0</v>
      </c>
      <c r="E37" s="264">
        <f ca="1"/>
        <v>0</v>
      </c>
      <c r="F37" s="264" t="e">
        <f ca="1"/>
        <v>#N/A</v>
      </c>
      <c r="G37" s="264" t="e">
        <f ca="1"/>
        <v>#N/A</v>
      </c>
      <c r="H37" s="264" t="e">
        <f ca="1"/>
        <v>#N/A</v>
      </c>
      <c r="I37" s="264" t="e">
        <f ca="1"/>
        <v>#N/A</v>
      </c>
    </row>
    <row r="38" spans="1:9" x14ac:dyDescent="0.3">
      <c r="A38" s="9">
        <v>0</v>
      </c>
      <c r="B38" s="264">
        <v>0</v>
      </c>
      <c r="C38" s="264">
        <v>0</v>
      </c>
      <c r="D38" s="264">
        <v>0</v>
      </c>
      <c r="E38" s="264">
        <f ca="1"/>
        <v>0</v>
      </c>
      <c r="F38" s="264" t="e">
        <f ca="1"/>
        <v>#N/A</v>
      </c>
      <c r="G38" s="264" t="e">
        <f ca="1"/>
        <v>#N/A</v>
      </c>
      <c r="H38" s="264" t="e">
        <f ca="1"/>
        <v>#N/A</v>
      </c>
      <c r="I38" s="264" t="e">
        <f ca="1"/>
        <v>#N/A</v>
      </c>
    </row>
    <row r="39" spans="1:9" x14ac:dyDescent="0.3">
      <c r="A39" s="9">
        <v>0</v>
      </c>
      <c r="B39" s="264">
        <v>0</v>
      </c>
      <c r="C39" s="264">
        <v>0</v>
      </c>
      <c r="D39" s="264">
        <v>0</v>
      </c>
      <c r="E39" s="264">
        <f ca="1"/>
        <v>0</v>
      </c>
      <c r="F39" s="264" t="e">
        <f ca="1"/>
        <v>#N/A</v>
      </c>
      <c r="G39" s="264" t="e">
        <f ca="1"/>
        <v>#N/A</v>
      </c>
      <c r="H39" s="264" t="e">
        <f ca="1"/>
        <v>#N/A</v>
      </c>
      <c r="I39" s="264" t="e">
        <f ca="1"/>
        <v>#N/A</v>
      </c>
    </row>
    <row r="40" spans="1:9" x14ac:dyDescent="0.3">
      <c r="A40" s="9">
        <v>0</v>
      </c>
      <c r="B40" s="264">
        <v>0</v>
      </c>
      <c r="C40" s="264">
        <v>0</v>
      </c>
      <c r="D40" s="264">
        <v>0</v>
      </c>
      <c r="E40" s="264">
        <f ca="1"/>
        <v>0</v>
      </c>
      <c r="F40" s="264" t="e">
        <f ca="1"/>
        <v>#N/A</v>
      </c>
      <c r="G40" s="264" t="e">
        <f ca="1"/>
        <v>#N/A</v>
      </c>
      <c r="H40" s="264" t="e">
        <f ca="1"/>
        <v>#N/A</v>
      </c>
      <c r="I40" s="264" t="e">
        <f ca="1"/>
        <v>#N/A</v>
      </c>
    </row>
    <row r="41" spans="1:9" x14ac:dyDescent="0.3">
      <c r="A41" s="9">
        <v>0</v>
      </c>
      <c r="B41" s="264">
        <v>0</v>
      </c>
      <c r="C41" s="264">
        <v>0</v>
      </c>
      <c r="D41" s="264">
        <v>0</v>
      </c>
      <c r="E41" s="264">
        <f ca="1"/>
        <v>0</v>
      </c>
      <c r="F41" s="264" t="e">
        <f ca="1"/>
        <v>#N/A</v>
      </c>
      <c r="G41" s="264" t="e">
        <f ca="1"/>
        <v>#N/A</v>
      </c>
      <c r="H41" s="264" t="e">
        <f ca="1"/>
        <v>#N/A</v>
      </c>
      <c r="I41" s="264" t="e">
        <f ca="1"/>
        <v>#N/A</v>
      </c>
    </row>
    <row r="42" spans="1:9" x14ac:dyDescent="0.3">
      <c r="A42" s="9">
        <v>0</v>
      </c>
      <c r="B42" s="264">
        <v>0</v>
      </c>
      <c r="C42" s="264">
        <v>0</v>
      </c>
      <c r="D42" s="264">
        <v>0</v>
      </c>
      <c r="E42" s="264">
        <f ca="1"/>
        <v>0</v>
      </c>
      <c r="F42" s="264" t="e">
        <f ca="1"/>
        <v>#N/A</v>
      </c>
      <c r="G42" s="264" t="e">
        <f ca="1"/>
        <v>#N/A</v>
      </c>
      <c r="H42" s="264" t="e">
        <f ca="1"/>
        <v>#N/A</v>
      </c>
      <c r="I42" s="264" t="e">
        <f ca="1"/>
        <v>#N/A</v>
      </c>
    </row>
    <row r="43" spans="1:9" x14ac:dyDescent="0.3">
      <c r="A43" s="9">
        <v>0</v>
      </c>
      <c r="B43" s="264">
        <v>0</v>
      </c>
      <c r="C43" s="264">
        <v>0</v>
      </c>
      <c r="D43" s="264">
        <v>0</v>
      </c>
      <c r="E43" s="264">
        <f ca="1"/>
        <v>0</v>
      </c>
      <c r="F43" s="264" t="e">
        <f ca="1"/>
        <v>#N/A</v>
      </c>
      <c r="G43" s="264" t="e">
        <f ca="1"/>
        <v>#N/A</v>
      </c>
      <c r="H43" s="264" t="e">
        <f ca="1"/>
        <v>#N/A</v>
      </c>
      <c r="I43" s="264" t="e">
        <f ca="1"/>
        <v>#N/A</v>
      </c>
    </row>
    <row r="44" spans="1:9" x14ac:dyDescent="0.3">
      <c r="A44" s="9">
        <v>0</v>
      </c>
      <c r="B44" s="264">
        <v>0</v>
      </c>
      <c r="C44" s="264">
        <v>0</v>
      </c>
      <c r="D44" s="264">
        <v>0</v>
      </c>
      <c r="E44" s="264">
        <f ca="1"/>
        <v>0</v>
      </c>
      <c r="F44" s="264" t="e">
        <f ca="1"/>
        <v>#N/A</v>
      </c>
      <c r="G44" s="264" t="e">
        <f ca="1"/>
        <v>#N/A</v>
      </c>
      <c r="H44" s="264" t="e">
        <f ca="1"/>
        <v>#N/A</v>
      </c>
      <c r="I44" s="264" t="e">
        <f ca="1"/>
        <v>#N/A</v>
      </c>
    </row>
    <row r="45" spans="1:9" x14ac:dyDescent="0.3">
      <c r="A45" s="9">
        <v>0</v>
      </c>
      <c r="B45" s="264">
        <v>0</v>
      </c>
      <c r="C45" s="264">
        <v>0</v>
      </c>
      <c r="D45" s="264">
        <v>0</v>
      </c>
      <c r="E45" s="264">
        <f ca="1"/>
        <v>0</v>
      </c>
      <c r="F45" s="264" t="e">
        <f ca="1"/>
        <v>#N/A</v>
      </c>
      <c r="G45" s="264" t="e">
        <f ca="1"/>
        <v>#N/A</v>
      </c>
      <c r="H45" s="264" t="e">
        <f ca="1"/>
        <v>#N/A</v>
      </c>
      <c r="I45" s="264" t="e">
        <f ca="1"/>
        <v>#N/A</v>
      </c>
    </row>
    <row r="46" spans="1:9" x14ac:dyDescent="0.3">
      <c r="A46" s="9">
        <v>0</v>
      </c>
      <c r="B46" s="264">
        <v>0</v>
      </c>
      <c r="C46" s="264">
        <v>0</v>
      </c>
      <c r="D46" s="264">
        <v>0</v>
      </c>
      <c r="E46" s="264">
        <f ca="1"/>
        <v>0</v>
      </c>
      <c r="F46" s="264" t="e">
        <f ca="1"/>
        <v>#N/A</v>
      </c>
      <c r="G46" s="264" t="e">
        <f ca="1"/>
        <v>#N/A</v>
      </c>
      <c r="H46" s="264" t="e">
        <f ca="1"/>
        <v>#N/A</v>
      </c>
      <c r="I46" s="264" t="e">
        <f ca="1"/>
        <v>#N/A</v>
      </c>
    </row>
    <row r="47" spans="1:9" x14ac:dyDescent="0.3">
      <c r="A47" s="9">
        <v>0</v>
      </c>
      <c r="B47" s="264">
        <v>0</v>
      </c>
      <c r="C47" s="264">
        <v>0</v>
      </c>
      <c r="D47" s="264">
        <v>0</v>
      </c>
      <c r="E47" s="264">
        <f ca="1"/>
        <v>0</v>
      </c>
      <c r="F47" s="264" t="e">
        <f ca="1"/>
        <v>#N/A</v>
      </c>
      <c r="G47" s="264" t="e">
        <f ca="1"/>
        <v>#N/A</v>
      </c>
      <c r="H47" s="264" t="e">
        <f ca="1"/>
        <v>#N/A</v>
      </c>
      <c r="I47" s="264" t="e">
        <f ca="1"/>
        <v>#N/A</v>
      </c>
    </row>
    <row r="48" spans="1:9" x14ac:dyDescent="0.3">
      <c r="A48" s="9">
        <v>0</v>
      </c>
      <c r="B48" s="264">
        <v>0</v>
      </c>
      <c r="C48" s="264">
        <v>0</v>
      </c>
      <c r="D48" s="264">
        <v>0</v>
      </c>
      <c r="E48" s="264">
        <f ca="1"/>
        <v>0</v>
      </c>
      <c r="F48" s="264" t="e">
        <f ca="1"/>
        <v>#N/A</v>
      </c>
      <c r="G48" s="264" t="e">
        <f ca="1"/>
        <v>#N/A</v>
      </c>
      <c r="H48" s="264" t="e">
        <f ca="1"/>
        <v>#N/A</v>
      </c>
      <c r="I48" s="264" t="e">
        <f ca="1"/>
        <v>#N/A</v>
      </c>
    </row>
    <row r="49" spans="1:9" x14ac:dyDescent="0.3">
      <c r="A49" s="9">
        <v>0</v>
      </c>
      <c r="B49" s="264">
        <v>0</v>
      </c>
      <c r="C49" s="264">
        <v>0</v>
      </c>
      <c r="D49" s="264">
        <v>0</v>
      </c>
      <c r="E49" s="264">
        <f ca="1"/>
        <v>0</v>
      </c>
      <c r="F49" s="264" t="e">
        <f ca="1"/>
        <v>#N/A</v>
      </c>
      <c r="G49" s="264" t="e">
        <f ca="1"/>
        <v>#N/A</v>
      </c>
      <c r="H49" s="264" t="e">
        <f ca="1"/>
        <v>#N/A</v>
      </c>
      <c r="I49" s="264" t="e">
        <f ca="1"/>
        <v>#N/A</v>
      </c>
    </row>
    <row r="50" spans="1:9" x14ac:dyDescent="0.3">
      <c r="A50" s="9">
        <v>0</v>
      </c>
      <c r="B50" s="264">
        <v>0</v>
      </c>
      <c r="C50" s="264">
        <v>0</v>
      </c>
      <c r="D50" s="264">
        <v>0</v>
      </c>
      <c r="E50" s="264">
        <f ca="1"/>
        <v>0</v>
      </c>
      <c r="F50" s="264" t="e">
        <f ca="1"/>
        <v>#N/A</v>
      </c>
      <c r="G50" s="264" t="e">
        <f ca="1"/>
        <v>#N/A</v>
      </c>
      <c r="H50" s="264" t="e">
        <f ca="1"/>
        <v>#N/A</v>
      </c>
      <c r="I50" s="264" t="e">
        <f ca="1"/>
        <v>#N/A</v>
      </c>
    </row>
    <row r="51" spans="1:9" x14ac:dyDescent="0.3">
      <c r="A51" s="9">
        <v>0</v>
      </c>
      <c r="B51" s="264">
        <v>0</v>
      </c>
      <c r="C51" s="264">
        <v>0</v>
      </c>
      <c r="D51" s="264">
        <v>0</v>
      </c>
      <c r="E51" s="264">
        <f ca="1"/>
        <v>0</v>
      </c>
      <c r="F51" s="264" t="e">
        <f ca="1"/>
        <v>#N/A</v>
      </c>
      <c r="G51" s="264" t="e">
        <f ca="1"/>
        <v>#N/A</v>
      </c>
      <c r="H51" s="264" t="e">
        <f ca="1"/>
        <v>#N/A</v>
      </c>
      <c r="I51" s="264" t="e">
        <f ca="1"/>
        <v>#N/A</v>
      </c>
    </row>
    <row r="52" spans="1:9" x14ac:dyDescent="0.3">
      <c r="A52" s="9">
        <v>0</v>
      </c>
      <c r="B52" s="264">
        <v>0</v>
      </c>
      <c r="C52" s="264">
        <v>0</v>
      </c>
      <c r="D52" s="264">
        <v>0</v>
      </c>
      <c r="E52" s="264">
        <f ca="1"/>
        <v>0</v>
      </c>
      <c r="F52" s="264" t="e">
        <f ca="1"/>
        <v>#N/A</v>
      </c>
      <c r="G52" s="264" t="e">
        <f ca="1"/>
        <v>#N/A</v>
      </c>
      <c r="H52" s="264" t="e">
        <f ca="1"/>
        <v>#N/A</v>
      </c>
      <c r="I52" s="264" t="e">
        <f ca="1"/>
        <v>#N/A</v>
      </c>
    </row>
    <row r="53" spans="1:9" x14ac:dyDescent="0.3">
      <c r="A53" s="9">
        <v>0</v>
      </c>
      <c r="B53" s="264">
        <v>0</v>
      </c>
      <c r="C53" s="264">
        <v>0</v>
      </c>
      <c r="D53" s="264">
        <v>0</v>
      </c>
      <c r="E53" s="264">
        <f ca="1"/>
        <v>0</v>
      </c>
      <c r="F53" s="264" t="e">
        <f ca="1"/>
        <v>#N/A</v>
      </c>
      <c r="G53" s="264" t="e">
        <f ca="1"/>
        <v>#N/A</v>
      </c>
      <c r="H53" s="264" t="e">
        <f ca="1"/>
        <v>#N/A</v>
      </c>
      <c r="I53" s="264" t="e">
        <f ca="1"/>
        <v>#N/A</v>
      </c>
    </row>
    <row r="54" spans="1:9" x14ac:dyDescent="0.3">
      <c r="A54" s="9">
        <v>0</v>
      </c>
      <c r="B54" s="264">
        <v>0</v>
      </c>
      <c r="C54" s="264">
        <v>0</v>
      </c>
      <c r="D54" s="264">
        <v>0</v>
      </c>
      <c r="E54" s="264">
        <f ca="1"/>
        <v>0</v>
      </c>
      <c r="F54" s="264" t="e">
        <f ca="1"/>
        <v>#N/A</v>
      </c>
      <c r="G54" s="264" t="e">
        <f ca="1"/>
        <v>#N/A</v>
      </c>
      <c r="H54" s="264" t="e">
        <f ca="1"/>
        <v>#N/A</v>
      </c>
      <c r="I54" s="264" t="e">
        <f ca="1"/>
        <v>#N/A</v>
      </c>
    </row>
    <row r="55" spans="1:9" x14ac:dyDescent="0.3">
      <c r="A55" s="9">
        <v>0</v>
      </c>
      <c r="B55" s="264">
        <v>0</v>
      </c>
      <c r="C55" s="264">
        <v>0</v>
      </c>
      <c r="D55" s="264">
        <v>0</v>
      </c>
      <c r="E55" s="264">
        <f ca="1"/>
        <v>0</v>
      </c>
      <c r="F55" s="264" t="e">
        <f ca="1"/>
        <v>#N/A</v>
      </c>
      <c r="G55" s="264" t="e">
        <f ca="1"/>
        <v>#N/A</v>
      </c>
      <c r="H55" s="264" t="e">
        <f ca="1"/>
        <v>#N/A</v>
      </c>
      <c r="I55" s="264" t="e">
        <f ca="1"/>
        <v>#N/A</v>
      </c>
    </row>
    <row r="56" spans="1:9" x14ac:dyDescent="0.3">
      <c r="A56" s="9">
        <v>0</v>
      </c>
      <c r="B56" s="264">
        <v>0</v>
      </c>
      <c r="C56" s="264">
        <v>0</v>
      </c>
      <c r="D56" s="264">
        <v>0</v>
      </c>
      <c r="E56" s="264">
        <f ca="1"/>
        <v>0</v>
      </c>
      <c r="F56" s="264" t="e">
        <f ca="1"/>
        <v>#N/A</v>
      </c>
      <c r="G56" s="264" t="e">
        <f ca="1"/>
        <v>#N/A</v>
      </c>
      <c r="H56" s="264" t="e">
        <f ca="1"/>
        <v>#N/A</v>
      </c>
      <c r="I56" s="264" t="e">
        <f ca="1"/>
        <v>#N/A</v>
      </c>
    </row>
    <row r="57" spans="1:9" x14ac:dyDescent="0.3">
      <c r="A57" s="9">
        <v>0</v>
      </c>
      <c r="B57" s="264">
        <v>0</v>
      </c>
      <c r="C57" s="264">
        <v>0</v>
      </c>
      <c r="D57" s="264">
        <v>0</v>
      </c>
      <c r="E57" s="264">
        <f ca="1"/>
        <v>0</v>
      </c>
      <c r="F57" s="264" t="e">
        <f ca="1"/>
        <v>#N/A</v>
      </c>
      <c r="G57" s="264" t="e">
        <f ca="1"/>
        <v>#N/A</v>
      </c>
      <c r="H57" s="264" t="e">
        <f ca="1"/>
        <v>#N/A</v>
      </c>
      <c r="I57" s="264" t="e">
        <f ca="1"/>
        <v>#N/A</v>
      </c>
    </row>
    <row r="58" spans="1:9" x14ac:dyDescent="0.3">
      <c r="A58" s="9">
        <v>0</v>
      </c>
      <c r="B58" s="264">
        <v>0</v>
      </c>
      <c r="C58" s="264">
        <v>0</v>
      </c>
      <c r="D58" s="264">
        <v>0</v>
      </c>
      <c r="E58" s="264">
        <f ca="1"/>
        <v>0</v>
      </c>
      <c r="F58" s="264" t="e">
        <f ca="1"/>
        <v>#N/A</v>
      </c>
      <c r="G58" s="264" t="e">
        <f ca="1"/>
        <v>#N/A</v>
      </c>
      <c r="H58" s="264" t="e">
        <f ca="1"/>
        <v>#N/A</v>
      </c>
      <c r="I58" s="264" t="e">
        <f ca="1"/>
        <v>#N/A</v>
      </c>
    </row>
    <row r="59" spans="1:9" x14ac:dyDescent="0.3">
      <c r="A59" s="9">
        <v>0</v>
      </c>
      <c r="B59" s="264">
        <v>0</v>
      </c>
      <c r="C59" s="264">
        <v>0</v>
      </c>
      <c r="D59" s="264">
        <v>0</v>
      </c>
      <c r="E59" s="264">
        <f ca="1"/>
        <v>0</v>
      </c>
      <c r="F59" s="264" t="e">
        <f ca="1"/>
        <v>#N/A</v>
      </c>
      <c r="G59" s="264" t="e">
        <f ca="1"/>
        <v>#N/A</v>
      </c>
      <c r="H59" s="264" t="e">
        <f ca="1"/>
        <v>#N/A</v>
      </c>
      <c r="I59" s="264" t="e">
        <f ca="1"/>
        <v>#N/A</v>
      </c>
    </row>
    <row r="60" spans="1:9" x14ac:dyDescent="0.3">
      <c r="A60" s="9">
        <v>0</v>
      </c>
      <c r="B60" s="264">
        <v>0</v>
      </c>
      <c r="C60" s="264">
        <v>0</v>
      </c>
      <c r="D60" s="264">
        <v>0</v>
      </c>
      <c r="E60" s="264">
        <f ca="1"/>
        <v>0</v>
      </c>
      <c r="F60" s="264" t="e">
        <f ca="1"/>
        <v>#N/A</v>
      </c>
      <c r="G60" s="264" t="e">
        <f ca="1"/>
        <v>#N/A</v>
      </c>
      <c r="H60" s="264" t="e">
        <f ca="1"/>
        <v>#N/A</v>
      </c>
      <c r="I60" s="264" t="e">
        <f ca="1"/>
        <v>#N/A</v>
      </c>
    </row>
    <row r="61" spans="1:9" x14ac:dyDescent="0.3">
      <c r="A61" s="9">
        <v>0</v>
      </c>
      <c r="B61" s="264">
        <v>0</v>
      </c>
      <c r="C61" s="264">
        <v>0</v>
      </c>
      <c r="D61" s="264">
        <v>0</v>
      </c>
      <c r="E61" s="264">
        <f ca="1"/>
        <v>0</v>
      </c>
      <c r="F61" s="264" t="e">
        <f ca="1"/>
        <v>#N/A</v>
      </c>
      <c r="G61" s="264" t="e">
        <f ca="1"/>
        <v>#N/A</v>
      </c>
      <c r="H61" s="264" t="e">
        <f ca="1"/>
        <v>#N/A</v>
      </c>
      <c r="I61" s="264" t="e">
        <f ca="1"/>
        <v>#N/A</v>
      </c>
    </row>
    <row r="62" spans="1:9" x14ac:dyDescent="0.3">
      <c r="A62" s="9">
        <v>0</v>
      </c>
      <c r="B62" s="264">
        <v>0</v>
      </c>
      <c r="C62" s="264">
        <v>0</v>
      </c>
      <c r="D62" s="264">
        <v>0</v>
      </c>
      <c r="E62" s="264">
        <f ca="1"/>
        <v>0</v>
      </c>
      <c r="F62" s="264" t="e">
        <f ca="1"/>
        <v>#N/A</v>
      </c>
      <c r="G62" s="264" t="e">
        <f ca="1"/>
        <v>#N/A</v>
      </c>
      <c r="H62" s="264" t="e">
        <f ca="1"/>
        <v>#N/A</v>
      </c>
      <c r="I62" s="264" t="e">
        <f ca="1"/>
        <v>#N/A</v>
      </c>
    </row>
    <row r="63" spans="1:9" x14ac:dyDescent="0.3">
      <c r="A63" s="9">
        <v>0</v>
      </c>
      <c r="B63" s="264">
        <v>0</v>
      </c>
      <c r="C63" s="264">
        <v>0</v>
      </c>
      <c r="D63" s="264">
        <v>0</v>
      </c>
      <c r="E63" s="264">
        <f ca="1"/>
        <v>0</v>
      </c>
      <c r="F63" s="264" t="e">
        <f ca="1"/>
        <v>#N/A</v>
      </c>
      <c r="G63" s="264" t="e">
        <f ca="1"/>
        <v>#N/A</v>
      </c>
      <c r="H63" s="264" t="e">
        <f ca="1"/>
        <v>#N/A</v>
      </c>
      <c r="I63" s="264" t="e">
        <f ca="1"/>
        <v>#N/A</v>
      </c>
    </row>
    <row r="64" spans="1:9" x14ac:dyDescent="0.3">
      <c r="A64" s="9">
        <v>0</v>
      </c>
      <c r="B64" s="264">
        <v>0</v>
      </c>
      <c r="C64" s="264">
        <v>0</v>
      </c>
      <c r="D64" s="264">
        <v>0</v>
      </c>
      <c r="E64" s="264">
        <f ca="1"/>
        <v>0</v>
      </c>
      <c r="F64" s="264" t="e">
        <f ca="1"/>
        <v>#N/A</v>
      </c>
      <c r="G64" s="264" t="e">
        <f ca="1"/>
        <v>#N/A</v>
      </c>
      <c r="H64" s="264" t="e">
        <f ca="1"/>
        <v>#N/A</v>
      </c>
      <c r="I64" s="264" t="e">
        <f ca="1"/>
        <v>#N/A</v>
      </c>
    </row>
    <row r="65" spans="1:9" x14ac:dyDescent="0.3">
      <c r="A65" s="9">
        <v>0</v>
      </c>
      <c r="B65" s="264">
        <v>0</v>
      </c>
      <c r="C65" s="264">
        <v>0</v>
      </c>
      <c r="D65" s="264">
        <v>0</v>
      </c>
      <c r="E65" s="264">
        <f ca="1"/>
        <v>0</v>
      </c>
      <c r="F65" s="264" t="e">
        <f ca="1"/>
        <v>#N/A</v>
      </c>
      <c r="G65" s="264" t="e">
        <f ca="1"/>
        <v>#N/A</v>
      </c>
      <c r="H65" s="264" t="e">
        <f ca="1"/>
        <v>#N/A</v>
      </c>
      <c r="I65" s="264" t="e">
        <f ca="1"/>
        <v>#N/A</v>
      </c>
    </row>
    <row r="66" spans="1:9" x14ac:dyDescent="0.3">
      <c r="A66" s="9">
        <v>0</v>
      </c>
      <c r="B66" s="264">
        <v>0</v>
      </c>
      <c r="C66" s="264">
        <v>0</v>
      </c>
      <c r="D66" s="264">
        <v>0</v>
      </c>
      <c r="E66" s="264">
        <f ca="1"/>
        <v>0</v>
      </c>
      <c r="F66" s="264" t="e">
        <f ca="1"/>
        <v>#N/A</v>
      </c>
      <c r="G66" s="264" t="e">
        <f ca="1"/>
        <v>#N/A</v>
      </c>
      <c r="H66" s="264" t="e">
        <f ca="1"/>
        <v>#N/A</v>
      </c>
      <c r="I66" s="264" t="e">
        <f ca="1"/>
        <v>#N/A</v>
      </c>
    </row>
    <row r="67" spans="1:9" x14ac:dyDescent="0.3">
      <c r="A67" s="9">
        <v>0</v>
      </c>
      <c r="B67" s="264">
        <v>0</v>
      </c>
      <c r="C67" s="264">
        <v>0</v>
      </c>
      <c r="D67" s="264">
        <v>0</v>
      </c>
      <c r="E67" s="264">
        <f ca="1"/>
        <v>0</v>
      </c>
      <c r="F67" s="264" t="e">
        <f ca="1"/>
        <v>#N/A</v>
      </c>
      <c r="G67" s="264" t="e">
        <f ca="1"/>
        <v>#N/A</v>
      </c>
      <c r="H67" s="264" t="e">
        <f ca="1"/>
        <v>#N/A</v>
      </c>
      <c r="I67" s="264" t="e">
        <f ca="1"/>
        <v>#N/A</v>
      </c>
    </row>
    <row r="68" spans="1:9" x14ac:dyDescent="0.3">
      <c r="A68" s="9">
        <v>0</v>
      </c>
      <c r="B68" s="264">
        <v>0</v>
      </c>
      <c r="C68" s="264">
        <v>0</v>
      </c>
      <c r="D68" s="264">
        <v>0</v>
      </c>
      <c r="E68" s="264">
        <f ca="1"/>
        <v>0</v>
      </c>
      <c r="F68" s="264" t="e">
        <f ca="1"/>
        <v>#N/A</v>
      </c>
      <c r="G68" s="264" t="e">
        <f ca="1"/>
        <v>#N/A</v>
      </c>
      <c r="H68" s="264" t="e">
        <f ca="1"/>
        <v>#N/A</v>
      </c>
      <c r="I68" s="264" t="e">
        <f ca="1"/>
        <v>#N/A</v>
      </c>
    </row>
    <row r="69" spans="1:9" x14ac:dyDescent="0.3">
      <c r="A69" s="9">
        <v>0</v>
      </c>
      <c r="B69" s="264">
        <v>0</v>
      </c>
      <c r="C69" s="264">
        <v>0</v>
      </c>
      <c r="D69" s="264">
        <v>0</v>
      </c>
      <c r="E69" s="264">
        <f ca="1"/>
        <v>0</v>
      </c>
      <c r="F69" s="264" t="e">
        <f ca="1"/>
        <v>#N/A</v>
      </c>
      <c r="G69" s="264" t="e">
        <f ca="1"/>
        <v>#N/A</v>
      </c>
      <c r="H69" s="264" t="e">
        <f ca="1"/>
        <v>#N/A</v>
      </c>
      <c r="I69" s="264" t="e">
        <f ca="1"/>
        <v>#N/A</v>
      </c>
    </row>
    <row r="70" spans="1:9" x14ac:dyDescent="0.3">
      <c r="A70" s="9">
        <v>0</v>
      </c>
      <c r="B70" s="264">
        <v>0</v>
      </c>
      <c r="C70" s="264">
        <v>0</v>
      </c>
      <c r="D70" s="264">
        <v>0</v>
      </c>
      <c r="E70" s="264">
        <f ca="1"/>
        <v>0</v>
      </c>
      <c r="F70" s="264" t="e">
        <f ca="1"/>
        <v>#N/A</v>
      </c>
      <c r="G70" s="264" t="e">
        <f ca="1"/>
        <v>#N/A</v>
      </c>
      <c r="H70" s="264" t="e">
        <f ca="1"/>
        <v>#N/A</v>
      </c>
      <c r="I70" s="264" t="e">
        <f ca="1"/>
        <v>#N/A</v>
      </c>
    </row>
    <row r="71" spans="1:9" x14ac:dyDescent="0.3">
      <c r="A71" s="9">
        <v>0</v>
      </c>
      <c r="B71" s="264">
        <v>0</v>
      </c>
      <c r="C71" s="264">
        <v>0</v>
      </c>
      <c r="D71" s="264">
        <v>0</v>
      </c>
      <c r="E71" s="264">
        <f ca="1"/>
        <v>0</v>
      </c>
      <c r="F71" s="264" t="e">
        <f ca="1"/>
        <v>#N/A</v>
      </c>
      <c r="G71" s="264" t="e">
        <f ca="1"/>
        <v>#N/A</v>
      </c>
      <c r="H71" s="264" t="e">
        <f ca="1"/>
        <v>#N/A</v>
      </c>
      <c r="I71" s="264" t="e">
        <f ca="1"/>
        <v>#N/A</v>
      </c>
    </row>
    <row r="72" spans="1:9" x14ac:dyDescent="0.3">
      <c r="A72" s="9">
        <v>0</v>
      </c>
      <c r="B72" s="264">
        <v>0</v>
      </c>
      <c r="C72" s="264">
        <v>0</v>
      </c>
      <c r="D72" s="264">
        <v>0</v>
      </c>
      <c r="E72" s="264">
        <f ca="1"/>
        <v>0</v>
      </c>
      <c r="F72" s="264" t="e">
        <f ca="1"/>
        <v>#N/A</v>
      </c>
      <c r="G72" s="264" t="e">
        <f ca="1"/>
        <v>#N/A</v>
      </c>
      <c r="H72" s="264" t="e">
        <f ca="1"/>
        <v>#N/A</v>
      </c>
      <c r="I72" s="264" t="e">
        <f ca="1"/>
        <v>#N/A</v>
      </c>
    </row>
    <row r="73" spans="1:9" x14ac:dyDescent="0.3">
      <c r="A73" s="9">
        <v>0</v>
      </c>
      <c r="B73" s="264">
        <v>0</v>
      </c>
      <c r="C73" s="264">
        <v>0</v>
      </c>
      <c r="D73" s="264">
        <v>0</v>
      </c>
      <c r="E73" s="264">
        <f ca="1"/>
        <v>0</v>
      </c>
      <c r="F73" s="264" t="e">
        <f ca="1"/>
        <v>#N/A</v>
      </c>
      <c r="G73" s="264" t="e">
        <f ca="1"/>
        <v>#N/A</v>
      </c>
      <c r="H73" s="264" t="e">
        <f ca="1"/>
        <v>#N/A</v>
      </c>
      <c r="I73" s="264" t="e">
        <f ca="1"/>
        <v>#N/A</v>
      </c>
    </row>
    <row r="74" spans="1:9" x14ac:dyDescent="0.3">
      <c r="A74" s="9">
        <v>0</v>
      </c>
      <c r="B74" s="264">
        <v>0</v>
      </c>
      <c r="C74" s="264">
        <v>0</v>
      </c>
      <c r="D74" s="264">
        <v>0</v>
      </c>
      <c r="E74" s="264">
        <f ca="1"/>
        <v>0</v>
      </c>
      <c r="F74" s="264" t="e">
        <f ca="1"/>
        <v>#N/A</v>
      </c>
      <c r="G74" s="264" t="e">
        <f ca="1"/>
        <v>#N/A</v>
      </c>
      <c r="H74" s="264" t="e">
        <f ca="1"/>
        <v>#N/A</v>
      </c>
      <c r="I74" s="264" t="e">
        <f ca="1"/>
        <v>#N/A</v>
      </c>
    </row>
    <row r="75" spans="1:9" x14ac:dyDescent="0.3">
      <c r="A75" s="9">
        <v>0</v>
      </c>
      <c r="B75" s="264">
        <v>0</v>
      </c>
      <c r="C75" s="264">
        <v>0</v>
      </c>
      <c r="D75" s="264">
        <v>0</v>
      </c>
      <c r="E75" s="264">
        <f ca="1"/>
        <v>0</v>
      </c>
      <c r="F75" s="264" t="e">
        <f ca="1"/>
        <v>#N/A</v>
      </c>
      <c r="G75" s="264" t="e">
        <f ca="1"/>
        <v>#N/A</v>
      </c>
      <c r="H75" s="264" t="e">
        <f ca="1"/>
        <v>#N/A</v>
      </c>
      <c r="I75" s="264" t="e">
        <f ca="1"/>
        <v>#N/A</v>
      </c>
    </row>
    <row r="76" spans="1:9" x14ac:dyDescent="0.3">
      <c r="A76" s="9">
        <v>0</v>
      </c>
      <c r="B76" s="264">
        <v>0</v>
      </c>
      <c r="C76" s="264">
        <v>0</v>
      </c>
      <c r="D76" s="264">
        <v>0</v>
      </c>
      <c r="E76" s="264">
        <f ca="1"/>
        <v>0</v>
      </c>
      <c r="F76" s="264" t="e">
        <f ca="1"/>
        <v>#N/A</v>
      </c>
      <c r="G76" s="264" t="e">
        <f ca="1"/>
        <v>#N/A</v>
      </c>
      <c r="H76" s="264" t="e">
        <f ca="1"/>
        <v>#N/A</v>
      </c>
      <c r="I76" s="264" t="e">
        <f ca="1"/>
        <v>#N/A</v>
      </c>
    </row>
    <row r="77" spans="1:9" x14ac:dyDescent="0.3">
      <c r="A77" s="9">
        <v>0</v>
      </c>
      <c r="B77" s="264">
        <v>0</v>
      </c>
      <c r="C77" s="264">
        <v>0</v>
      </c>
      <c r="D77" s="264">
        <v>0</v>
      </c>
      <c r="E77" s="264">
        <f ca="1"/>
        <v>0</v>
      </c>
      <c r="F77" s="264" t="e">
        <f ca="1"/>
        <v>#N/A</v>
      </c>
      <c r="G77" s="264" t="e">
        <f ca="1"/>
        <v>#N/A</v>
      </c>
      <c r="H77" s="264" t="e">
        <f ca="1"/>
        <v>#N/A</v>
      </c>
      <c r="I77" s="264" t="e">
        <f ca="1"/>
        <v>#N/A</v>
      </c>
    </row>
    <row r="78" spans="1:9" x14ac:dyDescent="0.3">
      <c r="A78" s="9">
        <v>0</v>
      </c>
      <c r="B78" s="264">
        <v>0</v>
      </c>
      <c r="C78" s="264">
        <v>0</v>
      </c>
      <c r="D78" s="264">
        <v>0</v>
      </c>
      <c r="E78" s="264">
        <f ca="1"/>
        <v>0</v>
      </c>
      <c r="F78" s="264" t="e">
        <f ca="1"/>
        <v>#N/A</v>
      </c>
      <c r="G78" s="264" t="e">
        <f ca="1"/>
        <v>#N/A</v>
      </c>
      <c r="H78" s="264" t="e">
        <f ca="1"/>
        <v>#N/A</v>
      </c>
      <c r="I78" s="264" t="e">
        <f ca="1"/>
        <v>#N/A</v>
      </c>
    </row>
    <row r="79" spans="1:9" x14ac:dyDescent="0.3">
      <c r="A79" s="9">
        <v>0</v>
      </c>
      <c r="B79" s="264">
        <v>0</v>
      </c>
      <c r="C79" s="264">
        <v>0</v>
      </c>
      <c r="D79" s="264">
        <v>0</v>
      </c>
      <c r="E79" s="264">
        <f ca="1"/>
        <v>0</v>
      </c>
      <c r="F79" s="264" t="e">
        <f ca="1"/>
        <v>#N/A</v>
      </c>
      <c r="G79" s="264" t="e">
        <f ca="1"/>
        <v>#N/A</v>
      </c>
      <c r="H79" s="264" t="e">
        <f ca="1"/>
        <v>#N/A</v>
      </c>
      <c r="I79" s="264" t="e">
        <f ca="1"/>
        <v>#N/A</v>
      </c>
    </row>
    <row r="80" spans="1:9" x14ac:dyDescent="0.3">
      <c r="A80" s="9">
        <v>0</v>
      </c>
      <c r="B80" s="264">
        <v>0</v>
      </c>
      <c r="C80" s="264">
        <v>0</v>
      </c>
      <c r="D80" s="264">
        <v>0</v>
      </c>
      <c r="E80" s="264">
        <f ca="1"/>
        <v>0</v>
      </c>
      <c r="F80" s="264" t="e">
        <f ca="1"/>
        <v>#N/A</v>
      </c>
      <c r="G80" s="264" t="e">
        <f ca="1"/>
        <v>#N/A</v>
      </c>
      <c r="H80" s="264" t="e">
        <f ca="1"/>
        <v>#N/A</v>
      </c>
      <c r="I80" s="264" t="e">
        <f ca="1"/>
        <v>#N/A</v>
      </c>
    </row>
    <row r="81" spans="1:9" x14ac:dyDescent="0.3">
      <c r="A81" s="9">
        <v>0</v>
      </c>
      <c r="B81" s="264">
        <v>0</v>
      </c>
      <c r="C81" s="264">
        <v>0</v>
      </c>
      <c r="D81" s="264">
        <v>0</v>
      </c>
      <c r="E81" s="264">
        <f ca="1"/>
        <v>0</v>
      </c>
      <c r="F81" s="264" t="e">
        <f ca="1"/>
        <v>#N/A</v>
      </c>
      <c r="G81" s="264" t="e">
        <f ca="1"/>
        <v>#N/A</v>
      </c>
      <c r="H81" s="264" t="e">
        <f ca="1"/>
        <v>#N/A</v>
      </c>
      <c r="I81" s="264" t="e">
        <f ca="1"/>
        <v>#N/A</v>
      </c>
    </row>
    <row r="82" spans="1:9" x14ac:dyDescent="0.3">
      <c r="A82" s="9">
        <v>0</v>
      </c>
      <c r="B82" s="264">
        <v>0</v>
      </c>
      <c r="C82" s="264">
        <v>0</v>
      </c>
      <c r="D82" s="264">
        <v>0</v>
      </c>
      <c r="E82" s="264">
        <f ca="1"/>
        <v>0</v>
      </c>
      <c r="F82" s="264" t="e">
        <f ca="1"/>
        <v>#N/A</v>
      </c>
      <c r="G82" s="264" t="e">
        <f ca="1"/>
        <v>#N/A</v>
      </c>
      <c r="H82" s="264" t="e">
        <f ca="1"/>
        <v>#N/A</v>
      </c>
      <c r="I82" s="264" t="e">
        <f ca="1"/>
        <v>#N/A</v>
      </c>
    </row>
    <row r="83" spans="1:9" x14ac:dyDescent="0.3">
      <c r="A83" s="9">
        <v>0</v>
      </c>
      <c r="B83" s="264">
        <v>0</v>
      </c>
      <c r="C83" s="264">
        <v>0</v>
      </c>
      <c r="D83" s="264">
        <v>0</v>
      </c>
      <c r="E83" s="264">
        <f ca="1"/>
        <v>0</v>
      </c>
      <c r="F83" s="264" t="e">
        <f ca="1"/>
        <v>#N/A</v>
      </c>
      <c r="G83" s="264" t="e">
        <f ca="1"/>
        <v>#N/A</v>
      </c>
      <c r="H83" s="264" t="e">
        <f ca="1"/>
        <v>#N/A</v>
      </c>
      <c r="I83" s="264" t="e">
        <f ca="1"/>
        <v>#N/A</v>
      </c>
    </row>
    <row r="84" spans="1:9" x14ac:dyDescent="0.3">
      <c r="A84" s="9">
        <v>0</v>
      </c>
      <c r="B84" s="264">
        <v>0</v>
      </c>
      <c r="C84" s="264">
        <v>0</v>
      </c>
      <c r="D84" s="264">
        <v>0</v>
      </c>
      <c r="E84" s="264">
        <f ca="1"/>
        <v>0</v>
      </c>
      <c r="F84" s="264" t="e">
        <f ca="1"/>
        <v>#N/A</v>
      </c>
      <c r="G84" s="264" t="e">
        <f ca="1"/>
        <v>#N/A</v>
      </c>
      <c r="H84" s="264" t="e">
        <f ca="1"/>
        <v>#N/A</v>
      </c>
      <c r="I84" s="264" t="e">
        <f ca="1"/>
        <v>#N/A</v>
      </c>
    </row>
    <row r="85" spans="1:9" x14ac:dyDescent="0.3">
      <c r="A85" s="9">
        <v>0</v>
      </c>
      <c r="B85" s="264">
        <v>0</v>
      </c>
      <c r="C85" s="264">
        <v>0</v>
      </c>
      <c r="D85" s="264">
        <v>0</v>
      </c>
      <c r="E85" s="264">
        <f ca="1"/>
        <v>0</v>
      </c>
      <c r="F85" s="264" t="e">
        <f ca="1"/>
        <v>#N/A</v>
      </c>
      <c r="G85" s="264" t="e">
        <f ca="1"/>
        <v>#N/A</v>
      </c>
      <c r="H85" s="264" t="e">
        <f ca="1"/>
        <v>#N/A</v>
      </c>
      <c r="I85" s="264" t="e">
        <f ca="1"/>
        <v>#N/A</v>
      </c>
    </row>
    <row r="86" spans="1:9" x14ac:dyDescent="0.3">
      <c r="A86" s="9">
        <v>0</v>
      </c>
      <c r="B86" s="264">
        <v>0</v>
      </c>
      <c r="C86" s="264">
        <v>0</v>
      </c>
      <c r="D86" s="264">
        <v>0</v>
      </c>
      <c r="E86" s="264">
        <f ca="1"/>
        <v>0</v>
      </c>
      <c r="F86" s="264" t="e">
        <f ca="1"/>
        <v>#N/A</v>
      </c>
      <c r="G86" s="264" t="e">
        <f ca="1"/>
        <v>#N/A</v>
      </c>
      <c r="H86" s="264" t="e">
        <f ca="1"/>
        <v>#N/A</v>
      </c>
      <c r="I86" s="264" t="e">
        <f ca="1"/>
        <v>#N/A</v>
      </c>
    </row>
    <row r="87" spans="1:9" x14ac:dyDescent="0.3">
      <c r="A87" s="9">
        <v>0</v>
      </c>
      <c r="B87" s="264">
        <v>0</v>
      </c>
      <c r="C87" s="264">
        <v>0</v>
      </c>
      <c r="D87" s="264">
        <v>0</v>
      </c>
      <c r="E87" s="264">
        <f ca="1"/>
        <v>0</v>
      </c>
      <c r="F87" s="264" t="e">
        <f ca="1"/>
        <v>#N/A</v>
      </c>
      <c r="G87" s="264" t="e">
        <f ca="1"/>
        <v>#N/A</v>
      </c>
      <c r="H87" s="264" t="e">
        <f ca="1"/>
        <v>#N/A</v>
      </c>
      <c r="I87" s="264" t="e">
        <f ca="1"/>
        <v>#N/A</v>
      </c>
    </row>
    <row r="88" spans="1:9" x14ac:dyDescent="0.3">
      <c r="A88" s="9">
        <v>0</v>
      </c>
      <c r="B88" s="264">
        <v>0</v>
      </c>
      <c r="C88" s="264">
        <v>0</v>
      </c>
      <c r="D88" s="264">
        <v>0</v>
      </c>
      <c r="E88" s="264">
        <f ca="1"/>
        <v>0</v>
      </c>
      <c r="F88" s="264" t="e">
        <f ca="1"/>
        <v>#N/A</v>
      </c>
      <c r="G88" s="264" t="e">
        <f ca="1"/>
        <v>#N/A</v>
      </c>
      <c r="H88" s="264" t="e">
        <f ca="1"/>
        <v>#N/A</v>
      </c>
      <c r="I88" s="264" t="e">
        <f ca="1"/>
        <v>#N/A</v>
      </c>
    </row>
    <row r="89" spans="1:9" x14ac:dyDescent="0.3">
      <c r="A89" s="9">
        <v>0</v>
      </c>
      <c r="B89" s="264">
        <v>0</v>
      </c>
      <c r="C89" s="264">
        <v>0</v>
      </c>
      <c r="D89" s="264">
        <v>0</v>
      </c>
      <c r="E89" s="264">
        <f ca="1"/>
        <v>0</v>
      </c>
      <c r="F89" s="264" t="e">
        <f ca="1"/>
        <v>#N/A</v>
      </c>
      <c r="G89" s="264" t="e">
        <f ca="1"/>
        <v>#N/A</v>
      </c>
      <c r="H89" s="264" t="e">
        <f ca="1"/>
        <v>#N/A</v>
      </c>
      <c r="I89" s="264" t="e">
        <f ca="1"/>
        <v>#N/A</v>
      </c>
    </row>
    <row r="90" spans="1:9" x14ac:dyDescent="0.3">
      <c r="A90" s="9">
        <v>0</v>
      </c>
      <c r="B90" s="264">
        <v>0</v>
      </c>
      <c r="C90" s="264">
        <v>0</v>
      </c>
      <c r="D90" s="264">
        <v>0</v>
      </c>
      <c r="E90" s="264">
        <f ca="1"/>
        <v>0</v>
      </c>
      <c r="F90" s="264" t="e">
        <f ca="1"/>
        <v>#N/A</v>
      </c>
      <c r="G90" s="264" t="e">
        <f ca="1"/>
        <v>#N/A</v>
      </c>
      <c r="H90" s="264" t="e">
        <f ca="1"/>
        <v>#N/A</v>
      </c>
      <c r="I90" s="264" t="e">
        <f ca="1"/>
        <v>#N/A</v>
      </c>
    </row>
    <row r="91" spans="1:9" x14ac:dyDescent="0.3">
      <c r="A91" s="9">
        <v>0</v>
      </c>
      <c r="B91" s="264">
        <v>0</v>
      </c>
      <c r="C91" s="264">
        <v>0</v>
      </c>
      <c r="D91" s="264">
        <v>0</v>
      </c>
      <c r="E91" s="264">
        <f ca="1"/>
        <v>0</v>
      </c>
      <c r="F91" s="264" t="e">
        <f ca="1"/>
        <v>#N/A</v>
      </c>
      <c r="G91" s="264" t="e">
        <f ca="1"/>
        <v>#N/A</v>
      </c>
      <c r="H91" s="264" t="e">
        <f ca="1"/>
        <v>#N/A</v>
      </c>
      <c r="I91" s="264" t="e">
        <f ca="1"/>
        <v>#N/A</v>
      </c>
    </row>
    <row r="92" spans="1:9" x14ac:dyDescent="0.3">
      <c r="A92" s="9">
        <v>0</v>
      </c>
      <c r="B92" s="264">
        <v>0</v>
      </c>
      <c r="C92" s="264">
        <v>0</v>
      </c>
      <c r="D92" s="264">
        <v>0</v>
      </c>
      <c r="E92" s="264">
        <f ca="1"/>
        <v>0</v>
      </c>
      <c r="F92" s="264" t="e">
        <f ca="1"/>
        <v>#N/A</v>
      </c>
      <c r="G92" s="264" t="e">
        <f ca="1"/>
        <v>#N/A</v>
      </c>
      <c r="H92" s="264" t="e">
        <f ca="1"/>
        <v>#N/A</v>
      </c>
      <c r="I92" s="264" t="e">
        <f ca="1"/>
        <v>#N/A</v>
      </c>
    </row>
    <row r="93" spans="1:9" x14ac:dyDescent="0.3">
      <c r="A93" s="9">
        <v>0</v>
      </c>
      <c r="B93" s="264">
        <v>0</v>
      </c>
      <c r="C93" s="264">
        <v>0</v>
      </c>
      <c r="D93" s="264">
        <v>0</v>
      </c>
      <c r="E93" s="264">
        <f ca="1"/>
        <v>0</v>
      </c>
      <c r="F93" s="264" t="e">
        <f ca="1"/>
        <v>#N/A</v>
      </c>
      <c r="G93" s="264" t="e">
        <f ca="1"/>
        <v>#N/A</v>
      </c>
      <c r="H93" s="264" t="e">
        <f ca="1"/>
        <v>#N/A</v>
      </c>
      <c r="I93" s="264" t="e">
        <f ca="1"/>
        <v>#N/A</v>
      </c>
    </row>
    <row r="94" spans="1:9" x14ac:dyDescent="0.3">
      <c r="A94" s="9">
        <v>0</v>
      </c>
      <c r="B94" s="264">
        <v>0</v>
      </c>
      <c r="C94" s="264">
        <v>0</v>
      </c>
      <c r="D94" s="264">
        <v>0</v>
      </c>
      <c r="E94" s="264">
        <f ca="1"/>
        <v>0</v>
      </c>
      <c r="F94" s="264" t="e">
        <f ca="1"/>
        <v>#N/A</v>
      </c>
      <c r="G94" s="264" t="e">
        <f ca="1"/>
        <v>#N/A</v>
      </c>
      <c r="H94" s="264" t="e">
        <f ca="1"/>
        <v>#N/A</v>
      </c>
      <c r="I94" s="264" t="e">
        <f ca="1"/>
        <v>#N/A</v>
      </c>
    </row>
    <row r="95" spans="1:9" x14ac:dyDescent="0.3">
      <c r="A95" s="9">
        <v>0</v>
      </c>
      <c r="B95" s="264">
        <v>0</v>
      </c>
      <c r="C95" s="264">
        <v>0</v>
      </c>
      <c r="D95" s="264">
        <v>0</v>
      </c>
      <c r="E95" s="264">
        <f ca="1"/>
        <v>0</v>
      </c>
      <c r="F95" s="264" t="e">
        <f ca="1"/>
        <v>#N/A</v>
      </c>
      <c r="G95" s="264" t="e">
        <f ca="1"/>
        <v>#N/A</v>
      </c>
      <c r="H95" s="264" t="e">
        <f ca="1"/>
        <v>#N/A</v>
      </c>
      <c r="I95" s="264" t="e">
        <f ca="1"/>
        <v>#N/A</v>
      </c>
    </row>
    <row r="96" spans="1:9" x14ac:dyDescent="0.3">
      <c r="A96" s="9">
        <v>0</v>
      </c>
      <c r="B96" s="264">
        <v>0</v>
      </c>
      <c r="C96" s="264">
        <v>0</v>
      </c>
      <c r="D96" s="264">
        <v>0</v>
      </c>
      <c r="E96" s="264">
        <f ca="1"/>
        <v>0</v>
      </c>
      <c r="F96" s="264" t="e">
        <f ca="1"/>
        <v>#N/A</v>
      </c>
      <c r="G96" s="264" t="e">
        <f ca="1"/>
        <v>#N/A</v>
      </c>
      <c r="H96" s="264" t="e">
        <f ca="1"/>
        <v>#N/A</v>
      </c>
      <c r="I96" s="264" t="e">
        <f ca="1"/>
        <v>#N/A</v>
      </c>
    </row>
    <row r="97" spans="1:9" x14ac:dyDescent="0.3">
      <c r="A97" s="9">
        <v>0</v>
      </c>
      <c r="B97" s="264">
        <v>0</v>
      </c>
      <c r="C97" s="264">
        <v>0</v>
      </c>
      <c r="D97" s="264">
        <v>0</v>
      </c>
      <c r="E97" s="264">
        <f ca="1"/>
        <v>0</v>
      </c>
      <c r="F97" s="264" t="e">
        <f ca="1"/>
        <v>#N/A</v>
      </c>
      <c r="G97" s="264" t="e">
        <f ca="1"/>
        <v>#N/A</v>
      </c>
      <c r="H97" s="264" t="e">
        <f ca="1"/>
        <v>#N/A</v>
      </c>
      <c r="I97" s="264" t="e">
        <f ca="1"/>
        <v>#N/A</v>
      </c>
    </row>
    <row r="98" spans="1:9" x14ac:dyDescent="0.3">
      <c r="A98" s="9">
        <v>0</v>
      </c>
      <c r="B98" s="264">
        <v>0</v>
      </c>
      <c r="C98" s="264">
        <v>0</v>
      </c>
      <c r="D98" s="264">
        <v>0</v>
      </c>
      <c r="E98" s="264">
        <f ca="1"/>
        <v>0</v>
      </c>
      <c r="F98" s="264" t="e">
        <f ca="1"/>
        <v>#N/A</v>
      </c>
      <c r="G98" s="264" t="e">
        <f ca="1"/>
        <v>#N/A</v>
      </c>
      <c r="H98" s="264" t="e">
        <f ca="1"/>
        <v>#N/A</v>
      </c>
      <c r="I98" s="264" t="e">
        <f ca="1"/>
        <v>#N/A</v>
      </c>
    </row>
    <row r="99" spans="1:9" x14ac:dyDescent="0.3">
      <c r="A99" s="9">
        <v>0</v>
      </c>
      <c r="B99" s="264">
        <v>0</v>
      </c>
      <c r="C99" s="264">
        <v>0</v>
      </c>
      <c r="D99" s="264">
        <v>0</v>
      </c>
      <c r="E99" s="264">
        <f ca="1"/>
        <v>0</v>
      </c>
      <c r="F99" s="264" t="e">
        <f ca="1"/>
        <v>#N/A</v>
      </c>
      <c r="G99" s="264" t="e">
        <f ca="1"/>
        <v>#N/A</v>
      </c>
      <c r="H99" s="264" t="e">
        <f ca="1"/>
        <v>#N/A</v>
      </c>
      <c r="I99" s="264" t="e">
        <f ca="1"/>
        <v>#N/A</v>
      </c>
    </row>
    <row r="100" spans="1:9" x14ac:dyDescent="0.3">
      <c r="A100" s="9">
        <v>0</v>
      </c>
      <c r="B100" s="264">
        <v>0</v>
      </c>
      <c r="C100" s="264">
        <v>0</v>
      </c>
      <c r="D100" s="264">
        <v>0</v>
      </c>
      <c r="E100" s="264">
        <f ca="1"/>
        <v>0</v>
      </c>
      <c r="F100" s="264" t="e">
        <f ca="1"/>
        <v>#N/A</v>
      </c>
      <c r="G100" s="264" t="e">
        <f ca="1"/>
        <v>#N/A</v>
      </c>
      <c r="H100" s="264" t="e">
        <f ca="1"/>
        <v>#N/A</v>
      </c>
      <c r="I100" s="264" t="e">
        <f ca="1"/>
        <v>#N/A</v>
      </c>
    </row>
    <row r="101" spans="1:9" x14ac:dyDescent="0.3">
      <c r="A101" s="9">
        <v>0</v>
      </c>
      <c r="B101" s="264">
        <v>0</v>
      </c>
      <c r="C101" s="264">
        <v>0</v>
      </c>
      <c r="D101" s="264">
        <v>0</v>
      </c>
      <c r="E101" s="264">
        <f ca="1"/>
        <v>0</v>
      </c>
      <c r="F101" s="264" t="e">
        <f ca="1"/>
        <v>#N/A</v>
      </c>
      <c r="G101" s="264" t="e">
        <f ca="1"/>
        <v>#N/A</v>
      </c>
      <c r="H101" s="264" t="e">
        <f ca="1"/>
        <v>#N/A</v>
      </c>
      <c r="I101" s="264" t="e">
        <f ca="1"/>
        <v>#N/A</v>
      </c>
    </row>
    <row r="102" spans="1:9" x14ac:dyDescent="0.3">
      <c r="A102" s="9"/>
      <c r="B102" s="264"/>
      <c r="C102" s="264"/>
      <c r="D102" s="264"/>
      <c r="E102" s="264"/>
      <c r="F102" s="264"/>
      <c r="G102" s="264"/>
      <c r="H102" s="264"/>
      <c r="I102" s="264"/>
    </row>
    <row r="103" spans="1:9" x14ac:dyDescent="0.3">
      <c r="A103" s="9"/>
      <c r="B103" s="264"/>
      <c r="C103" s="264"/>
      <c r="D103" s="264"/>
      <c r="E103" s="264"/>
      <c r="F103" s="264"/>
      <c r="G103" s="264"/>
      <c r="H103" s="264"/>
      <c r="I103" s="264"/>
    </row>
    <row r="104" spans="1:9" x14ac:dyDescent="0.3">
      <c r="A104" s="9"/>
      <c r="B104" s="264"/>
      <c r="C104" s="264"/>
      <c r="D104" s="264"/>
      <c r="E104" s="264"/>
      <c r="F104" s="264"/>
      <c r="G104" s="264"/>
      <c r="H104" s="264"/>
      <c r="I104" s="264"/>
    </row>
    <row r="105" spans="1:9" x14ac:dyDescent="0.3">
      <c r="A105" s="9"/>
      <c r="B105" s="264"/>
      <c r="C105" s="264"/>
      <c r="D105" s="264"/>
      <c r="E105" s="264"/>
      <c r="F105" s="264"/>
      <c r="G105" s="264"/>
      <c r="H105" s="264"/>
      <c r="I105" s="264"/>
    </row>
    <row r="106" spans="1:9" x14ac:dyDescent="0.3">
      <c r="A106" s="9"/>
      <c r="B106" s="264"/>
      <c r="C106" s="264"/>
      <c r="D106" s="264"/>
      <c r="E106" s="264"/>
      <c r="F106" s="264"/>
      <c r="G106" s="264"/>
      <c r="H106" s="264"/>
      <c r="I106" s="264"/>
    </row>
    <row r="107" spans="1:9" x14ac:dyDescent="0.3">
      <c r="A107" s="9"/>
      <c r="B107" s="264"/>
      <c r="C107" s="264"/>
      <c r="D107" s="264"/>
      <c r="E107" s="264"/>
      <c r="F107" s="264"/>
      <c r="G107" s="264"/>
      <c r="H107" s="264"/>
      <c r="I107" s="264"/>
    </row>
    <row r="108" spans="1:9" x14ac:dyDescent="0.3">
      <c r="A108" s="9"/>
      <c r="B108" s="264"/>
      <c r="C108" s="264"/>
      <c r="D108" s="264"/>
      <c r="E108" s="264"/>
      <c r="F108" s="264"/>
      <c r="G108" s="264"/>
      <c r="H108" s="264"/>
      <c r="I108" s="264"/>
    </row>
    <row r="109" spans="1:9" x14ac:dyDescent="0.3">
      <c r="A109" s="9"/>
      <c r="B109" s="264"/>
      <c r="C109" s="264"/>
      <c r="D109" s="264"/>
      <c r="E109" s="264"/>
      <c r="F109" s="264"/>
      <c r="G109" s="264"/>
      <c r="H109" s="264"/>
      <c r="I109" s="264"/>
    </row>
  </sheetData>
  <sheetProtection algorithmName="SHA-512" hashValue="mkDOMR1E+EnG4VVFfxd88pZ8zVNzCITvL+jdBw14MJHpW5aQngNRqI3GKHmKYLmeiz43YCo4zmwaKQpj+jUEvA==" saltValue="yTguwqxWkTxCQqCZ0O4MHA==" spinCount="100000" sheet="1" objects="1" scenarios="1"/>
  <conditionalFormatting sqref="B1">
    <cfRule type="expression" dxfId="133" priority="10">
      <formula>ISERROR(B1)</formula>
    </cfRule>
  </conditionalFormatting>
  <conditionalFormatting sqref="C1">
    <cfRule type="expression" dxfId="132" priority="7">
      <formula>ISERROR(C1)</formula>
    </cfRule>
  </conditionalFormatting>
  <conditionalFormatting sqref="D1">
    <cfRule type="expression" dxfId="131" priority="6">
      <formula>ISERROR(D1)</formula>
    </cfRule>
  </conditionalFormatting>
  <conditionalFormatting sqref="G1:I1">
    <cfRule type="expression" dxfId="130" priority="3">
      <formula>ISERROR(G1)</formula>
    </cfRule>
  </conditionalFormatting>
  <conditionalFormatting sqref="A1">
    <cfRule type="expression" dxfId="129" priority="2">
      <formula>ISERROR(A1)</formula>
    </cfRule>
  </conditionalFormatting>
  <conditionalFormatting sqref="E1">
    <cfRule type="expression" dxfId="128" priority="5">
      <formula>ISERROR(E1)</formula>
    </cfRule>
  </conditionalFormatting>
  <conditionalFormatting sqref="F1">
    <cfRule type="expression" dxfId="127" priority="4">
      <formula>ISERROR(F1)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78F7A-2D7C-453D-B5CB-532920FC4D12}">
  <sheetPr codeName="Sheet2">
    <tabColor theme="3" tint="-0.249977111117893"/>
  </sheetPr>
  <dimension ref="A1:BD110"/>
  <sheetViews>
    <sheetView tabSelected="1" zoomScale="70" zoomScaleNormal="70" workbookViewId="0">
      <pane xSplit="4" ySplit="9" topLeftCell="E10" activePane="bottomRight" state="frozen"/>
      <selection pane="topRight" activeCell="E1" sqref="E1"/>
      <selection pane="bottomLeft" activeCell="A10" sqref="A10"/>
      <selection pane="bottomRight" activeCell="BI23" sqref="BI23"/>
    </sheetView>
  </sheetViews>
  <sheetFormatPr defaultRowHeight="14.4" outlineLevelCol="1" x14ac:dyDescent="0.3"/>
  <cols>
    <col min="1" max="1" width="23.33203125" customWidth="1"/>
    <col min="2" max="2" width="12.5546875" customWidth="1"/>
    <col min="3" max="3" width="19.6640625" customWidth="1"/>
    <col min="4" max="4" width="14.6640625" bestFit="1" customWidth="1"/>
    <col min="5" max="5" width="12.6640625" bestFit="1" customWidth="1"/>
    <col min="7" max="8" width="42.44140625" bestFit="1" customWidth="1"/>
    <col min="9" max="9" width="34.33203125" bestFit="1" customWidth="1"/>
    <col min="10" max="10" width="11.44140625" hidden="1" customWidth="1" outlineLevel="1"/>
    <col min="11" max="11" width="11.5546875" hidden="1" customWidth="1" outlineLevel="1"/>
    <col min="12" max="12" width="11.33203125" hidden="1" customWidth="1" outlineLevel="1"/>
    <col min="13" max="13" width="11.44140625" hidden="1" customWidth="1" outlineLevel="1"/>
    <col min="14" max="14" width="12.33203125" hidden="1" customWidth="1" outlineLevel="1"/>
    <col min="15" max="15" width="11.33203125" hidden="1" customWidth="1" outlineLevel="1"/>
    <col min="16" max="16" width="10.5546875" hidden="1" customWidth="1" outlineLevel="1"/>
    <col min="17" max="17" width="9.33203125" hidden="1" customWidth="1" outlineLevel="1"/>
    <col min="18" max="18" width="9" hidden="1" customWidth="1" outlineLevel="1"/>
    <col min="19" max="19" width="13" hidden="1" customWidth="1" outlineLevel="1"/>
    <col min="20" max="20" width="11.6640625" hidden="1" customWidth="1" outlineLevel="1"/>
    <col min="21" max="27" width="12" hidden="1" customWidth="1" outlineLevel="1"/>
    <col min="28" max="39" width="11.33203125" hidden="1" customWidth="1" outlineLevel="1"/>
    <col min="40" max="48" width="12.33203125" hidden="1" customWidth="1" outlineLevel="1"/>
    <col min="49" max="49" width="14.6640625" customWidth="1" collapsed="1"/>
    <col min="50" max="50" width="15.33203125" customWidth="1"/>
    <col min="51" max="51" width="14.6640625" customWidth="1"/>
    <col min="52" max="52" width="15.44140625" customWidth="1"/>
    <col min="53" max="54" width="14.5546875" customWidth="1"/>
    <col min="55" max="55" width="15" customWidth="1"/>
    <col min="56" max="56" width="14.5546875" customWidth="1"/>
  </cols>
  <sheetData>
    <row r="1" spans="1:56" x14ac:dyDescent="0.3">
      <c r="A1" s="354" t="s">
        <v>608</v>
      </c>
      <c r="B1" s="355"/>
      <c r="C1" s="58" t="s">
        <v>5</v>
      </c>
      <c r="D1" s="58" t="s">
        <v>0</v>
      </c>
    </row>
    <row r="2" spans="1:56" x14ac:dyDescent="0.3">
      <c r="A2" s="9" t="s">
        <v>387</v>
      </c>
      <c r="B2" s="255">
        <v>2022</v>
      </c>
      <c r="C2" t="s">
        <v>776</v>
      </c>
      <c r="D2" s="182" t="s">
        <v>4</v>
      </c>
      <c r="G2" s="351" t="s">
        <v>490</v>
      </c>
      <c r="H2" s="353"/>
      <c r="I2" s="352"/>
      <c r="J2" s="351" t="s">
        <v>480</v>
      </c>
      <c r="K2" s="353"/>
      <c r="L2" s="352"/>
      <c r="M2" s="351" t="s">
        <v>479</v>
      </c>
      <c r="N2" s="353"/>
      <c r="O2" s="352"/>
      <c r="P2" s="351" t="s">
        <v>398</v>
      </c>
      <c r="Q2" s="353"/>
      <c r="R2" s="352"/>
      <c r="S2" s="351" t="s">
        <v>592</v>
      </c>
      <c r="T2" s="353"/>
      <c r="U2" s="352"/>
      <c r="V2" s="351" t="s">
        <v>595</v>
      </c>
      <c r="W2" s="353"/>
      <c r="X2" s="352"/>
      <c r="Y2" s="351" t="s">
        <v>593</v>
      </c>
      <c r="Z2" s="353"/>
      <c r="AA2" s="352"/>
      <c r="AB2" s="351" t="s">
        <v>594</v>
      </c>
      <c r="AC2" s="353"/>
      <c r="AD2" s="352"/>
      <c r="AE2" s="351" t="s">
        <v>391</v>
      </c>
      <c r="AF2" s="353"/>
      <c r="AG2" s="352"/>
      <c r="AH2" s="351" t="s">
        <v>508</v>
      </c>
      <c r="AI2" s="353"/>
      <c r="AJ2" s="352"/>
      <c r="AK2" s="351" t="s">
        <v>510</v>
      </c>
      <c r="AL2" s="353"/>
      <c r="AM2" s="352"/>
      <c r="AN2" s="351" t="s">
        <v>509</v>
      </c>
      <c r="AO2" s="353"/>
      <c r="AP2" s="352"/>
      <c r="AQ2" s="351" t="s">
        <v>528</v>
      </c>
      <c r="AR2" s="353"/>
      <c r="AS2" s="352"/>
      <c r="AT2" s="265" t="s">
        <v>662</v>
      </c>
      <c r="AU2" s="351" t="s">
        <v>637</v>
      </c>
      <c r="AV2" s="352"/>
      <c r="AW2" s="351" t="s">
        <v>580</v>
      </c>
      <c r="AX2" s="353"/>
      <c r="AY2" s="352"/>
      <c r="AZ2" s="351" t="s">
        <v>581</v>
      </c>
      <c r="BA2" s="353"/>
      <c r="BB2" s="352"/>
      <c r="BC2" s="351" t="s">
        <v>636</v>
      </c>
      <c r="BD2" s="352"/>
    </row>
    <row r="3" spans="1:56" x14ac:dyDescent="0.3">
      <c r="A3" s="9" t="s">
        <v>734</v>
      </c>
      <c r="B3" s="277">
        <v>2020</v>
      </c>
      <c r="C3" t="s">
        <v>805</v>
      </c>
      <c r="D3" s="80" t="s">
        <v>412</v>
      </c>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8"/>
      <c r="AN3" s="258"/>
      <c r="AO3" s="258"/>
      <c r="AP3" s="258"/>
      <c r="AQ3" s="258"/>
      <c r="AR3" s="258"/>
      <c r="AS3" s="258"/>
      <c r="AT3" s="258"/>
      <c r="AU3" s="258"/>
      <c r="AV3" s="258"/>
      <c r="AW3" s="258"/>
      <c r="AX3" s="258"/>
      <c r="AY3" s="258"/>
      <c r="AZ3" s="258"/>
      <c r="BA3" s="258"/>
      <c r="BB3" s="258"/>
      <c r="BC3" s="258"/>
      <c r="BD3" s="258"/>
    </row>
    <row r="4" spans="1:56" x14ac:dyDescent="0.3">
      <c r="A4" s="9" t="s">
        <v>499</v>
      </c>
      <c r="B4" s="277" t="s">
        <v>500</v>
      </c>
      <c r="C4" t="s">
        <v>782</v>
      </c>
      <c r="D4" s="213" t="s">
        <v>1</v>
      </c>
      <c r="G4" s="154" t="s">
        <v>481</v>
      </c>
      <c r="H4" s="155" t="s">
        <v>482</v>
      </c>
      <c r="I4" s="156" t="s">
        <v>455</v>
      </c>
      <c r="J4" s="154" t="s">
        <v>481</v>
      </c>
      <c r="K4" s="155" t="s">
        <v>482</v>
      </c>
      <c r="L4" s="156" t="s">
        <v>455</v>
      </c>
      <c r="M4" s="154" t="s">
        <v>481</v>
      </c>
      <c r="N4" s="155" t="s">
        <v>482</v>
      </c>
      <c r="O4" s="156" t="s">
        <v>455</v>
      </c>
      <c r="P4" s="154" t="s">
        <v>481</v>
      </c>
      <c r="Q4" s="155" t="s">
        <v>482</v>
      </c>
      <c r="R4" s="156" t="s">
        <v>455</v>
      </c>
      <c r="S4" s="154" t="s">
        <v>481</v>
      </c>
      <c r="T4" s="155" t="s">
        <v>482</v>
      </c>
      <c r="U4" s="156" t="s">
        <v>455</v>
      </c>
      <c r="V4" s="154" t="s">
        <v>481</v>
      </c>
      <c r="W4" s="155" t="s">
        <v>482</v>
      </c>
      <c r="X4" s="156" t="s">
        <v>455</v>
      </c>
      <c r="Y4" s="154" t="s">
        <v>481</v>
      </c>
      <c r="Z4" s="155" t="s">
        <v>482</v>
      </c>
      <c r="AA4" s="156" t="s">
        <v>455</v>
      </c>
      <c r="AB4" s="154" t="s">
        <v>481</v>
      </c>
      <c r="AC4" s="155" t="s">
        <v>482</v>
      </c>
      <c r="AD4" s="156" t="s">
        <v>455</v>
      </c>
      <c r="AE4" s="154" t="s">
        <v>481</v>
      </c>
      <c r="AF4" s="155" t="s">
        <v>482</v>
      </c>
      <c r="AG4" s="156" t="s">
        <v>455</v>
      </c>
      <c r="AH4" s="154" t="s">
        <v>481</v>
      </c>
      <c r="AI4" s="155" t="s">
        <v>482</v>
      </c>
      <c r="AJ4" s="156" t="s">
        <v>455</v>
      </c>
      <c r="AK4" s="154" t="s">
        <v>481</v>
      </c>
      <c r="AL4" s="155" t="s">
        <v>482</v>
      </c>
      <c r="AM4" s="156" t="s">
        <v>455</v>
      </c>
      <c r="AN4" s="154" t="s">
        <v>481</v>
      </c>
      <c r="AO4" s="155" t="s">
        <v>482</v>
      </c>
      <c r="AP4" s="156" t="s">
        <v>455</v>
      </c>
      <c r="AQ4" s="154" t="s">
        <v>481</v>
      </c>
      <c r="AR4" s="155" t="s">
        <v>482</v>
      </c>
      <c r="AS4" s="156" t="s">
        <v>455</v>
      </c>
      <c r="AT4" s="203"/>
      <c r="AU4" s="203"/>
      <c r="AV4" s="203"/>
      <c r="AW4" s="154" t="s">
        <v>481</v>
      </c>
      <c r="AX4" s="155" t="s">
        <v>482</v>
      </c>
      <c r="AY4" s="156" t="s">
        <v>681</v>
      </c>
      <c r="AZ4" s="154" t="s">
        <v>481</v>
      </c>
      <c r="BA4" s="155" t="s">
        <v>482</v>
      </c>
      <c r="BB4" s="156" t="s">
        <v>681</v>
      </c>
      <c r="BC4" s="203" t="s">
        <v>635</v>
      </c>
      <c r="BD4" s="203" t="s">
        <v>634</v>
      </c>
    </row>
    <row r="5" spans="1:56" x14ac:dyDescent="0.3">
      <c r="A5" s="9" t="s">
        <v>428</v>
      </c>
      <c r="B5" s="255" t="s">
        <v>775</v>
      </c>
      <c r="C5" t="s">
        <v>783</v>
      </c>
      <c r="D5" s="214" t="s">
        <v>2</v>
      </c>
    </row>
    <row r="6" spans="1:56" x14ac:dyDescent="0.3">
      <c r="A6" s="9" t="s">
        <v>794</v>
      </c>
      <c r="B6" s="179">
        <f>INDEX(WACC!H6:H9,MATCH(B5,WACC!G6:G9,0))</f>
        <v>7.7200000000000005E-2</v>
      </c>
      <c r="D6" s="215" t="s">
        <v>3</v>
      </c>
    </row>
    <row r="7" spans="1:56" x14ac:dyDescent="0.3">
      <c r="AP7" s="190"/>
    </row>
    <row r="8" spans="1:56" x14ac:dyDescent="0.3">
      <c r="J8" s="157" t="s">
        <v>671</v>
      </c>
      <c r="AP8" s="190"/>
    </row>
    <row r="9" spans="1:56" s="143" customFormat="1" ht="72" x14ac:dyDescent="0.3">
      <c r="A9" s="177" t="s">
        <v>387</v>
      </c>
      <c r="B9" s="269" t="s">
        <v>435</v>
      </c>
      <c r="C9" s="206" t="s">
        <v>446</v>
      </c>
      <c r="D9" s="178" t="s">
        <v>436</v>
      </c>
      <c r="E9" s="278" t="s">
        <v>798</v>
      </c>
      <c r="F9" s="206" t="s">
        <v>440</v>
      </c>
      <c r="G9" s="178" t="s">
        <v>796</v>
      </c>
      <c r="H9" s="178" t="s">
        <v>797</v>
      </c>
      <c r="I9" s="178" t="s">
        <v>483</v>
      </c>
      <c r="J9" s="207" t="s">
        <v>484</v>
      </c>
      <c r="K9" s="207" t="s">
        <v>485</v>
      </c>
      <c r="L9" s="207" t="s">
        <v>486</v>
      </c>
      <c r="M9" s="207" t="s">
        <v>799</v>
      </c>
      <c r="N9" s="207" t="s">
        <v>800</v>
      </c>
      <c r="O9" s="207" t="s">
        <v>801</v>
      </c>
      <c r="P9" s="207" t="s">
        <v>487</v>
      </c>
      <c r="Q9" s="207" t="s">
        <v>488</v>
      </c>
      <c r="R9" s="207" t="s">
        <v>489</v>
      </c>
      <c r="S9" s="207" t="s">
        <v>589</v>
      </c>
      <c r="T9" s="207" t="s">
        <v>590</v>
      </c>
      <c r="U9" s="207" t="s">
        <v>591</v>
      </c>
      <c r="V9" s="207" t="s">
        <v>599</v>
      </c>
      <c r="W9" s="207" t="s">
        <v>600</v>
      </c>
      <c r="X9" s="207" t="s">
        <v>601</v>
      </c>
      <c r="Y9" s="207" t="s">
        <v>603</v>
      </c>
      <c r="Z9" s="207" t="s">
        <v>604</v>
      </c>
      <c r="AA9" s="207" t="s">
        <v>605</v>
      </c>
      <c r="AB9" s="207" t="s">
        <v>602</v>
      </c>
      <c r="AC9" s="207" t="s">
        <v>606</v>
      </c>
      <c r="AD9" s="207" t="s">
        <v>607</v>
      </c>
      <c r="AE9" s="207" t="s">
        <v>496</v>
      </c>
      <c r="AF9" s="207" t="s">
        <v>497</v>
      </c>
      <c r="AG9" s="207" t="s">
        <v>498</v>
      </c>
      <c r="AH9" s="208" t="s">
        <v>501</v>
      </c>
      <c r="AI9" s="208" t="s">
        <v>502</v>
      </c>
      <c r="AJ9" s="208" t="s">
        <v>503</v>
      </c>
      <c r="AK9" s="208" t="s">
        <v>527</v>
      </c>
      <c r="AL9" s="208" t="s">
        <v>588</v>
      </c>
      <c r="AM9" s="208" t="s">
        <v>587</v>
      </c>
      <c r="AN9" s="180" t="s">
        <v>506</v>
      </c>
      <c r="AO9" s="180" t="s">
        <v>507</v>
      </c>
      <c r="AP9" s="180" t="s">
        <v>504</v>
      </c>
      <c r="AQ9" s="180" t="s">
        <v>582</v>
      </c>
      <c r="AR9" s="180" t="s">
        <v>583</v>
      </c>
      <c r="AS9" s="180" t="s">
        <v>505</v>
      </c>
      <c r="AT9" s="180" t="s">
        <v>674</v>
      </c>
      <c r="AU9" s="180" t="s">
        <v>628</v>
      </c>
      <c r="AV9" s="180" t="s">
        <v>629</v>
      </c>
      <c r="AW9" s="209" t="s">
        <v>517</v>
      </c>
      <c r="AX9" s="209" t="s">
        <v>519</v>
      </c>
      <c r="AY9" s="209" t="s">
        <v>521</v>
      </c>
      <c r="AZ9" s="209" t="s">
        <v>578</v>
      </c>
      <c r="BA9" s="209" t="s">
        <v>579</v>
      </c>
      <c r="BB9" s="209" t="s">
        <v>525</v>
      </c>
      <c r="BC9" s="209" t="s">
        <v>642</v>
      </c>
      <c r="BD9" s="209" t="s">
        <v>641</v>
      </c>
    </row>
    <row r="10" spans="1:56" x14ac:dyDescent="0.3">
      <c r="A10">
        <f t="shared" ref="A10:A16" si="0">$B$2</f>
        <v>2022</v>
      </c>
      <c r="B10" s="268" t="s">
        <v>754</v>
      </c>
      <c r="C10" s="212" t="s">
        <v>789</v>
      </c>
      <c r="D10" s="212" t="s">
        <v>438</v>
      </c>
      <c r="E10" s="216" t="str">
        <f>IF(Table2[[#This Row],[MeasAppType]]="NR","N/A","N/A")</f>
        <v>N/A</v>
      </c>
      <c r="F10" s="217">
        <v>15</v>
      </c>
      <c r="G10" s="218"/>
      <c r="H10" s="218" t="s">
        <v>457</v>
      </c>
      <c r="I10" s="218" t="s">
        <v>452</v>
      </c>
      <c r="J10" t="e">
        <f>INDEX(Table3[CommonRefrigerantType],MATCH(Table2[[#This Row],[Pre tech lookup (not required for "NR" measure application types)]],DropdownRefrigTech,0))</f>
        <v>#N/A</v>
      </c>
      <c r="K10" t="str">
        <f>INDEX(Table3[CommonRefrigerantType],MATCH(Table2[[#This Row],[Std tech lookup (not required for "AR" measure application types)]],DropdownRefrigTech,0))</f>
        <v>R-410A</v>
      </c>
      <c r="L10" t="str">
        <f>INDEX(Table3[CommonRefrigerantType],MATCH(Table2[[#This Row],[Msr tech lookup]],DropdownRefrigTech,0))</f>
        <v>R-410A</v>
      </c>
      <c r="M10" s="134" t="e">
        <f>INDEX(Table3[RefrigChargePoundsPerNormUnit],MATCH(Table2[[#This Row],[Pre tech lookup (not required for "NR" measure application types)]],DropdownRefrigTech,0))</f>
        <v>#N/A</v>
      </c>
      <c r="N10" s="134">
        <f>INDEX(Table3[RefrigChargePoundsPerNormUnit],MATCH(Table2[[#This Row],[Std tech lookup (not required for "AR" measure application types)]],DropdownRefrigTech,0))</f>
        <v>3.2</v>
      </c>
      <c r="O10" s="149">
        <f>INDEX(Table3[RefrigChargePoundsPerNormUnit],MATCH(Table2[[#This Row],[Msr tech lookup]],DropdownRefrigTech,0))</f>
        <v>3.5</v>
      </c>
      <c r="P10" s="163" t="e">
        <f>INDEX(Table3[AnnualLeakageRate],MATCH(Table2[[#This Row],[Pre tech lookup (not required for "NR" measure application types)]],DropdownRefrigTech,0))</f>
        <v>#N/A</v>
      </c>
      <c r="Q10" s="163">
        <f>INDEX(Table3[AnnualLeakageRate],MATCH(Table2[[#This Row],[Std tech lookup (not required for "AR" measure application types)]],DropdownRefrigTech,0))</f>
        <v>0.05</v>
      </c>
      <c r="R10" s="163">
        <f>INDEX(Table3[AnnualLeakageRate],MATCH(Table2[[#This Row],[Msr tech lookup]],DropdownRefrigTech,0))</f>
        <v>5.2999999999999999E-2</v>
      </c>
      <c r="S10" s="164" t="e">
        <f>INDEX(Table3[t_EOL],MATCH(Table2[[#This Row],[Pre tech lookup (not required for "NR" measure application types)]],DropdownRefrigTech,0))</f>
        <v>#N/A</v>
      </c>
      <c r="T10" s="164">
        <f>INDEX(Table3[t_EOL],MATCH(Table2[[#This Row],[Std tech lookup (not required for "AR" measure application types)]],DropdownRefrigTech,0))</f>
        <v>3</v>
      </c>
      <c r="U10" s="164">
        <f>INDEX(Table3[t_EOL],MATCH(Table2[[#This Row],[Msr tech lookup]],DropdownRefrigTech,0))</f>
        <v>3</v>
      </c>
      <c r="V10" s="163" t="e">
        <f>1-Table2[[#This Row],[Pre annual refrigerant leakage %]]*Table2[[#This Row],[Pre t_EOL]]</f>
        <v>#N/A</v>
      </c>
      <c r="W10" s="163">
        <f>1-Table2[[#This Row],[Std annual refrigerant leakage %]]*Table2[[#This Row],[Std t_EOL]]</f>
        <v>0.85</v>
      </c>
      <c r="X10" s="163">
        <f>1-Table2[[#This Row],[Msr annual refrigerant leakage %]]*Table2[[#This Row],[Msr t_EOL]]</f>
        <v>0.84099999999999997</v>
      </c>
      <c r="Y10" s="163" t="e">
        <f>INDEX(Table3[q_EOL],MATCH(Table2[[#This Row],[Pre tech lookup (not required for "NR" measure application types)]],DropdownRefrigTech,0))</f>
        <v>#N/A</v>
      </c>
      <c r="Z10" s="163">
        <f>INDEX(Table3[q_EOL],MATCH(Table2[[#This Row],[Std tech lookup (not required for "AR" measure application types)]],DropdownRefrigTech,0))</f>
        <v>0.8</v>
      </c>
      <c r="AA10" s="163">
        <f>INDEX(Table3[q_EOL],MATCH(Table2[[#This Row],[Msr tech lookup]],DropdownRefrigTech,0))</f>
        <v>0.8</v>
      </c>
      <c r="AB10" s="163" t="e">
        <f>Table2[[#This Row],[Pre charging remaining (%)]]*Table2[[#This Row],[Pre gross EOL refrigerant leakage %]]</f>
        <v>#N/A</v>
      </c>
      <c r="AC10" s="163">
        <f>Table2[[#This Row],[Std charging remaining (%)]]*Table2[[#This Row],[Std gross EOL refrigerant leakage %]]</f>
        <v>0.68</v>
      </c>
      <c r="AD10" s="163">
        <f>Table2[[#This Row],[Msr charging remaining (%)]]*Table2[[#This Row],[Msr gross EOL refrigerant leakage %]]</f>
        <v>0.67280000000000006</v>
      </c>
      <c r="AE10" s="164" t="e" cm="1">
        <f t="array" ref="AE10">INDEX(_xlfn.SWITCH($B$4,"20-yr",GWP_Values_20_year_AR4,"100-yr",GWP_Values_100_year_AR4),MATCH(Table2[[#This Row],[Pre Refrigerant Type]],RefrigDropdownList,0))</f>
        <v>#N/A</v>
      </c>
      <c r="AF10" s="164" cm="1">
        <f t="array" ref="AF10">INDEX(_xlfn.SWITCH($B$4,"20-yr",GWP_Values_20_year_AR4,"100-yr",GWP_Values_100_year_AR4),MATCH(Table2[[#This Row],[Std Refrigerant Type]],RefrigDropdownList,0))</f>
        <v>2087.5</v>
      </c>
      <c r="AG10" s="164" cm="1">
        <f t="array" ref="AG10">INDEX(_xlfn.SWITCH($B$4,"20-yr",GWP_Values_20_year_AR4,"100-yr",GWP_Values_100_year_AR4),MATCH(Table2[[#This Row],[Msr Refrigerant Type]],RefrigDropdownList,0))</f>
        <v>2087.5</v>
      </c>
      <c r="AH10" s="165" t="e">
        <f>(Table2[[#This Row],[Pre Refrigerant charge (lbs) per NormUnit]]/pounds_per_metric_ton)*Table2[[#This Row],[Pre annual refrigerant leakage %]]*Table2[[#This Row],[Pre GWP]]</f>
        <v>#N/A</v>
      </c>
      <c r="AI10" s="165">
        <f>(Table2[[#This Row],[Std Refrigerant charge (lbs)per NormUnit]]/pounds_per_metric_ton)*Table2[[#This Row],[Std annual refrigerant leakage %]]*Table2[[#This Row],[Std GWP]]</f>
        <v>0.15150003175150367</v>
      </c>
      <c r="AJ10" s="165">
        <f>(Table2[[#This Row],[Msr Refrigerant charge (lbs)per NormUnit]]/pounds_per_metric_ton)*Table2[[#This Row],[Msr annual refrigerant leakage %]]*Table2[[#This Row],[Msr GWP]]</f>
        <v>0.17564534931189954</v>
      </c>
      <c r="AK10" s="165" t="e">
        <f>(Table2[[#This Row],[Pre Refrigerant charge (lbs) per NormUnit]]/pounds_per_metric_ton)*Table2[[#This Row],[Pre net EOL refrigerant leakage (%)]]*Table2[[#This Row],[Pre GWP]]</f>
        <v>#N/A</v>
      </c>
      <c r="AL10" s="165">
        <f>(Table2[[#This Row],[Std Refrigerant charge (lbs)per NormUnit]]/pounds_per_metric_ton)*Table2[[#This Row],[Std net EOL refrigerant leakage (%)]]*Table2[[#This Row],[Std GWP]]</f>
        <v>2.0604004318204505</v>
      </c>
      <c r="AM10" s="165">
        <f>(Table2[[#This Row],[Msr Refrigerant charge (lbs)per NormUnit]]/pounds_per_metric_ton)*Table2[[#This Row],[Msr net EOL refrigerant leakage (%)]]*Table2[[#This Row],[Msr GWP]]</f>
        <v>2.2297017173027553</v>
      </c>
      <c r="AN10" s="174" cm="1">
        <f t="array" aca="1" ref="AN10" ca="1">IF(Table2[[#This Row],[MeasAppType]]="AR",Table2[[#This Row],[Pre Annual leakage tons CO2e]]*NPV(WACC,OFFSET(const_ones,0,0,1,Table2[[#This Row],[EUL]])*OFFSET(GHG_Adder_dollar_per_tonne,0,(Table2[[#This Row],[Device installation year]])-GHG_Adder_Yr1,1,Table2[[#This Row],[EUL]]))/(1+WACC)^(Table2[[#This Row],[Device installation year]]-DY),0)</f>
        <v>0</v>
      </c>
      <c r="AO10" s="174" cm="1">
        <f t="array" aca="1" ref="AO10" ca="1">IF(Table2[[#This Row],[MeasAppType]]="AR",0,Table2[[#This Row],[Std Annual leakage tons CO2e]]*NPV(WACC,OFFSET(const_ones,0,0,1,Table2[[#This Row],[EUL]])*OFFSET(GHG_Adder_dollar_per_tonne,0,(Table2[[#This Row],[Device installation year]])-GHG_Adder_Yr1,1,Table2[[#This Row],[EUL]]))/(1+WACC)^(Table2[[#This Row],[Device installation year]]-DY))</f>
        <v>74.294737946648198</v>
      </c>
      <c r="AP10" s="174" cm="1">
        <f t="array" aca="1" ref="AP10" ca="1">Table2[[#This Row],[Msr Annual leakage tons CO2e]]*NPV(WACC,OFFSET(const_ones,0,0,1,Table2[[#This Row],[EUL]])*OFFSET(GHG_Adder_dollar_per_tonne,0,((Table2[[#This Row],[Device installation year]])-GHG_Adder_Yr1),1,Table2[[#This Row],[EUL]]))/(1+WACC)^(Table2[[#This Row],[Device installation year]]-DY)</f>
        <v>86.135461806895236</v>
      </c>
      <c r="AQ10" s="260" cm="1">
        <f t="array" aca="1" ref="AQ10"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10" s="261" cm="1">
        <f t="array" aca="1" ref="AR10"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65.646307097355859</v>
      </c>
      <c r="AS10" s="261" cm="1">
        <f t="array" aca="1" ref="AS10" ca="1">Table2[[#This Row],[Msr EOL leakage tons CO2e]]*NPV(WACC,OFFSET(const_repeat_after,Table2[[#This Row],[EUL]],0,1,Table2[[#This Row],[EUL]])*OFFSET(GHG_Adder_dollar_per_tonne,0,(Table2[[#This Row],[Device installation year]])-GHG_Adder_Yr1,1,Table2[[#This Row],[EUL]]))/(1+WACC)^(Table2[[#This Row],[Device installation year]]-DY)</f>
        <v>71.040406228333424</v>
      </c>
      <c r="AT10" s="260">
        <f>0</f>
        <v>0</v>
      </c>
      <c r="AU10" s="174">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17.234822991224604</v>
      </c>
      <c r="AV10" s="174" t="b">
        <f ca="1">Table2[[#This Row],[RefrigerantNPVCostsNet]]&gt;0</f>
        <v>1</v>
      </c>
      <c r="AW10" s="174">
        <f>0</f>
        <v>0</v>
      </c>
      <c r="AX10" s="174">
        <f>0</f>
        <v>0</v>
      </c>
      <c r="AY10" s="174">
        <f>0</f>
        <v>0</v>
      </c>
      <c r="AZ10" s="174">
        <f ca="1">Table2[[#This Row],[Pre NPV Cost of Annual Leakage]]+Table2[[#This Row],[Pre NPV Cost of EOL Leakage]]</f>
        <v>0</v>
      </c>
      <c r="BA10" s="174">
        <f ca="1">Table2[[#This Row],[Std NPV Cost of Annual Leakage]]+Table2[[#This Row],[Std NPV Cost of EOL Leakage]]</f>
        <v>139.94104504400406</v>
      </c>
      <c r="BB10" s="174">
        <f ca="1">Table2[[#This Row],[AR immediate NPV cost of leakage]]+Table2[[#This Row],[Msr NPV Cost of Annual Leakage]]+Table2[[#This Row],[Msr NPV Cost of EOL Leakage]]</f>
        <v>157.17586803522866</v>
      </c>
      <c r="BC10" s="176">
        <f ca="1">IF(Table2[[#This Row],[Is Net Cost?]],Table2[[#This Row],[RefrigerantNPVCostsNet]],0)</f>
        <v>17.234822991224604</v>
      </c>
      <c r="BD10" s="176">
        <f ca="1">IF(Table2[[#This Row],[Is Net Cost?]],0,-Table2[[#This Row],[RefrigerantNPVCostsNet]])</f>
        <v>0</v>
      </c>
    </row>
    <row r="11" spans="1:56" x14ac:dyDescent="0.3">
      <c r="A11">
        <f t="shared" si="0"/>
        <v>2022</v>
      </c>
      <c r="B11" s="268" t="s">
        <v>755</v>
      </c>
      <c r="C11" s="212" t="s">
        <v>789</v>
      </c>
      <c r="D11" s="212" t="s">
        <v>438</v>
      </c>
      <c r="E11" s="216" t="str">
        <f>IF(Table2[[#This Row],[MeasAppType]]="NR","N/A","N/A")</f>
        <v>N/A</v>
      </c>
      <c r="F11" s="217">
        <v>15</v>
      </c>
      <c r="G11" s="218"/>
      <c r="H11" s="218" t="s">
        <v>457</v>
      </c>
      <c r="I11" s="218" t="s">
        <v>452</v>
      </c>
      <c r="J11" t="e">
        <f>INDEX(Table3[CommonRefrigerantType],MATCH(Table2[[#This Row],[Pre tech lookup (not required for "NR" measure application types)]],DropdownRefrigTech,0))</f>
        <v>#N/A</v>
      </c>
      <c r="K11" t="str">
        <f>INDEX(Table3[CommonRefrigerantType],MATCH(Table2[[#This Row],[Std tech lookup (not required for "AR" measure application types)]],DropdownRefrigTech,0))</f>
        <v>R-410A</v>
      </c>
      <c r="L11" t="str">
        <f>INDEX(Table3[CommonRefrigerantType],MATCH(Table2[[#This Row],[Msr tech lookup]],DropdownRefrigTech,0))</f>
        <v>R-410A</v>
      </c>
      <c r="M11" s="134" t="e">
        <f>INDEX(Table3[RefrigChargePoundsPerNormUnit],MATCH(Table2[[#This Row],[Pre tech lookup (not required for "NR" measure application types)]],DropdownRefrigTech,0))</f>
        <v>#N/A</v>
      </c>
      <c r="N11" s="134">
        <f>INDEX(Table3[RefrigChargePoundsPerNormUnit],MATCH(Table2[[#This Row],[Std tech lookup (not required for "AR" measure application types)]],DropdownRefrigTech,0))</f>
        <v>3.2</v>
      </c>
      <c r="O11" s="149">
        <f>INDEX(Table3[RefrigChargePoundsPerNormUnit],MATCH(Table2[[#This Row],[Msr tech lookup]],DropdownRefrigTech,0))</f>
        <v>3.5</v>
      </c>
      <c r="P11" s="163" t="e">
        <f>INDEX(Table3[AnnualLeakageRate],MATCH(Table2[[#This Row],[Pre tech lookup (not required for "NR" measure application types)]],DropdownRefrigTech,0))</f>
        <v>#N/A</v>
      </c>
      <c r="Q11" s="163">
        <f>INDEX(Table3[AnnualLeakageRate],MATCH(Table2[[#This Row],[Std tech lookup (not required for "AR" measure application types)]],DropdownRefrigTech,0))</f>
        <v>0.05</v>
      </c>
      <c r="R11" s="163">
        <f>INDEX(Table3[AnnualLeakageRate],MATCH(Table2[[#This Row],[Msr tech lookup]],DropdownRefrigTech,0))</f>
        <v>5.2999999999999999E-2</v>
      </c>
      <c r="S11" s="164" t="e">
        <f>INDEX(Table3[t_EOL],MATCH(Table2[[#This Row],[Pre tech lookup (not required for "NR" measure application types)]],DropdownRefrigTech,0))</f>
        <v>#N/A</v>
      </c>
      <c r="T11" s="164">
        <f>INDEX(Table3[t_EOL],MATCH(Table2[[#This Row],[Std tech lookup (not required for "AR" measure application types)]],DropdownRefrigTech,0))</f>
        <v>3</v>
      </c>
      <c r="U11" s="164">
        <f>INDEX(Table3[t_EOL],MATCH(Table2[[#This Row],[Msr tech lookup]],DropdownRefrigTech,0))</f>
        <v>3</v>
      </c>
      <c r="V11" s="163" t="e">
        <f>1-Table2[[#This Row],[Pre annual refrigerant leakage %]]*Table2[[#This Row],[Pre t_EOL]]</f>
        <v>#N/A</v>
      </c>
      <c r="W11" s="163">
        <f>1-Table2[[#This Row],[Std annual refrigerant leakage %]]*Table2[[#This Row],[Std t_EOL]]</f>
        <v>0.85</v>
      </c>
      <c r="X11" s="163">
        <f>1-Table2[[#This Row],[Msr annual refrigerant leakage %]]*Table2[[#This Row],[Msr t_EOL]]</f>
        <v>0.84099999999999997</v>
      </c>
      <c r="Y11" s="163" t="e">
        <f>INDEX(Table3[q_EOL],MATCH(Table2[[#This Row],[Pre tech lookup (not required for "NR" measure application types)]],DropdownRefrigTech,0))</f>
        <v>#N/A</v>
      </c>
      <c r="Z11" s="163">
        <f>INDEX(Table3[q_EOL],MATCH(Table2[[#This Row],[Std tech lookup (not required for "AR" measure application types)]],DropdownRefrigTech,0))</f>
        <v>0.8</v>
      </c>
      <c r="AA11" s="163">
        <f>INDEX(Table3[q_EOL],MATCH(Table2[[#This Row],[Msr tech lookup]],DropdownRefrigTech,0))</f>
        <v>0.8</v>
      </c>
      <c r="AB11" s="163" t="e">
        <f>Table2[[#This Row],[Pre charging remaining (%)]]*Table2[[#This Row],[Pre gross EOL refrigerant leakage %]]</f>
        <v>#N/A</v>
      </c>
      <c r="AC11" s="163">
        <f>Table2[[#This Row],[Std charging remaining (%)]]*Table2[[#This Row],[Std gross EOL refrigerant leakage %]]</f>
        <v>0.68</v>
      </c>
      <c r="AD11" s="163">
        <f>Table2[[#This Row],[Msr charging remaining (%)]]*Table2[[#This Row],[Msr gross EOL refrigerant leakage %]]</f>
        <v>0.67280000000000006</v>
      </c>
      <c r="AE11" s="164" t="e" cm="1">
        <f t="array" ref="AE11">INDEX(_xlfn.SWITCH($B$4,"20-yr",GWP_Values_20_year_AR4,"100-yr",GWP_Values_100_year_AR4),MATCH(Table2[[#This Row],[Pre Refrigerant Type]],RefrigDropdownList,0))</f>
        <v>#N/A</v>
      </c>
      <c r="AF11" s="164" cm="1">
        <f t="array" ref="AF11">INDEX(_xlfn.SWITCH($B$4,"20-yr",GWP_Values_20_year_AR4,"100-yr",GWP_Values_100_year_AR4),MATCH(Table2[[#This Row],[Std Refrigerant Type]],RefrigDropdownList,0))</f>
        <v>2087.5</v>
      </c>
      <c r="AG11" s="164" cm="1">
        <f t="array" ref="AG11">INDEX(_xlfn.SWITCH($B$4,"20-yr",GWP_Values_20_year_AR4,"100-yr",GWP_Values_100_year_AR4),MATCH(Table2[[#This Row],[Msr Refrigerant Type]],RefrigDropdownList,0))</f>
        <v>2087.5</v>
      </c>
      <c r="AH11" s="165" t="e">
        <f>(Table2[[#This Row],[Pre Refrigerant charge (lbs) per NormUnit]]/pounds_per_metric_ton)*Table2[[#This Row],[Pre annual refrigerant leakage %]]*Table2[[#This Row],[Pre GWP]]</f>
        <v>#N/A</v>
      </c>
      <c r="AI11" s="165">
        <f>(Table2[[#This Row],[Std Refrigerant charge (lbs)per NormUnit]]/pounds_per_metric_ton)*Table2[[#This Row],[Std annual refrigerant leakage %]]*Table2[[#This Row],[Std GWP]]</f>
        <v>0.15150003175150367</v>
      </c>
      <c r="AJ11" s="165">
        <f>(Table2[[#This Row],[Msr Refrigerant charge (lbs)per NormUnit]]/pounds_per_metric_ton)*Table2[[#This Row],[Msr annual refrigerant leakage %]]*Table2[[#This Row],[Msr GWP]]</f>
        <v>0.17564534931189954</v>
      </c>
      <c r="AK11" s="165" t="e">
        <f>(Table2[[#This Row],[Pre Refrigerant charge (lbs) per NormUnit]]/pounds_per_metric_ton)*Table2[[#This Row],[Pre net EOL refrigerant leakage (%)]]*Table2[[#This Row],[Pre GWP]]</f>
        <v>#N/A</v>
      </c>
      <c r="AL11" s="165">
        <f>(Table2[[#This Row],[Std Refrigerant charge (lbs)per NormUnit]]/pounds_per_metric_ton)*Table2[[#This Row],[Std net EOL refrigerant leakage (%)]]*Table2[[#This Row],[Std GWP]]</f>
        <v>2.0604004318204505</v>
      </c>
      <c r="AM11" s="165">
        <f>(Table2[[#This Row],[Msr Refrigerant charge (lbs)per NormUnit]]/pounds_per_metric_ton)*Table2[[#This Row],[Msr net EOL refrigerant leakage (%)]]*Table2[[#This Row],[Msr GWP]]</f>
        <v>2.2297017173027553</v>
      </c>
      <c r="AN11" s="174" cm="1">
        <f t="array" aca="1" ref="AN11" ca="1">IF(Table2[[#This Row],[MeasAppType]]="AR",Table2[[#This Row],[Pre Annual leakage tons CO2e]]*NPV(WACC,OFFSET(const_ones,0,0,1,Table2[[#This Row],[EUL]])*OFFSET(GHG_Adder_dollar_per_tonne,0,(Table2[[#This Row],[Device installation year]])-GHG_Adder_Yr1,1,Table2[[#This Row],[EUL]]))/(1+WACC)^(Table2[[#This Row],[Device installation year]]-DY),0)</f>
        <v>0</v>
      </c>
      <c r="AO11" s="174" cm="1">
        <f t="array" aca="1" ref="AO11" ca="1">IF(Table2[[#This Row],[MeasAppType]]="AR",0,Table2[[#This Row],[Std Annual leakage tons CO2e]]*NPV(WACC,OFFSET(const_ones,0,0,1,Table2[[#This Row],[EUL]])*OFFSET(GHG_Adder_dollar_per_tonne,0,(Table2[[#This Row],[Device installation year]])-GHG_Adder_Yr1,1,Table2[[#This Row],[EUL]]))/(1+WACC)^(Table2[[#This Row],[Device installation year]]-DY))</f>
        <v>74.294737946648198</v>
      </c>
      <c r="AP11" s="174" cm="1">
        <f t="array" aca="1" ref="AP11" ca="1">Table2[[#This Row],[Msr Annual leakage tons CO2e]]*NPV(WACC,OFFSET(const_ones,0,0,1,Table2[[#This Row],[EUL]])*OFFSET(GHG_Adder_dollar_per_tonne,0,((Table2[[#This Row],[Device installation year]])-GHG_Adder_Yr1),1,Table2[[#This Row],[EUL]]))/(1+WACC)^(Table2[[#This Row],[Device installation year]]-DY)</f>
        <v>86.135461806895236</v>
      </c>
      <c r="AQ11" s="260" cm="1">
        <f t="array" aca="1" ref="AQ11"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11" s="261" cm="1">
        <f t="array" aca="1" ref="AR11"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65.646307097355859</v>
      </c>
      <c r="AS11" s="261" cm="1">
        <f t="array" aca="1" ref="AS11" ca="1">Table2[[#This Row],[Msr EOL leakage tons CO2e]]*NPV(WACC,OFFSET(const_repeat_after,Table2[[#This Row],[EUL]],0,1,Table2[[#This Row],[EUL]])*OFFSET(GHG_Adder_dollar_per_tonne,0,(Table2[[#This Row],[Device installation year]])-GHG_Adder_Yr1,1,Table2[[#This Row],[EUL]]))/(1+WACC)^(Table2[[#This Row],[Device installation year]]-DY)</f>
        <v>71.040406228333424</v>
      </c>
      <c r="AT11" s="260">
        <f>0</f>
        <v>0</v>
      </c>
      <c r="AU11" s="174">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17.234822991224604</v>
      </c>
      <c r="AV11" s="174" t="b">
        <f ca="1">Table2[[#This Row],[RefrigerantNPVCostsNet]]&gt;0</f>
        <v>1</v>
      </c>
      <c r="AW11" s="174">
        <f>0</f>
        <v>0</v>
      </c>
      <c r="AX11" s="174">
        <f>0</f>
        <v>0</v>
      </c>
      <c r="AY11" s="174">
        <f>0</f>
        <v>0</v>
      </c>
      <c r="AZ11" s="174">
        <f ca="1">Table2[[#This Row],[Pre NPV Cost of Annual Leakage]]+Table2[[#This Row],[Pre NPV Cost of EOL Leakage]]</f>
        <v>0</v>
      </c>
      <c r="BA11" s="174">
        <f ca="1">Table2[[#This Row],[Std NPV Cost of Annual Leakage]]+Table2[[#This Row],[Std NPV Cost of EOL Leakage]]</f>
        <v>139.94104504400406</v>
      </c>
      <c r="BB11" s="174">
        <f ca="1">Table2[[#This Row],[AR immediate NPV cost of leakage]]+Table2[[#This Row],[Msr NPV Cost of Annual Leakage]]+Table2[[#This Row],[Msr NPV Cost of EOL Leakage]]</f>
        <v>157.17586803522866</v>
      </c>
      <c r="BC11" s="176">
        <f ca="1">IF(Table2[[#This Row],[Is Net Cost?]],Table2[[#This Row],[RefrigerantNPVCostsNet]],0)</f>
        <v>17.234822991224604</v>
      </c>
      <c r="BD11" s="174">
        <f ca="1">IF(Table2[[#This Row],[Is Net Cost?]],0,-Table2[[#This Row],[RefrigerantNPVCostsNet]])</f>
        <v>0</v>
      </c>
    </row>
    <row r="12" spans="1:56" x14ac:dyDescent="0.3">
      <c r="A12">
        <f t="shared" si="0"/>
        <v>2022</v>
      </c>
      <c r="B12" s="268" t="s">
        <v>756</v>
      </c>
      <c r="C12" s="212" t="s">
        <v>789</v>
      </c>
      <c r="D12" s="212" t="s">
        <v>438</v>
      </c>
      <c r="E12" s="216" t="str">
        <f>IF(Table2[[#This Row],[MeasAppType]]="NR","N/A","N/A")</f>
        <v>N/A</v>
      </c>
      <c r="F12" s="217">
        <v>15</v>
      </c>
      <c r="G12" s="218"/>
      <c r="H12" s="218" t="s">
        <v>457</v>
      </c>
      <c r="I12" s="218" t="s">
        <v>452</v>
      </c>
      <c r="J12" t="e">
        <f>INDEX(Table3[CommonRefrigerantType],MATCH(Table2[[#This Row],[Pre tech lookup (not required for "NR" measure application types)]],DropdownRefrigTech,0))</f>
        <v>#N/A</v>
      </c>
      <c r="K12" t="str">
        <f>INDEX(Table3[CommonRefrigerantType],MATCH(Table2[[#This Row],[Std tech lookup (not required for "AR" measure application types)]],DropdownRefrigTech,0))</f>
        <v>R-410A</v>
      </c>
      <c r="L12" t="str">
        <f>INDEX(Table3[CommonRefrigerantType],MATCH(Table2[[#This Row],[Msr tech lookup]],DropdownRefrigTech,0))</f>
        <v>R-410A</v>
      </c>
      <c r="M12" s="134" t="e">
        <f>INDEX(Table3[RefrigChargePoundsPerNormUnit],MATCH(Table2[[#This Row],[Pre tech lookup (not required for "NR" measure application types)]],DropdownRefrigTech,0))</f>
        <v>#N/A</v>
      </c>
      <c r="N12" s="134">
        <f>INDEX(Table3[RefrigChargePoundsPerNormUnit],MATCH(Table2[[#This Row],[Std tech lookup (not required for "AR" measure application types)]],DropdownRefrigTech,0))</f>
        <v>3.2</v>
      </c>
      <c r="O12" s="149">
        <f>INDEX(Table3[RefrigChargePoundsPerNormUnit],MATCH(Table2[[#This Row],[Msr tech lookup]],DropdownRefrigTech,0))</f>
        <v>3.5</v>
      </c>
      <c r="P12" s="163" t="e">
        <f>INDEX(Table3[AnnualLeakageRate],MATCH(Table2[[#This Row],[Pre tech lookup (not required for "NR" measure application types)]],DropdownRefrigTech,0))</f>
        <v>#N/A</v>
      </c>
      <c r="Q12" s="163">
        <f>INDEX(Table3[AnnualLeakageRate],MATCH(Table2[[#This Row],[Std tech lookup (not required for "AR" measure application types)]],DropdownRefrigTech,0))</f>
        <v>0.05</v>
      </c>
      <c r="R12" s="163">
        <f>INDEX(Table3[AnnualLeakageRate],MATCH(Table2[[#This Row],[Msr tech lookup]],DropdownRefrigTech,0))</f>
        <v>5.2999999999999999E-2</v>
      </c>
      <c r="S12" s="164" t="e">
        <f>INDEX(Table3[t_EOL],MATCH(Table2[[#This Row],[Pre tech lookup (not required for "NR" measure application types)]],DropdownRefrigTech,0))</f>
        <v>#N/A</v>
      </c>
      <c r="T12" s="164">
        <f>INDEX(Table3[t_EOL],MATCH(Table2[[#This Row],[Std tech lookup (not required for "AR" measure application types)]],DropdownRefrigTech,0))</f>
        <v>3</v>
      </c>
      <c r="U12" s="164">
        <f>INDEX(Table3[t_EOL],MATCH(Table2[[#This Row],[Msr tech lookup]],DropdownRefrigTech,0))</f>
        <v>3</v>
      </c>
      <c r="V12" s="163" t="e">
        <f>1-Table2[[#This Row],[Pre annual refrigerant leakage %]]*Table2[[#This Row],[Pre t_EOL]]</f>
        <v>#N/A</v>
      </c>
      <c r="W12" s="163">
        <f>1-Table2[[#This Row],[Std annual refrigerant leakage %]]*Table2[[#This Row],[Std t_EOL]]</f>
        <v>0.85</v>
      </c>
      <c r="X12" s="163">
        <f>1-Table2[[#This Row],[Msr annual refrigerant leakage %]]*Table2[[#This Row],[Msr t_EOL]]</f>
        <v>0.84099999999999997</v>
      </c>
      <c r="Y12" s="163" t="e">
        <f>INDEX(Table3[q_EOL],MATCH(Table2[[#This Row],[Pre tech lookup (not required for "NR" measure application types)]],DropdownRefrigTech,0))</f>
        <v>#N/A</v>
      </c>
      <c r="Z12" s="163">
        <f>INDEX(Table3[q_EOL],MATCH(Table2[[#This Row],[Std tech lookup (not required for "AR" measure application types)]],DropdownRefrigTech,0))</f>
        <v>0.8</v>
      </c>
      <c r="AA12" s="163">
        <f>INDEX(Table3[q_EOL],MATCH(Table2[[#This Row],[Msr tech lookup]],DropdownRefrigTech,0))</f>
        <v>0.8</v>
      </c>
      <c r="AB12" s="163" t="e">
        <f>Table2[[#This Row],[Pre charging remaining (%)]]*Table2[[#This Row],[Pre gross EOL refrigerant leakage %]]</f>
        <v>#N/A</v>
      </c>
      <c r="AC12" s="163">
        <f>Table2[[#This Row],[Std charging remaining (%)]]*Table2[[#This Row],[Std gross EOL refrigerant leakage %]]</f>
        <v>0.68</v>
      </c>
      <c r="AD12" s="163">
        <f>Table2[[#This Row],[Msr charging remaining (%)]]*Table2[[#This Row],[Msr gross EOL refrigerant leakage %]]</f>
        <v>0.67280000000000006</v>
      </c>
      <c r="AE12" s="164" t="e" cm="1">
        <f t="array" ref="AE12">INDEX(_xlfn.SWITCH($B$4,"20-yr",GWP_Values_20_year_AR4,"100-yr",GWP_Values_100_year_AR4),MATCH(Table2[[#This Row],[Pre Refrigerant Type]],RefrigDropdownList,0))</f>
        <v>#N/A</v>
      </c>
      <c r="AF12" s="164" cm="1">
        <f t="array" ref="AF12">INDEX(_xlfn.SWITCH($B$4,"20-yr",GWP_Values_20_year_AR4,"100-yr",GWP_Values_100_year_AR4),MATCH(Table2[[#This Row],[Std Refrigerant Type]],RefrigDropdownList,0))</f>
        <v>2087.5</v>
      </c>
      <c r="AG12" s="164" cm="1">
        <f t="array" ref="AG12">INDEX(_xlfn.SWITCH($B$4,"20-yr",GWP_Values_20_year_AR4,"100-yr",GWP_Values_100_year_AR4),MATCH(Table2[[#This Row],[Msr Refrigerant Type]],RefrigDropdownList,0))</f>
        <v>2087.5</v>
      </c>
      <c r="AH12" s="165" t="e">
        <f>(Table2[[#This Row],[Pre Refrigerant charge (lbs) per NormUnit]]/pounds_per_metric_ton)*Table2[[#This Row],[Pre annual refrigerant leakage %]]*Table2[[#This Row],[Pre GWP]]</f>
        <v>#N/A</v>
      </c>
      <c r="AI12" s="165">
        <f>(Table2[[#This Row],[Std Refrigerant charge (lbs)per NormUnit]]/pounds_per_metric_ton)*Table2[[#This Row],[Std annual refrigerant leakage %]]*Table2[[#This Row],[Std GWP]]</f>
        <v>0.15150003175150367</v>
      </c>
      <c r="AJ12" s="165">
        <f>(Table2[[#This Row],[Msr Refrigerant charge (lbs)per NormUnit]]/pounds_per_metric_ton)*Table2[[#This Row],[Msr annual refrigerant leakage %]]*Table2[[#This Row],[Msr GWP]]</f>
        <v>0.17564534931189954</v>
      </c>
      <c r="AK12" s="165" t="e">
        <f>(Table2[[#This Row],[Pre Refrigerant charge (lbs) per NormUnit]]/pounds_per_metric_ton)*Table2[[#This Row],[Pre net EOL refrigerant leakage (%)]]*Table2[[#This Row],[Pre GWP]]</f>
        <v>#N/A</v>
      </c>
      <c r="AL12" s="165">
        <f>(Table2[[#This Row],[Std Refrigerant charge (lbs)per NormUnit]]/pounds_per_metric_ton)*Table2[[#This Row],[Std net EOL refrigerant leakage (%)]]*Table2[[#This Row],[Std GWP]]</f>
        <v>2.0604004318204505</v>
      </c>
      <c r="AM12" s="165">
        <f>(Table2[[#This Row],[Msr Refrigerant charge (lbs)per NormUnit]]/pounds_per_metric_ton)*Table2[[#This Row],[Msr net EOL refrigerant leakage (%)]]*Table2[[#This Row],[Msr GWP]]</f>
        <v>2.2297017173027553</v>
      </c>
      <c r="AN12" s="174" cm="1">
        <f t="array" aca="1" ref="AN12" ca="1">IF(Table2[[#This Row],[MeasAppType]]="AR",Table2[[#This Row],[Pre Annual leakage tons CO2e]]*NPV(WACC,OFFSET(const_ones,0,0,1,Table2[[#This Row],[EUL]])*OFFSET(GHG_Adder_dollar_per_tonne,0,(Table2[[#This Row],[Device installation year]])-GHG_Adder_Yr1,1,Table2[[#This Row],[EUL]]))/(1+WACC)^(Table2[[#This Row],[Device installation year]]-DY),0)</f>
        <v>0</v>
      </c>
      <c r="AO12" s="174" cm="1">
        <f t="array" aca="1" ref="AO12" ca="1">IF(Table2[[#This Row],[MeasAppType]]="AR",0,Table2[[#This Row],[Std Annual leakage tons CO2e]]*NPV(WACC,OFFSET(const_ones,0,0,1,Table2[[#This Row],[EUL]])*OFFSET(GHG_Adder_dollar_per_tonne,0,(Table2[[#This Row],[Device installation year]])-GHG_Adder_Yr1,1,Table2[[#This Row],[EUL]]))/(1+WACC)^(Table2[[#This Row],[Device installation year]]-DY))</f>
        <v>74.294737946648198</v>
      </c>
      <c r="AP12" s="174" cm="1">
        <f t="array" aca="1" ref="AP12" ca="1">Table2[[#This Row],[Msr Annual leakage tons CO2e]]*NPV(WACC,OFFSET(const_ones,0,0,1,Table2[[#This Row],[EUL]])*OFFSET(GHG_Adder_dollar_per_tonne,0,((Table2[[#This Row],[Device installation year]])-GHG_Adder_Yr1),1,Table2[[#This Row],[EUL]]))/(1+WACC)^(Table2[[#This Row],[Device installation year]]-DY)</f>
        <v>86.135461806895236</v>
      </c>
      <c r="AQ12" s="260" cm="1">
        <f t="array" aca="1" ref="AQ12"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12" s="261" cm="1">
        <f t="array" aca="1" ref="AR12"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65.646307097355859</v>
      </c>
      <c r="AS12" s="261" cm="1">
        <f t="array" aca="1" ref="AS12" ca="1">Table2[[#This Row],[Msr EOL leakage tons CO2e]]*NPV(WACC,OFFSET(const_repeat_after,Table2[[#This Row],[EUL]],0,1,Table2[[#This Row],[EUL]])*OFFSET(GHG_Adder_dollar_per_tonne,0,(Table2[[#This Row],[Device installation year]])-GHG_Adder_Yr1,1,Table2[[#This Row],[EUL]]))/(1+WACC)^(Table2[[#This Row],[Device installation year]]-DY)</f>
        <v>71.040406228333424</v>
      </c>
      <c r="AT12" s="260">
        <f>0</f>
        <v>0</v>
      </c>
      <c r="AU12" s="174">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17.234822991224604</v>
      </c>
      <c r="AV12" s="174" t="b">
        <f ca="1">Table2[[#This Row],[RefrigerantNPVCostsNet]]&gt;0</f>
        <v>1</v>
      </c>
      <c r="AW12" s="174">
        <f>0</f>
        <v>0</v>
      </c>
      <c r="AX12" s="174">
        <f>0</f>
        <v>0</v>
      </c>
      <c r="AY12" s="174">
        <f>0</f>
        <v>0</v>
      </c>
      <c r="AZ12" s="174">
        <f ca="1">Table2[[#This Row],[Pre NPV Cost of Annual Leakage]]+Table2[[#This Row],[Pre NPV Cost of EOL Leakage]]</f>
        <v>0</v>
      </c>
      <c r="BA12" s="174">
        <f ca="1">Table2[[#This Row],[Std NPV Cost of Annual Leakage]]+Table2[[#This Row],[Std NPV Cost of EOL Leakage]]</f>
        <v>139.94104504400406</v>
      </c>
      <c r="BB12" s="174">
        <f ca="1">Table2[[#This Row],[AR immediate NPV cost of leakage]]+Table2[[#This Row],[Msr NPV Cost of Annual Leakage]]+Table2[[#This Row],[Msr NPV Cost of EOL Leakage]]</f>
        <v>157.17586803522866</v>
      </c>
      <c r="BC12" s="176">
        <f ca="1">IF(Table2[[#This Row],[Is Net Cost?]],Table2[[#This Row],[RefrigerantNPVCostsNet]],0)</f>
        <v>17.234822991224604</v>
      </c>
      <c r="BD12" s="174">
        <f ca="1">IF(Table2[[#This Row],[Is Net Cost?]],0,-Table2[[#This Row],[RefrigerantNPVCostsNet]])</f>
        <v>0</v>
      </c>
    </row>
    <row r="13" spans="1:56" x14ac:dyDescent="0.3">
      <c r="A13">
        <f t="shared" si="0"/>
        <v>2022</v>
      </c>
      <c r="B13" s="268" t="s">
        <v>757</v>
      </c>
      <c r="C13" s="212" t="s">
        <v>789</v>
      </c>
      <c r="D13" s="212" t="s">
        <v>438</v>
      </c>
      <c r="E13" s="216" t="str">
        <f>IF(Table2[[#This Row],[MeasAppType]]="NR","N/A","N/A")</f>
        <v>N/A</v>
      </c>
      <c r="F13" s="217">
        <v>15</v>
      </c>
      <c r="G13" s="218"/>
      <c r="H13" s="218" t="s">
        <v>457</v>
      </c>
      <c r="I13" s="218" t="s">
        <v>452</v>
      </c>
      <c r="J13" t="e">
        <f>INDEX(Table3[CommonRefrigerantType],MATCH(Table2[[#This Row],[Pre tech lookup (not required for "NR" measure application types)]],DropdownRefrigTech,0))</f>
        <v>#N/A</v>
      </c>
      <c r="K13" t="str">
        <f>INDEX(Table3[CommonRefrigerantType],MATCH(Table2[[#This Row],[Std tech lookup (not required for "AR" measure application types)]],DropdownRefrigTech,0))</f>
        <v>R-410A</v>
      </c>
      <c r="L13" t="str">
        <f>INDEX(Table3[CommonRefrigerantType],MATCH(Table2[[#This Row],[Msr tech lookup]],DropdownRefrigTech,0))</f>
        <v>R-410A</v>
      </c>
      <c r="M13" s="134" t="e">
        <f>INDEX(Table3[RefrigChargePoundsPerNormUnit],MATCH(Table2[[#This Row],[Pre tech lookup (not required for "NR" measure application types)]],DropdownRefrigTech,0))</f>
        <v>#N/A</v>
      </c>
      <c r="N13" s="134">
        <f>INDEX(Table3[RefrigChargePoundsPerNormUnit],MATCH(Table2[[#This Row],[Std tech lookup (not required for "AR" measure application types)]],DropdownRefrigTech,0))</f>
        <v>3.2</v>
      </c>
      <c r="O13" s="149">
        <f>INDEX(Table3[RefrigChargePoundsPerNormUnit],MATCH(Table2[[#This Row],[Msr tech lookup]],DropdownRefrigTech,0))</f>
        <v>3.5</v>
      </c>
      <c r="P13" s="163" t="e">
        <f>INDEX(Table3[AnnualLeakageRate],MATCH(Table2[[#This Row],[Pre tech lookup (not required for "NR" measure application types)]],DropdownRefrigTech,0))</f>
        <v>#N/A</v>
      </c>
      <c r="Q13" s="163">
        <f>INDEX(Table3[AnnualLeakageRate],MATCH(Table2[[#This Row],[Std tech lookup (not required for "AR" measure application types)]],DropdownRefrigTech,0))</f>
        <v>0.05</v>
      </c>
      <c r="R13" s="163">
        <f>INDEX(Table3[AnnualLeakageRate],MATCH(Table2[[#This Row],[Msr tech lookup]],DropdownRefrigTech,0))</f>
        <v>5.2999999999999999E-2</v>
      </c>
      <c r="S13" s="164" t="e">
        <f>INDEX(Table3[t_EOL],MATCH(Table2[[#This Row],[Pre tech lookup (not required for "NR" measure application types)]],DropdownRefrigTech,0))</f>
        <v>#N/A</v>
      </c>
      <c r="T13" s="164">
        <f>INDEX(Table3[t_EOL],MATCH(Table2[[#This Row],[Std tech lookup (not required for "AR" measure application types)]],DropdownRefrigTech,0))</f>
        <v>3</v>
      </c>
      <c r="U13" s="164">
        <f>INDEX(Table3[t_EOL],MATCH(Table2[[#This Row],[Msr tech lookup]],DropdownRefrigTech,0))</f>
        <v>3</v>
      </c>
      <c r="V13" s="163" t="e">
        <f>1-Table2[[#This Row],[Pre annual refrigerant leakage %]]*Table2[[#This Row],[Pre t_EOL]]</f>
        <v>#N/A</v>
      </c>
      <c r="W13" s="163">
        <f>1-Table2[[#This Row],[Std annual refrigerant leakage %]]*Table2[[#This Row],[Std t_EOL]]</f>
        <v>0.85</v>
      </c>
      <c r="X13" s="163">
        <f>1-Table2[[#This Row],[Msr annual refrigerant leakage %]]*Table2[[#This Row],[Msr t_EOL]]</f>
        <v>0.84099999999999997</v>
      </c>
      <c r="Y13" s="163" t="e">
        <f>INDEX(Table3[q_EOL],MATCH(Table2[[#This Row],[Pre tech lookup (not required for "NR" measure application types)]],DropdownRefrigTech,0))</f>
        <v>#N/A</v>
      </c>
      <c r="Z13" s="163">
        <f>INDEX(Table3[q_EOL],MATCH(Table2[[#This Row],[Std tech lookup (not required for "AR" measure application types)]],DropdownRefrigTech,0))</f>
        <v>0.8</v>
      </c>
      <c r="AA13" s="163">
        <f>INDEX(Table3[q_EOL],MATCH(Table2[[#This Row],[Msr tech lookup]],DropdownRefrigTech,0))</f>
        <v>0.8</v>
      </c>
      <c r="AB13" s="163" t="e">
        <f>Table2[[#This Row],[Pre charging remaining (%)]]*Table2[[#This Row],[Pre gross EOL refrigerant leakage %]]</f>
        <v>#N/A</v>
      </c>
      <c r="AC13" s="163">
        <f>Table2[[#This Row],[Std charging remaining (%)]]*Table2[[#This Row],[Std gross EOL refrigerant leakage %]]</f>
        <v>0.68</v>
      </c>
      <c r="AD13" s="163">
        <f>Table2[[#This Row],[Msr charging remaining (%)]]*Table2[[#This Row],[Msr gross EOL refrigerant leakage %]]</f>
        <v>0.67280000000000006</v>
      </c>
      <c r="AE13" s="164" t="e" cm="1">
        <f t="array" ref="AE13">INDEX(_xlfn.SWITCH($B$4,"20-yr",GWP_Values_20_year_AR4,"100-yr",GWP_Values_100_year_AR4),MATCH(Table2[[#This Row],[Pre Refrigerant Type]],RefrigDropdownList,0))</f>
        <v>#N/A</v>
      </c>
      <c r="AF13" s="164" cm="1">
        <f t="array" ref="AF13">INDEX(_xlfn.SWITCH($B$4,"20-yr",GWP_Values_20_year_AR4,"100-yr",GWP_Values_100_year_AR4),MATCH(Table2[[#This Row],[Std Refrigerant Type]],RefrigDropdownList,0))</f>
        <v>2087.5</v>
      </c>
      <c r="AG13" s="164" cm="1">
        <f t="array" ref="AG13">INDEX(_xlfn.SWITCH($B$4,"20-yr",GWP_Values_20_year_AR4,"100-yr",GWP_Values_100_year_AR4),MATCH(Table2[[#This Row],[Msr Refrigerant Type]],RefrigDropdownList,0))</f>
        <v>2087.5</v>
      </c>
      <c r="AH13" s="165" t="e">
        <f>(Table2[[#This Row],[Pre Refrigerant charge (lbs) per NormUnit]]/pounds_per_metric_ton)*Table2[[#This Row],[Pre annual refrigerant leakage %]]*Table2[[#This Row],[Pre GWP]]</f>
        <v>#N/A</v>
      </c>
      <c r="AI13" s="165">
        <f>(Table2[[#This Row],[Std Refrigerant charge (lbs)per NormUnit]]/pounds_per_metric_ton)*Table2[[#This Row],[Std annual refrigerant leakage %]]*Table2[[#This Row],[Std GWP]]</f>
        <v>0.15150003175150367</v>
      </c>
      <c r="AJ13" s="165">
        <f>(Table2[[#This Row],[Msr Refrigerant charge (lbs)per NormUnit]]/pounds_per_metric_ton)*Table2[[#This Row],[Msr annual refrigerant leakage %]]*Table2[[#This Row],[Msr GWP]]</f>
        <v>0.17564534931189954</v>
      </c>
      <c r="AK13" s="165" t="e">
        <f>(Table2[[#This Row],[Pre Refrigerant charge (lbs) per NormUnit]]/pounds_per_metric_ton)*Table2[[#This Row],[Pre net EOL refrigerant leakage (%)]]*Table2[[#This Row],[Pre GWP]]</f>
        <v>#N/A</v>
      </c>
      <c r="AL13" s="165">
        <f>(Table2[[#This Row],[Std Refrigerant charge (lbs)per NormUnit]]/pounds_per_metric_ton)*Table2[[#This Row],[Std net EOL refrigerant leakage (%)]]*Table2[[#This Row],[Std GWP]]</f>
        <v>2.0604004318204505</v>
      </c>
      <c r="AM13" s="165">
        <f>(Table2[[#This Row],[Msr Refrigerant charge (lbs)per NormUnit]]/pounds_per_metric_ton)*Table2[[#This Row],[Msr net EOL refrigerant leakage (%)]]*Table2[[#This Row],[Msr GWP]]</f>
        <v>2.2297017173027553</v>
      </c>
      <c r="AN13" s="174" cm="1">
        <f t="array" aca="1" ref="AN13" ca="1">IF(Table2[[#This Row],[MeasAppType]]="AR",Table2[[#This Row],[Pre Annual leakage tons CO2e]]*NPV(WACC,OFFSET(const_ones,0,0,1,Table2[[#This Row],[EUL]])*OFFSET(GHG_Adder_dollar_per_tonne,0,(Table2[[#This Row],[Device installation year]])-GHG_Adder_Yr1,1,Table2[[#This Row],[EUL]]))/(1+WACC)^(Table2[[#This Row],[Device installation year]]-DY),0)</f>
        <v>0</v>
      </c>
      <c r="AO13" s="174" cm="1">
        <f t="array" aca="1" ref="AO13" ca="1">IF(Table2[[#This Row],[MeasAppType]]="AR",0,Table2[[#This Row],[Std Annual leakage tons CO2e]]*NPV(WACC,OFFSET(const_ones,0,0,1,Table2[[#This Row],[EUL]])*OFFSET(GHG_Adder_dollar_per_tonne,0,(Table2[[#This Row],[Device installation year]])-GHG_Adder_Yr1,1,Table2[[#This Row],[EUL]]))/(1+WACC)^(Table2[[#This Row],[Device installation year]]-DY))</f>
        <v>74.294737946648198</v>
      </c>
      <c r="AP13" s="174" cm="1">
        <f t="array" aca="1" ref="AP13" ca="1">Table2[[#This Row],[Msr Annual leakage tons CO2e]]*NPV(WACC,OFFSET(const_ones,0,0,1,Table2[[#This Row],[EUL]])*OFFSET(GHG_Adder_dollar_per_tonne,0,((Table2[[#This Row],[Device installation year]])-GHG_Adder_Yr1),1,Table2[[#This Row],[EUL]]))/(1+WACC)^(Table2[[#This Row],[Device installation year]]-DY)</f>
        <v>86.135461806895236</v>
      </c>
      <c r="AQ13" s="260" cm="1">
        <f t="array" aca="1" ref="AQ13"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13" s="261" cm="1">
        <f t="array" aca="1" ref="AR13"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65.646307097355859</v>
      </c>
      <c r="AS13" s="261" cm="1">
        <f t="array" aca="1" ref="AS13" ca="1">Table2[[#This Row],[Msr EOL leakage tons CO2e]]*NPV(WACC,OFFSET(const_repeat_after,Table2[[#This Row],[EUL]],0,1,Table2[[#This Row],[EUL]])*OFFSET(GHG_Adder_dollar_per_tonne,0,(Table2[[#This Row],[Device installation year]])-GHG_Adder_Yr1,1,Table2[[#This Row],[EUL]]))/(1+WACC)^(Table2[[#This Row],[Device installation year]]-DY)</f>
        <v>71.040406228333424</v>
      </c>
      <c r="AT13" s="260">
        <f>0</f>
        <v>0</v>
      </c>
      <c r="AU13" s="174">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17.234822991224604</v>
      </c>
      <c r="AV13" s="174" t="b">
        <f ca="1">Table2[[#This Row],[RefrigerantNPVCostsNet]]&gt;0</f>
        <v>1</v>
      </c>
      <c r="AW13" s="174">
        <f>0</f>
        <v>0</v>
      </c>
      <c r="AX13" s="174">
        <f>0</f>
        <v>0</v>
      </c>
      <c r="AY13" s="174">
        <f>0</f>
        <v>0</v>
      </c>
      <c r="AZ13" s="174">
        <f ca="1">Table2[[#This Row],[Pre NPV Cost of Annual Leakage]]+Table2[[#This Row],[Pre NPV Cost of EOL Leakage]]</f>
        <v>0</v>
      </c>
      <c r="BA13" s="174">
        <f ca="1">Table2[[#This Row],[Std NPV Cost of Annual Leakage]]+Table2[[#This Row],[Std NPV Cost of EOL Leakage]]</f>
        <v>139.94104504400406</v>
      </c>
      <c r="BB13" s="174">
        <f ca="1">Table2[[#This Row],[AR immediate NPV cost of leakage]]+Table2[[#This Row],[Msr NPV Cost of Annual Leakage]]+Table2[[#This Row],[Msr NPV Cost of EOL Leakage]]</f>
        <v>157.17586803522866</v>
      </c>
      <c r="BC13" s="176">
        <f ca="1">IF(Table2[[#This Row],[Is Net Cost?]],Table2[[#This Row],[RefrigerantNPVCostsNet]],0)</f>
        <v>17.234822991224604</v>
      </c>
      <c r="BD13" s="174">
        <f ca="1">IF(Table2[[#This Row],[Is Net Cost?]],0,-Table2[[#This Row],[RefrigerantNPVCostsNet]])</f>
        <v>0</v>
      </c>
    </row>
    <row r="14" spans="1:56" x14ac:dyDescent="0.3">
      <c r="A14">
        <f t="shared" si="0"/>
        <v>2022</v>
      </c>
      <c r="B14" s="268" t="s">
        <v>758</v>
      </c>
      <c r="C14" s="212" t="s">
        <v>789</v>
      </c>
      <c r="D14" s="212" t="s">
        <v>495</v>
      </c>
      <c r="E14" s="216" t="str">
        <f>IF(Table2[[#This Row],[MeasAppType]]="NR","N/A","N/A")</f>
        <v>N/A</v>
      </c>
      <c r="F14" s="217">
        <v>15</v>
      </c>
      <c r="G14" s="218" t="s">
        <v>457</v>
      </c>
      <c r="H14" s="218"/>
      <c r="I14" s="218" t="s">
        <v>452</v>
      </c>
      <c r="J14" t="str">
        <f>INDEX(Table3[CommonRefrigerantType],MATCH(Table2[[#This Row],[Pre tech lookup (not required for "NR" measure application types)]],DropdownRefrigTech,0))</f>
        <v>R-410A</v>
      </c>
      <c r="K14" t="e">
        <f>INDEX(Table3[CommonRefrigerantType],MATCH(Table2[[#This Row],[Std tech lookup (not required for "AR" measure application types)]],DropdownRefrigTech,0))</f>
        <v>#N/A</v>
      </c>
      <c r="L14" t="str">
        <f>INDEX(Table3[CommonRefrigerantType],MATCH(Table2[[#This Row],[Msr tech lookup]],DropdownRefrigTech,0))</f>
        <v>R-410A</v>
      </c>
      <c r="M14" s="134">
        <f>INDEX(Table3[RefrigChargePoundsPerNormUnit],MATCH(Table2[[#This Row],[Pre tech lookup (not required for "NR" measure application types)]],DropdownRefrigTech,0))</f>
        <v>3.2</v>
      </c>
      <c r="N14" s="134" t="e">
        <f>INDEX(Table3[RefrigChargePoundsPerNormUnit],MATCH(Table2[[#This Row],[Std tech lookup (not required for "AR" measure application types)]],DropdownRefrigTech,0))</f>
        <v>#N/A</v>
      </c>
      <c r="O14" s="149">
        <f>INDEX(Table3[RefrigChargePoundsPerNormUnit],MATCH(Table2[[#This Row],[Msr tech lookup]],DropdownRefrigTech,0))</f>
        <v>3.5</v>
      </c>
      <c r="P14" s="163">
        <f>INDEX(Table3[AnnualLeakageRate],MATCH(Table2[[#This Row],[Pre tech lookup (not required for "NR" measure application types)]],DropdownRefrigTech,0))</f>
        <v>0.05</v>
      </c>
      <c r="Q14" s="163" t="e">
        <f>INDEX(Table3[AnnualLeakageRate],MATCH(Table2[[#This Row],[Std tech lookup (not required for "AR" measure application types)]],DropdownRefrigTech,0))</f>
        <v>#N/A</v>
      </c>
      <c r="R14" s="163">
        <f>INDEX(Table3[AnnualLeakageRate],MATCH(Table2[[#This Row],[Msr tech lookup]],DropdownRefrigTech,0))</f>
        <v>5.2999999999999999E-2</v>
      </c>
      <c r="S14" s="164">
        <f>INDEX(Table3[t_EOL],MATCH(Table2[[#This Row],[Pre tech lookup (not required for "NR" measure application types)]],DropdownRefrigTech,0))</f>
        <v>3</v>
      </c>
      <c r="T14" s="164" t="e">
        <f>INDEX(Table3[t_EOL],MATCH(Table2[[#This Row],[Std tech lookup (not required for "AR" measure application types)]],DropdownRefrigTech,0))</f>
        <v>#N/A</v>
      </c>
      <c r="U14" s="164">
        <f>INDEX(Table3[t_EOL],MATCH(Table2[[#This Row],[Msr tech lookup]],DropdownRefrigTech,0))</f>
        <v>3</v>
      </c>
      <c r="V14" s="163">
        <f>1-Table2[[#This Row],[Pre annual refrigerant leakage %]]*Table2[[#This Row],[Pre t_EOL]]</f>
        <v>0.85</v>
      </c>
      <c r="W14" s="163" t="e">
        <f>1-Table2[[#This Row],[Std annual refrigerant leakage %]]*Table2[[#This Row],[Std t_EOL]]</f>
        <v>#N/A</v>
      </c>
      <c r="X14" s="163">
        <f>1-Table2[[#This Row],[Msr annual refrigerant leakage %]]*Table2[[#This Row],[Msr t_EOL]]</f>
        <v>0.84099999999999997</v>
      </c>
      <c r="Y14" s="163">
        <f>INDEX(Table3[q_EOL],MATCH(Table2[[#This Row],[Pre tech lookup (not required for "NR" measure application types)]],DropdownRefrigTech,0))</f>
        <v>0.8</v>
      </c>
      <c r="Z14" s="163" t="e">
        <f>INDEX(Table3[q_EOL],MATCH(Table2[[#This Row],[Std tech lookup (not required for "AR" measure application types)]],DropdownRefrigTech,0))</f>
        <v>#N/A</v>
      </c>
      <c r="AA14" s="163">
        <f>INDEX(Table3[q_EOL],MATCH(Table2[[#This Row],[Msr tech lookup]],DropdownRefrigTech,0))</f>
        <v>0.8</v>
      </c>
      <c r="AB14" s="163">
        <f>Table2[[#This Row],[Pre charging remaining (%)]]*Table2[[#This Row],[Pre gross EOL refrigerant leakage %]]</f>
        <v>0.68</v>
      </c>
      <c r="AC14" s="163" t="e">
        <f>Table2[[#This Row],[Std charging remaining (%)]]*Table2[[#This Row],[Std gross EOL refrigerant leakage %]]</f>
        <v>#N/A</v>
      </c>
      <c r="AD14" s="163">
        <f>Table2[[#This Row],[Msr charging remaining (%)]]*Table2[[#This Row],[Msr gross EOL refrigerant leakage %]]</f>
        <v>0.67280000000000006</v>
      </c>
      <c r="AE14" s="164" cm="1">
        <f t="array" ref="AE14">INDEX(_xlfn.SWITCH($B$4,"20-yr",GWP_Values_20_year_AR4,"100-yr",GWP_Values_100_year_AR4),MATCH(Table2[[#This Row],[Pre Refrigerant Type]],RefrigDropdownList,0))</f>
        <v>2087.5</v>
      </c>
      <c r="AF14" s="164" t="e" cm="1">
        <f t="array" ref="AF14">INDEX(_xlfn.SWITCH($B$4,"20-yr",GWP_Values_20_year_AR4,"100-yr",GWP_Values_100_year_AR4),MATCH(Table2[[#This Row],[Std Refrigerant Type]],RefrigDropdownList,0))</f>
        <v>#N/A</v>
      </c>
      <c r="AG14" s="164" cm="1">
        <f t="array" ref="AG14">INDEX(_xlfn.SWITCH($B$4,"20-yr",GWP_Values_20_year_AR4,"100-yr",GWP_Values_100_year_AR4),MATCH(Table2[[#This Row],[Msr Refrigerant Type]],RefrigDropdownList,0))</f>
        <v>2087.5</v>
      </c>
      <c r="AH14" s="165">
        <f>(Table2[[#This Row],[Pre Refrigerant charge (lbs) per NormUnit]]/pounds_per_metric_ton)*Table2[[#This Row],[Pre annual refrigerant leakage %]]*Table2[[#This Row],[Pre GWP]]</f>
        <v>0.15150003175150367</v>
      </c>
      <c r="AI14" s="165" t="e">
        <f>(Table2[[#This Row],[Std Refrigerant charge (lbs)per NormUnit]]/pounds_per_metric_ton)*Table2[[#This Row],[Std annual refrigerant leakage %]]*Table2[[#This Row],[Std GWP]]</f>
        <v>#N/A</v>
      </c>
      <c r="AJ14" s="165">
        <f>(Table2[[#This Row],[Msr Refrigerant charge (lbs)per NormUnit]]/pounds_per_metric_ton)*Table2[[#This Row],[Msr annual refrigerant leakage %]]*Table2[[#This Row],[Msr GWP]]</f>
        <v>0.17564534931189954</v>
      </c>
      <c r="AK14" s="165">
        <f>(Table2[[#This Row],[Pre Refrigerant charge (lbs) per NormUnit]]/pounds_per_metric_ton)*Table2[[#This Row],[Pre net EOL refrigerant leakage (%)]]*Table2[[#This Row],[Pre GWP]]</f>
        <v>2.0604004318204505</v>
      </c>
      <c r="AL14" s="165" t="e">
        <f>(Table2[[#This Row],[Std Refrigerant charge (lbs)per NormUnit]]/pounds_per_metric_ton)*Table2[[#This Row],[Std net EOL refrigerant leakage (%)]]*Table2[[#This Row],[Std GWP]]</f>
        <v>#N/A</v>
      </c>
      <c r="AM14" s="165">
        <f>(Table2[[#This Row],[Msr Refrigerant charge (lbs)per NormUnit]]/pounds_per_metric_ton)*Table2[[#This Row],[Msr net EOL refrigerant leakage (%)]]*Table2[[#This Row],[Msr GWP]]</f>
        <v>2.2297017173027553</v>
      </c>
      <c r="AN14" s="174" cm="1">
        <f t="array" aca="1" ref="AN14" ca="1">IF(Table2[[#This Row],[MeasAppType]]="AR",Table2[[#This Row],[Pre Annual leakage tons CO2e]]*NPV(WACC,OFFSET(const_ones,0,0,1,Table2[[#This Row],[EUL]])*OFFSET(GHG_Adder_dollar_per_tonne,0,(Table2[[#This Row],[Device installation year]])-GHG_Adder_Yr1,1,Table2[[#This Row],[EUL]]))/(1+WACC)^(Table2[[#This Row],[Device installation year]]-DY),0)</f>
        <v>74.294737946648198</v>
      </c>
      <c r="AO14" s="174" cm="1">
        <f t="array" aca="1" ref="AO14" ca="1">IF(Table2[[#This Row],[MeasAppType]]="AR",0,Table2[[#This Row],[Std Annual leakage tons CO2e]]*NPV(WACC,OFFSET(const_ones,0,0,1,Table2[[#This Row],[EUL]])*OFFSET(GHG_Adder_dollar_per_tonne,0,(Table2[[#This Row],[Device installation year]])-GHG_Adder_Yr1,1,Table2[[#This Row],[EUL]]))/(1+WACC)^(Table2[[#This Row],[Device installation year]]-DY))</f>
        <v>0</v>
      </c>
      <c r="AP14" s="174" cm="1">
        <f t="array" aca="1" ref="AP14" ca="1">Table2[[#This Row],[Msr Annual leakage tons CO2e]]*NPV(WACC,OFFSET(const_ones,0,0,1,Table2[[#This Row],[EUL]])*OFFSET(GHG_Adder_dollar_per_tonne,0,((Table2[[#This Row],[Device installation year]])-GHG_Adder_Yr1),1,Table2[[#This Row],[EUL]]))/(1+WACC)^(Table2[[#This Row],[Device installation year]]-DY)</f>
        <v>86.135461806895236</v>
      </c>
      <c r="AQ14" s="260" cm="1">
        <f t="array" aca="1" ref="AQ14"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65.646307097355859</v>
      </c>
      <c r="AR14" s="261" cm="1">
        <f t="array" aca="1" ref="AR14"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0</v>
      </c>
      <c r="AS14" s="261" cm="1">
        <f t="array" aca="1" ref="AS14" ca="1">Table2[[#This Row],[Msr EOL leakage tons CO2e]]*NPV(WACC,OFFSET(const_repeat_after,Table2[[#This Row],[EUL]],0,1,Table2[[#This Row],[EUL]])*OFFSET(GHG_Adder_dollar_per_tonne,0,(Table2[[#This Row],[Device installation year]])-GHG_Adder_Yr1,1,Table2[[#This Row],[EUL]]))/(1+WACC)^(Table2[[#This Row],[Device installation year]]-DY)</f>
        <v>71.040406228333424</v>
      </c>
      <c r="AT14" s="260">
        <f>0</f>
        <v>0</v>
      </c>
      <c r="AU14" s="174">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17.234822991224604</v>
      </c>
      <c r="AV14" s="174" t="b">
        <f ca="1">Table2[[#This Row],[RefrigerantNPVCostsNet]]&gt;0</f>
        <v>1</v>
      </c>
      <c r="AW14" s="174">
        <f>0</f>
        <v>0</v>
      </c>
      <c r="AX14" s="174">
        <f>0</f>
        <v>0</v>
      </c>
      <c r="AY14" s="174">
        <f>0</f>
        <v>0</v>
      </c>
      <c r="AZ14" s="174">
        <f ca="1">Table2[[#This Row],[Pre NPV Cost of Annual Leakage]]+Table2[[#This Row],[Pre NPV Cost of EOL Leakage]]</f>
        <v>139.94104504400406</v>
      </c>
      <c r="BA14" s="174">
        <f ca="1">Table2[[#This Row],[Std NPV Cost of Annual Leakage]]+Table2[[#This Row],[Std NPV Cost of EOL Leakage]]</f>
        <v>0</v>
      </c>
      <c r="BB14" s="174">
        <f ca="1">Table2[[#This Row],[AR immediate NPV cost of leakage]]+Table2[[#This Row],[Msr NPV Cost of Annual Leakage]]+Table2[[#This Row],[Msr NPV Cost of EOL Leakage]]</f>
        <v>157.17586803522866</v>
      </c>
      <c r="BC14" s="176">
        <f ca="1">IF(Table2[[#This Row],[Is Net Cost?]],Table2[[#This Row],[RefrigerantNPVCostsNet]],0)</f>
        <v>17.234822991224604</v>
      </c>
      <c r="BD14" s="174">
        <f ca="1">IF(Table2[[#This Row],[Is Net Cost?]],0,-Table2[[#This Row],[RefrigerantNPVCostsNet]])</f>
        <v>0</v>
      </c>
    </row>
    <row r="15" spans="1:56" x14ac:dyDescent="0.3">
      <c r="A15">
        <f t="shared" si="0"/>
        <v>2022</v>
      </c>
      <c r="B15" s="268" t="s">
        <v>759</v>
      </c>
      <c r="C15" s="212" t="s">
        <v>789</v>
      </c>
      <c r="D15" s="212" t="s">
        <v>495</v>
      </c>
      <c r="E15" s="216" t="str">
        <f>IF(Table2[[#This Row],[MeasAppType]]="NR","N/A","N/A")</f>
        <v>N/A</v>
      </c>
      <c r="F15" s="217">
        <v>15</v>
      </c>
      <c r="G15" s="218" t="s">
        <v>457</v>
      </c>
      <c r="H15" s="218"/>
      <c r="I15" s="218" t="s">
        <v>452</v>
      </c>
      <c r="J15" t="str">
        <f>INDEX(Table3[CommonRefrigerantType],MATCH(Table2[[#This Row],[Pre tech lookup (not required for "NR" measure application types)]],DropdownRefrigTech,0))</f>
        <v>R-410A</v>
      </c>
      <c r="K15" t="e">
        <f>INDEX(Table3[CommonRefrigerantType],MATCH(Table2[[#This Row],[Std tech lookup (not required for "AR" measure application types)]],DropdownRefrigTech,0))</f>
        <v>#N/A</v>
      </c>
      <c r="L15" t="str">
        <f>INDEX(Table3[CommonRefrigerantType],MATCH(Table2[[#This Row],[Msr tech lookup]],DropdownRefrigTech,0))</f>
        <v>R-410A</v>
      </c>
      <c r="M15" s="134">
        <f>INDEX(Table3[RefrigChargePoundsPerNormUnit],MATCH(Table2[[#This Row],[Pre tech lookup (not required for "NR" measure application types)]],DropdownRefrigTech,0))</f>
        <v>3.2</v>
      </c>
      <c r="N15" s="134" t="e">
        <f>INDEX(Table3[RefrigChargePoundsPerNormUnit],MATCH(Table2[[#This Row],[Std tech lookup (not required for "AR" measure application types)]],DropdownRefrigTech,0))</f>
        <v>#N/A</v>
      </c>
      <c r="O15" s="149">
        <f>INDEX(Table3[RefrigChargePoundsPerNormUnit],MATCH(Table2[[#This Row],[Msr tech lookup]],DropdownRefrigTech,0))</f>
        <v>3.5</v>
      </c>
      <c r="P15" s="163">
        <f>INDEX(Table3[AnnualLeakageRate],MATCH(Table2[[#This Row],[Pre tech lookup (not required for "NR" measure application types)]],DropdownRefrigTech,0))</f>
        <v>0.05</v>
      </c>
      <c r="Q15" s="163" t="e">
        <f>INDEX(Table3[AnnualLeakageRate],MATCH(Table2[[#This Row],[Std tech lookup (not required for "AR" measure application types)]],DropdownRefrigTech,0))</f>
        <v>#N/A</v>
      </c>
      <c r="R15" s="163">
        <f>INDEX(Table3[AnnualLeakageRate],MATCH(Table2[[#This Row],[Msr tech lookup]],DropdownRefrigTech,0))</f>
        <v>5.2999999999999999E-2</v>
      </c>
      <c r="S15" s="164">
        <f>INDEX(Table3[t_EOL],MATCH(Table2[[#This Row],[Pre tech lookup (not required for "NR" measure application types)]],DropdownRefrigTech,0))</f>
        <v>3</v>
      </c>
      <c r="T15" s="164" t="e">
        <f>INDEX(Table3[t_EOL],MATCH(Table2[[#This Row],[Std tech lookup (not required for "AR" measure application types)]],DropdownRefrigTech,0))</f>
        <v>#N/A</v>
      </c>
      <c r="U15" s="164">
        <f>INDEX(Table3[t_EOL],MATCH(Table2[[#This Row],[Msr tech lookup]],DropdownRefrigTech,0))</f>
        <v>3</v>
      </c>
      <c r="V15" s="163">
        <f>1-Table2[[#This Row],[Pre annual refrigerant leakage %]]*Table2[[#This Row],[Pre t_EOL]]</f>
        <v>0.85</v>
      </c>
      <c r="W15" s="163" t="e">
        <f>1-Table2[[#This Row],[Std annual refrigerant leakage %]]*Table2[[#This Row],[Std t_EOL]]</f>
        <v>#N/A</v>
      </c>
      <c r="X15" s="163">
        <f>1-Table2[[#This Row],[Msr annual refrigerant leakage %]]*Table2[[#This Row],[Msr t_EOL]]</f>
        <v>0.84099999999999997</v>
      </c>
      <c r="Y15" s="163">
        <f>INDEX(Table3[q_EOL],MATCH(Table2[[#This Row],[Pre tech lookup (not required for "NR" measure application types)]],DropdownRefrigTech,0))</f>
        <v>0.8</v>
      </c>
      <c r="Z15" s="163" t="e">
        <f>INDEX(Table3[q_EOL],MATCH(Table2[[#This Row],[Std tech lookup (not required for "AR" measure application types)]],DropdownRefrigTech,0))</f>
        <v>#N/A</v>
      </c>
      <c r="AA15" s="163">
        <f>INDEX(Table3[q_EOL],MATCH(Table2[[#This Row],[Msr tech lookup]],DropdownRefrigTech,0))</f>
        <v>0.8</v>
      </c>
      <c r="AB15" s="163">
        <f>Table2[[#This Row],[Pre charging remaining (%)]]*Table2[[#This Row],[Pre gross EOL refrigerant leakage %]]</f>
        <v>0.68</v>
      </c>
      <c r="AC15" s="163" t="e">
        <f>Table2[[#This Row],[Std charging remaining (%)]]*Table2[[#This Row],[Std gross EOL refrigerant leakage %]]</f>
        <v>#N/A</v>
      </c>
      <c r="AD15" s="163">
        <f>Table2[[#This Row],[Msr charging remaining (%)]]*Table2[[#This Row],[Msr gross EOL refrigerant leakage %]]</f>
        <v>0.67280000000000006</v>
      </c>
      <c r="AE15" s="164" cm="1">
        <f t="array" ref="AE15">INDEX(_xlfn.SWITCH($B$4,"20-yr",GWP_Values_20_year_AR4,"100-yr",GWP_Values_100_year_AR4),MATCH(Table2[[#This Row],[Pre Refrigerant Type]],RefrigDropdownList,0))</f>
        <v>2087.5</v>
      </c>
      <c r="AF15" s="164" t="e" cm="1">
        <f t="array" ref="AF15">INDEX(_xlfn.SWITCH($B$4,"20-yr",GWP_Values_20_year_AR4,"100-yr",GWP_Values_100_year_AR4),MATCH(Table2[[#This Row],[Std Refrigerant Type]],RefrigDropdownList,0))</f>
        <v>#N/A</v>
      </c>
      <c r="AG15" s="164" cm="1">
        <f t="array" ref="AG15">INDEX(_xlfn.SWITCH($B$4,"20-yr",GWP_Values_20_year_AR4,"100-yr",GWP_Values_100_year_AR4),MATCH(Table2[[#This Row],[Msr Refrigerant Type]],RefrigDropdownList,0))</f>
        <v>2087.5</v>
      </c>
      <c r="AH15" s="165">
        <f>(Table2[[#This Row],[Pre Refrigerant charge (lbs) per NormUnit]]/pounds_per_metric_ton)*Table2[[#This Row],[Pre annual refrigerant leakage %]]*Table2[[#This Row],[Pre GWP]]</f>
        <v>0.15150003175150367</v>
      </c>
      <c r="AI15" s="165" t="e">
        <f>(Table2[[#This Row],[Std Refrigerant charge (lbs)per NormUnit]]/pounds_per_metric_ton)*Table2[[#This Row],[Std annual refrigerant leakage %]]*Table2[[#This Row],[Std GWP]]</f>
        <v>#N/A</v>
      </c>
      <c r="AJ15" s="165">
        <f>(Table2[[#This Row],[Msr Refrigerant charge (lbs)per NormUnit]]/pounds_per_metric_ton)*Table2[[#This Row],[Msr annual refrigerant leakage %]]*Table2[[#This Row],[Msr GWP]]</f>
        <v>0.17564534931189954</v>
      </c>
      <c r="AK15" s="165">
        <f>(Table2[[#This Row],[Pre Refrigerant charge (lbs) per NormUnit]]/pounds_per_metric_ton)*Table2[[#This Row],[Pre net EOL refrigerant leakage (%)]]*Table2[[#This Row],[Pre GWP]]</f>
        <v>2.0604004318204505</v>
      </c>
      <c r="AL15" s="165" t="e">
        <f>(Table2[[#This Row],[Std Refrigerant charge (lbs)per NormUnit]]/pounds_per_metric_ton)*Table2[[#This Row],[Std net EOL refrigerant leakage (%)]]*Table2[[#This Row],[Std GWP]]</f>
        <v>#N/A</v>
      </c>
      <c r="AM15" s="165">
        <f>(Table2[[#This Row],[Msr Refrigerant charge (lbs)per NormUnit]]/pounds_per_metric_ton)*Table2[[#This Row],[Msr net EOL refrigerant leakage (%)]]*Table2[[#This Row],[Msr GWP]]</f>
        <v>2.2297017173027553</v>
      </c>
      <c r="AN15" s="174" cm="1">
        <f t="array" aca="1" ref="AN15" ca="1">IF(Table2[[#This Row],[MeasAppType]]="AR",Table2[[#This Row],[Pre Annual leakage tons CO2e]]*NPV(WACC,OFFSET(const_ones,0,0,1,Table2[[#This Row],[EUL]])*OFFSET(GHG_Adder_dollar_per_tonne,0,(Table2[[#This Row],[Device installation year]])-GHG_Adder_Yr1,1,Table2[[#This Row],[EUL]]))/(1+WACC)^(Table2[[#This Row],[Device installation year]]-DY),0)</f>
        <v>74.294737946648198</v>
      </c>
      <c r="AO15" s="174" cm="1">
        <f t="array" aca="1" ref="AO15" ca="1">IF(Table2[[#This Row],[MeasAppType]]="AR",0,Table2[[#This Row],[Std Annual leakage tons CO2e]]*NPV(WACC,OFFSET(const_ones,0,0,1,Table2[[#This Row],[EUL]])*OFFSET(GHG_Adder_dollar_per_tonne,0,(Table2[[#This Row],[Device installation year]])-GHG_Adder_Yr1,1,Table2[[#This Row],[EUL]]))/(1+WACC)^(Table2[[#This Row],[Device installation year]]-DY))</f>
        <v>0</v>
      </c>
      <c r="AP15" s="174" cm="1">
        <f t="array" aca="1" ref="AP15" ca="1">Table2[[#This Row],[Msr Annual leakage tons CO2e]]*NPV(WACC,OFFSET(const_ones,0,0,1,Table2[[#This Row],[EUL]])*OFFSET(GHG_Adder_dollar_per_tonne,0,((Table2[[#This Row],[Device installation year]])-GHG_Adder_Yr1),1,Table2[[#This Row],[EUL]]))/(1+WACC)^(Table2[[#This Row],[Device installation year]]-DY)</f>
        <v>86.135461806895236</v>
      </c>
      <c r="AQ15" s="260" cm="1">
        <f t="array" aca="1" ref="AQ15"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65.646307097355859</v>
      </c>
      <c r="AR15" s="261" cm="1">
        <f t="array" aca="1" ref="AR15"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0</v>
      </c>
      <c r="AS15" s="261" cm="1">
        <f t="array" aca="1" ref="AS15" ca="1">Table2[[#This Row],[Msr EOL leakage tons CO2e]]*NPV(WACC,OFFSET(const_repeat_after,Table2[[#This Row],[EUL]],0,1,Table2[[#This Row],[EUL]])*OFFSET(GHG_Adder_dollar_per_tonne,0,(Table2[[#This Row],[Device installation year]])-GHG_Adder_Yr1,1,Table2[[#This Row],[EUL]]))/(1+WACC)^(Table2[[#This Row],[Device installation year]]-DY)</f>
        <v>71.040406228333424</v>
      </c>
      <c r="AT15" s="260">
        <f>0</f>
        <v>0</v>
      </c>
      <c r="AU15" s="174">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17.234822991224604</v>
      </c>
      <c r="AV15" s="174" t="b">
        <f ca="1">Table2[[#This Row],[RefrigerantNPVCostsNet]]&gt;0</f>
        <v>1</v>
      </c>
      <c r="AW15" s="174">
        <f>0</f>
        <v>0</v>
      </c>
      <c r="AX15" s="174">
        <f>0</f>
        <v>0</v>
      </c>
      <c r="AY15" s="174">
        <f>0</f>
        <v>0</v>
      </c>
      <c r="AZ15" s="174">
        <f ca="1">Table2[[#This Row],[Pre NPV Cost of Annual Leakage]]+Table2[[#This Row],[Pre NPV Cost of EOL Leakage]]</f>
        <v>139.94104504400406</v>
      </c>
      <c r="BA15" s="174">
        <f ca="1">Table2[[#This Row],[Std NPV Cost of Annual Leakage]]+Table2[[#This Row],[Std NPV Cost of EOL Leakage]]</f>
        <v>0</v>
      </c>
      <c r="BB15" s="174">
        <f ca="1">Table2[[#This Row],[AR immediate NPV cost of leakage]]+Table2[[#This Row],[Msr NPV Cost of Annual Leakage]]+Table2[[#This Row],[Msr NPV Cost of EOL Leakage]]</f>
        <v>157.17586803522866</v>
      </c>
      <c r="BC15" s="176">
        <f ca="1">IF(Table2[[#This Row],[Is Net Cost?]],Table2[[#This Row],[RefrigerantNPVCostsNet]],0)</f>
        <v>17.234822991224604</v>
      </c>
      <c r="BD15" s="174">
        <f ca="1">IF(Table2[[#This Row],[Is Net Cost?]],0,-Table2[[#This Row],[RefrigerantNPVCostsNet]])</f>
        <v>0</v>
      </c>
    </row>
    <row r="16" spans="1:56" x14ac:dyDescent="0.3">
      <c r="A16">
        <f t="shared" si="0"/>
        <v>2022</v>
      </c>
      <c r="B16" s="268" t="s">
        <v>760</v>
      </c>
      <c r="C16" s="212" t="s">
        <v>789</v>
      </c>
      <c r="D16" s="212" t="s">
        <v>495</v>
      </c>
      <c r="E16" s="216" t="str">
        <f>IF(Table2[[#This Row],[MeasAppType]]="NR","N/A","N/A")</f>
        <v>N/A</v>
      </c>
      <c r="F16" s="217">
        <v>15</v>
      </c>
      <c r="G16" s="218" t="s">
        <v>457</v>
      </c>
      <c r="H16" s="218"/>
      <c r="I16" s="218" t="s">
        <v>452</v>
      </c>
      <c r="J16" t="str">
        <f>INDEX(Table3[CommonRefrigerantType],MATCH(Table2[[#This Row],[Pre tech lookup (not required for "NR" measure application types)]],DropdownRefrigTech,0))</f>
        <v>R-410A</v>
      </c>
      <c r="K16" t="e">
        <f>INDEX(Table3[CommonRefrigerantType],MATCH(Table2[[#This Row],[Std tech lookup (not required for "AR" measure application types)]],DropdownRefrigTech,0))</f>
        <v>#N/A</v>
      </c>
      <c r="L16" t="str">
        <f>INDEX(Table3[CommonRefrigerantType],MATCH(Table2[[#This Row],[Msr tech lookup]],DropdownRefrigTech,0))</f>
        <v>R-410A</v>
      </c>
      <c r="M16" s="134">
        <f>INDEX(Table3[RefrigChargePoundsPerNormUnit],MATCH(Table2[[#This Row],[Pre tech lookup (not required for "NR" measure application types)]],DropdownRefrigTech,0))</f>
        <v>3.2</v>
      </c>
      <c r="N16" s="134" t="e">
        <f>INDEX(Table3[RefrigChargePoundsPerNormUnit],MATCH(Table2[[#This Row],[Std tech lookup (not required for "AR" measure application types)]],DropdownRefrigTech,0))</f>
        <v>#N/A</v>
      </c>
      <c r="O16" s="149">
        <f>INDEX(Table3[RefrigChargePoundsPerNormUnit],MATCH(Table2[[#This Row],[Msr tech lookup]],DropdownRefrigTech,0))</f>
        <v>3.5</v>
      </c>
      <c r="P16" s="163">
        <f>INDEX(Table3[AnnualLeakageRate],MATCH(Table2[[#This Row],[Pre tech lookup (not required for "NR" measure application types)]],DropdownRefrigTech,0))</f>
        <v>0.05</v>
      </c>
      <c r="Q16" s="163" t="e">
        <f>INDEX(Table3[AnnualLeakageRate],MATCH(Table2[[#This Row],[Std tech lookup (not required for "AR" measure application types)]],DropdownRefrigTech,0))</f>
        <v>#N/A</v>
      </c>
      <c r="R16" s="163">
        <f>INDEX(Table3[AnnualLeakageRate],MATCH(Table2[[#This Row],[Msr tech lookup]],DropdownRefrigTech,0))</f>
        <v>5.2999999999999999E-2</v>
      </c>
      <c r="S16" s="164">
        <f>INDEX(Table3[t_EOL],MATCH(Table2[[#This Row],[Pre tech lookup (not required for "NR" measure application types)]],DropdownRefrigTech,0))</f>
        <v>3</v>
      </c>
      <c r="T16" s="164" t="e">
        <f>INDEX(Table3[t_EOL],MATCH(Table2[[#This Row],[Std tech lookup (not required for "AR" measure application types)]],DropdownRefrigTech,0))</f>
        <v>#N/A</v>
      </c>
      <c r="U16" s="164">
        <f>INDEX(Table3[t_EOL],MATCH(Table2[[#This Row],[Msr tech lookup]],DropdownRefrigTech,0))</f>
        <v>3</v>
      </c>
      <c r="V16" s="163">
        <f>1-Table2[[#This Row],[Pre annual refrigerant leakage %]]*Table2[[#This Row],[Pre t_EOL]]</f>
        <v>0.85</v>
      </c>
      <c r="W16" s="163" t="e">
        <f>1-Table2[[#This Row],[Std annual refrigerant leakage %]]*Table2[[#This Row],[Std t_EOL]]</f>
        <v>#N/A</v>
      </c>
      <c r="X16" s="163">
        <f>1-Table2[[#This Row],[Msr annual refrigerant leakage %]]*Table2[[#This Row],[Msr t_EOL]]</f>
        <v>0.84099999999999997</v>
      </c>
      <c r="Y16" s="163">
        <f>INDEX(Table3[q_EOL],MATCH(Table2[[#This Row],[Pre tech lookup (not required for "NR" measure application types)]],DropdownRefrigTech,0))</f>
        <v>0.8</v>
      </c>
      <c r="Z16" s="163" t="e">
        <f>INDEX(Table3[q_EOL],MATCH(Table2[[#This Row],[Std tech lookup (not required for "AR" measure application types)]],DropdownRefrigTech,0))</f>
        <v>#N/A</v>
      </c>
      <c r="AA16" s="163">
        <f>INDEX(Table3[q_EOL],MATCH(Table2[[#This Row],[Msr tech lookup]],DropdownRefrigTech,0))</f>
        <v>0.8</v>
      </c>
      <c r="AB16" s="163">
        <f>Table2[[#This Row],[Pre charging remaining (%)]]*Table2[[#This Row],[Pre gross EOL refrigerant leakage %]]</f>
        <v>0.68</v>
      </c>
      <c r="AC16" s="163" t="e">
        <f>Table2[[#This Row],[Std charging remaining (%)]]*Table2[[#This Row],[Std gross EOL refrigerant leakage %]]</f>
        <v>#N/A</v>
      </c>
      <c r="AD16" s="163">
        <f>Table2[[#This Row],[Msr charging remaining (%)]]*Table2[[#This Row],[Msr gross EOL refrigerant leakage %]]</f>
        <v>0.67280000000000006</v>
      </c>
      <c r="AE16" s="164" cm="1">
        <f t="array" ref="AE16">INDEX(_xlfn.SWITCH($B$4,"20-yr",GWP_Values_20_year_AR4,"100-yr",GWP_Values_100_year_AR4),MATCH(Table2[[#This Row],[Pre Refrigerant Type]],RefrigDropdownList,0))</f>
        <v>2087.5</v>
      </c>
      <c r="AF16" s="164" t="e" cm="1">
        <f t="array" ref="AF16">INDEX(_xlfn.SWITCH($B$4,"20-yr",GWP_Values_20_year_AR4,"100-yr",GWP_Values_100_year_AR4),MATCH(Table2[[#This Row],[Std Refrigerant Type]],RefrigDropdownList,0))</f>
        <v>#N/A</v>
      </c>
      <c r="AG16" s="164" cm="1">
        <f t="array" ref="AG16">INDEX(_xlfn.SWITCH($B$4,"20-yr",GWP_Values_20_year_AR4,"100-yr",GWP_Values_100_year_AR4),MATCH(Table2[[#This Row],[Msr Refrigerant Type]],RefrigDropdownList,0))</f>
        <v>2087.5</v>
      </c>
      <c r="AH16" s="165">
        <f>(Table2[[#This Row],[Pre Refrigerant charge (lbs) per NormUnit]]/pounds_per_metric_ton)*Table2[[#This Row],[Pre annual refrigerant leakage %]]*Table2[[#This Row],[Pre GWP]]</f>
        <v>0.15150003175150367</v>
      </c>
      <c r="AI16" s="165" t="e">
        <f>(Table2[[#This Row],[Std Refrigerant charge (lbs)per NormUnit]]/pounds_per_metric_ton)*Table2[[#This Row],[Std annual refrigerant leakage %]]*Table2[[#This Row],[Std GWP]]</f>
        <v>#N/A</v>
      </c>
      <c r="AJ16" s="165">
        <f>(Table2[[#This Row],[Msr Refrigerant charge (lbs)per NormUnit]]/pounds_per_metric_ton)*Table2[[#This Row],[Msr annual refrigerant leakage %]]*Table2[[#This Row],[Msr GWP]]</f>
        <v>0.17564534931189954</v>
      </c>
      <c r="AK16" s="165">
        <f>(Table2[[#This Row],[Pre Refrigerant charge (lbs) per NormUnit]]/pounds_per_metric_ton)*Table2[[#This Row],[Pre net EOL refrigerant leakage (%)]]*Table2[[#This Row],[Pre GWP]]</f>
        <v>2.0604004318204505</v>
      </c>
      <c r="AL16" s="165" t="e">
        <f>(Table2[[#This Row],[Std Refrigerant charge (lbs)per NormUnit]]/pounds_per_metric_ton)*Table2[[#This Row],[Std net EOL refrigerant leakage (%)]]*Table2[[#This Row],[Std GWP]]</f>
        <v>#N/A</v>
      </c>
      <c r="AM16" s="165">
        <f>(Table2[[#This Row],[Msr Refrigerant charge (lbs)per NormUnit]]/pounds_per_metric_ton)*Table2[[#This Row],[Msr net EOL refrigerant leakage (%)]]*Table2[[#This Row],[Msr GWP]]</f>
        <v>2.2297017173027553</v>
      </c>
      <c r="AN16" s="174" cm="1">
        <f t="array" aca="1" ref="AN16" ca="1">IF(Table2[[#This Row],[MeasAppType]]="AR",Table2[[#This Row],[Pre Annual leakage tons CO2e]]*NPV(WACC,OFFSET(const_ones,0,0,1,Table2[[#This Row],[EUL]])*OFFSET(GHG_Adder_dollar_per_tonne,0,(Table2[[#This Row],[Device installation year]])-GHG_Adder_Yr1,1,Table2[[#This Row],[EUL]]))/(1+WACC)^(Table2[[#This Row],[Device installation year]]-DY),0)</f>
        <v>74.294737946648198</v>
      </c>
      <c r="AO16" s="174" cm="1">
        <f t="array" aca="1" ref="AO16" ca="1">IF(Table2[[#This Row],[MeasAppType]]="AR",0,Table2[[#This Row],[Std Annual leakage tons CO2e]]*NPV(WACC,OFFSET(const_ones,0,0,1,Table2[[#This Row],[EUL]])*OFFSET(GHG_Adder_dollar_per_tonne,0,(Table2[[#This Row],[Device installation year]])-GHG_Adder_Yr1,1,Table2[[#This Row],[EUL]]))/(1+WACC)^(Table2[[#This Row],[Device installation year]]-DY))</f>
        <v>0</v>
      </c>
      <c r="AP16" s="174" cm="1">
        <f t="array" aca="1" ref="AP16" ca="1">Table2[[#This Row],[Msr Annual leakage tons CO2e]]*NPV(WACC,OFFSET(const_ones,0,0,1,Table2[[#This Row],[EUL]])*OFFSET(GHG_Adder_dollar_per_tonne,0,((Table2[[#This Row],[Device installation year]])-GHG_Adder_Yr1),1,Table2[[#This Row],[EUL]]))/(1+WACC)^(Table2[[#This Row],[Device installation year]]-DY)</f>
        <v>86.135461806895236</v>
      </c>
      <c r="AQ16" s="260" cm="1">
        <f t="array" aca="1" ref="AQ16"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65.646307097355859</v>
      </c>
      <c r="AR16" s="261" cm="1">
        <f t="array" aca="1" ref="AR16"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0</v>
      </c>
      <c r="AS16" s="261" cm="1">
        <f t="array" aca="1" ref="AS16" ca="1">Table2[[#This Row],[Msr EOL leakage tons CO2e]]*NPV(WACC,OFFSET(const_repeat_after,Table2[[#This Row],[EUL]],0,1,Table2[[#This Row],[EUL]])*OFFSET(GHG_Adder_dollar_per_tonne,0,(Table2[[#This Row],[Device installation year]])-GHG_Adder_Yr1,1,Table2[[#This Row],[EUL]]))/(1+WACC)^(Table2[[#This Row],[Device installation year]]-DY)</f>
        <v>71.040406228333424</v>
      </c>
      <c r="AT16" s="260">
        <f>0</f>
        <v>0</v>
      </c>
      <c r="AU16" s="174">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17.234822991224604</v>
      </c>
      <c r="AV16" s="174" t="b">
        <f ca="1">Table2[[#This Row],[RefrigerantNPVCostsNet]]&gt;0</f>
        <v>1</v>
      </c>
      <c r="AW16" s="174">
        <f>0</f>
        <v>0</v>
      </c>
      <c r="AX16" s="174">
        <f>0</f>
        <v>0</v>
      </c>
      <c r="AY16" s="174">
        <f>0</f>
        <v>0</v>
      </c>
      <c r="AZ16" s="174">
        <f ca="1">Table2[[#This Row],[Pre NPV Cost of Annual Leakage]]+Table2[[#This Row],[Pre NPV Cost of EOL Leakage]]</f>
        <v>139.94104504400406</v>
      </c>
      <c r="BA16" s="174">
        <f ca="1">Table2[[#This Row],[Std NPV Cost of Annual Leakage]]+Table2[[#This Row],[Std NPV Cost of EOL Leakage]]</f>
        <v>0</v>
      </c>
      <c r="BB16" s="174">
        <f ca="1">Table2[[#This Row],[AR immediate NPV cost of leakage]]+Table2[[#This Row],[Msr NPV Cost of Annual Leakage]]+Table2[[#This Row],[Msr NPV Cost of EOL Leakage]]</f>
        <v>157.17586803522866</v>
      </c>
      <c r="BC16" s="176">
        <f ca="1">IF(Table2[[#This Row],[Is Net Cost?]],Table2[[#This Row],[RefrigerantNPVCostsNet]],0)</f>
        <v>17.234822991224604</v>
      </c>
      <c r="BD16" s="174">
        <f ca="1">IF(Table2[[#This Row],[Is Net Cost?]],0,-Table2[[#This Row],[RefrigerantNPVCostsNet]])</f>
        <v>0</v>
      </c>
    </row>
    <row r="17" spans="1:56" x14ac:dyDescent="0.3">
      <c r="A17" s="173">
        <f t="shared" ref="A17:A48" si="1">$B$2</f>
        <v>2022</v>
      </c>
      <c r="B17" s="268" t="s">
        <v>761</v>
      </c>
      <c r="C17" s="212" t="s">
        <v>789</v>
      </c>
      <c r="D17" s="212" t="s">
        <v>495</v>
      </c>
      <c r="E17" s="216" t="str">
        <f>IF(Table2[[#This Row],[MeasAppType]]="NR","N/A","N/A")</f>
        <v>N/A</v>
      </c>
      <c r="F17" s="217">
        <v>15</v>
      </c>
      <c r="G17" s="218" t="s">
        <v>457</v>
      </c>
      <c r="H17" s="218"/>
      <c r="I17" s="218" t="s">
        <v>452</v>
      </c>
      <c r="J17" s="173" t="str">
        <f>INDEX(Table3[CommonRefrigerantType],MATCH(Table2[[#This Row],[Pre tech lookup (not required for "NR" measure application types)]],DropdownRefrigTech,0))</f>
        <v>R-410A</v>
      </c>
      <c r="K17" s="173" t="e">
        <f>INDEX(Table3[CommonRefrigerantType],MATCH(Table2[[#This Row],[Std tech lookup (not required for "AR" measure application types)]],DropdownRefrigTech,0))</f>
        <v>#N/A</v>
      </c>
      <c r="L17" s="173" t="str">
        <f>INDEX(Table3[CommonRefrigerantType],MATCH(Table2[[#This Row],[Msr tech lookup]],DropdownRefrigTech,0))</f>
        <v>R-410A</v>
      </c>
      <c r="M17" s="134">
        <f>INDEX(Table3[RefrigChargePoundsPerNormUnit],MATCH(Table2[[#This Row],[Pre tech lookup (not required for "NR" measure application types)]],DropdownRefrigTech,0))</f>
        <v>3.2</v>
      </c>
      <c r="N17" s="134" t="e">
        <f>INDEX(Table3[RefrigChargePoundsPerNormUnit],MATCH(Table2[[#This Row],[Std tech lookup (not required for "AR" measure application types)]],DropdownRefrigTech,0))</f>
        <v>#N/A</v>
      </c>
      <c r="O17" s="149">
        <f>INDEX(Table3[RefrigChargePoundsPerNormUnit],MATCH(Table2[[#This Row],[Msr tech lookup]],DropdownRefrigTech,0))</f>
        <v>3.5</v>
      </c>
      <c r="P17" s="163">
        <f>INDEX(Table3[AnnualLeakageRate],MATCH(Table2[[#This Row],[Pre tech lookup (not required for "NR" measure application types)]],DropdownRefrigTech,0))</f>
        <v>0.05</v>
      </c>
      <c r="Q17" s="163" t="e">
        <f>INDEX(Table3[AnnualLeakageRate],MATCH(Table2[[#This Row],[Std tech lookup (not required for "AR" measure application types)]],DropdownRefrigTech,0))</f>
        <v>#N/A</v>
      </c>
      <c r="R17" s="163">
        <f>INDEX(Table3[AnnualLeakageRate],MATCH(Table2[[#This Row],[Msr tech lookup]],DropdownRefrigTech,0))</f>
        <v>5.2999999999999999E-2</v>
      </c>
      <c r="S17" s="164">
        <f>INDEX(Table3[t_EOL],MATCH(Table2[[#This Row],[Pre tech lookup (not required for "NR" measure application types)]],DropdownRefrigTech,0))</f>
        <v>3</v>
      </c>
      <c r="T17" s="164" t="e">
        <f>INDEX(Table3[t_EOL],MATCH(Table2[[#This Row],[Std tech lookup (not required for "AR" measure application types)]],DropdownRefrigTech,0))</f>
        <v>#N/A</v>
      </c>
      <c r="U17" s="164">
        <f>INDEX(Table3[t_EOL],MATCH(Table2[[#This Row],[Msr tech lookup]],DropdownRefrigTech,0))</f>
        <v>3</v>
      </c>
      <c r="V17" s="163">
        <f>1-Table2[[#This Row],[Pre annual refrigerant leakage %]]*Table2[[#This Row],[Pre t_EOL]]</f>
        <v>0.85</v>
      </c>
      <c r="W17" s="163" t="e">
        <f>1-Table2[[#This Row],[Std annual refrigerant leakage %]]*Table2[[#This Row],[Std t_EOL]]</f>
        <v>#N/A</v>
      </c>
      <c r="X17" s="163">
        <f>1-Table2[[#This Row],[Msr annual refrigerant leakage %]]*Table2[[#This Row],[Msr t_EOL]]</f>
        <v>0.84099999999999997</v>
      </c>
      <c r="Y17" s="163">
        <f>INDEX(Table3[q_EOL],MATCH(Table2[[#This Row],[Pre tech lookup (not required for "NR" measure application types)]],DropdownRefrigTech,0))</f>
        <v>0.8</v>
      </c>
      <c r="Z17" s="163" t="e">
        <f>INDEX(Table3[q_EOL],MATCH(Table2[[#This Row],[Std tech lookup (not required for "AR" measure application types)]],DropdownRefrigTech,0))</f>
        <v>#N/A</v>
      </c>
      <c r="AA17" s="163">
        <f>INDEX(Table3[q_EOL],MATCH(Table2[[#This Row],[Msr tech lookup]],DropdownRefrigTech,0))</f>
        <v>0.8</v>
      </c>
      <c r="AB17" s="163">
        <f>Table2[[#This Row],[Pre charging remaining (%)]]*Table2[[#This Row],[Pre gross EOL refrigerant leakage %]]</f>
        <v>0.68</v>
      </c>
      <c r="AC17" s="163" t="e">
        <f>Table2[[#This Row],[Std charging remaining (%)]]*Table2[[#This Row],[Std gross EOL refrigerant leakage %]]</f>
        <v>#N/A</v>
      </c>
      <c r="AD17" s="163">
        <f>Table2[[#This Row],[Msr charging remaining (%)]]*Table2[[#This Row],[Msr gross EOL refrigerant leakage %]]</f>
        <v>0.67280000000000006</v>
      </c>
      <c r="AE17" s="164" cm="1">
        <f t="array" ref="AE17">INDEX(_xlfn.SWITCH($B$4,"20-yr",GWP_Values_20_year_AR4,"100-yr",GWP_Values_100_year_AR4),MATCH(Table2[[#This Row],[Pre Refrigerant Type]],RefrigDropdownList,0))</f>
        <v>2087.5</v>
      </c>
      <c r="AF17" s="164" t="e" cm="1">
        <f t="array" ref="AF17">INDEX(_xlfn.SWITCH($B$4,"20-yr",GWP_Values_20_year_AR4,"100-yr",GWP_Values_100_year_AR4),MATCH(Table2[[#This Row],[Std Refrigerant Type]],RefrigDropdownList,0))</f>
        <v>#N/A</v>
      </c>
      <c r="AG17" s="164" cm="1">
        <f t="array" ref="AG17">INDEX(_xlfn.SWITCH($B$4,"20-yr",GWP_Values_20_year_AR4,"100-yr",GWP_Values_100_year_AR4),MATCH(Table2[[#This Row],[Msr Refrigerant Type]],RefrigDropdownList,0))</f>
        <v>2087.5</v>
      </c>
      <c r="AH17" s="165">
        <f>(Table2[[#This Row],[Pre Refrigerant charge (lbs) per NormUnit]]/pounds_per_metric_ton)*Table2[[#This Row],[Pre annual refrigerant leakage %]]*Table2[[#This Row],[Pre GWP]]</f>
        <v>0.15150003175150367</v>
      </c>
      <c r="AI17" s="165" t="e">
        <f>(Table2[[#This Row],[Std Refrigerant charge (lbs)per NormUnit]]/pounds_per_metric_ton)*Table2[[#This Row],[Std annual refrigerant leakage %]]*Table2[[#This Row],[Std GWP]]</f>
        <v>#N/A</v>
      </c>
      <c r="AJ17" s="165">
        <f>(Table2[[#This Row],[Msr Refrigerant charge (lbs)per NormUnit]]/pounds_per_metric_ton)*Table2[[#This Row],[Msr annual refrigerant leakage %]]*Table2[[#This Row],[Msr GWP]]</f>
        <v>0.17564534931189954</v>
      </c>
      <c r="AK17" s="165">
        <f>(Table2[[#This Row],[Pre Refrigerant charge (lbs) per NormUnit]]/pounds_per_metric_ton)*Table2[[#This Row],[Pre net EOL refrigerant leakage (%)]]*Table2[[#This Row],[Pre GWP]]</f>
        <v>2.0604004318204505</v>
      </c>
      <c r="AL17" s="165" t="e">
        <f>(Table2[[#This Row],[Std Refrigerant charge (lbs)per NormUnit]]/pounds_per_metric_ton)*Table2[[#This Row],[Std net EOL refrigerant leakage (%)]]*Table2[[#This Row],[Std GWP]]</f>
        <v>#N/A</v>
      </c>
      <c r="AM17" s="165">
        <f>(Table2[[#This Row],[Msr Refrigerant charge (lbs)per NormUnit]]/pounds_per_metric_ton)*Table2[[#This Row],[Msr net EOL refrigerant leakage (%)]]*Table2[[#This Row],[Msr GWP]]</f>
        <v>2.2297017173027553</v>
      </c>
      <c r="AN17" s="174" cm="1">
        <f t="array" aca="1" ref="AN17" ca="1">IF(Table2[[#This Row],[MeasAppType]]="AR",Table2[[#This Row],[Pre Annual leakage tons CO2e]]*NPV(WACC,OFFSET(const_ones,0,0,1,Table2[[#This Row],[EUL]])*OFFSET(GHG_Adder_dollar_per_tonne,0,(Table2[[#This Row],[Device installation year]])-GHG_Adder_Yr1,1,Table2[[#This Row],[EUL]]))/(1+WACC)^(Table2[[#This Row],[Device installation year]]-DY),0)</f>
        <v>74.294737946648198</v>
      </c>
      <c r="AO17" s="174" cm="1">
        <f t="array" aca="1" ref="AO17" ca="1">IF(Table2[[#This Row],[MeasAppType]]="AR",0,Table2[[#This Row],[Std Annual leakage tons CO2e]]*NPV(WACC,OFFSET(const_ones,0,0,1,Table2[[#This Row],[EUL]])*OFFSET(GHG_Adder_dollar_per_tonne,0,(Table2[[#This Row],[Device installation year]])-GHG_Adder_Yr1,1,Table2[[#This Row],[EUL]]))/(1+WACC)^(Table2[[#This Row],[Device installation year]]-DY))</f>
        <v>0</v>
      </c>
      <c r="AP17" s="174" cm="1">
        <f t="array" aca="1" ref="AP17" ca="1">Table2[[#This Row],[Msr Annual leakage tons CO2e]]*NPV(WACC,OFFSET(const_ones,0,0,1,Table2[[#This Row],[EUL]])*OFFSET(GHG_Adder_dollar_per_tonne,0,((Table2[[#This Row],[Device installation year]])-GHG_Adder_Yr1),1,Table2[[#This Row],[EUL]]))/(1+WACC)^(Table2[[#This Row],[Device installation year]]-DY)</f>
        <v>86.135461806895236</v>
      </c>
      <c r="AQ17" s="260" cm="1">
        <f t="array" aca="1" ref="AQ17"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65.646307097355859</v>
      </c>
      <c r="AR17" s="261" cm="1">
        <f t="array" aca="1" ref="AR17"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0</v>
      </c>
      <c r="AS17" s="261" cm="1">
        <f t="array" aca="1" ref="AS17" ca="1">Table2[[#This Row],[Msr EOL leakage tons CO2e]]*NPV(WACC,OFFSET(const_repeat_after,Table2[[#This Row],[EUL]],0,1,Table2[[#This Row],[EUL]])*OFFSET(GHG_Adder_dollar_per_tonne,0,(Table2[[#This Row],[Device installation year]])-GHG_Adder_Yr1,1,Table2[[#This Row],[EUL]]))/(1+WACC)^(Table2[[#This Row],[Device installation year]]-DY)</f>
        <v>71.040406228333424</v>
      </c>
      <c r="AT17" s="260">
        <f>0</f>
        <v>0</v>
      </c>
      <c r="AU17" s="174">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17.234822991224604</v>
      </c>
      <c r="AV17" s="174" t="b">
        <f ca="1">Table2[[#This Row],[RefrigerantNPVCostsNet]]&gt;0</f>
        <v>1</v>
      </c>
      <c r="AW17" s="174">
        <f>0</f>
        <v>0</v>
      </c>
      <c r="AX17" s="174">
        <f>0</f>
        <v>0</v>
      </c>
      <c r="AY17" s="174">
        <f>0</f>
        <v>0</v>
      </c>
      <c r="AZ17" s="174">
        <f ca="1">Table2[[#This Row],[Pre NPV Cost of Annual Leakage]]+Table2[[#This Row],[Pre NPV Cost of EOL Leakage]]</f>
        <v>139.94104504400406</v>
      </c>
      <c r="BA17" s="174">
        <f ca="1">Table2[[#This Row],[Std NPV Cost of Annual Leakage]]+Table2[[#This Row],[Std NPV Cost of EOL Leakage]]</f>
        <v>0</v>
      </c>
      <c r="BB17" s="174">
        <f ca="1">Table2[[#This Row],[AR immediate NPV cost of leakage]]+Table2[[#This Row],[Msr NPV Cost of Annual Leakage]]+Table2[[#This Row],[Msr NPV Cost of EOL Leakage]]</f>
        <v>157.17586803522866</v>
      </c>
      <c r="BC17" s="273">
        <f ca="1">IF(Table2[[#This Row],[Is Net Cost?]],Table2[[#This Row],[RefrigerantNPVCostsNet]],0)</f>
        <v>17.234822991224604</v>
      </c>
      <c r="BD17" s="174">
        <f ca="1">IF(Table2[[#This Row],[Is Net Cost?]],0,-Table2[[#This Row],[RefrigerantNPVCostsNet]])</f>
        <v>0</v>
      </c>
    </row>
    <row r="18" spans="1:56" x14ac:dyDescent="0.3">
      <c r="A18" s="173">
        <f t="shared" si="1"/>
        <v>2022</v>
      </c>
      <c r="B18" s="268"/>
      <c r="C18" s="212"/>
      <c r="D18" s="212"/>
      <c r="E18" s="216" t="str">
        <f>IF(Table2[[#This Row],[MeasAppType]]="NR","N/A","N/A")</f>
        <v>N/A</v>
      </c>
      <c r="F18" s="217"/>
      <c r="G18" s="218"/>
      <c r="H18" s="218"/>
      <c r="I18" s="218"/>
      <c r="J18" s="173" t="e">
        <f>INDEX(Table3[CommonRefrigerantType],MATCH(Table2[[#This Row],[Pre tech lookup (not required for "NR" measure application types)]],DropdownRefrigTech,0))</f>
        <v>#N/A</v>
      </c>
      <c r="K18" s="173" t="e">
        <f>INDEX(Table3[CommonRefrigerantType],MATCH(Table2[[#This Row],[Std tech lookup (not required for "AR" measure application types)]],DropdownRefrigTech,0))</f>
        <v>#N/A</v>
      </c>
      <c r="L18" s="173" t="e">
        <f>INDEX(Table3[CommonRefrigerantType],MATCH(Table2[[#This Row],[Msr tech lookup]],DropdownRefrigTech,0))</f>
        <v>#N/A</v>
      </c>
      <c r="M18" s="134" t="e">
        <f>INDEX(Table3[RefrigChargePoundsPerNormUnit],MATCH(Table2[[#This Row],[Pre tech lookup (not required for "NR" measure application types)]],DropdownRefrigTech,0))</f>
        <v>#N/A</v>
      </c>
      <c r="N18" s="134" t="e">
        <f>INDEX(Table3[RefrigChargePoundsPerNormUnit],MATCH(Table2[[#This Row],[Std tech lookup (not required for "AR" measure application types)]],DropdownRefrigTech,0))</f>
        <v>#N/A</v>
      </c>
      <c r="O18" s="149" t="e">
        <f>INDEX(Table3[RefrigChargePoundsPerNormUnit],MATCH(Table2[[#This Row],[Msr tech lookup]],DropdownRefrigTech,0))</f>
        <v>#N/A</v>
      </c>
      <c r="P18" s="163" t="e">
        <f>INDEX(Table3[AnnualLeakageRate],MATCH(Table2[[#This Row],[Pre tech lookup (not required for "NR" measure application types)]],DropdownRefrigTech,0))</f>
        <v>#N/A</v>
      </c>
      <c r="Q18" s="163" t="e">
        <f>INDEX(Table3[AnnualLeakageRate],MATCH(Table2[[#This Row],[Std tech lookup (not required for "AR" measure application types)]],DropdownRefrigTech,0))</f>
        <v>#N/A</v>
      </c>
      <c r="R18" s="163" t="e">
        <f>INDEX(Table3[AnnualLeakageRate],MATCH(Table2[[#This Row],[Msr tech lookup]],DropdownRefrigTech,0))</f>
        <v>#N/A</v>
      </c>
      <c r="S18" s="164" t="e">
        <f>INDEX(Table3[t_EOL],MATCH(Table2[[#This Row],[Pre tech lookup (not required for "NR" measure application types)]],DropdownRefrigTech,0))</f>
        <v>#N/A</v>
      </c>
      <c r="T18" s="164" t="e">
        <f>INDEX(Table3[t_EOL],MATCH(Table2[[#This Row],[Std tech lookup (not required for "AR" measure application types)]],DropdownRefrigTech,0))</f>
        <v>#N/A</v>
      </c>
      <c r="U18" s="164" t="e">
        <f>INDEX(Table3[t_EOL],MATCH(Table2[[#This Row],[Msr tech lookup]],DropdownRefrigTech,0))</f>
        <v>#N/A</v>
      </c>
      <c r="V18" s="163" t="e">
        <f>1-Table2[[#This Row],[Pre annual refrigerant leakage %]]*Table2[[#This Row],[Pre t_EOL]]</f>
        <v>#N/A</v>
      </c>
      <c r="W18" s="163" t="e">
        <f>1-Table2[[#This Row],[Std annual refrigerant leakage %]]*Table2[[#This Row],[Std t_EOL]]</f>
        <v>#N/A</v>
      </c>
      <c r="X18" s="163" t="e">
        <f>1-Table2[[#This Row],[Msr annual refrigerant leakage %]]*Table2[[#This Row],[Msr t_EOL]]</f>
        <v>#N/A</v>
      </c>
      <c r="Y18" s="163" t="e">
        <f>INDEX(Table3[q_EOL],MATCH(Table2[[#This Row],[Pre tech lookup (not required for "NR" measure application types)]],DropdownRefrigTech,0))</f>
        <v>#N/A</v>
      </c>
      <c r="Z18" s="163" t="e">
        <f>INDEX(Table3[q_EOL],MATCH(Table2[[#This Row],[Std tech lookup (not required for "AR" measure application types)]],DropdownRefrigTech,0))</f>
        <v>#N/A</v>
      </c>
      <c r="AA18" s="163" t="e">
        <f>INDEX(Table3[q_EOL],MATCH(Table2[[#This Row],[Msr tech lookup]],DropdownRefrigTech,0))</f>
        <v>#N/A</v>
      </c>
      <c r="AB18" s="163" t="e">
        <f>Table2[[#This Row],[Pre charging remaining (%)]]*Table2[[#This Row],[Pre gross EOL refrigerant leakage %]]</f>
        <v>#N/A</v>
      </c>
      <c r="AC18" s="163" t="e">
        <f>Table2[[#This Row],[Std charging remaining (%)]]*Table2[[#This Row],[Std gross EOL refrigerant leakage %]]</f>
        <v>#N/A</v>
      </c>
      <c r="AD18" s="163" t="e">
        <f>Table2[[#This Row],[Msr charging remaining (%)]]*Table2[[#This Row],[Msr gross EOL refrigerant leakage %]]</f>
        <v>#N/A</v>
      </c>
      <c r="AE18" s="164" t="e" cm="1">
        <f t="array" ref="AE18">INDEX(_xlfn.SWITCH($B$4,"20-yr",GWP_Values_20_year_AR4,"100-yr",GWP_Values_100_year_AR4),MATCH(Table2[[#This Row],[Pre Refrigerant Type]],RefrigDropdownList,0))</f>
        <v>#N/A</v>
      </c>
      <c r="AF18" s="164" t="e" cm="1">
        <f t="array" ref="AF18">INDEX(_xlfn.SWITCH($B$4,"20-yr",GWP_Values_20_year_AR4,"100-yr",GWP_Values_100_year_AR4),MATCH(Table2[[#This Row],[Std Refrigerant Type]],RefrigDropdownList,0))</f>
        <v>#N/A</v>
      </c>
      <c r="AG18" s="164" t="e" cm="1">
        <f t="array" ref="AG18">INDEX(_xlfn.SWITCH($B$4,"20-yr",GWP_Values_20_year_AR4,"100-yr",GWP_Values_100_year_AR4),MATCH(Table2[[#This Row],[Msr Refrigerant Type]],RefrigDropdownList,0))</f>
        <v>#N/A</v>
      </c>
      <c r="AH18" s="165" t="e">
        <f>(Table2[[#This Row],[Pre Refrigerant charge (lbs) per NormUnit]]/pounds_per_metric_ton)*Table2[[#This Row],[Pre annual refrigerant leakage %]]*Table2[[#This Row],[Pre GWP]]</f>
        <v>#N/A</v>
      </c>
      <c r="AI18" s="165" t="e">
        <f>(Table2[[#This Row],[Std Refrigerant charge (lbs)per NormUnit]]/pounds_per_metric_ton)*Table2[[#This Row],[Std annual refrigerant leakage %]]*Table2[[#This Row],[Std GWP]]</f>
        <v>#N/A</v>
      </c>
      <c r="AJ18" s="165" t="e">
        <f>(Table2[[#This Row],[Msr Refrigerant charge (lbs)per NormUnit]]/pounds_per_metric_ton)*Table2[[#This Row],[Msr annual refrigerant leakage %]]*Table2[[#This Row],[Msr GWP]]</f>
        <v>#N/A</v>
      </c>
      <c r="AK18" s="165" t="e">
        <f>(Table2[[#This Row],[Pre Refrigerant charge (lbs) per NormUnit]]/pounds_per_metric_ton)*Table2[[#This Row],[Pre net EOL refrigerant leakage (%)]]*Table2[[#This Row],[Pre GWP]]</f>
        <v>#N/A</v>
      </c>
      <c r="AL18" s="165" t="e">
        <f>(Table2[[#This Row],[Std Refrigerant charge (lbs)per NormUnit]]/pounds_per_metric_ton)*Table2[[#This Row],[Std net EOL refrigerant leakage (%)]]*Table2[[#This Row],[Std GWP]]</f>
        <v>#N/A</v>
      </c>
      <c r="AM18" s="165" t="e">
        <f>(Table2[[#This Row],[Msr Refrigerant charge (lbs)per NormUnit]]/pounds_per_metric_ton)*Table2[[#This Row],[Msr net EOL refrigerant leakage (%)]]*Table2[[#This Row],[Msr GWP]]</f>
        <v>#N/A</v>
      </c>
      <c r="AN18" s="174" cm="1">
        <f t="array" aca="1" ref="AN18" ca="1">IF(Table2[[#This Row],[MeasAppType]]="AR",Table2[[#This Row],[Pre Annual leakage tons CO2e]]*NPV(WACC,OFFSET(const_ones,0,0,1,Table2[[#This Row],[EUL]])*OFFSET(GHG_Adder_dollar_per_tonne,0,(Table2[[#This Row],[Device installation year]])-GHG_Adder_Yr1,1,Table2[[#This Row],[EUL]]))/(1+WACC)^(Table2[[#This Row],[Device installation year]]-DY),0)</f>
        <v>0</v>
      </c>
      <c r="AO18" s="174" t="e" cm="1">
        <f t="array" aca="1" ref="AO18"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18" s="174" t="e" cm="1">
        <f t="array" aca="1" ref="AP18" ca="1">Table2[[#This Row],[Msr Annual leakage tons CO2e]]*NPV(WACC,OFFSET(const_ones,0,0,1,Table2[[#This Row],[EUL]])*OFFSET(GHG_Adder_dollar_per_tonne,0,((Table2[[#This Row],[Device installation year]])-GHG_Adder_Yr1),1,Table2[[#This Row],[EUL]]))/(1+WACC)^(Table2[[#This Row],[Device installation year]]-DY)</f>
        <v>#N/A</v>
      </c>
      <c r="AQ18" s="260" cm="1">
        <f t="array" aca="1" ref="AQ18"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18" s="261" t="e" cm="1">
        <f t="array" aca="1" ref="AR18"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18" s="261" t="e" cm="1">
        <f t="array" aca="1" ref="AS18" ca="1">Table2[[#This Row],[Msr EOL leakage tons CO2e]]*NPV(WACC,OFFSET(const_repeat_after,Table2[[#This Row],[EUL]],0,1,Table2[[#This Row],[EUL]])*OFFSET(GHG_Adder_dollar_per_tonne,0,(Table2[[#This Row],[Device installation year]])-GHG_Adder_Yr1,1,Table2[[#This Row],[EUL]]))/(1+WACC)^(Table2[[#This Row],[Device installation year]]-DY)</f>
        <v>#N/A</v>
      </c>
      <c r="AT18" s="260">
        <f>0</f>
        <v>0</v>
      </c>
      <c r="AU18"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18" s="174" t="e">
        <f ca="1">Table2[[#This Row],[RefrigerantNPVCostsNet]]&gt;0</f>
        <v>#N/A</v>
      </c>
      <c r="AW18" s="174">
        <f>0</f>
        <v>0</v>
      </c>
      <c r="AX18" s="174">
        <f>0</f>
        <v>0</v>
      </c>
      <c r="AY18" s="174">
        <f>0</f>
        <v>0</v>
      </c>
      <c r="AZ18" s="174">
        <f ca="1">Table2[[#This Row],[Pre NPV Cost of Annual Leakage]]+Table2[[#This Row],[Pre NPV Cost of EOL Leakage]]</f>
        <v>0</v>
      </c>
      <c r="BA18" s="174" t="e">
        <f ca="1">Table2[[#This Row],[Std NPV Cost of Annual Leakage]]+Table2[[#This Row],[Std NPV Cost of EOL Leakage]]</f>
        <v>#N/A</v>
      </c>
      <c r="BB18" s="174" t="e">
        <f ca="1">Table2[[#This Row],[AR immediate NPV cost of leakage]]+Table2[[#This Row],[Msr NPV Cost of Annual Leakage]]+Table2[[#This Row],[Msr NPV Cost of EOL Leakage]]</f>
        <v>#N/A</v>
      </c>
      <c r="BC18" s="273" t="e">
        <f ca="1">IF(Table2[[#This Row],[Is Net Cost?]],Table2[[#This Row],[RefrigerantNPVCostsNet]],0)</f>
        <v>#N/A</v>
      </c>
      <c r="BD18" s="174" t="e">
        <f ca="1">IF(Table2[[#This Row],[Is Net Cost?]],0,-Table2[[#This Row],[RefrigerantNPVCostsNet]])</f>
        <v>#N/A</v>
      </c>
    </row>
    <row r="19" spans="1:56" x14ac:dyDescent="0.3">
      <c r="A19" s="173">
        <f t="shared" si="1"/>
        <v>2022</v>
      </c>
      <c r="B19" s="268"/>
      <c r="C19" s="212"/>
      <c r="D19" s="212"/>
      <c r="E19" s="216" t="str">
        <f>IF(Table2[[#This Row],[MeasAppType]]="NR","N/A","N/A")</f>
        <v>N/A</v>
      </c>
      <c r="F19" s="272"/>
      <c r="G19" s="218"/>
      <c r="H19" s="218"/>
      <c r="I19" s="218"/>
      <c r="J19" s="173" t="e">
        <f>INDEX(Table3[CommonRefrigerantType],MATCH(Table2[[#This Row],[Pre tech lookup (not required for "NR" measure application types)]],DropdownRefrigTech,0))</f>
        <v>#N/A</v>
      </c>
      <c r="K19" s="173" t="e">
        <f>INDEX(Table3[CommonRefrigerantType],MATCH(Table2[[#This Row],[Std tech lookup (not required for "AR" measure application types)]],DropdownRefrigTech,0))</f>
        <v>#N/A</v>
      </c>
      <c r="L19" s="173" t="e">
        <f>INDEX(Table3[CommonRefrigerantType],MATCH(Table2[[#This Row],[Msr tech lookup]],DropdownRefrigTech,0))</f>
        <v>#N/A</v>
      </c>
      <c r="M19" s="134" t="e">
        <f>INDEX(Table3[RefrigChargePoundsPerNormUnit],MATCH(Table2[[#This Row],[Pre tech lookup (not required for "NR" measure application types)]],DropdownRefrigTech,0))</f>
        <v>#N/A</v>
      </c>
      <c r="N19" s="134" t="e">
        <f>INDEX(Table3[RefrigChargePoundsPerNormUnit],MATCH(Table2[[#This Row],[Std tech lookup (not required for "AR" measure application types)]],DropdownRefrigTech,0))</f>
        <v>#N/A</v>
      </c>
      <c r="O19" s="149" t="e">
        <f>INDEX(Table3[RefrigChargePoundsPerNormUnit],MATCH(Table2[[#This Row],[Msr tech lookup]],DropdownRefrigTech,0))</f>
        <v>#N/A</v>
      </c>
      <c r="P19" s="163" t="e">
        <f>INDEX(Table3[AnnualLeakageRate],MATCH(Table2[[#This Row],[Pre tech lookup (not required for "NR" measure application types)]],DropdownRefrigTech,0))</f>
        <v>#N/A</v>
      </c>
      <c r="Q19" s="163" t="e">
        <f>INDEX(Table3[AnnualLeakageRate],MATCH(Table2[[#This Row],[Std tech lookup (not required for "AR" measure application types)]],DropdownRefrigTech,0))</f>
        <v>#N/A</v>
      </c>
      <c r="R19" s="163" t="e">
        <f>INDEX(Table3[AnnualLeakageRate],MATCH(Table2[[#This Row],[Msr tech lookup]],DropdownRefrigTech,0))</f>
        <v>#N/A</v>
      </c>
      <c r="S19" s="164" t="e">
        <f>INDEX(Table3[t_EOL],MATCH(Table2[[#This Row],[Pre tech lookup (not required for "NR" measure application types)]],DropdownRefrigTech,0))</f>
        <v>#N/A</v>
      </c>
      <c r="T19" s="164" t="e">
        <f>INDEX(Table3[t_EOL],MATCH(Table2[[#This Row],[Std tech lookup (not required for "AR" measure application types)]],DropdownRefrigTech,0))</f>
        <v>#N/A</v>
      </c>
      <c r="U19" s="164" t="e">
        <f>INDEX(Table3[t_EOL],MATCH(Table2[[#This Row],[Msr tech lookup]],DropdownRefrigTech,0))</f>
        <v>#N/A</v>
      </c>
      <c r="V19" s="163" t="e">
        <f>1-Table2[[#This Row],[Pre annual refrigerant leakage %]]*Table2[[#This Row],[Pre t_EOL]]</f>
        <v>#N/A</v>
      </c>
      <c r="W19" s="163" t="e">
        <f>1-Table2[[#This Row],[Std annual refrigerant leakage %]]*Table2[[#This Row],[Std t_EOL]]</f>
        <v>#N/A</v>
      </c>
      <c r="X19" s="163" t="e">
        <f>1-Table2[[#This Row],[Msr annual refrigerant leakage %]]*Table2[[#This Row],[Msr t_EOL]]</f>
        <v>#N/A</v>
      </c>
      <c r="Y19" s="163" t="e">
        <f>INDEX(Table3[q_EOL],MATCH(Table2[[#This Row],[Pre tech lookup (not required for "NR" measure application types)]],DropdownRefrigTech,0))</f>
        <v>#N/A</v>
      </c>
      <c r="Z19" s="163" t="e">
        <f>INDEX(Table3[q_EOL],MATCH(Table2[[#This Row],[Std tech lookup (not required for "AR" measure application types)]],DropdownRefrigTech,0))</f>
        <v>#N/A</v>
      </c>
      <c r="AA19" s="163" t="e">
        <f>INDEX(Table3[q_EOL],MATCH(Table2[[#This Row],[Msr tech lookup]],DropdownRefrigTech,0))</f>
        <v>#N/A</v>
      </c>
      <c r="AB19" s="163" t="e">
        <f>Table2[[#This Row],[Pre charging remaining (%)]]*Table2[[#This Row],[Pre gross EOL refrigerant leakage %]]</f>
        <v>#N/A</v>
      </c>
      <c r="AC19" s="163" t="e">
        <f>Table2[[#This Row],[Std charging remaining (%)]]*Table2[[#This Row],[Std gross EOL refrigerant leakage %]]</f>
        <v>#N/A</v>
      </c>
      <c r="AD19" s="163" t="e">
        <f>Table2[[#This Row],[Msr charging remaining (%)]]*Table2[[#This Row],[Msr gross EOL refrigerant leakage %]]</f>
        <v>#N/A</v>
      </c>
      <c r="AE19" s="164" t="e" cm="1">
        <f t="array" ref="AE19">INDEX(_xlfn.SWITCH($B$4,"20-yr",GWP_Values_20_year_AR4,"100-yr",GWP_Values_100_year_AR4),MATCH(Table2[[#This Row],[Pre Refrigerant Type]],RefrigDropdownList,0))</f>
        <v>#N/A</v>
      </c>
      <c r="AF19" s="164" t="e" cm="1">
        <f t="array" ref="AF19">INDEX(_xlfn.SWITCH($B$4,"20-yr",GWP_Values_20_year_AR4,"100-yr",GWP_Values_100_year_AR4),MATCH(Table2[[#This Row],[Std Refrigerant Type]],RefrigDropdownList,0))</f>
        <v>#N/A</v>
      </c>
      <c r="AG19" s="164" t="e" cm="1">
        <f t="array" ref="AG19">INDEX(_xlfn.SWITCH($B$4,"20-yr",GWP_Values_20_year_AR4,"100-yr",GWP_Values_100_year_AR4),MATCH(Table2[[#This Row],[Msr Refrigerant Type]],RefrigDropdownList,0))</f>
        <v>#N/A</v>
      </c>
      <c r="AH19" s="165" t="e">
        <f>(Table2[[#This Row],[Pre Refrigerant charge (lbs) per NormUnit]]/pounds_per_metric_ton)*Table2[[#This Row],[Pre annual refrigerant leakage %]]*Table2[[#This Row],[Pre GWP]]</f>
        <v>#N/A</v>
      </c>
      <c r="AI19" s="165" t="e">
        <f>(Table2[[#This Row],[Std Refrigerant charge (lbs)per NormUnit]]/pounds_per_metric_ton)*Table2[[#This Row],[Std annual refrigerant leakage %]]*Table2[[#This Row],[Std GWP]]</f>
        <v>#N/A</v>
      </c>
      <c r="AJ19" s="165" t="e">
        <f>(Table2[[#This Row],[Msr Refrigerant charge (lbs)per NormUnit]]/pounds_per_metric_ton)*Table2[[#This Row],[Msr annual refrigerant leakage %]]*Table2[[#This Row],[Msr GWP]]</f>
        <v>#N/A</v>
      </c>
      <c r="AK19" s="165" t="e">
        <f>(Table2[[#This Row],[Pre Refrigerant charge (lbs) per NormUnit]]/pounds_per_metric_ton)*Table2[[#This Row],[Pre net EOL refrigerant leakage (%)]]*Table2[[#This Row],[Pre GWP]]</f>
        <v>#N/A</v>
      </c>
      <c r="AL19" s="165" t="e">
        <f>(Table2[[#This Row],[Std Refrigerant charge (lbs)per NormUnit]]/pounds_per_metric_ton)*Table2[[#This Row],[Std net EOL refrigerant leakage (%)]]*Table2[[#This Row],[Std GWP]]</f>
        <v>#N/A</v>
      </c>
      <c r="AM19" s="165" t="e">
        <f>(Table2[[#This Row],[Msr Refrigerant charge (lbs)per NormUnit]]/pounds_per_metric_ton)*Table2[[#This Row],[Msr net EOL refrigerant leakage (%)]]*Table2[[#This Row],[Msr GWP]]</f>
        <v>#N/A</v>
      </c>
      <c r="AN19" s="174" cm="1">
        <f t="array" aca="1" ref="AN19" ca="1">IF(Table2[[#This Row],[MeasAppType]]="AR",Table2[[#This Row],[Pre Annual leakage tons CO2e]]*NPV(WACC,OFFSET(const_ones,0,0,1,Table2[[#This Row],[EUL]])*OFFSET(GHG_Adder_dollar_per_tonne,0,(Table2[[#This Row],[Device installation year]])-GHG_Adder_Yr1,1,Table2[[#This Row],[EUL]]))/(1+WACC)^(Table2[[#This Row],[Device installation year]]-DY),0)</f>
        <v>0</v>
      </c>
      <c r="AO19" s="174" t="e" cm="1">
        <f t="array" aca="1" ref="AO19"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19" s="174" t="e" cm="1">
        <f t="array" aca="1" ref="AP19" ca="1">Table2[[#This Row],[Msr Annual leakage tons CO2e]]*NPV(WACC,OFFSET(const_ones,0,0,1,Table2[[#This Row],[EUL]])*OFFSET(GHG_Adder_dollar_per_tonne,0,((Table2[[#This Row],[Device installation year]])-GHG_Adder_Yr1),1,Table2[[#This Row],[EUL]]))/(1+WACC)^(Table2[[#This Row],[Device installation year]]-DY)</f>
        <v>#N/A</v>
      </c>
      <c r="AQ19" s="260" cm="1">
        <f t="array" aca="1" ref="AQ19"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19" s="261" t="e" cm="1">
        <f t="array" aca="1" ref="AR19"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19" s="261" t="e" cm="1">
        <f t="array" aca="1" ref="AS19" ca="1">Table2[[#This Row],[Msr EOL leakage tons CO2e]]*NPV(WACC,OFFSET(const_repeat_after,Table2[[#This Row],[EUL]],0,1,Table2[[#This Row],[EUL]])*OFFSET(GHG_Adder_dollar_per_tonne,0,(Table2[[#This Row],[Device installation year]])-GHG_Adder_Yr1,1,Table2[[#This Row],[EUL]]))/(1+WACC)^(Table2[[#This Row],[Device installation year]]-DY)</f>
        <v>#N/A</v>
      </c>
      <c r="AT19" s="260">
        <f>0</f>
        <v>0</v>
      </c>
      <c r="AU19"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19" s="174" t="e">
        <f ca="1">Table2[[#This Row],[RefrigerantNPVCostsNet]]&gt;0</f>
        <v>#N/A</v>
      </c>
      <c r="AW19" s="174">
        <f>0</f>
        <v>0</v>
      </c>
      <c r="AX19" s="174">
        <f>0</f>
        <v>0</v>
      </c>
      <c r="AY19" s="174">
        <f>0</f>
        <v>0</v>
      </c>
      <c r="AZ19" s="174">
        <f ca="1">Table2[[#This Row],[Pre NPV Cost of Annual Leakage]]+Table2[[#This Row],[Pre NPV Cost of EOL Leakage]]</f>
        <v>0</v>
      </c>
      <c r="BA19" s="174" t="e">
        <f ca="1">Table2[[#This Row],[Std NPV Cost of Annual Leakage]]+Table2[[#This Row],[Std NPV Cost of EOL Leakage]]</f>
        <v>#N/A</v>
      </c>
      <c r="BB19" s="174" t="e">
        <f ca="1">Table2[[#This Row],[AR immediate NPV cost of leakage]]+Table2[[#This Row],[Msr NPV Cost of Annual Leakage]]+Table2[[#This Row],[Msr NPV Cost of EOL Leakage]]</f>
        <v>#N/A</v>
      </c>
      <c r="BC19" s="273" t="e">
        <f ca="1">IF(Table2[[#This Row],[Is Net Cost?]],Table2[[#This Row],[RefrigerantNPVCostsNet]],0)</f>
        <v>#N/A</v>
      </c>
      <c r="BD19" s="174" t="e">
        <f ca="1">IF(Table2[[#This Row],[Is Net Cost?]],0,-Table2[[#This Row],[RefrigerantNPVCostsNet]])</f>
        <v>#N/A</v>
      </c>
    </row>
    <row r="20" spans="1:56" x14ac:dyDescent="0.3">
      <c r="A20" s="173">
        <f t="shared" si="1"/>
        <v>2022</v>
      </c>
      <c r="B20" s="268"/>
      <c r="C20" s="212"/>
      <c r="D20" s="212"/>
      <c r="E20" s="216" t="str">
        <f>IF(Table2[[#This Row],[MeasAppType]]="NR","N/A","N/A")</f>
        <v>N/A</v>
      </c>
      <c r="F20" s="272"/>
      <c r="G20" s="218"/>
      <c r="H20" s="218"/>
      <c r="I20" s="218"/>
      <c r="J20" s="173" t="e">
        <f>INDEX(Table3[CommonRefrigerantType],MATCH(Table2[[#This Row],[Pre tech lookup (not required for "NR" measure application types)]],DropdownRefrigTech,0))</f>
        <v>#N/A</v>
      </c>
      <c r="K20" s="173" t="e">
        <f>INDEX(Table3[CommonRefrigerantType],MATCH(Table2[[#This Row],[Std tech lookup (not required for "AR" measure application types)]],DropdownRefrigTech,0))</f>
        <v>#N/A</v>
      </c>
      <c r="L20" s="173" t="e">
        <f>INDEX(Table3[CommonRefrigerantType],MATCH(Table2[[#This Row],[Msr tech lookup]],DropdownRefrigTech,0))</f>
        <v>#N/A</v>
      </c>
      <c r="M20" s="134" t="e">
        <f>INDEX(Table3[RefrigChargePoundsPerNormUnit],MATCH(Table2[[#This Row],[Pre tech lookup (not required for "NR" measure application types)]],DropdownRefrigTech,0))</f>
        <v>#N/A</v>
      </c>
      <c r="N20" s="134" t="e">
        <f>INDEX(Table3[RefrigChargePoundsPerNormUnit],MATCH(Table2[[#This Row],[Std tech lookup (not required for "AR" measure application types)]],DropdownRefrigTech,0))</f>
        <v>#N/A</v>
      </c>
      <c r="O20" s="149" t="e">
        <f>INDEX(Table3[RefrigChargePoundsPerNormUnit],MATCH(Table2[[#This Row],[Msr tech lookup]],DropdownRefrigTech,0))</f>
        <v>#N/A</v>
      </c>
      <c r="P20" s="163" t="e">
        <f>INDEX(Table3[AnnualLeakageRate],MATCH(Table2[[#This Row],[Pre tech lookup (not required for "NR" measure application types)]],DropdownRefrigTech,0))</f>
        <v>#N/A</v>
      </c>
      <c r="Q20" s="163" t="e">
        <f>INDEX(Table3[AnnualLeakageRate],MATCH(Table2[[#This Row],[Std tech lookup (not required for "AR" measure application types)]],DropdownRefrigTech,0))</f>
        <v>#N/A</v>
      </c>
      <c r="R20" s="163" t="e">
        <f>INDEX(Table3[AnnualLeakageRate],MATCH(Table2[[#This Row],[Msr tech lookup]],DropdownRefrigTech,0))</f>
        <v>#N/A</v>
      </c>
      <c r="S20" s="164" t="e">
        <f>INDEX(Table3[t_EOL],MATCH(Table2[[#This Row],[Pre tech lookup (not required for "NR" measure application types)]],DropdownRefrigTech,0))</f>
        <v>#N/A</v>
      </c>
      <c r="T20" s="164" t="e">
        <f>INDEX(Table3[t_EOL],MATCH(Table2[[#This Row],[Std tech lookup (not required for "AR" measure application types)]],DropdownRefrigTech,0))</f>
        <v>#N/A</v>
      </c>
      <c r="U20" s="164" t="e">
        <f>INDEX(Table3[t_EOL],MATCH(Table2[[#This Row],[Msr tech lookup]],DropdownRefrigTech,0))</f>
        <v>#N/A</v>
      </c>
      <c r="V20" s="163" t="e">
        <f>1-Table2[[#This Row],[Pre annual refrigerant leakage %]]*Table2[[#This Row],[Pre t_EOL]]</f>
        <v>#N/A</v>
      </c>
      <c r="W20" s="163" t="e">
        <f>1-Table2[[#This Row],[Std annual refrigerant leakage %]]*Table2[[#This Row],[Std t_EOL]]</f>
        <v>#N/A</v>
      </c>
      <c r="X20" s="163" t="e">
        <f>1-Table2[[#This Row],[Msr annual refrigerant leakage %]]*Table2[[#This Row],[Msr t_EOL]]</f>
        <v>#N/A</v>
      </c>
      <c r="Y20" s="163" t="e">
        <f>INDEX(Table3[q_EOL],MATCH(Table2[[#This Row],[Pre tech lookup (not required for "NR" measure application types)]],DropdownRefrigTech,0))</f>
        <v>#N/A</v>
      </c>
      <c r="Z20" s="163" t="e">
        <f>INDEX(Table3[q_EOL],MATCH(Table2[[#This Row],[Std tech lookup (not required for "AR" measure application types)]],DropdownRefrigTech,0))</f>
        <v>#N/A</v>
      </c>
      <c r="AA20" s="163" t="e">
        <f>INDEX(Table3[q_EOL],MATCH(Table2[[#This Row],[Msr tech lookup]],DropdownRefrigTech,0))</f>
        <v>#N/A</v>
      </c>
      <c r="AB20" s="163" t="e">
        <f>Table2[[#This Row],[Pre charging remaining (%)]]*Table2[[#This Row],[Pre gross EOL refrigerant leakage %]]</f>
        <v>#N/A</v>
      </c>
      <c r="AC20" s="163" t="e">
        <f>Table2[[#This Row],[Std charging remaining (%)]]*Table2[[#This Row],[Std gross EOL refrigerant leakage %]]</f>
        <v>#N/A</v>
      </c>
      <c r="AD20" s="163" t="e">
        <f>Table2[[#This Row],[Msr charging remaining (%)]]*Table2[[#This Row],[Msr gross EOL refrigerant leakage %]]</f>
        <v>#N/A</v>
      </c>
      <c r="AE20" s="164" t="e" cm="1">
        <f t="array" ref="AE20">INDEX(_xlfn.SWITCH($B$4,"20-yr",GWP_Values_20_year_AR4,"100-yr",GWP_Values_100_year_AR4),MATCH(Table2[[#This Row],[Pre Refrigerant Type]],RefrigDropdownList,0))</f>
        <v>#N/A</v>
      </c>
      <c r="AF20" s="164" t="e" cm="1">
        <f t="array" ref="AF20">INDEX(_xlfn.SWITCH($B$4,"20-yr",GWP_Values_20_year_AR4,"100-yr",GWP_Values_100_year_AR4),MATCH(Table2[[#This Row],[Std Refrigerant Type]],RefrigDropdownList,0))</f>
        <v>#N/A</v>
      </c>
      <c r="AG20" s="164" t="e" cm="1">
        <f t="array" ref="AG20">INDEX(_xlfn.SWITCH($B$4,"20-yr",GWP_Values_20_year_AR4,"100-yr",GWP_Values_100_year_AR4),MATCH(Table2[[#This Row],[Msr Refrigerant Type]],RefrigDropdownList,0))</f>
        <v>#N/A</v>
      </c>
      <c r="AH20" s="165" t="e">
        <f>(Table2[[#This Row],[Pre Refrigerant charge (lbs) per NormUnit]]/pounds_per_metric_ton)*Table2[[#This Row],[Pre annual refrigerant leakage %]]*Table2[[#This Row],[Pre GWP]]</f>
        <v>#N/A</v>
      </c>
      <c r="AI20" s="165" t="e">
        <f>(Table2[[#This Row],[Std Refrigerant charge (lbs)per NormUnit]]/pounds_per_metric_ton)*Table2[[#This Row],[Std annual refrigerant leakage %]]*Table2[[#This Row],[Std GWP]]</f>
        <v>#N/A</v>
      </c>
      <c r="AJ20" s="165" t="e">
        <f>(Table2[[#This Row],[Msr Refrigerant charge (lbs)per NormUnit]]/pounds_per_metric_ton)*Table2[[#This Row],[Msr annual refrigerant leakage %]]*Table2[[#This Row],[Msr GWP]]</f>
        <v>#N/A</v>
      </c>
      <c r="AK20" s="165" t="e">
        <f>(Table2[[#This Row],[Pre Refrigerant charge (lbs) per NormUnit]]/pounds_per_metric_ton)*Table2[[#This Row],[Pre net EOL refrigerant leakage (%)]]*Table2[[#This Row],[Pre GWP]]</f>
        <v>#N/A</v>
      </c>
      <c r="AL20" s="165" t="e">
        <f>(Table2[[#This Row],[Std Refrigerant charge (lbs)per NormUnit]]/pounds_per_metric_ton)*Table2[[#This Row],[Std net EOL refrigerant leakage (%)]]*Table2[[#This Row],[Std GWP]]</f>
        <v>#N/A</v>
      </c>
      <c r="AM20" s="165" t="e">
        <f>(Table2[[#This Row],[Msr Refrigerant charge (lbs)per NormUnit]]/pounds_per_metric_ton)*Table2[[#This Row],[Msr net EOL refrigerant leakage (%)]]*Table2[[#This Row],[Msr GWP]]</f>
        <v>#N/A</v>
      </c>
      <c r="AN20" s="174" cm="1">
        <f t="array" aca="1" ref="AN20" ca="1">IF(Table2[[#This Row],[MeasAppType]]="AR",Table2[[#This Row],[Pre Annual leakage tons CO2e]]*NPV(WACC,OFFSET(const_ones,0,0,1,Table2[[#This Row],[EUL]])*OFFSET(GHG_Adder_dollar_per_tonne,0,(Table2[[#This Row],[Device installation year]])-GHG_Adder_Yr1,1,Table2[[#This Row],[EUL]]))/(1+WACC)^(Table2[[#This Row],[Device installation year]]-DY),0)</f>
        <v>0</v>
      </c>
      <c r="AO20" s="174" t="e" cm="1">
        <f t="array" aca="1" ref="AO20"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20" s="174" t="e" cm="1">
        <f t="array" aca="1" ref="AP20" ca="1">Table2[[#This Row],[Msr Annual leakage tons CO2e]]*NPV(WACC,OFFSET(const_ones,0,0,1,Table2[[#This Row],[EUL]])*OFFSET(GHG_Adder_dollar_per_tonne,0,((Table2[[#This Row],[Device installation year]])-GHG_Adder_Yr1),1,Table2[[#This Row],[EUL]]))/(1+WACC)^(Table2[[#This Row],[Device installation year]]-DY)</f>
        <v>#N/A</v>
      </c>
      <c r="AQ20" s="260" cm="1">
        <f t="array" aca="1" ref="AQ20"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20" s="261" t="e" cm="1">
        <f t="array" aca="1" ref="AR20"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20" s="261" t="e" cm="1">
        <f t="array" aca="1" ref="AS20" ca="1">Table2[[#This Row],[Msr EOL leakage tons CO2e]]*NPV(WACC,OFFSET(const_repeat_after,Table2[[#This Row],[EUL]],0,1,Table2[[#This Row],[EUL]])*OFFSET(GHG_Adder_dollar_per_tonne,0,(Table2[[#This Row],[Device installation year]])-GHG_Adder_Yr1,1,Table2[[#This Row],[EUL]]))/(1+WACC)^(Table2[[#This Row],[Device installation year]]-DY)</f>
        <v>#N/A</v>
      </c>
      <c r="AT20" s="260">
        <f>0</f>
        <v>0</v>
      </c>
      <c r="AU20"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20" s="174" t="e">
        <f ca="1">Table2[[#This Row],[RefrigerantNPVCostsNet]]&gt;0</f>
        <v>#N/A</v>
      </c>
      <c r="AW20" s="174">
        <f>0</f>
        <v>0</v>
      </c>
      <c r="AX20" s="174">
        <f>0</f>
        <v>0</v>
      </c>
      <c r="AY20" s="174">
        <f>0</f>
        <v>0</v>
      </c>
      <c r="AZ20" s="174">
        <f ca="1">Table2[[#This Row],[Pre NPV Cost of Annual Leakage]]+Table2[[#This Row],[Pre NPV Cost of EOL Leakage]]</f>
        <v>0</v>
      </c>
      <c r="BA20" s="174" t="e">
        <f ca="1">Table2[[#This Row],[Std NPV Cost of Annual Leakage]]+Table2[[#This Row],[Std NPV Cost of EOL Leakage]]</f>
        <v>#N/A</v>
      </c>
      <c r="BB20" s="174" t="e">
        <f ca="1">Table2[[#This Row],[AR immediate NPV cost of leakage]]+Table2[[#This Row],[Msr NPV Cost of Annual Leakage]]+Table2[[#This Row],[Msr NPV Cost of EOL Leakage]]</f>
        <v>#N/A</v>
      </c>
      <c r="BC20" s="273" t="e">
        <f ca="1">IF(Table2[[#This Row],[Is Net Cost?]],Table2[[#This Row],[RefrigerantNPVCostsNet]],0)</f>
        <v>#N/A</v>
      </c>
      <c r="BD20" s="174" t="e">
        <f ca="1">IF(Table2[[#This Row],[Is Net Cost?]],0,-Table2[[#This Row],[RefrigerantNPVCostsNet]])</f>
        <v>#N/A</v>
      </c>
    </row>
    <row r="21" spans="1:56" x14ac:dyDescent="0.3">
      <c r="A21" s="173">
        <f t="shared" si="1"/>
        <v>2022</v>
      </c>
      <c r="B21" s="268"/>
      <c r="C21" s="212"/>
      <c r="D21" s="212"/>
      <c r="E21" s="216" t="str">
        <f>IF(Table2[[#This Row],[MeasAppType]]="NR","N/A","N/A")</f>
        <v>N/A</v>
      </c>
      <c r="F21" s="272"/>
      <c r="G21" s="218"/>
      <c r="H21" s="218"/>
      <c r="I21" s="218"/>
      <c r="J21" s="173" t="e">
        <f>INDEX(Table3[CommonRefrigerantType],MATCH(Table2[[#This Row],[Pre tech lookup (not required for "NR" measure application types)]],DropdownRefrigTech,0))</f>
        <v>#N/A</v>
      </c>
      <c r="K21" s="173" t="e">
        <f>INDEX(Table3[CommonRefrigerantType],MATCH(Table2[[#This Row],[Std tech lookup (not required for "AR" measure application types)]],DropdownRefrigTech,0))</f>
        <v>#N/A</v>
      </c>
      <c r="L21" s="173" t="e">
        <f>INDEX(Table3[CommonRefrigerantType],MATCH(Table2[[#This Row],[Msr tech lookup]],DropdownRefrigTech,0))</f>
        <v>#N/A</v>
      </c>
      <c r="M21" s="134" t="e">
        <f>INDEX(Table3[RefrigChargePoundsPerNormUnit],MATCH(Table2[[#This Row],[Pre tech lookup (not required for "NR" measure application types)]],DropdownRefrigTech,0))</f>
        <v>#N/A</v>
      </c>
      <c r="N21" s="134" t="e">
        <f>INDEX(Table3[RefrigChargePoundsPerNormUnit],MATCH(Table2[[#This Row],[Std tech lookup (not required for "AR" measure application types)]],DropdownRefrigTech,0))</f>
        <v>#N/A</v>
      </c>
      <c r="O21" s="149" t="e">
        <f>INDEX(Table3[RefrigChargePoundsPerNormUnit],MATCH(Table2[[#This Row],[Msr tech lookup]],DropdownRefrigTech,0))</f>
        <v>#N/A</v>
      </c>
      <c r="P21" s="163" t="e">
        <f>INDEX(Table3[AnnualLeakageRate],MATCH(Table2[[#This Row],[Pre tech lookup (not required for "NR" measure application types)]],DropdownRefrigTech,0))</f>
        <v>#N/A</v>
      </c>
      <c r="Q21" s="163" t="e">
        <f>INDEX(Table3[AnnualLeakageRate],MATCH(Table2[[#This Row],[Std tech lookup (not required for "AR" measure application types)]],DropdownRefrigTech,0))</f>
        <v>#N/A</v>
      </c>
      <c r="R21" s="163" t="e">
        <f>INDEX(Table3[AnnualLeakageRate],MATCH(Table2[[#This Row],[Msr tech lookup]],DropdownRefrigTech,0))</f>
        <v>#N/A</v>
      </c>
      <c r="S21" s="164" t="e">
        <f>INDEX(Table3[t_EOL],MATCH(Table2[[#This Row],[Pre tech lookup (not required for "NR" measure application types)]],DropdownRefrigTech,0))</f>
        <v>#N/A</v>
      </c>
      <c r="T21" s="164" t="e">
        <f>INDEX(Table3[t_EOL],MATCH(Table2[[#This Row],[Std tech lookup (not required for "AR" measure application types)]],DropdownRefrigTech,0))</f>
        <v>#N/A</v>
      </c>
      <c r="U21" s="164" t="e">
        <f>INDEX(Table3[t_EOL],MATCH(Table2[[#This Row],[Msr tech lookup]],DropdownRefrigTech,0))</f>
        <v>#N/A</v>
      </c>
      <c r="V21" s="163" t="e">
        <f>1-Table2[[#This Row],[Pre annual refrigerant leakage %]]*Table2[[#This Row],[Pre t_EOL]]</f>
        <v>#N/A</v>
      </c>
      <c r="W21" s="163" t="e">
        <f>1-Table2[[#This Row],[Std annual refrigerant leakage %]]*Table2[[#This Row],[Std t_EOL]]</f>
        <v>#N/A</v>
      </c>
      <c r="X21" s="163" t="e">
        <f>1-Table2[[#This Row],[Msr annual refrigerant leakage %]]*Table2[[#This Row],[Msr t_EOL]]</f>
        <v>#N/A</v>
      </c>
      <c r="Y21" s="163" t="e">
        <f>INDEX(Table3[q_EOL],MATCH(Table2[[#This Row],[Pre tech lookup (not required for "NR" measure application types)]],DropdownRefrigTech,0))</f>
        <v>#N/A</v>
      </c>
      <c r="Z21" s="163" t="e">
        <f>INDEX(Table3[q_EOL],MATCH(Table2[[#This Row],[Std tech lookup (not required for "AR" measure application types)]],DropdownRefrigTech,0))</f>
        <v>#N/A</v>
      </c>
      <c r="AA21" s="163" t="e">
        <f>INDEX(Table3[q_EOL],MATCH(Table2[[#This Row],[Msr tech lookup]],DropdownRefrigTech,0))</f>
        <v>#N/A</v>
      </c>
      <c r="AB21" s="163" t="e">
        <f>Table2[[#This Row],[Pre charging remaining (%)]]*Table2[[#This Row],[Pre gross EOL refrigerant leakage %]]</f>
        <v>#N/A</v>
      </c>
      <c r="AC21" s="163" t="e">
        <f>Table2[[#This Row],[Std charging remaining (%)]]*Table2[[#This Row],[Std gross EOL refrigerant leakage %]]</f>
        <v>#N/A</v>
      </c>
      <c r="AD21" s="163" t="e">
        <f>Table2[[#This Row],[Msr charging remaining (%)]]*Table2[[#This Row],[Msr gross EOL refrigerant leakage %]]</f>
        <v>#N/A</v>
      </c>
      <c r="AE21" s="164" t="e" cm="1">
        <f t="array" ref="AE21">INDEX(_xlfn.SWITCH($B$4,"20-yr",GWP_Values_20_year_AR4,"100-yr",GWP_Values_100_year_AR4),MATCH(Table2[[#This Row],[Pre Refrigerant Type]],RefrigDropdownList,0))</f>
        <v>#N/A</v>
      </c>
      <c r="AF21" s="164" t="e" cm="1">
        <f t="array" ref="AF21">INDEX(_xlfn.SWITCH($B$4,"20-yr",GWP_Values_20_year_AR4,"100-yr",GWP_Values_100_year_AR4),MATCH(Table2[[#This Row],[Std Refrigerant Type]],RefrigDropdownList,0))</f>
        <v>#N/A</v>
      </c>
      <c r="AG21" s="164" t="e" cm="1">
        <f t="array" ref="AG21">INDEX(_xlfn.SWITCH($B$4,"20-yr",GWP_Values_20_year_AR4,"100-yr",GWP_Values_100_year_AR4),MATCH(Table2[[#This Row],[Msr Refrigerant Type]],RefrigDropdownList,0))</f>
        <v>#N/A</v>
      </c>
      <c r="AH21" s="165" t="e">
        <f>(Table2[[#This Row],[Pre Refrigerant charge (lbs) per NormUnit]]/pounds_per_metric_ton)*Table2[[#This Row],[Pre annual refrigerant leakage %]]*Table2[[#This Row],[Pre GWP]]</f>
        <v>#N/A</v>
      </c>
      <c r="AI21" s="165" t="e">
        <f>(Table2[[#This Row],[Std Refrigerant charge (lbs)per NormUnit]]/pounds_per_metric_ton)*Table2[[#This Row],[Std annual refrigerant leakage %]]*Table2[[#This Row],[Std GWP]]</f>
        <v>#N/A</v>
      </c>
      <c r="AJ21" s="165" t="e">
        <f>(Table2[[#This Row],[Msr Refrigerant charge (lbs)per NormUnit]]/pounds_per_metric_ton)*Table2[[#This Row],[Msr annual refrigerant leakage %]]*Table2[[#This Row],[Msr GWP]]</f>
        <v>#N/A</v>
      </c>
      <c r="AK21" s="165" t="e">
        <f>(Table2[[#This Row],[Pre Refrigerant charge (lbs) per NormUnit]]/pounds_per_metric_ton)*Table2[[#This Row],[Pre net EOL refrigerant leakage (%)]]*Table2[[#This Row],[Pre GWP]]</f>
        <v>#N/A</v>
      </c>
      <c r="AL21" s="165" t="e">
        <f>(Table2[[#This Row],[Std Refrigerant charge (lbs)per NormUnit]]/pounds_per_metric_ton)*Table2[[#This Row],[Std net EOL refrigerant leakage (%)]]*Table2[[#This Row],[Std GWP]]</f>
        <v>#N/A</v>
      </c>
      <c r="AM21" s="165" t="e">
        <f>(Table2[[#This Row],[Msr Refrigerant charge (lbs)per NormUnit]]/pounds_per_metric_ton)*Table2[[#This Row],[Msr net EOL refrigerant leakage (%)]]*Table2[[#This Row],[Msr GWP]]</f>
        <v>#N/A</v>
      </c>
      <c r="AN21" s="174" cm="1">
        <f t="array" aca="1" ref="AN21" ca="1">IF(Table2[[#This Row],[MeasAppType]]="AR",Table2[[#This Row],[Pre Annual leakage tons CO2e]]*NPV(WACC,OFFSET(const_ones,0,0,1,Table2[[#This Row],[EUL]])*OFFSET(GHG_Adder_dollar_per_tonne,0,(Table2[[#This Row],[Device installation year]])-GHG_Adder_Yr1,1,Table2[[#This Row],[EUL]]))/(1+WACC)^(Table2[[#This Row],[Device installation year]]-DY),0)</f>
        <v>0</v>
      </c>
      <c r="AO21" s="174" t="e" cm="1">
        <f t="array" aca="1" ref="AO21"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21" s="174" t="e" cm="1">
        <f t="array" aca="1" ref="AP21" ca="1">Table2[[#This Row],[Msr Annual leakage tons CO2e]]*NPV(WACC,OFFSET(const_ones,0,0,1,Table2[[#This Row],[EUL]])*OFFSET(GHG_Adder_dollar_per_tonne,0,((Table2[[#This Row],[Device installation year]])-GHG_Adder_Yr1),1,Table2[[#This Row],[EUL]]))/(1+WACC)^(Table2[[#This Row],[Device installation year]]-DY)</f>
        <v>#N/A</v>
      </c>
      <c r="AQ21" s="260" cm="1">
        <f t="array" aca="1" ref="AQ21"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21" s="261" t="e" cm="1">
        <f t="array" aca="1" ref="AR21"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21" s="261" t="e" cm="1">
        <f t="array" aca="1" ref="AS21" ca="1">Table2[[#This Row],[Msr EOL leakage tons CO2e]]*NPV(WACC,OFFSET(const_repeat_after,Table2[[#This Row],[EUL]],0,1,Table2[[#This Row],[EUL]])*OFFSET(GHG_Adder_dollar_per_tonne,0,(Table2[[#This Row],[Device installation year]])-GHG_Adder_Yr1,1,Table2[[#This Row],[EUL]]))/(1+WACC)^(Table2[[#This Row],[Device installation year]]-DY)</f>
        <v>#N/A</v>
      </c>
      <c r="AT21" s="260">
        <f>0</f>
        <v>0</v>
      </c>
      <c r="AU21"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21" s="174" t="e">
        <f ca="1">Table2[[#This Row],[RefrigerantNPVCostsNet]]&gt;0</f>
        <v>#N/A</v>
      </c>
      <c r="AW21" s="174">
        <f>0</f>
        <v>0</v>
      </c>
      <c r="AX21" s="174">
        <f>0</f>
        <v>0</v>
      </c>
      <c r="AY21" s="174">
        <f>0</f>
        <v>0</v>
      </c>
      <c r="AZ21" s="174">
        <f ca="1">Table2[[#This Row],[Pre NPV Cost of Annual Leakage]]+Table2[[#This Row],[Pre NPV Cost of EOL Leakage]]</f>
        <v>0</v>
      </c>
      <c r="BA21" s="174" t="e">
        <f ca="1">Table2[[#This Row],[Std NPV Cost of Annual Leakage]]+Table2[[#This Row],[Std NPV Cost of EOL Leakage]]</f>
        <v>#N/A</v>
      </c>
      <c r="BB21" s="174" t="e">
        <f ca="1">Table2[[#This Row],[AR immediate NPV cost of leakage]]+Table2[[#This Row],[Msr NPV Cost of Annual Leakage]]+Table2[[#This Row],[Msr NPV Cost of EOL Leakage]]</f>
        <v>#N/A</v>
      </c>
      <c r="BC21" s="273" t="e">
        <f ca="1">IF(Table2[[#This Row],[Is Net Cost?]],Table2[[#This Row],[RefrigerantNPVCostsNet]],0)</f>
        <v>#N/A</v>
      </c>
      <c r="BD21" s="174" t="e">
        <f ca="1">IF(Table2[[#This Row],[Is Net Cost?]],0,-Table2[[#This Row],[RefrigerantNPVCostsNet]])</f>
        <v>#N/A</v>
      </c>
    </row>
    <row r="22" spans="1:56" x14ac:dyDescent="0.3">
      <c r="A22" s="173">
        <f t="shared" si="1"/>
        <v>2022</v>
      </c>
      <c r="B22" s="268"/>
      <c r="C22" s="212"/>
      <c r="D22" s="212"/>
      <c r="E22" s="216" t="str">
        <f>IF(Table2[[#This Row],[MeasAppType]]="NR","N/A","N/A")</f>
        <v>N/A</v>
      </c>
      <c r="F22" s="272"/>
      <c r="G22" s="218"/>
      <c r="H22" s="218"/>
      <c r="I22" s="218"/>
      <c r="J22" s="173" t="e">
        <f>INDEX(Table3[CommonRefrigerantType],MATCH(Table2[[#This Row],[Pre tech lookup (not required for "NR" measure application types)]],DropdownRefrigTech,0))</f>
        <v>#N/A</v>
      </c>
      <c r="K22" s="173" t="e">
        <f>INDEX(Table3[CommonRefrigerantType],MATCH(Table2[[#This Row],[Std tech lookup (not required for "AR" measure application types)]],DropdownRefrigTech,0))</f>
        <v>#N/A</v>
      </c>
      <c r="L22" s="173" t="e">
        <f>INDEX(Table3[CommonRefrigerantType],MATCH(Table2[[#This Row],[Msr tech lookup]],DropdownRefrigTech,0))</f>
        <v>#N/A</v>
      </c>
      <c r="M22" s="134" t="e">
        <f>INDEX(Table3[RefrigChargePoundsPerNormUnit],MATCH(Table2[[#This Row],[Pre tech lookup (not required for "NR" measure application types)]],DropdownRefrigTech,0))</f>
        <v>#N/A</v>
      </c>
      <c r="N22" s="134" t="e">
        <f>INDEX(Table3[RefrigChargePoundsPerNormUnit],MATCH(Table2[[#This Row],[Std tech lookup (not required for "AR" measure application types)]],DropdownRefrigTech,0))</f>
        <v>#N/A</v>
      </c>
      <c r="O22" s="149" t="e">
        <f>INDEX(Table3[RefrigChargePoundsPerNormUnit],MATCH(Table2[[#This Row],[Msr tech lookup]],DropdownRefrigTech,0))</f>
        <v>#N/A</v>
      </c>
      <c r="P22" s="163" t="e">
        <f>INDEX(Table3[AnnualLeakageRate],MATCH(Table2[[#This Row],[Pre tech lookup (not required for "NR" measure application types)]],DropdownRefrigTech,0))</f>
        <v>#N/A</v>
      </c>
      <c r="Q22" s="163" t="e">
        <f>INDEX(Table3[AnnualLeakageRate],MATCH(Table2[[#This Row],[Std tech lookup (not required for "AR" measure application types)]],DropdownRefrigTech,0))</f>
        <v>#N/A</v>
      </c>
      <c r="R22" s="163" t="e">
        <f>INDEX(Table3[AnnualLeakageRate],MATCH(Table2[[#This Row],[Msr tech lookup]],DropdownRefrigTech,0))</f>
        <v>#N/A</v>
      </c>
      <c r="S22" s="164" t="e">
        <f>INDEX(Table3[t_EOL],MATCH(Table2[[#This Row],[Pre tech lookup (not required for "NR" measure application types)]],DropdownRefrigTech,0))</f>
        <v>#N/A</v>
      </c>
      <c r="T22" s="164" t="e">
        <f>INDEX(Table3[t_EOL],MATCH(Table2[[#This Row],[Std tech lookup (not required for "AR" measure application types)]],DropdownRefrigTech,0))</f>
        <v>#N/A</v>
      </c>
      <c r="U22" s="164" t="e">
        <f>INDEX(Table3[t_EOL],MATCH(Table2[[#This Row],[Msr tech lookup]],DropdownRefrigTech,0))</f>
        <v>#N/A</v>
      </c>
      <c r="V22" s="163" t="e">
        <f>1-Table2[[#This Row],[Pre annual refrigerant leakage %]]*Table2[[#This Row],[Pre t_EOL]]</f>
        <v>#N/A</v>
      </c>
      <c r="W22" s="163" t="e">
        <f>1-Table2[[#This Row],[Std annual refrigerant leakage %]]*Table2[[#This Row],[Std t_EOL]]</f>
        <v>#N/A</v>
      </c>
      <c r="X22" s="163" t="e">
        <f>1-Table2[[#This Row],[Msr annual refrigerant leakage %]]*Table2[[#This Row],[Msr t_EOL]]</f>
        <v>#N/A</v>
      </c>
      <c r="Y22" s="163" t="e">
        <f>INDEX(Table3[q_EOL],MATCH(Table2[[#This Row],[Pre tech lookup (not required for "NR" measure application types)]],DropdownRefrigTech,0))</f>
        <v>#N/A</v>
      </c>
      <c r="Z22" s="163" t="e">
        <f>INDEX(Table3[q_EOL],MATCH(Table2[[#This Row],[Std tech lookup (not required for "AR" measure application types)]],DropdownRefrigTech,0))</f>
        <v>#N/A</v>
      </c>
      <c r="AA22" s="163" t="e">
        <f>INDEX(Table3[q_EOL],MATCH(Table2[[#This Row],[Msr tech lookup]],DropdownRefrigTech,0))</f>
        <v>#N/A</v>
      </c>
      <c r="AB22" s="163" t="e">
        <f>Table2[[#This Row],[Pre charging remaining (%)]]*Table2[[#This Row],[Pre gross EOL refrigerant leakage %]]</f>
        <v>#N/A</v>
      </c>
      <c r="AC22" s="163" t="e">
        <f>Table2[[#This Row],[Std charging remaining (%)]]*Table2[[#This Row],[Std gross EOL refrigerant leakage %]]</f>
        <v>#N/A</v>
      </c>
      <c r="AD22" s="163" t="e">
        <f>Table2[[#This Row],[Msr charging remaining (%)]]*Table2[[#This Row],[Msr gross EOL refrigerant leakage %]]</f>
        <v>#N/A</v>
      </c>
      <c r="AE22" s="164" t="e" cm="1">
        <f t="array" ref="AE22">INDEX(_xlfn.SWITCH($B$4,"20-yr",GWP_Values_20_year_AR4,"100-yr",GWP_Values_100_year_AR4),MATCH(Table2[[#This Row],[Pre Refrigerant Type]],RefrigDropdownList,0))</f>
        <v>#N/A</v>
      </c>
      <c r="AF22" s="164" t="e" cm="1">
        <f t="array" ref="AF22">INDEX(_xlfn.SWITCH($B$4,"20-yr",GWP_Values_20_year_AR4,"100-yr",GWP_Values_100_year_AR4),MATCH(Table2[[#This Row],[Std Refrigerant Type]],RefrigDropdownList,0))</f>
        <v>#N/A</v>
      </c>
      <c r="AG22" s="164" t="e" cm="1">
        <f t="array" ref="AG22">INDEX(_xlfn.SWITCH($B$4,"20-yr",GWP_Values_20_year_AR4,"100-yr",GWP_Values_100_year_AR4),MATCH(Table2[[#This Row],[Msr Refrigerant Type]],RefrigDropdownList,0))</f>
        <v>#N/A</v>
      </c>
      <c r="AH22" s="165" t="e">
        <f>(Table2[[#This Row],[Pre Refrigerant charge (lbs) per NormUnit]]/pounds_per_metric_ton)*Table2[[#This Row],[Pre annual refrigerant leakage %]]*Table2[[#This Row],[Pre GWP]]</f>
        <v>#N/A</v>
      </c>
      <c r="AI22" s="165" t="e">
        <f>(Table2[[#This Row],[Std Refrigerant charge (lbs)per NormUnit]]/pounds_per_metric_ton)*Table2[[#This Row],[Std annual refrigerant leakage %]]*Table2[[#This Row],[Std GWP]]</f>
        <v>#N/A</v>
      </c>
      <c r="AJ22" s="165" t="e">
        <f>(Table2[[#This Row],[Msr Refrigerant charge (lbs)per NormUnit]]/pounds_per_metric_ton)*Table2[[#This Row],[Msr annual refrigerant leakage %]]*Table2[[#This Row],[Msr GWP]]</f>
        <v>#N/A</v>
      </c>
      <c r="AK22" s="165" t="e">
        <f>(Table2[[#This Row],[Pre Refrigerant charge (lbs) per NormUnit]]/pounds_per_metric_ton)*Table2[[#This Row],[Pre net EOL refrigerant leakage (%)]]*Table2[[#This Row],[Pre GWP]]</f>
        <v>#N/A</v>
      </c>
      <c r="AL22" s="165" t="e">
        <f>(Table2[[#This Row],[Std Refrigerant charge (lbs)per NormUnit]]/pounds_per_metric_ton)*Table2[[#This Row],[Std net EOL refrigerant leakage (%)]]*Table2[[#This Row],[Std GWP]]</f>
        <v>#N/A</v>
      </c>
      <c r="AM22" s="165" t="e">
        <f>(Table2[[#This Row],[Msr Refrigerant charge (lbs)per NormUnit]]/pounds_per_metric_ton)*Table2[[#This Row],[Msr net EOL refrigerant leakage (%)]]*Table2[[#This Row],[Msr GWP]]</f>
        <v>#N/A</v>
      </c>
      <c r="AN22" s="174" cm="1">
        <f t="array" aca="1" ref="AN22" ca="1">IF(Table2[[#This Row],[MeasAppType]]="AR",Table2[[#This Row],[Pre Annual leakage tons CO2e]]*NPV(WACC,OFFSET(const_ones,0,0,1,Table2[[#This Row],[EUL]])*OFFSET(GHG_Adder_dollar_per_tonne,0,(Table2[[#This Row],[Device installation year]])-GHG_Adder_Yr1,1,Table2[[#This Row],[EUL]]))/(1+WACC)^(Table2[[#This Row],[Device installation year]]-DY),0)</f>
        <v>0</v>
      </c>
      <c r="AO22" s="174" t="e" cm="1">
        <f t="array" aca="1" ref="AO22"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22" s="174" t="e" cm="1">
        <f t="array" aca="1" ref="AP22" ca="1">Table2[[#This Row],[Msr Annual leakage tons CO2e]]*NPV(WACC,OFFSET(const_ones,0,0,1,Table2[[#This Row],[EUL]])*OFFSET(GHG_Adder_dollar_per_tonne,0,((Table2[[#This Row],[Device installation year]])-GHG_Adder_Yr1),1,Table2[[#This Row],[EUL]]))/(1+WACC)^(Table2[[#This Row],[Device installation year]]-DY)</f>
        <v>#N/A</v>
      </c>
      <c r="AQ22" s="260" cm="1">
        <f t="array" aca="1" ref="AQ22"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22" s="261" t="e" cm="1">
        <f t="array" aca="1" ref="AR22"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22" s="261" t="e" cm="1">
        <f t="array" aca="1" ref="AS22" ca="1">Table2[[#This Row],[Msr EOL leakage tons CO2e]]*NPV(WACC,OFFSET(const_repeat_after,Table2[[#This Row],[EUL]],0,1,Table2[[#This Row],[EUL]])*OFFSET(GHG_Adder_dollar_per_tonne,0,(Table2[[#This Row],[Device installation year]])-GHG_Adder_Yr1,1,Table2[[#This Row],[EUL]]))/(1+WACC)^(Table2[[#This Row],[Device installation year]]-DY)</f>
        <v>#N/A</v>
      </c>
      <c r="AT22" s="260">
        <f>0</f>
        <v>0</v>
      </c>
      <c r="AU22"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22" s="174" t="e">
        <f ca="1">Table2[[#This Row],[RefrigerantNPVCostsNet]]&gt;0</f>
        <v>#N/A</v>
      </c>
      <c r="AW22" s="174">
        <f>0</f>
        <v>0</v>
      </c>
      <c r="AX22" s="174">
        <f>0</f>
        <v>0</v>
      </c>
      <c r="AY22" s="174">
        <f>0</f>
        <v>0</v>
      </c>
      <c r="AZ22" s="174">
        <f ca="1">Table2[[#This Row],[Pre NPV Cost of Annual Leakage]]+Table2[[#This Row],[Pre NPV Cost of EOL Leakage]]</f>
        <v>0</v>
      </c>
      <c r="BA22" s="174" t="e">
        <f ca="1">Table2[[#This Row],[Std NPV Cost of Annual Leakage]]+Table2[[#This Row],[Std NPV Cost of EOL Leakage]]</f>
        <v>#N/A</v>
      </c>
      <c r="BB22" s="174" t="e">
        <f ca="1">Table2[[#This Row],[AR immediate NPV cost of leakage]]+Table2[[#This Row],[Msr NPV Cost of Annual Leakage]]+Table2[[#This Row],[Msr NPV Cost of EOL Leakage]]</f>
        <v>#N/A</v>
      </c>
      <c r="BC22" s="273" t="e">
        <f ca="1">IF(Table2[[#This Row],[Is Net Cost?]],Table2[[#This Row],[RefrigerantNPVCostsNet]],0)</f>
        <v>#N/A</v>
      </c>
      <c r="BD22" s="174" t="e">
        <f ca="1">IF(Table2[[#This Row],[Is Net Cost?]],0,-Table2[[#This Row],[RefrigerantNPVCostsNet]])</f>
        <v>#N/A</v>
      </c>
    </row>
    <row r="23" spans="1:56" x14ac:dyDescent="0.3">
      <c r="A23" s="173">
        <f t="shared" si="1"/>
        <v>2022</v>
      </c>
      <c r="B23" s="268"/>
      <c r="C23" s="212"/>
      <c r="D23" s="212"/>
      <c r="E23" s="216" t="str">
        <f>IF(Table2[[#This Row],[MeasAppType]]="NR","N/A","N/A")</f>
        <v>N/A</v>
      </c>
      <c r="F23" s="272"/>
      <c r="G23" s="218"/>
      <c r="H23" s="218"/>
      <c r="I23" s="218"/>
      <c r="J23" s="173" t="e">
        <f>INDEX(Table3[CommonRefrigerantType],MATCH(Table2[[#This Row],[Pre tech lookup (not required for "NR" measure application types)]],DropdownRefrigTech,0))</f>
        <v>#N/A</v>
      </c>
      <c r="K23" s="173" t="e">
        <f>INDEX(Table3[CommonRefrigerantType],MATCH(Table2[[#This Row],[Std tech lookup (not required for "AR" measure application types)]],DropdownRefrigTech,0))</f>
        <v>#N/A</v>
      </c>
      <c r="L23" s="173" t="e">
        <f>INDEX(Table3[CommonRefrigerantType],MATCH(Table2[[#This Row],[Msr tech lookup]],DropdownRefrigTech,0))</f>
        <v>#N/A</v>
      </c>
      <c r="M23" s="134" t="e">
        <f>INDEX(Table3[RefrigChargePoundsPerNormUnit],MATCH(Table2[[#This Row],[Pre tech lookup (not required for "NR" measure application types)]],DropdownRefrigTech,0))</f>
        <v>#N/A</v>
      </c>
      <c r="N23" s="134" t="e">
        <f>INDEX(Table3[RefrigChargePoundsPerNormUnit],MATCH(Table2[[#This Row],[Std tech lookup (not required for "AR" measure application types)]],DropdownRefrigTech,0))</f>
        <v>#N/A</v>
      </c>
      <c r="O23" s="149" t="e">
        <f>INDEX(Table3[RefrigChargePoundsPerNormUnit],MATCH(Table2[[#This Row],[Msr tech lookup]],DropdownRefrigTech,0))</f>
        <v>#N/A</v>
      </c>
      <c r="P23" s="163" t="e">
        <f>INDEX(Table3[AnnualLeakageRate],MATCH(Table2[[#This Row],[Pre tech lookup (not required for "NR" measure application types)]],DropdownRefrigTech,0))</f>
        <v>#N/A</v>
      </c>
      <c r="Q23" s="163" t="e">
        <f>INDEX(Table3[AnnualLeakageRate],MATCH(Table2[[#This Row],[Std tech lookup (not required for "AR" measure application types)]],DropdownRefrigTech,0))</f>
        <v>#N/A</v>
      </c>
      <c r="R23" s="163" t="e">
        <f>INDEX(Table3[AnnualLeakageRate],MATCH(Table2[[#This Row],[Msr tech lookup]],DropdownRefrigTech,0))</f>
        <v>#N/A</v>
      </c>
      <c r="S23" s="164" t="e">
        <f>INDEX(Table3[t_EOL],MATCH(Table2[[#This Row],[Pre tech lookup (not required for "NR" measure application types)]],DropdownRefrigTech,0))</f>
        <v>#N/A</v>
      </c>
      <c r="T23" s="164" t="e">
        <f>INDEX(Table3[t_EOL],MATCH(Table2[[#This Row],[Std tech lookup (not required for "AR" measure application types)]],DropdownRefrigTech,0))</f>
        <v>#N/A</v>
      </c>
      <c r="U23" s="164" t="e">
        <f>INDEX(Table3[t_EOL],MATCH(Table2[[#This Row],[Msr tech lookup]],DropdownRefrigTech,0))</f>
        <v>#N/A</v>
      </c>
      <c r="V23" s="163" t="e">
        <f>1-Table2[[#This Row],[Pre annual refrigerant leakage %]]*Table2[[#This Row],[Pre t_EOL]]</f>
        <v>#N/A</v>
      </c>
      <c r="W23" s="163" t="e">
        <f>1-Table2[[#This Row],[Std annual refrigerant leakage %]]*Table2[[#This Row],[Std t_EOL]]</f>
        <v>#N/A</v>
      </c>
      <c r="X23" s="163" t="e">
        <f>1-Table2[[#This Row],[Msr annual refrigerant leakage %]]*Table2[[#This Row],[Msr t_EOL]]</f>
        <v>#N/A</v>
      </c>
      <c r="Y23" s="163" t="e">
        <f>INDEX(Table3[q_EOL],MATCH(Table2[[#This Row],[Pre tech lookup (not required for "NR" measure application types)]],DropdownRefrigTech,0))</f>
        <v>#N/A</v>
      </c>
      <c r="Z23" s="163" t="e">
        <f>INDEX(Table3[q_EOL],MATCH(Table2[[#This Row],[Std tech lookup (not required for "AR" measure application types)]],DropdownRefrigTech,0))</f>
        <v>#N/A</v>
      </c>
      <c r="AA23" s="163" t="e">
        <f>INDEX(Table3[q_EOL],MATCH(Table2[[#This Row],[Msr tech lookup]],DropdownRefrigTech,0))</f>
        <v>#N/A</v>
      </c>
      <c r="AB23" s="163" t="e">
        <f>Table2[[#This Row],[Pre charging remaining (%)]]*Table2[[#This Row],[Pre gross EOL refrigerant leakage %]]</f>
        <v>#N/A</v>
      </c>
      <c r="AC23" s="163" t="e">
        <f>Table2[[#This Row],[Std charging remaining (%)]]*Table2[[#This Row],[Std gross EOL refrigerant leakage %]]</f>
        <v>#N/A</v>
      </c>
      <c r="AD23" s="163" t="e">
        <f>Table2[[#This Row],[Msr charging remaining (%)]]*Table2[[#This Row],[Msr gross EOL refrigerant leakage %]]</f>
        <v>#N/A</v>
      </c>
      <c r="AE23" s="164" t="e" cm="1">
        <f t="array" ref="AE23">INDEX(_xlfn.SWITCH($B$4,"20-yr",GWP_Values_20_year_AR4,"100-yr",GWP_Values_100_year_AR4),MATCH(Table2[[#This Row],[Pre Refrigerant Type]],RefrigDropdownList,0))</f>
        <v>#N/A</v>
      </c>
      <c r="AF23" s="164" t="e" cm="1">
        <f t="array" ref="AF23">INDEX(_xlfn.SWITCH($B$4,"20-yr",GWP_Values_20_year_AR4,"100-yr",GWP_Values_100_year_AR4),MATCH(Table2[[#This Row],[Std Refrigerant Type]],RefrigDropdownList,0))</f>
        <v>#N/A</v>
      </c>
      <c r="AG23" s="164" t="e" cm="1">
        <f t="array" ref="AG23">INDEX(_xlfn.SWITCH($B$4,"20-yr",GWP_Values_20_year_AR4,"100-yr",GWP_Values_100_year_AR4),MATCH(Table2[[#This Row],[Msr Refrigerant Type]],RefrigDropdownList,0))</f>
        <v>#N/A</v>
      </c>
      <c r="AH23" s="165" t="e">
        <f>(Table2[[#This Row],[Pre Refrigerant charge (lbs) per NormUnit]]/pounds_per_metric_ton)*Table2[[#This Row],[Pre annual refrigerant leakage %]]*Table2[[#This Row],[Pre GWP]]</f>
        <v>#N/A</v>
      </c>
      <c r="AI23" s="165" t="e">
        <f>(Table2[[#This Row],[Std Refrigerant charge (lbs)per NormUnit]]/pounds_per_metric_ton)*Table2[[#This Row],[Std annual refrigerant leakage %]]*Table2[[#This Row],[Std GWP]]</f>
        <v>#N/A</v>
      </c>
      <c r="AJ23" s="165" t="e">
        <f>(Table2[[#This Row],[Msr Refrigerant charge (lbs)per NormUnit]]/pounds_per_metric_ton)*Table2[[#This Row],[Msr annual refrigerant leakage %]]*Table2[[#This Row],[Msr GWP]]</f>
        <v>#N/A</v>
      </c>
      <c r="AK23" s="165" t="e">
        <f>(Table2[[#This Row],[Pre Refrigerant charge (lbs) per NormUnit]]/pounds_per_metric_ton)*Table2[[#This Row],[Pre net EOL refrigerant leakage (%)]]*Table2[[#This Row],[Pre GWP]]</f>
        <v>#N/A</v>
      </c>
      <c r="AL23" s="165" t="e">
        <f>(Table2[[#This Row],[Std Refrigerant charge (lbs)per NormUnit]]/pounds_per_metric_ton)*Table2[[#This Row],[Std net EOL refrigerant leakage (%)]]*Table2[[#This Row],[Std GWP]]</f>
        <v>#N/A</v>
      </c>
      <c r="AM23" s="165" t="e">
        <f>(Table2[[#This Row],[Msr Refrigerant charge (lbs)per NormUnit]]/pounds_per_metric_ton)*Table2[[#This Row],[Msr net EOL refrigerant leakage (%)]]*Table2[[#This Row],[Msr GWP]]</f>
        <v>#N/A</v>
      </c>
      <c r="AN23" s="174" cm="1">
        <f t="array" aca="1" ref="AN23" ca="1">IF(Table2[[#This Row],[MeasAppType]]="AR",Table2[[#This Row],[Pre Annual leakage tons CO2e]]*NPV(WACC,OFFSET(const_ones,0,0,1,Table2[[#This Row],[EUL]])*OFFSET(GHG_Adder_dollar_per_tonne,0,(Table2[[#This Row],[Device installation year]])-GHG_Adder_Yr1,1,Table2[[#This Row],[EUL]]))/(1+WACC)^(Table2[[#This Row],[Device installation year]]-DY),0)</f>
        <v>0</v>
      </c>
      <c r="AO23" s="174" t="e" cm="1">
        <f t="array" aca="1" ref="AO23"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23" s="174" t="e" cm="1">
        <f t="array" aca="1" ref="AP23" ca="1">Table2[[#This Row],[Msr Annual leakage tons CO2e]]*NPV(WACC,OFFSET(const_ones,0,0,1,Table2[[#This Row],[EUL]])*OFFSET(GHG_Adder_dollar_per_tonne,0,((Table2[[#This Row],[Device installation year]])-GHG_Adder_Yr1),1,Table2[[#This Row],[EUL]]))/(1+WACC)^(Table2[[#This Row],[Device installation year]]-DY)</f>
        <v>#N/A</v>
      </c>
      <c r="AQ23" s="260" cm="1">
        <f t="array" aca="1" ref="AQ23"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23" s="261" t="e" cm="1">
        <f t="array" aca="1" ref="AR23"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23" s="261" t="e" cm="1">
        <f t="array" aca="1" ref="AS23" ca="1">Table2[[#This Row],[Msr EOL leakage tons CO2e]]*NPV(WACC,OFFSET(const_repeat_after,Table2[[#This Row],[EUL]],0,1,Table2[[#This Row],[EUL]])*OFFSET(GHG_Adder_dollar_per_tonne,0,(Table2[[#This Row],[Device installation year]])-GHG_Adder_Yr1,1,Table2[[#This Row],[EUL]]))/(1+WACC)^(Table2[[#This Row],[Device installation year]]-DY)</f>
        <v>#N/A</v>
      </c>
      <c r="AT23" s="260">
        <f>0</f>
        <v>0</v>
      </c>
      <c r="AU23"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23" s="174" t="e">
        <f ca="1">Table2[[#This Row],[RefrigerantNPVCostsNet]]&gt;0</f>
        <v>#N/A</v>
      </c>
      <c r="AW23" s="174">
        <f>0</f>
        <v>0</v>
      </c>
      <c r="AX23" s="174">
        <f>0</f>
        <v>0</v>
      </c>
      <c r="AY23" s="174">
        <f>0</f>
        <v>0</v>
      </c>
      <c r="AZ23" s="174">
        <f ca="1">Table2[[#This Row],[Pre NPV Cost of Annual Leakage]]+Table2[[#This Row],[Pre NPV Cost of EOL Leakage]]</f>
        <v>0</v>
      </c>
      <c r="BA23" s="174" t="e">
        <f ca="1">Table2[[#This Row],[Std NPV Cost of Annual Leakage]]+Table2[[#This Row],[Std NPV Cost of EOL Leakage]]</f>
        <v>#N/A</v>
      </c>
      <c r="BB23" s="174" t="e">
        <f ca="1">Table2[[#This Row],[AR immediate NPV cost of leakage]]+Table2[[#This Row],[Msr NPV Cost of Annual Leakage]]+Table2[[#This Row],[Msr NPV Cost of EOL Leakage]]</f>
        <v>#N/A</v>
      </c>
      <c r="BC23" s="273" t="e">
        <f ca="1">IF(Table2[[#This Row],[Is Net Cost?]],Table2[[#This Row],[RefrigerantNPVCostsNet]],0)</f>
        <v>#N/A</v>
      </c>
      <c r="BD23" s="174" t="e">
        <f ca="1">IF(Table2[[#This Row],[Is Net Cost?]],0,-Table2[[#This Row],[RefrigerantNPVCostsNet]])</f>
        <v>#N/A</v>
      </c>
    </row>
    <row r="24" spans="1:56" x14ac:dyDescent="0.3">
      <c r="A24" s="173">
        <f t="shared" si="1"/>
        <v>2022</v>
      </c>
      <c r="B24" s="268"/>
      <c r="C24" s="212"/>
      <c r="D24" s="212"/>
      <c r="E24" s="216" t="str">
        <f>IF(Table2[[#This Row],[MeasAppType]]="NR","N/A","N/A")</f>
        <v>N/A</v>
      </c>
      <c r="F24" s="272"/>
      <c r="G24" s="218"/>
      <c r="H24" s="218"/>
      <c r="I24" s="218"/>
      <c r="J24" s="173" t="e">
        <f>INDEX(Table3[CommonRefrigerantType],MATCH(Table2[[#This Row],[Pre tech lookup (not required for "NR" measure application types)]],DropdownRefrigTech,0))</f>
        <v>#N/A</v>
      </c>
      <c r="K24" s="173" t="e">
        <f>INDEX(Table3[CommonRefrigerantType],MATCH(Table2[[#This Row],[Std tech lookup (not required for "AR" measure application types)]],DropdownRefrigTech,0))</f>
        <v>#N/A</v>
      </c>
      <c r="L24" s="173" t="e">
        <f>INDEX(Table3[CommonRefrigerantType],MATCH(Table2[[#This Row],[Msr tech lookup]],DropdownRefrigTech,0))</f>
        <v>#N/A</v>
      </c>
      <c r="M24" s="134" t="e">
        <f>INDEX(Table3[RefrigChargePoundsPerNormUnit],MATCH(Table2[[#This Row],[Pre tech lookup (not required for "NR" measure application types)]],DropdownRefrigTech,0))</f>
        <v>#N/A</v>
      </c>
      <c r="N24" s="134" t="e">
        <f>INDEX(Table3[RefrigChargePoundsPerNormUnit],MATCH(Table2[[#This Row],[Std tech lookup (not required for "AR" measure application types)]],DropdownRefrigTech,0))</f>
        <v>#N/A</v>
      </c>
      <c r="O24" s="149" t="e">
        <f>INDEX(Table3[RefrigChargePoundsPerNormUnit],MATCH(Table2[[#This Row],[Msr tech lookup]],DropdownRefrigTech,0))</f>
        <v>#N/A</v>
      </c>
      <c r="P24" s="163" t="e">
        <f>INDEX(Table3[AnnualLeakageRate],MATCH(Table2[[#This Row],[Pre tech lookup (not required for "NR" measure application types)]],DropdownRefrigTech,0))</f>
        <v>#N/A</v>
      </c>
      <c r="Q24" s="163" t="e">
        <f>INDEX(Table3[AnnualLeakageRate],MATCH(Table2[[#This Row],[Std tech lookup (not required for "AR" measure application types)]],DropdownRefrigTech,0))</f>
        <v>#N/A</v>
      </c>
      <c r="R24" s="163" t="e">
        <f>INDEX(Table3[AnnualLeakageRate],MATCH(Table2[[#This Row],[Msr tech lookup]],DropdownRefrigTech,0))</f>
        <v>#N/A</v>
      </c>
      <c r="S24" s="164" t="e">
        <f>INDEX(Table3[t_EOL],MATCH(Table2[[#This Row],[Pre tech lookup (not required for "NR" measure application types)]],DropdownRefrigTech,0))</f>
        <v>#N/A</v>
      </c>
      <c r="T24" s="164" t="e">
        <f>INDEX(Table3[t_EOL],MATCH(Table2[[#This Row],[Std tech lookup (not required for "AR" measure application types)]],DropdownRefrigTech,0))</f>
        <v>#N/A</v>
      </c>
      <c r="U24" s="164" t="e">
        <f>INDEX(Table3[t_EOL],MATCH(Table2[[#This Row],[Msr tech lookup]],DropdownRefrigTech,0))</f>
        <v>#N/A</v>
      </c>
      <c r="V24" s="163" t="e">
        <f>1-Table2[[#This Row],[Pre annual refrigerant leakage %]]*Table2[[#This Row],[Pre t_EOL]]</f>
        <v>#N/A</v>
      </c>
      <c r="W24" s="163" t="e">
        <f>1-Table2[[#This Row],[Std annual refrigerant leakage %]]*Table2[[#This Row],[Std t_EOL]]</f>
        <v>#N/A</v>
      </c>
      <c r="X24" s="163" t="e">
        <f>1-Table2[[#This Row],[Msr annual refrigerant leakage %]]*Table2[[#This Row],[Msr t_EOL]]</f>
        <v>#N/A</v>
      </c>
      <c r="Y24" s="163" t="e">
        <f>INDEX(Table3[q_EOL],MATCH(Table2[[#This Row],[Pre tech lookup (not required for "NR" measure application types)]],DropdownRefrigTech,0))</f>
        <v>#N/A</v>
      </c>
      <c r="Z24" s="163" t="e">
        <f>INDEX(Table3[q_EOL],MATCH(Table2[[#This Row],[Std tech lookup (not required for "AR" measure application types)]],DropdownRefrigTech,0))</f>
        <v>#N/A</v>
      </c>
      <c r="AA24" s="163" t="e">
        <f>INDEX(Table3[q_EOL],MATCH(Table2[[#This Row],[Msr tech lookup]],DropdownRefrigTech,0))</f>
        <v>#N/A</v>
      </c>
      <c r="AB24" s="163" t="e">
        <f>Table2[[#This Row],[Pre charging remaining (%)]]*Table2[[#This Row],[Pre gross EOL refrigerant leakage %]]</f>
        <v>#N/A</v>
      </c>
      <c r="AC24" s="163" t="e">
        <f>Table2[[#This Row],[Std charging remaining (%)]]*Table2[[#This Row],[Std gross EOL refrigerant leakage %]]</f>
        <v>#N/A</v>
      </c>
      <c r="AD24" s="163" t="e">
        <f>Table2[[#This Row],[Msr charging remaining (%)]]*Table2[[#This Row],[Msr gross EOL refrigerant leakage %]]</f>
        <v>#N/A</v>
      </c>
      <c r="AE24" s="164" t="e" cm="1">
        <f t="array" ref="AE24">INDEX(_xlfn.SWITCH($B$4,"20-yr",GWP_Values_20_year_AR4,"100-yr",GWP_Values_100_year_AR4),MATCH(Table2[[#This Row],[Pre Refrigerant Type]],RefrigDropdownList,0))</f>
        <v>#N/A</v>
      </c>
      <c r="AF24" s="164" t="e" cm="1">
        <f t="array" ref="AF24">INDEX(_xlfn.SWITCH($B$4,"20-yr",GWP_Values_20_year_AR4,"100-yr",GWP_Values_100_year_AR4),MATCH(Table2[[#This Row],[Std Refrigerant Type]],RefrigDropdownList,0))</f>
        <v>#N/A</v>
      </c>
      <c r="AG24" s="164" t="e" cm="1">
        <f t="array" ref="AG24">INDEX(_xlfn.SWITCH($B$4,"20-yr",GWP_Values_20_year_AR4,"100-yr",GWP_Values_100_year_AR4),MATCH(Table2[[#This Row],[Msr Refrigerant Type]],RefrigDropdownList,0))</f>
        <v>#N/A</v>
      </c>
      <c r="AH24" s="165" t="e">
        <f>(Table2[[#This Row],[Pre Refrigerant charge (lbs) per NormUnit]]/pounds_per_metric_ton)*Table2[[#This Row],[Pre annual refrigerant leakage %]]*Table2[[#This Row],[Pre GWP]]</f>
        <v>#N/A</v>
      </c>
      <c r="AI24" s="165" t="e">
        <f>(Table2[[#This Row],[Std Refrigerant charge (lbs)per NormUnit]]/pounds_per_metric_ton)*Table2[[#This Row],[Std annual refrigerant leakage %]]*Table2[[#This Row],[Std GWP]]</f>
        <v>#N/A</v>
      </c>
      <c r="AJ24" s="165" t="e">
        <f>(Table2[[#This Row],[Msr Refrigerant charge (lbs)per NormUnit]]/pounds_per_metric_ton)*Table2[[#This Row],[Msr annual refrigerant leakage %]]*Table2[[#This Row],[Msr GWP]]</f>
        <v>#N/A</v>
      </c>
      <c r="AK24" s="165" t="e">
        <f>(Table2[[#This Row],[Pre Refrigerant charge (lbs) per NormUnit]]/pounds_per_metric_ton)*Table2[[#This Row],[Pre net EOL refrigerant leakage (%)]]*Table2[[#This Row],[Pre GWP]]</f>
        <v>#N/A</v>
      </c>
      <c r="AL24" s="165" t="e">
        <f>(Table2[[#This Row],[Std Refrigerant charge (lbs)per NormUnit]]/pounds_per_metric_ton)*Table2[[#This Row],[Std net EOL refrigerant leakage (%)]]*Table2[[#This Row],[Std GWP]]</f>
        <v>#N/A</v>
      </c>
      <c r="AM24" s="165" t="e">
        <f>(Table2[[#This Row],[Msr Refrigerant charge (lbs)per NormUnit]]/pounds_per_metric_ton)*Table2[[#This Row],[Msr net EOL refrigerant leakage (%)]]*Table2[[#This Row],[Msr GWP]]</f>
        <v>#N/A</v>
      </c>
      <c r="AN24" s="174" cm="1">
        <f t="array" aca="1" ref="AN24" ca="1">IF(Table2[[#This Row],[MeasAppType]]="AR",Table2[[#This Row],[Pre Annual leakage tons CO2e]]*NPV(WACC,OFFSET(const_ones,0,0,1,Table2[[#This Row],[EUL]])*OFFSET(GHG_Adder_dollar_per_tonne,0,(Table2[[#This Row],[Device installation year]])-GHG_Adder_Yr1,1,Table2[[#This Row],[EUL]]))/(1+WACC)^(Table2[[#This Row],[Device installation year]]-DY),0)</f>
        <v>0</v>
      </c>
      <c r="AO24" s="174" t="e" cm="1">
        <f t="array" aca="1" ref="AO24"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24" s="174" t="e" cm="1">
        <f t="array" aca="1" ref="AP24" ca="1">Table2[[#This Row],[Msr Annual leakage tons CO2e]]*NPV(WACC,OFFSET(const_ones,0,0,1,Table2[[#This Row],[EUL]])*OFFSET(GHG_Adder_dollar_per_tonne,0,((Table2[[#This Row],[Device installation year]])-GHG_Adder_Yr1),1,Table2[[#This Row],[EUL]]))/(1+WACC)^(Table2[[#This Row],[Device installation year]]-DY)</f>
        <v>#N/A</v>
      </c>
      <c r="AQ24" s="260" cm="1">
        <f t="array" aca="1" ref="AQ24"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24" s="261" t="e" cm="1">
        <f t="array" aca="1" ref="AR24"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24" s="261" t="e" cm="1">
        <f t="array" aca="1" ref="AS24" ca="1">Table2[[#This Row],[Msr EOL leakage tons CO2e]]*NPV(WACC,OFFSET(const_repeat_after,Table2[[#This Row],[EUL]],0,1,Table2[[#This Row],[EUL]])*OFFSET(GHG_Adder_dollar_per_tonne,0,(Table2[[#This Row],[Device installation year]])-GHG_Adder_Yr1,1,Table2[[#This Row],[EUL]]))/(1+WACC)^(Table2[[#This Row],[Device installation year]]-DY)</f>
        <v>#N/A</v>
      </c>
      <c r="AT24" s="260">
        <f>0</f>
        <v>0</v>
      </c>
      <c r="AU24"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24" s="174" t="e">
        <f ca="1">Table2[[#This Row],[RefrigerantNPVCostsNet]]&gt;0</f>
        <v>#N/A</v>
      </c>
      <c r="AW24" s="174">
        <f>0</f>
        <v>0</v>
      </c>
      <c r="AX24" s="174">
        <f>0</f>
        <v>0</v>
      </c>
      <c r="AY24" s="174">
        <f>0</f>
        <v>0</v>
      </c>
      <c r="AZ24" s="174">
        <f ca="1">Table2[[#This Row],[Pre NPV Cost of Annual Leakage]]+Table2[[#This Row],[Pre NPV Cost of EOL Leakage]]</f>
        <v>0</v>
      </c>
      <c r="BA24" s="174" t="e">
        <f ca="1">Table2[[#This Row],[Std NPV Cost of Annual Leakage]]+Table2[[#This Row],[Std NPV Cost of EOL Leakage]]</f>
        <v>#N/A</v>
      </c>
      <c r="BB24" s="174" t="e">
        <f ca="1">Table2[[#This Row],[AR immediate NPV cost of leakage]]+Table2[[#This Row],[Msr NPV Cost of Annual Leakage]]+Table2[[#This Row],[Msr NPV Cost of EOL Leakage]]</f>
        <v>#N/A</v>
      </c>
      <c r="BC24" s="273" t="e">
        <f ca="1">IF(Table2[[#This Row],[Is Net Cost?]],Table2[[#This Row],[RefrigerantNPVCostsNet]],0)</f>
        <v>#N/A</v>
      </c>
      <c r="BD24" s="174" t="e">
        <f ca="1">IF(Table2[[#This Row],[Is Net Cost?]],0,-Table2[[#This Row],[RefrigerantNPVCostsNet]])</f>
        <v>#N/A</v>
      </c>
    </row>
    <row r="25" spans="1:56" x14ac:dyDescent="0.3">
      <c r="A25" s="173">
        <f t="shared" si="1"/>
        <v>2022</v>
      </c>
      <c r="B25" s="268"/>
      <c r="C25" s="212"/>
      <c r="D25" s="212"/>
      <c r="E25" s="216" t="str">
        <f>IF(Table2[[#This Row],[MeasAppType]]="NR","N/A","N/A")</f>
        <v>N/A</v>
      </c>
      <c r="F25" s="272"/>
      <c r="G25" s="218"/>
      <c r="H25" s="218"/>
      <c r="I25" s="218"/>
      <c r="J25" s="173" t="e">
        <f>INDEX(Table3[CommonRefrigerantType],MATCH(Table2[[#This Row],[Pre tech lookup (not required for "NR" measure application types)]],DropdownRefrigTech,0))</f>
        <v>#N/A</v>
      </c>
      <c r="K25" s="173" t="e">
        <f>INDEX(Table3[CommonRefrigerantType],MATCH(Table2[[#This Row],[Std tech lookup (not required for "AR" measure application types)]],DropdownRefrigTech,0))</f>
        <v>#N/A</v>
      </c>
      <c r="L25" s="173" t="e">
        <f>INDEX(Table3[CommonRefrigerantType],MATCH(Table2[[#This Row],[Msr tech lookup]],DropdownRefrigTech,0))</f>
        <v>#N/A</v>
      </c>
      <c r="M25" s="134" t="e">
        <f>INDEX(Table3[RefrigChargePoundsPerNormUnit],MATCH(Table2[[#This Row],[Pre tech lookup (not required for "NR" measure application types)]],DropdownRefrigTech,0))</f>
        <v>#N/A</v>
      </c>
      <c r="N25" s="134" t="e">
        <f>INDEX(Table3[RefrigChargePoundsPerNormUnit],MATCH(Table2[[#This Row],[Std tech lookup (not required for "AR" measure application types)]],DropdownRefrigTech,0))</f>
        <v>#N/A</v>
      </c>
      <c r="O25" s="149" t="e">
        <f>INDEX(Table3[RefrigChargePoundsPerNormUnit],MATCH(Table2[[#This Row],[Msr tech lookup]],DropdownRefrigTech,0))</f>
        <v>#N/A</v>
      </c>
      <c r="P25" s="163" t="e">
        <f>INDEX(Table3[AnnualLeakageRate],MATCH(Table2[[#This Row],[Pre tech lookup (not required for "NR" measure application types)]],DropdownRefrigTech,0))</f>
        <v>#N/A</v>
      </c>
      <c r="Q25" s="163" t="e">
        <f>INDEX(Table3[AnnualLeakageRate],MATCH(Table2[[#This Row],[Std tech lookup (not required for "AR" measure application types)]],DropdownRefrigTech,0))</f>
        <v>#N/A</v>
      </c>
      <c r="R25" s="163" t="e">
        <f>INDEX(Table3[AnnualLeakageRate],MATCH(Table2[[#This Row],[Msr tech lookup]],DropdownRefrigTech,0))</f>
        <v>#N/A</v>
      </c>
      <c r="S25" s="164" t="e">
        <f>INDEX(Table3[t_EOL],MATCH(Table2[[#This Row],[Pre tech lookup (not required for "NR" measure application types)]],DropdownRefrigTech,0))</f>
        <v>#N/A</v>
      </c>
      <c r="T25" s="164" t="e">
        <f>INDEX(Table3[t_EOL],MATCH(Table2[[#This Row],[Std tech lookup (not required for "AR" measure application types)]],DropdownRefrigTech,0))</f>
        <v>#N/A</v>
      </c>
      <c r="U25" s="164" t="e">
        <f>INDEX(Table3[t_EOL],MATCH(Table2[[#This Row],[Msr tech lookup]],DropdownRefrigTech,0))</f>
        <v>#N/A</v>
      </c>
      <c r="V25" s="163" t="e">
        <f>1-Table2[[#This Row],[Pre annual refrigerant leakage %]]*Table2[[#This Row],[Pre t_EOL]]</f>
        <v>#N/A</v>
      </c>
      <c r="W25" s="163" t="e">
        <f>1-Table2[[#This Row],[Std annual refrigerant leakage %]]*Table2[[#This Row],[Std t_EOL]]</f>
        <v>#N/A</v>
      </c>
      <c r="X25" s="163" t="e">
        <f>1-Table2[[#This Row],[Msr annual refrigerant leakage %]]*Table2[[#This Row],[Msr t_EOL]]</f>
        <v>#N/A</v>
      </c>
      <c r="Y25" s="163" t="e">
        <f>INDEX(Table3[q_EOL],MATCH(Table2[[#This Row],[Pre tech lookup (not required for "NR" measure application types)]],DropdownRefrigTech,0))</f>
        <v>#N/A</v>
      </c>
      <c r="Z25" s="163" t="e">
        <f>INDEX(Table3[q_EOL],MATCH(Table2[[#This Row],[Std tech lookup (not required for "AR" measure application types)]],DropdownRefrigTech,0))</f>
        <v>#N/A</v>
      </c>
      <c r="AA25" s="163" t="e">
        <f>INDEX(Table3[q_EOL],MATCH(Table2[[#This Row],[Msr tech lookup]],DropdownRefrigTech,0))</f>
        <v>#N/A</v>
      </c>
      <c r="AB25" s="163" t="e">
        <f>Table2[[#This Row],[Pre charging remaining (%)]]*Table2[[#This Row],[Pre gross EOL refrigerant leakage %]]</f>
        <v>#N/A</v>
      </c>
      <c r="AC25" s="163" t="e">
        <f>Table2[[#This Row],[Std charging remaining (%)]]*Table2[[#This Row],[Std gross EOL refrigerant leakage %]]</f>
        <v>#N/A</v>
      </c>
      <c r="AD25" s="163" t="e">
        <f>Table2[[#This Row],[Msr charging remaining (%)]]*Table2[[#This Row],[Msr gross EOL refrigerant leakage %]]</f>
        <v>#N/A</v>
      </c>
      <c r="AE25" s="164" t="e" cm="1">
        <f t="array" ref="AE25">INDEX(_xlfn.SWITCH($B$4,"20-yr",GWP_Values_20_year_AR4,"100-yr",GWP_Values_100_year_AR4),MATCH(Table2[[#This Row],[Pre Refrigerant Type]],RefrigDropdownList,0))</f>
        <v>#N/A</v>
      </c>
      <c r="AF25" s="164" t="e" cm="1">
        <f t="array" ref="AF25">INDEX(_xlfn.SWITCH($B$4,"20-yr",GWP_Values_20_year_AR4,"100-yr",GWP_Values_100_year_AR4),MATCH(Table2[[#This Row],[Std Refrigerant Type]],RefrigDropdownList,0))</f>
        <v>#N/A</v>
      </c>
      <c r="AG25" s="164" t="e" cm="1">
        <f t="array" ref="AG25">INDEX(_xlfn.SWITCH($B$4,"20-yr",GWP_Values_20_year_AR4,"100-yr",GWP_Values_100_year_AR4),MATCH(Table2[[#This Row],[Msr Refrigerant Type]],RefrigDropdownList,0))</f>
        <v>#N/A</v>
      </c>
      <c r="AH25" s="165" t="e">
        <f>(Table2[[#This Row],[Pre Refrigerant charge (lbs) per NormUnit]]/pounds_per_metric_ton)*Table2[[#This Row],[Pre annual refrigerant leakage %]]*Table2[[#This Row],[Pre GWP]]</f>
        <v>#N/A</v>
      </c>
      <c r="AI25" s="165" t="e">
        <f>(Table2[[#This Row],[Std Refrigerant charge (lbs)per NormUnit]]/pounds_per_metric_ton)*Table2[[#This Row],[Std annual refrigerant leakage %]]*Table2[[#This Row],[Std GWP]]</f>
        <v>#N/A</v>
      </c>
      <c r="AJ25" s="165" t="e">
        <f>(Table2[[#This Row],[Msr Refrigerant charge (lbs)per NormUnit]]/pounds_per_metric_ton)*Table2[[#This Row],[Msr annual refrigerant leakage %]]*Table2[[#This Row],[Msr GWP]]</f>
        <v>#N/A</v>
      </c>
      <c r="AK25" s="165" t="e">
        <f>(Table2[[#This Row],[Pre Refrigerant charge (lbs) per NormUnit]]/pounds_per_metric_ton)*Table2[[#This Row],[Pre net EOL refrigerant leakage (%)]]*Table2[[#This Row],[Pre GWP]]</f>
        <v>#N/A</v>
      </c>
      <c r="AL25" s="165" t="e">
        <f>(Table2[[#This Row],[Std Refrigerant charge (lbs)per NormUnit]]/pounds_per_metric_ton)*Table2[[#This Row],[Std net EOL refrigerant leakage (%)]]*Table2[[#This Row],[Std GWP]]</f>
        <v>#N/A</v>
      </c>
      <c r="AM25" s="165" t="e">
        <f>(Table2[[#This Row],[Msr Refrigerant charge (lbs)per NormUnit]]/pounds_per_metric_ton)*Table2[[#This Row],[Msr net EOL refrigerant leakage (%)]]*Table2[[#This Row],[Msr GWP]]</f>
        <v>#N/A</v>
      </c>
      <c r="AN25" s="174" cm="1">
        <f t="array" aca="1" ref="AN25" ca="1">IF(Table2[[#This Row],[MeasAppType]]="AR",Table2[[#This Row],[Pre Annual leakage tons CO2e]]*NPV(WACC,OFFSET(const_ones,0,0,1,Table2[[#This Row],[EUL]])*OFFSET(GHG_Adder_dollar_per_tonne,0,(Table2[[#This Row],[Device installation year]])-GHG_Adder_Yr1,1,Table2[[#This Row],[EUL]]))/(1+WACC)^(Table2[[#This Row],[Device installation year]]-DY),0)</f>
        <v>0</v>
      </c>
      <c r="AO25" s="174" t="e" cm="1">
        <f t="array" aca="1" ref="AO25"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25" s="174" t="e" cm="1">
        <f t="array" aca="1" ref="AP25" ca="1">Table2[[#This Row],[Msr Annual leakage tons CO2e]]*NPV(WACC,OFFSET(const_ones,0,0,1,Table2[[#This Row],[EUL]])*OFFSET(GHG_Adder_dollar_per_tonne,0,((Table2[[#This Row],[Device installation year]])-GHG_Adder_Yr1),1,Table2[[#This Row],[EUL]]))/(1+WACC)^(Table2[[#This Row],[Device installation year]]-DY)</f>
        <v>#N/A</v>
      </c>
      <c r="AQ25" s="260" cm="1">
        <f t="array" aca="1" ref="AQ25"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25" s="261" t="e" cm="1">
        <f t="array" aca="1" ref="AR25"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25" s="261" t="e" cm="1">
        <f t="array" aca="1" ref="AS25" ca="1">Table2[[#This Row],[Msr EOL leakage tons CO2e]]*NPV(WACC,OFFSET(const_repeat_after,Table2[[#This Row],[EUL]],0,1,Table2[[#This Row],[EUL]])*OFFSET(GHG_Adder_dollar_per_tonne,0,(Table2[[#This Row],[Device installation year]])-GHG_Adder_Yr1,1,Table2[[#This Row],[EUL]]))/(1+WACC)^(Table2[[#This Row],[Device installation year]]-DY)</f>
        <v>#N/A</v>
      </c>
      <c r="AT25" s="260">
        <f>0</f>
        <v>0</v>
      </c>
      <c r="AU25"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25" s="174" t="e">
        <f ca="1">Table2[[#This Row],[RefrigerantNPVCostsNet]]&gt;0</f>
        <v>#N/A</v>
      </c>
      <c r="AW25" s="174">
        <f>0</f>
        <v>0</v>
      </c>
      <c r="AX25" s="174">
        <f>0</f>
        <v>0</v>
      </c>
      <c r="AY25" s="174">
        <f>0</f>
        <v>0</v>
      </c>
      <c r="AZ25" s="174">
        <f ca="1">Table2[[#This Row],[Pre NPV Cost of Annual Leakage]]+Table2[[#This Row],[Pre NPV Cost of EOL Leakage]]</f>
        <v>0</v>
      </c>
      <c r="BA25" s="174" t="e">
        <f ca="1">Table2[[#This Row],[Std NPV Cost of Annual Leakage]]+Table2[[#This Row],[Std NPV Cost of EOL Leakage]]</f>
        <v>#N/A</v>
      </c>
      <c r="BB25" s="174" t="e">
        <f ca="1">Table2[[#This Row],[AR immediate NPV cost of leakage]]+Table2[[#This Row],[Msr NPV Cost of Annual Leakage]]+Table2[[#This Row],[Msr NPV Cost of EOL Leakage]]</f>
        <v>#N/A</v>
      </c>
      <c r="BC25" s="273" t="e">
        <f ca="1">IF(Table2[[#This Row],[Is Net Cost?]],Table2[[#This Row],[RefrigerantNPVCostsNet]],0)</f>
        <v>#N/A</v>
      </c>
      <c r="BD25" s="174" t="e">
        <f ca="1">IF(Table2[[#This Row],[Is Net Cost?]],0,-Table2[[#This Row],[RefrigerantNPVCostsNet]])</f>
        <v>#N/A</v>
      </c>
    </row>
    <row r="26" spans="1:56" x14ac:dyDescent="0.3">
      <c r="A26" s="173">
        <f t="shared" si="1"/>
        <v>2022</v>
      </c>
      <c r="B26" s="268"/>
      <c r="C26" s="212"/>
      <c r="D26" s="212"/>
      <c r="E26" s="216" t="str">
        <f>IF(Table2[[#This Row],[MeasAppType]]="NR","N/A","N/A")</f>
        <v>N/A</v>
      </c>
      <c r="F26" s="272"/>
      <c r="G26" s="218"/>
      <c r="H26" s="218"/>
      <c r="I26" s="218"/>
      <c r="J26" s="173" t="e">
        <f>INDEX(Table3[CommonRefrigerantType],MATCH(Table2[[#This Row],[Pre tech lookup (not required for "NR" measure application types)]],DropdownRefrigTech,0))</f>
        <v>#N/A</v>
      </c>
      <c r="K26" s="173" t="e">
        <f>INDEX(Table3[CommonRefrigerantType],MATCH(Table2[[#This Row],[Std tech lookup (not required for "AR" measure application types)]],DropdownRefrigTech,0))</f>
        <v>#N/A</v>
      </c>
      <c r="L26" s="173" t="e">
        <f>INDEX(Table3[CommonRefrigerantType],MATCH(Table2[[#This Row],[Msr tech lookup]],DropdownRefrigTech,0))</f>
        <v>#N/A</v>
      </c>
      <c r="M26" s="134" t="e">
        <f>INDEX(Table3[RefrigChargePoundsPerNormUnit],MATCH(Table2[[#This Row],[Pre tech lookup (not required for "NR" measure application types)]],DropdownRefrigTech,0))</f>
        <v>#N/A</v>
      </c>
      <c r="N26" s="134" t="e">
        <f>INDEX(Table3[RefrigChargePoundsPerNormUnit],MATCH(Table2[[#This Row],[Std tech lookup (not required for "AR" measure application types)]],DropdownRefrigTech,0))</f>
        <v>#N/A</v>
      </c>
      <c r="O26" s="149" t="e">
        <f>INDEX(Table3[RefrigChargePoundsPerNormUnit],MATCH(Table2[[#This Row],[Msr tech lookup]],DropdownRefrigTech,0))</f>
        <v>#N/A</v>
      </c>
      <c r="P26" s="163" t="e">
        <f>INDEX(Table3[AnnualLeakageRate],MATCH(Table2[[#This Row],[Pre tech lookup (not required for "NR" measure application types)]],DropdownRefrigTech,0))</f>
        <v>#N/A</v>
      </c>
      <c r="Q26" s="163" t="e">
        <f>INDEX(Table3[AnnualLeakageRate],MATCH(Table2[[#This Row],[Std tech lookup (not required for "AR" measure application types)]],DropdownRefrigTech,0))</f>
        <v>#N/A</v>
      </c>
      <c r="R26" s="163" t="e">
        <f>INDEX(Table3[AnnualLeakageRate],MATCH(Table2[[#This Row],[Msr tech lookup]],DropdownRefrigTech,0))</f>
        <v>#N/A</v>
      </c>
      <c r="S26" s="164" t="e">
        <f>INDEX(Table3[t_EOL],MATCH(Table2[[#This Row],[Pre tech lookup (not required for "NR" measure application types)]],DropdownRefrigTech,0))</f>
        <v>#N/A</v>
      </c>
      <c r="T26" s="164" t="e">
        <f>INDEX(Table3[t_EOL],MATCH(Table2[[#This Row],[Std tech lookup (not required for "AR" measure application types)]],DropdownRefrigTech,0))</f>
        <v>#N/A</v>
      </c>
      <c r="U26" s="164" t="e">
        <f>INDEX(Table3[t_EOL],MATCH(Table2[[#This Row],[Msr tech lookup]],DropdownRefrigTech,0))</f>
        <v>#N/A</v>
      </c>
      <c r="V26" s="163" t="e">
        <f>1-Table2[[#This Row],[Pre annual refrigerant leakage %]]*Table2[[#This Row],[Pre t_EOL]]</f>
        <v>#N/A</v>
      </c>
      <c r="W26" s="163" t="e">
        <f>1-Table2[[#This Row],[Std annual refrigerant leakage %]]*Table2[[#This Row],[Std t_EOL]]</f>
        <v>#N/A</v>
      </c>
      <c r="X26" s="163" t="e">
        <f>1-Table2[[#This Row],[Msr annual refrigerant leakage %]]*Table2[[#This Row],[Msr t_EOL]]</f>
        <v>#N/A</v>
      </c>
      <c r="Y26" s="163" t="e">
        <f>INDEX(Table3[q_EOL],MATCH(Table2[[#This Row],[Pre tech lookup (not required for "NR" measure application types)]],DropdownRefrigTech,0))</f>
        <v>#N/A</v>
      </c>
      <c r="Z26" s="163" t="e">
        <f>INDEX(Table3[q_EOL],MATCH(Table2[[#This Row],[Std tech lookup (not required for "AR" measure application types)]],DropdownRefrigTech,0))</f>
        <v>#N/A</v>
      </c>
      <c r="AA26" s="163" t="e">
        <f>INDEX(Table3[q_EOL],MATCH(Table2[[#This Row],[Msr tech lookup]],DropdownRefrigTech,0))</f>
        <v>#N/A</v>
      </c>
      <c r="AB26" s="163" t="e">
        <f>Table2[[#This Row],[Pre charging remaining (%)]]*Table2[[#This Row],[Pre gross EOL refrigerant leakage %]]</f>
        <v>#N/A</v>
      </c>
      <c r="AC26" s="163" t="e">
        <f>Table2[[#This Row],[Std charging remaining (%)]]*Table2[[#This Row],[Std gross EOL refrigerant leakage %]]</f>
        <v>#N/A</v>
      </c>
      <c r="AD26" s="163" t="e">
        <f>Table2[[#This Row],[Msr charging remaining (%)]]*Table2[[#This Row],[Msr gross EOL refrigerant leakage %]]</f>
        <v>#N/A</v>
      </c>
      <c r="AE26" s="164" t="e" cm="1">
        <f t="array" ref="AE26">INDEX(_xlfn.SWITCH($B$4,"20-yr",GWP_Values_20_year_AR4,"100-yr",GWP_Values_100_year_AR4),MATCH(Table2[[#This Row],[Pre Refrigerant Type]],RefrigDropdownList,0))</f>
        <v>#N/A</v>
      </c>
      <c r="AF26" s="164" t="e" cm="1">
        <f t="array" ref="AF26">INDEX(_xlfn.SWITCH($B$4,"20-yr",GWP_Values_20_year_AR4,"100-yr",GWP_Values_100_year_AR4),MATCH(Table2[[#This Row],[Std Refrigerant Type]],RefrigDropdownList,0))</f>
        <v>#N/A</v>
      </c>
      <c r="AG26" s="164" t="e" cm="1">
        <f t="array" ref="AG26">INDEX(_xlfn.SWITCH($B$4,"20-yr",GWP_Values_20_year_AR4,"100-yr",GWP_Values_100_year_AR4),MATCH(Table2[[#This Row],[Msr Refrigerant Type]],RefrigDropdownList,0))</f>
        <v>#N/A</v>
      </c>
      <c r="AH26" s="165" t="e">
        <f>(Table2[[#This Row],[Pre Refrigerant charge (lbs) per NormUnit]]/pounds_per_metric_ton)*Table2[[#This Row],[Pre annual refrigerant leakage %]]*Table2[[#This Row],[Pre GWP]]</f>
        <v>#N/A</v>
      </c>
      <c r="AI26" s="165" t="e">
        <f>(Table2[[#This Row],[Std Refrigerant charge (lbs)per NormUnit]]/pounds_per_metric_ton)*Table2[[#This Row],[Std annual refrigerant leakage %]]*Table2[[#This Row],[Std GWP]]</f>
        <v>#N/A</v>
      </c>
      <c r="AJ26" s="165" t="e">
        <f>(Table2[[#This Row],[Msr Refrigerant charge (lbs)per NormUnit]]/pounds_per_metric_ton)*Table2[[#This Row],[Msr annual refrigerant leakage %]]*Table2[[#This Row],[Msr GWP]]</f>
        <v>#N/A</v>
      </c>
      <c r="AK26" s="165" t="e">
        <f>(Table2[[#This Row],[Pre Refrigerant charge (lbs) per NormUnit]]/pounds_per_metric_ton)*Table2[[#This Row],[Pre net EOL refrigerant leakage (%)]]*Table2[[#This Row],[Pre GWP]]</f>
        <v>#N/A</v>
      </c>
      <c r="AL26" s="165" t="e">
        <f>(Table2[[#This Row],[Std Refrigerant charge (lbs)per NormUnit]]/pounds_per_metric_ton)*Table2[[#This Row],[Std net EOL refrigerant leakage (%)]]*Table2[[#This Row],[Std GWP]]</f>
        <v>#N/A</v>
      </c>
      <c r="AM26" s="165" t="e">
        <f>(Table2[[#This Row],[Msr Refrigerant charge (lbs)per NormUnit]]/pounds_per_metric_ton)*Table2[[#This Row],[Msr net EOL refrigerant leakage (%)]]*Table2[[#This Row],[Msr GWP]]</f>
        <v>#N/A</v>
      </c>
      <c r="AN26" s="174" cm="1">
        <f t="array" aca="1" ref="AN26" ca="1">IF(Table2[[#This Row],[MeasAppType]]="AR",Table2[[#This Row],[Pre Annual leakage tons CO2e]]*NPV(WACC,OFFSET(const_ones,0,0,1,Table2[[#This Row],[EUL]])*OFFSET(GHG_Adder_dollar_per_tonne,0,(Table2[[#This Row],[Device installation year]])-GHG_Adder_Yr1,1,Table2[[#This Row],[EUL]]))/(1+WACC)^(Table2[[#This Row],[Device installation year]]-DY),0)</f>
        <v>0</v>
      </c>
      <c r="AO26" s="174" t="e" cm="1">
        <f t="array" aca="1" ref="AO26"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26" s="174" t="e" cm="1">
        <f t="array" aca="1" ref="AP26" ca="1">Table2[[#This Row],[Msr Annual leakage tons CO2e]]*NPV(WACC,OFFSET(const_ones,0,0,1,Table2[[#This Row],[EUL]])*OFFSET(GHG_Adder_dollar_per_tonne,0,((Table2[[#This Row],[Device installation year]])-GHG_Adder_Yr1),1,Table2[[#This Row],[EUL]]))/(1+WACC)^(Table2[[#This Row],[Device installation year]]-DY)</f>
        <v>#N/A</v>
      </c>
      <c r="AQ26" s="260" cm="1">
        <f t="array" aca="1" ref="AQ26"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26" s="261" t="e" cm="1">
        <f t="array" aca="1" ref="AR26"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26" s="261" t="e" cm="1">
        <f t="array" aca="1" ref="AS26" ca="1">Table2[[#This Row],[Msr EOL leakage tons CO2e]]*NPV(WACC,OFFSET(const_repeat_after,Table2[[#This Row],[EUL]],0,1,Table2[[#This Row],[EUL]])*OFFSET(GHG_Adder_dollar_per_tonne,0,(Table2[[#This Row],[Device installation year]])-GHG_Adder_Yr1,1,Table2[[#This Row],[EUL]]))/(1+WACC)^(Table2[[#This Row],[Device installation year]]-DY)</f>
        <v>#N/A</v>
      </c>
      <c r="AT26" s="260">
        <f>0</f>
        <v>0</v>
      </c>
      <c r="AU26"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26" s="174" t="e">
        <f ca="1">Table2[[#This Row],[RefrigerantNPVCostsNet]]&gt;0</f>
        <v>#N/A</v>
      </c>
      <c r="AW26" s="174">
        <f>0</f>
        <v>0</v>
      </c>
      <c r="AX26" s="174">
        <f>0</f>
        <v>0</v>
      </c>
      <c r="AY26" s="174">
        <f>0</f>
        <v>0</v>
      </c>
      <c r="AZ26" s="174">
        <f ca="1">Table2[[#This Row],[Pre NPV Cost of Annual Leakage]]+Table2[[#This Row],[Pre NPV Cost of EOL Leakage]]</f>
        <v>0</v>
      </c>
      <c r="BA26" s="174" t="e">
        <f ca="1">Table2[[#This Row],[Std NPV Cost of Annual Leakage]]+Table2[[#This Row],[Std NPV Cost of EOL Leakage]]</f>
        <v>#N/A</v>
      </c>
      <c r="BB26" s="174" t="e">
        <f ca="1">Table2[[#This Row],[AR immediate NPV cost of leakage]]+Table2[[#This Row],[Msr NPV Cost of Annual Leakage]]+Table2[[#This Row],[Msr NPV Cost of EOL Leakage]]</f>
        <v>#N/A</v>
      </c>
      <c r="BC26" s="273" t="e">
        <f ca="1">IF(Table2[[#This Row],[Is Net Cost?]],Table2[[#This Row],[RefrigerantNPVCostsNet]],0)</f>
        <v>#N/A</v>
      </c>
      <c r="BD26" s="174" t="e">
        <f ca="1">IF(Table2[[#This Row],[Is Net Cost?]],0,-Table2[[#This Row],[RefrigerantNPVCostsNet]])</f>
        <v>#N/A</v>
      </c>
    </row>
    <row r="27" spans="1:56" x14ac:dyDescent="0.3">
      <c r="A27" s="173">
        <f t="shared" si="1"/>
        <v>2022</v>
      </c>
      <c r="B27" s="268"/>
      <c r="C27" s="212"/>
      <c r="D27" s="212"/>
      <c r="E27" s="216" t="str">
        <f>IF(Table2[[#This Row],[MeasAppType]]="NR","N/A","N/A")</f>
        <v>N/A</v>
      </c>
      <c r="F27" s="272"/>
      <c r="G27" s="218"/>
      <c r="H27" s="218"/>
      <c r="I27" s="218"/>
      <c r="J27" s="173" t="e">
        <f>INDEX(Table3[CommonRefrigerantType],MATCH(Table2[[#This Row],[Pre tech lookup (not required for "NR" measure application types)]],DropdownRefrigTech,0))</f>
        <v>#N/A</v>
      </c>
      <c r="K27" s="173" t="e">
        <f>INDEX(Table3[CommonRefrigerantType],MATCH(Table2[[#This Row],[Std tech lookup (not required for "AR" measure application types)]],DropdownRefrigTech,0))</f>
        <v>#N/A</v>
      </c>
      <c r="L27" s="173" t="e">
        <f>INDEX(Table3[CommonRefrigerantType],MATCH(Table2[[#This Row],[Msr tech lookup]],DropdownRefrigTech,0))</f>
        <v>#N/A</v>
      </c>
      <c r="M27" s="134" t="e">
        <f>INDEX(Table3[RefrigChargePoundsPerNormUnit],MATCH(Table2[[#This Row],[Pre tech lookup (not required for "NR" measure application types)]],DropdownRefrigTech,0))</f>
        <v>#N/A</v>
      </c>
      <c r="N27" s="134" t="e">
        <f>INDEX(Table3[RefrigChargePoundsPerNormUnit],MATCH(Table2[[#This Row],[Std tech lookup (not required for "AR" measure application types)]],DropdownRefrigTech,0))</f>
        <v>#N/A</v>
      </c>
      <c r="O27" s="149" t="e">
        <f>INDEX(Table3[RefrigChargePoundsPerNormUnit],MATCH(Table2[[#This Row],[Msr tech lookup]],DropdownRefrigTech,0))</f>
        <v>#N/A</v>
      </c>
      <c r="P27" s="163" t="e">
        <f>INDEX(Table3[AnnualLeakageRate],MATCH(Table2[[#This Row],[Pre tech lookup (not required for "NR" measure application types)]],DropdownRefrigTech,0))</f>
        <v>#N/A</v>
      </c>
      <c r="Q27" s="163" t="e">
        <f>INDEX(Table3[AnnualLeakageRate],MATCH(Table2[[#This Row],[Std tech lookup (not required for "AR" measure application types)]],DropdownRefrigTech,0))</f>
        <v>#N/A</v>
      </c>
      <c r="R27" s="163" t="e">
        <f>INDEX(Table3[AnnualLeakageRate],MATCH(Table2[[#This Row],[Msr tech lookup]],DropdownRefrigTech,0))</f>
        <v>#N/A</v>
      </c>
      <c r="S27" s="164" t="e">
        <f>INDEX(Table3[t_EOL],MATCH(Table2[[#This Row],[Pre tech lookup (not required for "NR" measure application types)]],DropdownRefrigTech,0))</f>
        <v>#N/A</v>
      </c>
      <c r="T27" s="164" t="e">
        <f>INDEX(Table3[t_EOL],MATCH(Table2[[#This Row],[Std tech lookup (not required for "AR" measure application types)]],DropdownRefrigTech,0))</f>
        <v>#N/A</v>
      </c>
      <c r="U27" s="164" t="e">
        <f>INDEX(Table3[t_EOL],MATCH(Table2[[#This Row],[Msr tech lookup]],DropdownRefrigTech,0))</f>
        <v>#N/A</v>
      </c>
      <c r="V27" s="163" t="e">
        <f>1-Table2[[#This Row],[Pre annual refrigerant leakage %]]*Table2[[#This Row],[Pre t_EOL]]</f>
        <v>#N/A</v>
      </c>
      <c r="W27" s="163" t="e">
        <f>1-Table2[[#This Row],[Std annual refrigerant leakage %]]*Table2[[#This Row],[Std t_EOL]]</f>
        <v>#N/A</v>
      </c>
      <c r="X27" s="163" t="e">
        <f>1-Table2[[#This Row],[Msr annual refrigerant leakage %]]*Table2[[#This Row],[Msr t_EOL]]</f>
        <v>#N/A</v>
      </c>
      <c r="Y27" s="163" t="e">
        <f>INDEX(Table3[q_EOL],MATCH(Table2[[#This Row],[Pre tech lookup (not required for "NR" measure application types)]],DropdownRefrigTech,0))</f>
        <v>#N/A</v>
      </c>
      <c r="Z27" s="163" t="e">
        <f>INDEX(Table3[q_EOL],MATCH(Table2[[#This Row],[Std tech lookup (not required for "AR" measure application types)]],DropdownRefrigTech,0))</f>
        <v>#N/A</v>
      </c>
      <c r="AA27" s="163" t="e">
        <f>INDEX(Table3[q_EOL],MATCH(Table2[[#This Row],[Msr tech lookup]],DropdownRefrigTech,0))</f>
        <v>#N/A</v>
      </c>
      <c r="AB27" s="163" t="e">
        <f>Table2[[#This Row],[Pre charging remaining (%)]]*Table2[[#This Row],[Pre gross EOL refrigerant leakage %]]</f>
        <v>#N/A</v>
      </c>
      <c r="AC27" s="163" t="e">
        <f>Table2[[#This Row],[Std charging remaining (%)]]*Table2[[#This Row],[Std gross EOL refrigerant leakage %]]</f>
        <v>#N/A</v>
      </c>
      <c r="AD27" s="163" t="e">
        <f>Table2[[#This Row],[Msr charging remaining (%)]]*Table2[[#This Row],[Msr gross EOL refrigerant leakage %]]</f>
        <v>#N/A</v>
      </c>
      <c r="AE27" s="164" t="e" cm="1">
        <f t="array" ref="AE27">INDEX(_xlfn.SWITCH($B$4,"20-yr",GWP_Values_20_year_AR4,"100-yr",GWP_Values_100_year_AR4),MATCH(Table2[[#This Row],[Pre Refrigerant Type]],RefrigDropdownList,0))</f>
        <v>#N/A</v>
      </c>
      <c r="AF27" s="164" t="e" cm="1">
        <f t="array" ref="AF27">INDEX(_xlfn.SWITCH($B$4,"20-yr",GWP_Values_20_year_AR4,"100-yr",GWP_Values_100_year_AR4),MATCH(Table2[[#This Row],[Std Refrigerant Type]],RefrigDropdownList,0))</f>
        <v>#N/A</v>
      </c>
      <c r="AG27" s="164" t="e" cm="1">
        <f t="array" ref="AG27">INDEX(_xlfn.SWITCH($B$4,"20-yr",GWP_Values_20_year_AR4,"100-yr",GWP_Values_100_year_AR4),MATCH(Table2[[#This Row],[Msr Refrigerant Type]],RefrigDropdownList,0))</f>
        <v>#N/A</v>
      </c>
      <c r="AH27" s="165" t="e">
        <f>(Table2[[#This Row],[Pre Refrigerant charge (lbs) per NormUnit]]/pounds_per_metric_ton)*Table2[[#This Row],[Pre annual refrigerant leakage %]]*Table2[[#This Row],[Pre GWP]]</f>
        <v>#N/A</v>
      </c>
      <c r="AI27" s="165" t="e">
        <f>(Table2[[#This Row],[Std Refrigerant charge (lbs)per NormUnit]]/pounds_per_metric_ton)*Table2[[#This Row],[Std annual refrigerant leakage %]]*Table2[[#This Row],[Std GWP]]</f>
        <v>#N/A</v>
      </c>
      <c r="AJ27" s="165" t="e">
        <f>(Table2[[#This Row],[Msr Refrigerant charge (lbs)per NormUnit]]/pounds_per_metric_ton)*Table2[[#This Row],[Msr annual refrigerant leakage %]]*Table2[[#This Row],[Msr GWP]]</f>
        <v>#N/A</v>
      </c>
      <c r="AK27" s="165" t="e">
        <f>(Table2[[#This Row],[Pre Refrigerant charge (lbs) per NormUnit]]/pounds_per_metric_ton)*Table2[[#This Row],[Pre net EOL refrigerant leakage (%)]]*Table2[[#This Row],[Pre GWP]]</f>
        <v>#N/A</v>
      </c>
      <c r="AL27" s="165" t="e">
        <f>(Table2[[#This Row],[Std Refrigerant charge (lbs)per NormUnit]]/pounds_per_metric_ton)*Table2[[#This Row],[Std net EOL refrigerant leakage (%)]]*Table2[[#This Row],[Std GWP]]</f>
        <v>#N/A</v>
      </c>
      <c r="AM27" s="165" t="e">
        <f>(Table2[[#This Row],[Msr Refrigerant charge (lbs)per NormUnit]]/pounds_per_metric_ton)*Table2[[#This Row],[Msr net EOL refrigerant leakage (%)]]*Table2[[#This Row],[Msr GWP]]</f>
        <v>#N/A</v>
      </c>
      <c r="AN27" s="174" cm="1">
        <f t="array" aca="1" ref="AN27" ca="1">IF(Table2[[#This Row],[MeasAppType]]="AR",Table2[[#This Row],[Pre Annual leakage tons CO2e]]*NPV(WACC,OFFSET(const_ones,0,0,1,Table2[[#This Row],[EUL]])*OFFSET(GHG_Adder_dollar_per_tonne,0,(Table2[[#This Row],[Device installation year]])-GHG_Adder_Yr1,1,Table2[[#This Row],[EUL]]))/(1+WACC)^(Table2[[#This Row],[Device installation year]]-DY),0)</f>
        <v>0</v>
      </c>
      <c r="AO27" s="174" t="e" cm="1">
        <f t="array" aca="1" ref="AO27"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27" s="174" t="e" cm="1">
        <f t="array" aca="1" ref="AP27" ca="1">Table2[[#This Row],[Msr Annual leakage tons CO2e]]*NPV(WACC,OFFSET(const_ones,0,0,1,Table2[[#This Row],[EUL]])*OFFSET(GHG_Adder_dollar_per_tonne,0,((Table2[[#This Row],[Device installation year]])-GHG_Adder_Yr1),1,Table2[[#This Row],[EUL]]))/(1+WACC)^(Table2[[#This Row],[Device installation year]]-DY)</f>
        <v>#N/A</v>
      </c>
      <c r="AQ27" s="260" cm="1">
        <f t="array" aca="1" ref="AQ27"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27" s="261" t="e" cm="1">
        <f t="array" aca="1" ref="AR27"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27" s="261" t="e" cm="1">
        <f t="array" aca="1" ref="AS27" ca="1">Table2[[#This Row],[Msr EOL leakage tons CO2e]]*NPV(WACC,OFFSET(const_repeat_after,Table2[[#This Row],[EUL]],0,1,Table2[[#This Row],[EUL]])*OFFSET(GHG_Adder_dollar_per_tonne,0,(Table2[[#This Row],[Device installation year]])-GHG_Adder_Yr1,1,Table2[[#This Row],[EUL]]))/(1+WACC)^(Table2[[#This Row],[Device installation year]]-DY)</f>
        <v>#N/A</v>
      </c>
      <c r="AT27" s="260">
        <f>0</f>
        <v>0</v>
      </c>
      <c r="AU27"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27" s="174" t="e">
        <f ca="1">Table2[[#This Row],[RefrigerantNPVCostsNet]]&gt;0</f>
        <v>#N/A</v>
      </c>
      <c r="AW27" s="174">
        <f>0</f>
        <v>0</v>
      </c>
      <c r="AX27" s="174">
        <f>0</f>
        <v>0</v>
      </c>
      <c r="AY27" s="174">
        <f>0</f>
        <v>0</v>
      </c>
      <c r="AZ27" s="174">
        <f ca="1">Table2[[#This Row],[Pre NPV Cost of Annual Leakage]]+Table2[[#This Row],[Pre NPV Cost of EOL Leakage]]</f>
        <v>0</v>
      </c>
      <c r="BA27" s="174" t="e">
        <f ca="1">Table2[[#This Row],[Std NPV Cost of Annual Leakage]]+Table2[[#This Row],[Std NPV Cost of EOL Leakage]]</f>
        <v>#N/A</v>
      </c>
      <c r="BB27" s="174" t="e">
        <f ca="1">Table2[[#This Row],[AR immediate NPV cost of leakage]]+Table2[[#This Row],[Msr NPV Cost of Annual Leakage]]+Table2[[#This Row],[Msr NPV Cost of EOL Leakage]]</f>
        <v>#N/A</v>
      </c>
      <c r="BC27" s="273" t="e">
        <f ca="1">IF(Table2[[#This Row],[Is Net Cost?]],Table2[[#This Row],[RefrigerantNPVCostsNet]],0)</f>
        <v>#N/A</v>
      </c>
      <c r="BD27" s="174" t="e">
        <f ca="1">IF(Table2[[#This Row],[Is Net Cost?]],0,-Table2[[#This Row],[RefrigerantNPVCostsNet]])</f>
        <v>#N/A</v>
      </c>
    </row>
    <row r="28" spans="1:56" x14ac:dyDescent="0.3">
      <c r="A28" s="173">
        <f t="shared" si="1"/>
        <v>2022</v>
      </c>
      <c r="B28" s="268"/>
      <c r="C28" s="212"/>
      <c r="D28" s="212"/>
      <c r="E28" s="216" t="str">
        <f>IF(Table2[[#This Row],[MeasAppType]]="NR","N/A","N/A")</f>
        <v>N/A</v>
      </c>
      <c r="F28" s="272"/>
      <c r="G28" s="218"/>
      <c r="H28" s="218"/>
      <c r="I28" s="218"/>
      <c r="J28" s="173" t="e">
        <f>INDEX(Table3[CommonRefrigerantType],MATCH(Table2[[#This Row],[Pre tech lookup (not required for "NR" measure application types)]],DropdownRefrigTech,0))</f>
        <v>#N/A</v>
      </c>
      <c r="K28" s="173" t="e">
        <f>INDEX(Table3[CommonRefrigerantType],MATCH(Table2[[#This Row],[Std tech lookup (not required for "AR" measure application types)]],DropdownRefrigTech,0))</f>
        <v>#N/A</v>
      </c>
      <c r="L28" s="173" t="e">
        <f>INDEX(Table3[CommonRefrigerantType],MATCH(Table2[[#This Row],[Msr tech lookup]],DropdownRefrigTech,0))</f>
        <v>#N/A</v>
      </c>
      <c r="M28" s="134" t="e">
        <f>INDEX(Table3[RefrigChargePoundsPerNormUnit],MATCH(Table2[[#This Row],[Pre tech lookup (not required for "NR" measure application types)]],DropdownRefrigTech,0))</f>
        <v>#N/A</v>
      </c>
      <c r="N28" s="134" t="e">
        <f>INDEX(Table3[RefrigChargePoundsPerNormUnit],MATCH(Table2[[#This Row],[Std tech lookup (not required for "AR" measure application types)]],DropdownRefrigTech,0))</f>
        <v>#N/A</v>
      </c>
      <c r="O28" s="149" t="e">
        <f>INDEX(Table3[RefrigChargePoundsPerNormUnit],MATCH(Table2[[#This Row],[Msr tech lookup]],DropdownRefrigTech,0))</f>
        <v>#N/A</v>
      </c>
      <c r="P28" s="163" t="e">
        <f>INDEX(Table3[AnnualLeakageRate],MATCH(Table2[[#This Row],[Pre tech lookup (not required for "NR" measure application types)]],DropdownRefrigTech,0))</f>
        <v>#N/A</v>
      </c>
      <c r="Q28" s="163" t="e">
        <f>INDEX(Table3[AnnualLeakageRate],MATCH(Table2[[#This Row],[Std tech lookup (not required for "AR" measure application types)]],DropdownRefrigTech,0))</f>
        <v>#N/A</v>
      </c>
      <c r="R28" s="163" t="e">
        <f>INDEX(Table3[AnnualLeakageRate],MATCH(Table2[[#This Row],[Msr tech lookup]],DropdownRefrigTech,0))</f>
        <v>#N/A</v>
      </c>
      <c r="S28" s="164" t="e">
        <f>INDEX(Table3[t_EOL],MATCH(Table2[[#This Row],[Pre tech lookup (not required for "NR" measure application types)]],DropdownRefrigTech,0))</f>
        <v>#N/A</v>
      </c>
      <c r="T28" s="164" t="e">
        <f>INDEX(Table3[t_EOL],MATCH(Table2[[#This Row],[Std tech lookup (not required for "AR" measure application types)]],DropdownRefrigTech,0))</f>
        <v>#N/A</v>
      </c>
      <c r="U28" s="164" t="e">
        <f>INDEX(Table3[t_EOL],MATCH(Table2[[#This Row],[Msr tech lookup]],DropdownRefrigTech,0))</f>
        <v>#N/A</v>
      </c>
      <c r="V28" s="163" t="e">
        <f>1-Table2[[#This Row],[Pre annual refrigerant leakage %]]*Table2[[#This Row],[Pre t_EOL]]</f>
        <v>#N/A</v>
      </c>
      <c r="W28" s="163" t="e">
        <f>1-Table2[[#This Row],[Std annual refrigerant leakage %]]*Table2[[#This Row],[Std t_EOL]]</f>
        <v>#N/A</v>
      </c>
      <c r="X28" s="163" t="e">
        <f>1-Table2[[#This Row],[Msr annual refrigerant leakage %]]*Table2[[#This Row],[Msr t_EOL]]</f>
        <v>#N/A</v>
      </c>
      <c r="Y28" s="163" t="e">
        <f>INDEX(Table3[q_EOL],MATCH(Table2[[#This Row],[Pre tech lookup (not required for "NR" measure application types)]],DropdownRefrigTech,0))</f>
        <v>#N/A</v>
      </c>
      <c r="Z28" s="163" t="e">
        <f>INDEX(Table3[q_EOL],MATCH(Table2[[#This Row],[Std tech lookup (not required for "AR" measure application types)]],DropdownRefrigTech,0))</f>
        <v>#N/A</v>
      </c>
      <c r="AA28" s="163" t="e">
        <f>INDEX(Table3[q_EOL],MATCH(Table2[[#This Row],[Msr tech lookup]],DropdownRefrigTech,0))</f>
        <v>#N/A</v>
      </c>
      <c r="AB28" s="163" t="e">
        <f>Table2[[#This Row],[Pre charging remaining (%)]]*Table2[[#This Row],[Pre gross EOL refrigerant leakage %]]</f>
        <v>#N/A</v>
      </c>
      <c r="AC28" s="163" t="e">
        <f>Table2[[#This Row],[Std charging remaining (%)]]*Table2[[#This Row],[Std gross EOL refrigerant leakage %]]</f>
        <v>#N/A</v>
      </c>
      <c r="AD28" s="163" t="e">
        <f>Table2[[#This Row],[Msr charging remaining (%)]]*Table2[[#This Row],[Msr gross EOL refrigerant leakage %]]</f>
        <v>#N/A</v>
      </c>
      <c r="AE28" s="164" t="e" cm="1">
        <f t="array" ref="AE28">INDEX(_xlfn.SWITCH($B$4,"20-yr",GWP_Values_20_year_AR4,"100-yr",GWP_Values_100_year_AR4),MATCH(Table2[[#This Row],[Pre Refrigerant Type]],RefrigDropdownList,0))</f>
        <v>#N/A</v>
      </c>
      <c r="AF28" s="164" t="e" cm="1">
        <f t="array" ref="AF28">INDEX(_xlfn.SWITCH($B$4,"20-yr",GWP_Values_20_year_AR4,"100-yr",GWP_Values_100_year_AR4),MATCH(Table2[[#This Row],[Std Refrigerant Type]],RefrigDropdownList,0))</f>
        <v>#N/A</v>
      </c>
      <c r="AG28" s="164" t="e" cm="1">
        <f t="array" ref="AG28">INDEX(_xlfn.SWITCH($B$4,"20-yr",GWP_Values_20_year_AR4,"100-yr",GWP_Values_100_year_AR4),MATCH(Table2[[#This Row],[Msr Refrigerant Type]],RefrigDropdownList,0))</f>
        <v>#N/A</v>
      </c>
      <c r="AH28" s="165" t="e">
        <f>(Table2[[#This Row],[Pre Refrigerant charge (lbs) per NormUnit]]/pounds_per_metric_ton)*Table2[[#This Row],[Pre annual refrigerant leakage %]]*Table2[[#This Row],[Pre GWP]]</f>
        <v>#N/A</v>
      </c>
      <c r="AI28" s="165" t="e">
        <f>(Table2[[#This Row],[Std Refrigerant charge (lbs)per NormUnit]]/pounds_per_metric_ton)*Table2[[#This Row],[Std annual refrigerant leakage %]]*Table2[[#This Row],[Std GWP]]</f>
        <v>#N/A</v>
      </c>
      <c r="AJ28" s="165" t="e">
        <f>(Table2[[#This Row],[Msr Refrigerant charge (lbs)per NormUnit]]/pounds_per_metric_ton)*Table2[[#This Row],[Msr annual refrigerant leakage %]]*Table2[[#This Row],[Msr GWP]]</f>
        <v>#N/A</v>
      </c>
      <c r="AK28" s="165" t="e">
        <f>(Table2[[#This Row],[Pre Refrigerant charge (lbs) per NormUnit]]/pounds_per_metric_ton)*Table2[[#This Row],[Pre net EOL refrigerant leakage (%)]]*Table2[[#This Row],[Pre GWP]]</f>
        <v>#N/A</v>
      </c>
      <c r="AL28" s="165" t="e">
        <f>(Table2[[#This Row],[Std Refrigerant charge (lbs)per NormUnit]]/pounds_per_metric_ton)*Table2[[#This Row],[Std net EOL refrigerant leakage (%)]]*Table2[[#This Row],[Std GWP]]</f>
        <v>#N/A</v>
      </c>
      <c r="AM28" s="165" t="e">
        <f>(Table2[[#This Row],[Msr Refrigerant charge (lbs)per NormUnit]]/pounds_per_metric_ton)*Table2[[#This Row],[Msr net EOL refrigerant leakage (%)]]*Table2[[#This Row],[Msr GWP]]</f>
        <v>#N/A</v>
      </c>
      <c r="AN28" s="174" cm="1">
        <f t="array" aca="1" ref="AN28" ca="1">IF(Table2[[#This Row],[MeasAppType]]="AR",Table2[[#This Row],[Pre Annual leakage tons CO2e]]*NPV(WACC,OFFSET(const_ones,0,0,1,Table2[[#This Row],[EUL]])*OFFSET(GHG_Adder_dollar_per_tonne,0,(Table2[[#This Row],[Device installation year]])-GHG_Adder_Yr1,1,Table2[[#This Row],[EUL]]))/(1+WACC)^(Table2[[#This Row],[Device installation year]]-DY),0)</f>
        <v>0</v>
      </c>
      <c r="AO28" s="174" t="e" cm="1">
        <f t="array" aca="1" ref="AO28"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28" s="174" t="e" cm="1">
        <f t="array" aca="1" ref="AP28" ca="1">Table2[[#This Row],[Msr Annual leakage tons CO2e]]*NPV(WACC,OFFSET(const_ones,0,0,1,Table2[[#This Row],[EUL]])*OFFSET(GHG_Adder_dollar_per_tonne,0,((Table2[[#This Row],[Device installation year]])-GHG_Adder_Yr1),1,Table2[[#This Row],[EUL]]))/(1+WACC)^(Table2[[#This Row],[Device installation year]]-DY)</f>
        <v>#N/A</v>
      </c>
      <c r="AQ28" s="260" cm="1">
        <f t="array" aca="1" ref="AQ28"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28" s="261" t="e" cm="1">
        <f t="array" aca="1" ref="AR28"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28" s="261" t="e" cm="1">
        <f t="array" aca="1" ref="AS28" ca="1">Table2[[#This Row],[Msr EOL leakage tons CO2e]]*NPV(WACC,OFFSET(const_repeat_after,Table2[[#This Row],[EUL]],0,1,Table2[[#This Row],[EUL]])*OFFSET(GHG_Adder_dollar_per_tonne,0,(Table2[[#This Row],[Device installation year]])-GHG_Adder_Yr1,1,Table2[[#This Row],[EUL]]))/(1+WACC)^(Table2[[#This Row],[Device installation year]]-DY)</f>
        <v>#N/A</v>
      </c>
      <c r="AT28" s="260">
        <f>0</f>
        <v>0</v>
      </c>
      <c r="AU28"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28" s="174" t="e">
        <f ca="1">Table2[[#This Row],[RefrigerantNPVCostsNet]]&gt;0</f>
        <v>#N/A</v>
      </c>
      <c r="AW28" s="174">
        <f>0</f>
        <v>0</v>
      </c>
      <c r="AX28" s="174">
        <f>0</f>
        <v>0</v>
      </c>
      <c r="AY28" s="174">
        <f>0</f>
        <v>0</v>
      </c>
      <c r="AZ28" s="174">
        <f ca="1">Table2[[#This Row],[Pre NPV Cost of Annual Leakage]]+Table2[[#This Row],[Pre NPV Cost of EOL Leakage]]</f>
        <v>0</v>
      </c>
      <c r="BA28" s="174" t="e">
        <f ca="1">Table2[[#This Row],[Std NPV Cost of Annual Leakage]]+Table2[[#This Row],[Std NPV Cost of EOL Leakage]]</f>
        <v>#N/A</v>
      </c>
      <c r="BB28" s="174" t="e">
        <f ca="1">Table2[[#This Row],[AR immediate NPV cost of leakage]]+Table2[[#This Row],[Msr NPV Cost of Annual Leakage]]+Table2[[#This Row],[Msr NPV Cost of EOL Leakage]]</f>
        <v>#N/A</v>
      </c>
      <c r="BC28" s="273" t="e">
        <f ca="1">IF(Table2[[#This Row],[Is Net Cost?]],Table2[[#This Row],[RefrigerantNPVCostsNet]],0)</f>
        <v>#N/A</v>
      </c>
      <c r="BD28" s="174" t="e">
        <f ca="1">IF(Table2[[#This Row],[Is Net Cost?]],0,-Table2[[#This Row],[RefrigerantNPVCostsNet]])</f>
        <v>#N/A</v>
      </c>
    </row>
    <row r="29" spans="1:56" x14ac:dyDescent="0.3">
      <c r="A29" s="173">
        <f t="shared" si="1"/>
        <v>2022</v>
      </c>
      <c r="B29" s="268"/>
      <c r="C29" s="212"/>
      <c r="D29" s="212"/>
      <c r="E29" s="216" t="str">
        <f>IF(Table2[[#This Row],[MeasAppType]]="NR","N/A","N/A")</f>
        <v>N/A</v>
      </c>
      <c r="F29" s="272"/>
      <c r="G29" s="218"/>
      <c r="H29" s="218"/>
      <c r="I29" s="218"/>
      <c r="J29" s="173" t="e">
        <f>INDEX(Table3[CommonRefrigerantType],MATCH(Table2[[#This Row],[Pre tech lookup (not required for "NR" measure application types)]],DropdownRefrigTech,0))</f>
        <v>#N/A</v>
      </c>
      <c r="K29" s="173" t="e">
        <f>INDEX(Table3[CommonRefrigerantType],MATCH(Table2[[#This Row],[Std tech lookup (not required for "AR" measure application types)]],DropdownRefrigTech,0))</f>
        <v>#N/A</v>
      </c>
      <c r="L29" s="173" t="e">
        <f>INDEX(Table3[CommonRefrigerantType],MATCH(Table2[[#This Row],[Msr tech lookup]],DropdownRefrigTech,0))</f>
        <v>#N/A</v>
      </c>
      <c r="M29" s="134" t="e">
        <f>INDEX(Table3[RefrigChargePoundsPerNormUnit],MATCH(Table2[[#This Row],[Pre tech lookup (not required for "NR" measure application types)]],DropdownRefrigTech,0))</f>
        <v>#N/A</v>
      </c>
      <c r="N29" s="134" t="e">
        <f>INDEX(Table3[RefrigChargePoundsPerNormUnit],MATCH(Table2[[#This Row],[Std tech lookup (not required for "AR" measure application types)]],DropdownRefrigTech,0))</f>
        <v>#N/A</v>
      </c>
      <c r="O29" s="149" t="e">
        <f>INDEX(Table3[RefrigChargePoundsPerNormUnit],MATCH(Table2[[#This Row],[Msr tech lookup]],DropdownRefrigTech,0))</f>
        <v>#N/A</v>
      </c>
      <c r="P29" s="163" t="e">
        <f>INDEX(Table3[AnnualLeakageRate],MATCH(Table2[[#This Row],[Pre tech lookup (not required for "NR" measure application types)]],DropdownRefrigTech,0))</f>
        <v>#N/A</v>
      </c>
      <c r="Q29" s="163" t="e">
        <f>INDEX(Table3[AnnualLeakageRate],MATCH(Table2[[#This Row],[Std tech lookup (not required for "AR" measure application types)]],DropdownRefrigTech,0))</f>
        <v>#N/A</v>
      </c>
      <c r="R29" s="163" t="e">
        <f>INDEX(Table3[AnnualLeakageRate],MATCH(Table2[[#This Row],[Msr tech lookup]],DropdownRefrigTech,0))</f>
        <v>#N/A</v>
      </c>
      <c r="S29" s="164" t="e">
        <f>INDEX(Table3[t_EOL],MATCH(Table2[[#This Row],[Pre tech lookup (not required for "NR" measure application types)]],DropdownRefrigTech,0))</f>
        <v>#N/A</v>
      </c>
      <c r="T29" s="164" t="e">
        <f>INDEX(Table3[t_EOL],MATCH(Table2[[#This Row],[Std tech lookup (not required for "AR" measure application types)]],DropdownRefrigTech,0))</f>
        <v>#N/A</v>
      </c>
      <c r="U29" s="164" t="e">
        <f>INDEX(Table3[t_EOL],MATCH(Table2[[#This Row],[Msr tech lookup]],DropdownRefrigTech,0))</f>
        <v>#N/A</v>
      </c>
      <c r="V29" s="163" t="e">
        <f>1-Table2[[#This Row],[Pre annual refrigerant leakage %]]*Table2[[#This Row],[Pre t_EOL]]</f>
        <v>#N/A</v>
      </c>
      <c r="W29" s="163" t="e">
        <f>1-Table2[[#This Row],[Std annual refrigerant leakage %]]*Table2[[#This Row],[Std t_EOL]]</f>
        <v>#N/A</v>
      </c>
      <c r="X29" s="163" t="e">
        <f>1-Table2[[#This Row],[Msr annual refrigerant leakage %]]*Table2[[#This Row],[Msr t_EOL]]</f>
        <v>#N/A</v>
      </c>
      <c r="Y29" s="163" t="e">
        <f>INDEX(Table3[q_EOL],MATCH(Table2[[#This Row],[Pre tech lookup (not required for "NR" measure application types)]],DropdownRefrigTech,0))</f>
        <v>#N/A</v>
      </c>
      <c r="Z29" s="163" t="e">
        <f>INDEX(Table3[q_EOL],MATCH(Table2[[#This Row],[Std tech lookup (not required for "AR" measure application types)]],DropdownRefrigTech,0))</f>
        <v>#N/A</v>
      </c>
      <c r="AA29" s="163" t="e">
        <f>INDEX(Table3[q_EOL],MATCH(Table2[[#This Row],[Msr tech lookup]],DropdownRefrigTech,0))</f>
        <v>#N/A</v>
      </c>
      <c r="AB29" s="163" t="e">
        <f>Table2[[#This Row],[Pre charging remaining (%)]]*Table2[[#This Row],[Pre gross EOL refrigerant leakage %]]</f>
        <v>#N/A</v>
      </c>
      <c r="AC29" s="163" t="e">
        <f>Table2[[#This Row],[Std charging remaining (%)]]*Table2[[#This Row],[Std gross EOL refrigerant leakage %]]</f>
        <v>#N/A</v>
      </c>
      <c r="AD29" s="163" t="e">
        <f>Table2[[#This Row],[Msr charging remaining (%)]]*Table2[[#This Row],[Msr gross EOL refrigerant leakage %]]</f>
        <v>#N/A</v>
      </c>
      <c r="AE29" s="164" t="e" cm="1">
        <f t="array" ref="AE29">INDEX(_xlfn.SWITCH($B$4,"20-yr",GWP_Values_20_year_AR4,"100-yr",GWP_Values_100_year_AR4),MATCH(Table2[[#This Row],[Pre Refrigerant Type]],RefrigDropdownList,0))</f>
        <v>#N/A</v>
      </c>
      <c r="AF29" s="164" t="e" cm="1">
        <f t="array" ref="AF29">INDEX(_xlfn.SWITCH($B$4,"20-yr",GWP_Values_20_year_AR4,"100-yr",GWP_Values_100_year_AR4),MATCH(Table2[[#This Row],[Std Refrigerant Type]],RefrigDropdownList,0))</f>
        <v>#N/A</v>
      </c>
      <c r="AG29" s="164" t="e" cm="1">
        <f t="array" ref="AG29">INDEX(_xlfn.SWITCH($B$4,"20-yr",GWP_Values_20_year_AR4,"100-yr",GWP_Values_100_year_AR4),MATCH(Table2[[#This Row],[Msr Refrigerant Type]],RefrigDropdownList,0))</f>
        <v>#N/A</v>
      </c>
      <c r="AH29" s="165" t="e">
        <f>(Table2[[#This Row],[Pre Refrigerant charge (lbs) per NormUnit]]/pounds_per_metric_ton)*Table2[[#This Row],[Pre annual refrigerant leakage %]]*Table2[[#This Row],[Pre GWP]]</f>
        <v>#N/A</v>
      </c>
      <c r="AI29" s="165" t="e">
        <f>(Table2[[#This Row],[Std Refrigerant charge (lbs)per NormUnit]]/pounds_per_metric_ton)*Table2[[#This Row],[Std annual refrigerant leakage %]]*Table2[[#This Row],[Std GWP]]</f>
        <v>#N/A</v>
      </c>
      <c r="AJ29" s="165" t="e">
        <f>(Table2[[#This Row],[Msr Refrigerant charge (lbs)per NormUnit]]/pounds_per_metric_ton)*Table2[[#This Row],[Msr annual refrigerant leakage %]]*Table2[[#This Row],[Msr GWP]]</f>
        <v>#N/A</v>
      </c>
      <c r="AK29" s="165" t="e">
        <f>(Table2[[#This Row],[Pre Refrigerant charge (lbs) per NormUnit]]/pounds_per_metric_ton)*Table2[[#This Row],[Pre net EOL refrigerant leakage (%)]]*Table2[[#This Row],[Pre GWP]]</f>
        <v>#N/A</v>
      </c>
      <c r="AL29" s="165" t="e">
        <f>(Table2[[#This Row],[Std Refrigerant charge (lbs)per NormUnit]]/pounds_per_metric_ton)*Table2[[#This Row],[Std net EOL refrigerant leakage (%)]]*Table2[[#This Row],[Std GWP]]</f>
        <v>#N/A</v>
      </c>
      <c r="AM29" s="165" t="e">
        <f>(Table2[[#This Row],[Msr Refrigerant charge (lbs)per NormUnit]]/pounds_per_metric_ton)*Table2[[#This Row],[Msr net EOL refrigerant leakage (%)]]*Table2[[#This Row],[Msr GWP]]</f>
        <v>#N/A</v>
      </c>
      <c r="AN29" s="174" cm="1">
        <f t="array" aca="1" ref="AN29" ca="1">IF(Table2[[#This Row],[MeasAppType]]="AR",Table2[[#This Row],[Pre Annual leakage tons CO2e]]*NPV(WACC,OFFSET(const_ones,0,0,1,Table2[[#This Row],[EUL]])*OFFSET(GHG_Adder_dollar_per_tonne,0,(Table2[[#This Row],[Device installation year]])-GHG_Adder_Yr1,1,Table2[[#This Row],[EUL]]))/(1+WACC)^(Table2[[#This Row],[Device installation year]]-DY),0)</f>
        <v>0</v>
      </c>
      <c r="AO29" s="174" t="e" cm="1">
        <f t="array" aca="1" ref="AO29"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29" s="174" t="e" cm="1">
        <f t="array" aca="1" ref="AP29" ca="1">Table2[[#This Row],[Msr Annual leakage tons CO2e]]*NPV(WACC,OFFSET(const_ones,0,0,1,Table2[[#This Row],[EUL]])*OFFSET(GHG_Adder_dollar_per_tonne,0,((Table2[[#This Row],[Device installation year]])-GHG_Adder_Yr1),1,Table2[[#This Row],[EUL]]))/(1+WACC)^(Table2[[#This Row],[Device installation year]]-DY)</f>
        <v>#N/A</v>
      </c>
      <c r="AQ29" s="260" cm="1">
        <f t="array" aca="1" ref="AQ29"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29" s="261" t="e" cm="1">
        <f t="array" aca="1" ref="AR29"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29" s="261" t="e" cm="1">
        <f t="array" aca="1" ref="AS29" ca="1">Table2[[#This Row],[Msr EOL leakage tons CO2e]]*NPV(WACC,OFFSET(const_repeat_after,Table2[[#This Row],[EUL]],0,1,Table2[[#This Row],[EUL]])*OFFSET(GHG_Adder_dollar_per_tonne,0,(Table2[[#This Row],[Device installation year]])-GHG_Adder_Yr1,1,Table2[[#This Row],[EUL]]))/(1+WACC)^(Table2[[#This Row],[Device installation year]]-DY)</f>
        <v>#N/A</v>
      </c>
      <c r="AT29" s="260">
        <f>0</f>
        <v>0</v>
      </c>
      <c r="AU29"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29" s="174" t="e">
        <f ca="1">Table2[[#This Row],[RefrigerantNPVCostsNet]]&gt;0</f>
        <v>#N/A</v>
      </c>
      <c r="AW29" s="174">
        <f>0</f>
        <v>0</v>
      </c>
      <c r="AX29" s="174">
        <f>0</f>
        <v>0</v>
      </c>
      <c r="AY29" s="174">
        <f>0</f>
        <v>0</v>
      </c>
      <c r="AZ29" s="174">
        <f ca="1">Table2[[#This Row],[Pre NPV Cost of Annual Leakage]]+Table2[[#This Row],[Pre NPV Cost of EOL Leakage]]</f>
        <v>0</v>
      </c>
      <c r="BA29" s="174" t="e">
        <f ca="1">Table2[[#This Row],[Std NPV Cost of Annual Leakage]]+Table2[[#This Row],[Std NPV Cost of EOL Leakage]]</f>
        <v>#N/A</v>
      </c>
      <c r="BB29" s="174" t="e">
        <f ca="1">Table2[[#This Row],[AR immediate NPV cost of leakage]]+Table2[[#This Row],[Msr NPV Cost of Annual Leakage]]+Table2[[#This Row],[Msr NPV Cost of EOL Leakage]]</f>
        <v>#N/A</v>
      </c>
      <c r="BC29" s="273" t="e">
        <f ca="1">IF(Table2[[#This Row],[Is Net Cost?]],Table2[[#This Row],[RefrigerantNPVCostsNet]],0)</f>
        <v>#N/A</v>
      </c>
      <c r="BD29" s="174" t="e">
        <f ca="1">IF(Table2[[#This Row],[Is Net Cost?]],0,-Table2[[#This Row],[RefrigerantNPVCostsNet]])</f>
        <v>#N/A</v>
      </c>
    </row>
    <row r="30" spans="1:56" x14ac:dyDescent="0.3">
      <c r="A30" s="173">
        <f t="shared" si="1"/>
        <v>2022</v>
      </c>
      <c r="B30" s="268"/>
      <c r="C30" s="212"/>
      <c r="D30" s="212"/>
      <c r="E30" s="216" t="str">
        <f>IF(Table2[[#This Row],[MeasAppType]]="NR","N/A","N/A")</f>
        <v>N/A</v>
      </c>
      <c r="F30" s="272"/>
      <c r="G30" s="218"/>
      <c r="H30" s="218"/>
      <c r="I30" s="218"/>
      <c r="J30" s="173" t="e">
        <f>INDEX(Table3[CommonRefrigerantType],MATCH(Table2[[#This Row],[Pre tech lookup (not required for "NR" measure application types)]],DropdownRefrigTech,0))</f>
        <v>#N/A</v>
      </c>
      <c r="K30" s="173" t="e">
        <f>INDEX(Table3[CommonRefrigerantType],MATCH(Table2[[#This Row],[Std tech lookup (not required for "AR" measure application types)]],DropdownRefrigTech,0))</f>
        <v>#N/A</v>
      </c>
      <c r="L30" s="173" t="e">
        <f>INDEX(Table3[CommonRefrigerantType],MATCH(Table2[[#This Row],[Msr tech lookup]],DropdownRefrigTech,0))</f>
        <v>#N/A</v>
      </c>
      <c r="M30" s="134" t="e">
        <f>INDEX(Table3[RefrigChargePoundsPerNormUnit],MATCH(Table2[[#This Row],[Pre tech lookup (not required for "NR" measure application types)]],DropdownRefrigTech,0))</f>
        <v>#N/A</v>
      </c>
      <c r="N30" s="134" t="e">
        <f>INDEX(Table3[RefrigChargePoundsPerNormUnit],MATCH(Table2[[#This Row],[Std tech lookup (not required for "AR" measure application types)]],DropdownRefrigTech,0))</f>
        <v>#N/A</v>
      </c>
      <c r="O30" s="149" t="e">
        <f>INDEX(Table3[RefrigChargePoundsPerNormUnit],MATCH(Table2[[#This Row],[Msr tech lookup]],DropdownRefrigTech,0))</f>
        <v>#N/A</v>
      </c>
      <c r="P30" s="163" t="e">
        <f>INDEX(Table3[AnnualLeakageRate],MATCH(Table2[[#This Row],[Pre tech lookup (not required for "NR" measure application types)]],DropdownRefrigTech,0))</f>
        <v>#N/A</v>
      </c>
      <c r="Q30" s="163" t="e">
        <f>INDEX(Table3[AnnualLeakageRate],MATCH(Table2[[#This Row],[Std tech lookup (not required for "AR" measure application types)]],DropdownRefrigTech,0))</f>
        <v>#N/A</v>
      </c>
      <c r="R30" s="163" t="e">
        <f>INDEX(Table3[AnnualLeakageRate],MATCH(Table2[[#This Row],[Msr tech lookup]],DropdownRefrigTech,0))</f>
        <v>#N/A</v>
      </c>
      <c r="S30" s="164" t="e">
        <f>INDEX(Table3[t_EOL],MATCH(Table2[[#This Row],[Pre tech lookup (not required for "NR" measure application types)]],DropdownRefrigTech,0))</f>
        <v>#N/A</v>
      </c>
      <c r="T30" s="164" t="e">
        <f>INDEX(Table3[t_EOL],MATCH(Table2[[#This Row],[Std tech lookup (not required for "AR" measure application types)]],DropdownRefrigTech,0))</f>
        <v>#N/A</v>
      </c>
      <c r="U30" s="164" t="e">
        <f>INDEX(Table3[t_EOL],MATCH(Table2[[#This Row],[Msr tech lookup]],DropdownRefrigTech,0))</f>
        <v>#N/A</v>
      </c>
      <c r="V30" s="163" t="e">
        <f>1-Table2[[#This Row],[Pre annual refrigerant leakage %]]*Table2[[#This Row],[Pre t_EOL]]</f>
        <v>#N/A</v>
      </c>
      <c r="W30" s="163" t="e">
        <f>1-Table2[[#This Row],[Std annual refrigerant leakage %]]*Table2[[#This Row],[Std t_EOL]]</f>
        <v>#N/A</v>
      </c>
      <c r="X30" s="163" t="e">
        <f>1-Table2[[#This Row],[Msr annual refrigerant leakage %]]*Table2[[#This Row],[Msr t_EOL]]</f>
        <v>#N/A</v>
      </c>
      <c r="Y30" s="163" t="e">
        <f>INDEX(Table3[q_EOL],MATCH(Table2[[#This Row],[Pre tech lookup (not required for "NR" measure application types)]],DropdownRefrigTech,0))</f>
        <v>#N/A</v>
      </c>
      <c r="Z30" s="163" t="e">
        <f>INDEX(Table3[q_EOL],MATCH(Table2[[#This Row],[Std tech lookup (not required for "AR" measure application types)]],DropdownRefrigTech,0))</f>
        <v>#N/A</v>
      </c>
      <c r="AA30" s="163" t="e">
        <f>INDEX(Table3[q_EOL],MATCH(Table2[[#This Row],[Msr tech lookup]],DropdownRefrigTech,0))</f>
        <v>#N/A</v>
      </c>
      <c r="AB30" s="163" t="e">
        <f>Table2[[#This Row],[Pre charging remaining (%)]]*Table2[[#This Row],[Pre gross EOL refrigerant leakage %]]</f>
        <v>#N/A</v>
      </c>
      <c r="AC30" s="163" t="e">
        <f>Table2[[#This Row],[Std charging remaining (%)]]*Table2[[#This Row],[Std gross EOL refrigerant leakage %]]</f>
        <v>#N/A</v>
      </c>
      <c r="AD30" s="163" t="e">
        <f>Table2[[#This Row],[Msr charging remaining (%)]]*Table2[[#This Row],[Msr gross EOL refrigerant leakage %]]</f>
        <v>#N/A</v>
      </c>
      <c r="AE30" s="164" t="e" cm="1">
        <f t="array" ref="AE30">INDEX(_xlfn.SWITCH($B$4,"20-yr",GWP_Values_20_year_AR4,"100-yr",GWP_Values_100_year_AR4),MATCH(Table2[[#This Row],[Pre Refrigerant Type]],RefrigDropdownList,0))</f>
        <v>#N/A</v>
      </c>
      <c r="AF30" s="164" t="e" cm="1">
        <f t="array" ref="AF30">INDEX(_xlfn.SWITCH($B$4,"20-yr",GWP_Values_20_year_AR4,"100-yr",GWP_Values_100_year_AR4),MATCH(Table2[[#This Row],[Std Refrigerant Type]],RefrigDropdownList,0))</f>
        <v>#N/A</v>
      </c>
      <c r="AG30" s="164" t="e" cm="1">
        <f t="array" ref="AG30">INDEX(_xlfn.SWITCH($B$4,"20-yr",GWP_Values_20_year_AR4,"100-yr",GWP_Values_100_year_AR4),MATCH(Table2[[#This Row],[Msr Refrigerant Type]],RefrigDropdownList,0))</f>
        <v>#N/A</v>
      </c>
      <c r="AH30" s="165" t="e">
        <f>(Table2[[#This Row],[Pre Refrigerant charge (lbs) per NormUnit]]/pounds_per_metric_ton)*Table2[[#This Row],[Pre annual refrigerant leakage %]]*Table2[[#This Row],[Pre GWP]]</f>
        <v>#N/A</v>
      </c>
      <c r="AI30" s="165" t="e">
        <f>(Table2[[#This Row],[Std Refrigerant charge (lbs)per NormUnit]]/pounds_per_metric_ton)*Table2[[#This Row],[Std annual refrigerant leakage %]]*Table2[[#This Row],[Std GWP]]</f>
        <v>#N/A</v>
      </c>
      <c r="AJ30" s="165" t="e">
        <f>(Table2[[#This Row],[Msr Refrigerant charge (lbs)per NormUnit]]/pounds_per_metric_ton)*Table2[[#This Row],[Msr annual refrigerant leakage %]]*Table2[[#This Row],[Msr GWP]]</f>
        <v>#N/A</v>
      </c>
      <c r="AK30" s="165" t="e">
        <f>(Table2[[#This Row],[Pre Refrigerant charge (lbs) per NormUnit]]/pounds_per_metric_ton)*Table2[[#This Row],[Pre net EOL refrigerant leakage (%)]]*Table2[[#This Row],[Pre GWP]]</f>
        <v>#N/A</v>
      </c>
      <c r="AL30" s="165" t="e">
        <f>(Table2[[#This Row],[Std Refrigerant charge (lbs)per NormUnit]]/pounds_per_metric_ton)*Table2[[#This Row],[Std net EOL refrigerant leakage (%)]]*Table2[[#This Row],[Std GWP]]</f>
        <v>#N/A</v>
      </c>
      <c r="AM30" s="165" t="e">
        <f>(Table2[[#This Row],[Msr Refrigerant charge (lbs)per NormUnit]]/pounds_per_metric_ton)*Table2[[#This Row],[Msr net EOL refrigerant leakage (%)]]*Table2[[#This Row],[Msr GWP]]</f>
        <v>#N/A</v>
      </c>
      <c r="AN30" s="174" cm="1">
        <f t="array" aca="1" ref="AN30" ca="1">IF(Table2[[#This Row],[MeasAppType]]="AR",Table2[[#This Row],[Pre Annual leakage tons CO2e]]*NPV(WACC,OFFSET(const_ones,0,0,1,Table2[[#This Row],[EUL]])*OFFSET(GHG_Adder_dollar_per_tonne,0,(Table2[[#This Row],[Device installation year]])-GHG_Adder_Yr1,1,Table2[[#This Row],[EUL]]))/(1+WACC)^(Table2[[#This Row],[Device installation year]]-DY),0)</f>
        <v>0</v>
      </c>
      <c r="AO30" s="174" t="e" cm="1">
        <f t="array" aca="1" ref="AO30"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30" s="174" t="e" cm="1">
        <f t="array" aca="1" ref="AP30" ca="1">Table2[[#This Row],[Msr Annual leakage tons CO2e]]*NPV(WACC,OFFSET(const_ones,0,0,1,Table2[[#This Row],[EUL]])*OFFSET(GHG_Adder_dollar_per_tonne,0,((Table2[[#This Row],[Device installation year]])-GHG_Adder_Yr1),1,Table2[[#This Row],[EUL]]))/(1+WACC)^(Table2[[#This Row],[Device installation year]]-DY)</f>
        <v>#N/A</v>
      </c>
      <c r="AQ30" s="260" cm="1">
        <f t="array" aca="1" ref="AQ30"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30" s="261" t="e" cm="1">
        <f t="array" aca="1" ref="AR30"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30" s="261" t="e" cm="1">
        <f t="array" aca="1" ref="AS30" ca="1">Table2[[#This Row],[Msr EOL leakage tons CO2e]]*NPV(WACC,OFFSET(const_repeat_after,Table2[[#This Row],[EUL]],0,1,Table2[[#This Row],[EUL]])*OFFSET(GHG_Adder_dollar_per_tonne,0,(Table2[[#This Row],[Device installation year]])-GHG_Adder_Yr1,1,Table2[[#This Row],[EUL]]))/(1+WACC)^(Table2[[#This Row],[Device installation year]]-DY)</f>
        <v>#N/A</v>
      </c>
      <c r="AT30" s="260">
        <f>0</f>
        <v>0</v>
      </c>
      <c r="AU30"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30" s="174" t="e">
        <f ca="1">Table2[[#This Row],[RefrigerantNPVCostsNet]]&gt;0</f>
        <v>#N/A</v>
      </c>
      <c r="AW30" s="174">
        <f>0</f>
        <v>0</v>
      </c>
      <c r="AX30" s="174">
        <f>0</f>
        <v>0</v>
      </c>
      <c r="AY30" s="174">
        <f>0</f>
        <v>0</v>
      </c>
      <c r="AZ30" s="174">
        <f ca="1">Table2[[#This Row],[Pre NPV Cost of Annual Leakage]]+Table2[[#This Row],[Pre NPV Cost of EOL Leakage]]</f>
        <v>0</v>
      </c>
      <c r="BA30" s="174" t="e">
        <f ca="1">Table2[[#This Row],[Std NPV Cost of Annual Leakage]]+Table2[[#This Row],[Std NPV Cost of EOL Leakage]]</f>
        <v>#N/A</v>
      </c>
      <c r="BB30" s="174" t="e">
        <f ca="1">Table2[[#This Row],[AR immediate NPV cost of leakage]]+Table2[[#This Row],[Msr NPV Cost of Annual Leakage]]+Table2[[#This Row],[Msr NPV Cost of EOL Leakage]]</f>
        <v>#N/A</v>
      </c>
      <c r="BC30" s="273" t="e">
        <f ca="1">IF(Table2[[#This Row],[Is Net Cost?]],Table2[[#This Row],[RefrigerantNPVCostsNet]],0)</f>
        <v>#N/A</v>
      </c>
      <c r="BD30" s="174" t="e">
        <f ca="1">IF(Table2[[#This Row],[Is Net Cost?]],0,-Table2[[#This Row],[RefrigerantNPVCostsNet]])</f>
        <v>#N/A</v>
      </c>
    </row>
    <row r="31" spans="1:56" x14ac:dyDescent="0.3">
      <c r="A31" s="173">
        <f t="shared" si="1"/>
        <v>2022</v>
      </c>
      <c r="B31" s="268"/>
      <c r="C31" s="212"/>
      <c r="D31" s="212"/>
      <c r="E31" s="216" t="str">
        <f>IF(Table2[[#This Row],[MeasAppType]]="NR","N/A","N/A")</f>
        <v>N/A</v>
      </c>
      <c r="F31" s="272"/>
      <c r="G31" s="218"/>
      <c r="H31" s="218"/>
      <c r="I31" s="218"/>
      <c r="J31" s="173" t="e">
        <f>INDEX(Table3[CommonRefrigerantType],MATCH(Table2[[#This Row],[Pre tech lookup (not required for "NR" measure application types)]],DropdownRefrigTech,0))</f>
        <v>#N/A</v>
      </c>
      <c r="K31" s="173" t="e">
        <f>INDEX(Table3[CommonRefrigerantType],MATCH(Table2[[#This Row],[Std tech lookup (not required for "AR" measure application types)]],DropdownRefrigTech,0))</f>
        <v>#N/A</v>
      </c>
      <c r="L31" s="173" t="e">
        <f>INDEX(Table3[CommonRefrigerantType],MATCH(Table2[[#This Row],[Msr tech lookup]],DropdownRefrigTech,0))</f>
        <v>#N/A</v>
      </c>
      <c r="M31" s="134" t="e">
        <f>INDEX(Table3[RefrigChargePoundsPerNormUnit],MATCH(Table2[[#This Row],[Pre tech lookup (not required for "NR" measure application types)]],DropdownRefrigTech,0))</f>
        <v>#N/A</v>
      </c>
      <c r="N31" s="134" t="e">
        <f>INDEX(Table3[RefrigChargePoundsPerNormUnit],MATCH(Table2[[#This Row],[Std tech lookup (not required for "AR" measure application types)]],DropdownRefrigTech,0))</f>
        <v>#N/A</v>
      </c>
      <c r="O31" s="149" t="e">
        <f>INDEX(Table3[RefrigChargePoundsPerNormUnit],MATCH(Table2[[#This Row],[Msr tech lookup]],DropdownRefrigTech,0))</f>
        <v>#N/A</v>
      </c>
      <c r="P31" s="163" t="e">
        <f>INDEX(Table3[AnnualLeakageRate],MATCH(Table2[[#This Row],[Pre tech lookup (not required for "NR" measure application types)]],DropdownRefrigTech,0))</f>
        <v>#N/A</v>
      </c>
      <c r="Q31" s="163" t="e">
        <f>INDEX(Table3[AnnualLeakageRate],MATCH(Table2[[#This Row],[Std tech lookup (not required for "AR" measure application types)]],DropdownRefrigTech,0))</f>
        <v>#N/A</v>
      </c>
      <c r="R31" s="163" t="e">
        <f>INDEX(Table3[AnnualLeakageRate],MATCH(Table2[[#This Row],[Msr tech lookup]],DropdownRefrigTech,0))</f>
        <v>#N/A</v>
      </c>
      <c r="S31" s="164" t="e">
        <f>INDEX(Table3[t_EOL],MATCH(Table2[[#This Row],[Pre tech lookup (not required for "NR" measure application types)]],DropdownRefrigTech,0))</f>
        <v>#N/A</v>
      </c>
      <c r="T31" s="164" t="e">
        <f>INDEX(Table3[t_EOL],MATCH(Table2[[#This Row],[Std tech lookup (not required for "AR" measure application types)]],DropdownRefrigTech,0))</f>
        <v>#N/A</v>
      </c>
      <c r="U31" s="164" t="e">
        <f>INDEX(Table3[t_EOL],MATCH(Table2[[#This Row],[Msr tech lookup]],DropdownRefrigTech,0))</f>
        <v>#N/A</v>
      </c>
      <c r="V31" s="163" t="e">
        <f>1-Table2[[#This Row],[Pre annual refrigerant leakage %]]*Table2[[#This Row],[Pre t_EOL]]</f>
        <v>#N/A</v>
      </c>
      <c r="W31" s="163" t="e">
        <f>1-Table2[[#This Row],[Std annual refrigerant leakage %]]*Table2[[#This Row],[Std t_EOL]]</f>
        <v>#N/A</v>
      </c>
      <c r="X31" s="163" t="e">
        <f>1-Table2[[#This Row],[Msr annual refrigerant leakage %]]*Table2[[#This Row],[Msr t_EOL]]</f>
        <v>#N/A</v>
      </c>
      <c r="Y31" s="163" t="e">
        <f>INDEX(Table3[q_EOL],MATCH(Table2[[#This Row],[Pre tech lookup (not required for "NR" measure application types)]],DropdownRefrigTech,0))</f>
        <v>#N/A</v>
      </c>
      <c r="Z31" s="163" t="e">
        <f>INDEX(Table3[q_EOL],MATCH(Table2[[#This Row],[Std tech lookup (not required for "AR" measure application types)]],DropdownRefrigTech,0))</f>
        <v>#N/A</v>
      </c>
      <c r="AA31" s="163" t="e">
        <f>INDEX(Table3[q_EOL],MATCH(Table2[[#This Row],[Msr tech lookup]],DropdownRefrigTech,0))</f>
        <v>#N/A</v>
      </c>
      <c r="AB31" s="163" t="e">
        <f>Table2[[#This Row],[Pre charging remaining (%)]]*Table2[[#This Row],[Pre gross EOL refrigerant leakage %]]</f>
        <v>#N/A</v>
      </c>
      <c r="AC31" s="163" t="e">
        <f>Table2[[#This Row],[Std charging remaining (%)]]*Table2[[#This Row],[Std gross EOL refrigerant leakage %]]</f>
        <v>#N/A</v>
      </c>
      <c r="AD31" s="163" t="e">
        <f>Table2[[#This Row],[Msr charging remaining (%)]]*Table2[[#This Row],[Msr gross EOL refrigerant leakage %]]</f>
        <v>#N/A</v>
      </c>
      <c r="AE31" s="164" t="e" cm="1">
        <f t="array" ref="AE31">INDEX(_xlfn.SWITCH($B$4,"20-yr",GWP_Values_20_year_AR4,"100-yr",GWP_Values_100_year_AR4),MATCH(Table2[[#This Row],[Pre Refrigerant Type]],RefrigDropdownList,0))</f>
        <v>#N/A</v>
      </c>
      <c r="AF31" s="164" t="e" cm="1">
        <f t="array" ref="AF31">INDEX(_xlfn.SWITCH($B$4,"20-yr",GWP_Values_20_year_AR4,"100-yr",GWP_Values_100_year_AR4),MATCH(Table2[[#This Row],[Std Refrigerant Type]],RefrigDropdownList,0))</f>
        <v>#N/A</v>
      </c>
      <c r="AG31" s="164" t="e" cm="1">
        <f t="array" ref="AG31">INDEX(_xlfn.SWITCH($B$4,"20-yr",GWP_Values_20_year_AR4,"100-yr",GWP_Values_100_year_AR4),MATCH(Table2[[#This Row],[Msr Refrigerant Type]],RefrigDropdownList,0))</f>
        <v>#N/A</v>
      </c>
      <c r="AH31" s="165" t="e">
        <f>(Table2[[#This Row],[Pre Refrigerant charge (lbs) per NormUnit]]/pounds_per_metric_ton)*Table2[[#This Row],[Pre annual refrigerant leakage %]]*Table2[[#This Row],[Pre GWP]]</f>
        <v>#N/A</v>
      </c>
      <c r="AI31" s="165" t="e">
        <f>(Table2[[#This Row],[Std Refrigerant charge (lbs)per NormUnit]]/pounds_per_metric_ton)*Table2[[#This Row],[Std annual refrigerant leakage %]]*Table2[[#This Row],[Std GWP]]</f>
        <v>#N/A</v>
      </c>
      <c r="AJ31" s="165" t="e">
        <f>(Table2[[#This Row],[Msr Refrigerant charge (lbs)per NormUnit]]/pounds_per_metric_ton)*Table2[[#This Row],[Msr annual refrigerant leakage %]]*Table2[[#This Row],[Msr GWP]]</f>
        <v>#N/A</v>
      </c>
      <c r="AK31" s="165" t="e">
        <f>(Table2[[#This Row],[Pre Refrigerant charge (lbs) per NormUnit]]/pounds_per_metric_ton)*Table2[[#This Row],[Pre net EOL refrigerant leakage (%)]]*Table2[[#This Row],[Pre GWP]]</f>
        <v>#N/A</v>
      </c>
      <c r="AL31" s="165" t="e">
        <f>(Table2[[#This Row],[Std Refrigerant charge (lbs)per NormUnit]]/pounds_per_metric_ton)*Table2[[#This Row],[Std net EOL refrigerant leakage (%)]]*Table2[[#This Row],[Std GWP]]</f>
        <v>#N/A</v>
      </c>
      <c r="AM31" s="165" t="e">
        <f>(Table2[[#This Row],[Msr Refrigerant charge (lbs)per NormUnit]]/pounds_per_metric_ton)*Table2[[#This Row],[Msr net EOL refrigerant leakage (%)]]*Table2[[#This Row],[Msr GWP]]</f>
        <v>#N/A</v>
      </c>
      <c r="AN31" s="174" cm="1">
        <f t="array" aca="1" ref="AN31" ca="1">IF(Table2[[#This Row],[MeasAppType]]="AR",Table2[[#This Row],[Pre Annual leakage tons CO2e]]*NPV(WACC,OFFSET(const_ones,0,0,1,Table2[[#This Row],[EUL]])*OFFSET(GHG_Adder_dollar_per_tonne,0,(Table2[[#This Row],[Device installation year]])-GHG_Adder_Yr1,1,Table2[[#This Row],[EUL]]))/(1+WACC)^(Table2[[#This Row],[Device installation year]]-DY),0)</f>
        <v>0</v>
      </c>
      <c r="AO31" s="174" t="e" cm="1">
        <f t="array" aca="1" ref="AO31"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31" s="174" t="e" cm="1">
        <f t="array" aca="1" ref="AP31" ca="1">Table2[[#This Row],[Msr Annual leakage tons CO2e]]*NPV(WACC,OFFSET(const_ones,0,0,1,Table2[[#This Row],[EUL]])*OFFSET(GHG_Adder_dollar_per_tonne,0,((Table2[[#This Row],[Device installation year]])-GHG_Adder_Yr1),1,Table2[[#This Row],[EUL]]))/(1+WACC)^(Table2[[#This Row],[Device installation year]]-DY)</f>
        <v>#N/A</v>
      </c>
      <c r="AQ31" s="260" cm="1">
        <f t="array" aca="1" ref="AQ31"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31" s="261" t="e" cm="1">
        <f t="array" aca="1" ref="AR31"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31" s="261" t="e" cm="1">
        <f t="array" aca="1" ref="AS31" ca="1">Table2[[#This Row],[Msr EOL leakage tons CO2e]]*NPV(WACC,OFFSET(const_repeat_after,Table2[[#This Row],[EUL]],0,1,Table2[[#This Row],[EUL]])*OFFSET(GHG_Adder_dollar_per_tonne,0,(Table2[[#This Row],[Device installation year]])-GHG_Adder_Yr1,1,Table2[[#This Row],[EUL]]))/(1+WACC)^(Table2[[#This Row],[Device installation year]]-DY)</f>
        <v>#N/A</v>
      </c>
      <c r="AT31" s="260">
        <f>0</f>
        <v>0</v>
      </c>
      <c r="AU31"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31" s="174" t="e">
        <f ca="1">Table2[[#This Row],[RefrigerantNPVCostsNet]]&gt;0</f>
        <v>#N/A</v>
      </c>
      <c r="AW31" s="174">
        <f>0</f>
        <v>0</v>
      </c>
      <c r="AX31" s="174">
        <f>0</f>
        <v>0</v>
      </c>
      <c r="AY31" s="174">
        <f>0</f>
        <v>0</v>
      </c>
      <c r="AZ31" s="174">
        <f ca="1">Table2[[#This Row],[Pre NPV Cost of Annual Leakage]]+Table2[[#This Row],[Pre NPV Cost of EOL Leakage]]</f>
        <v>0</v>
      </c>
      <c r="BA31" s="174" t="e">
        <f ca="1">Table2[[#This Row],[Std NPV Cost of Annual Leakage]]+Table2[[#This Row],[Std NPV Cost of EOL Leakage]]</f>
        <v>#N/A</v>
      </c>
      <c r="BB31" s="174" t="e">
        <f ca="1">Table2[[#This Row],[AR immediate NPV cost of leakage]]+Table2[[#This Row],[Msr NPV Cost of Annual Leakage]]+Table2[[#This Row],[Msr NPV Cost of EOL Leakage]]</f>
        <v>#N/A</v>
      </c>
      <c r="BC31" s="273" t="e">
        <f ca="1">IF(Table2[[#This Row],[Is Net Cost?]],Table2[[#This Row],[RefrigerantNPVCostsNet]],0)</f>
        <v>#N/A</v>
      </c>
      <c r="BD31" s="174" t="e">
        <f ca="1">IF(Table2[[#This Row],[Is Net Cost?]],0,-Table2[[#This Row],[RefrigerantNPVCostsNet]])</f>
        <v>#N/A</v>
      </c>
    </row>
    <row r="32" spans="1:56" x14ac:dyDescent="0.3">
      <c r="A32" s="173">
        <f t="shared" si="1"/>
        <v>2022</v>
      </c>
      <c r="B32" s="268"/>
      <c r="C32" s="212"/>
      <c r="D32" s="212"/>
      <c r="E32" s="216" t="str">
        <f>IF(Table2[[#This Row],[MeasAppType]]="NR","N/A","N/A")</f>
        <v>N/A</v>
      </c>
      <c r="F32" s="272"/>
      <c r="G32" s="218"/>
      <c r="H32" s="218"/>
      <c r="I32" s="218"/>
      <c r="J32" s="173" t="e">
        <f>INDEX(Table3[CommonRefrigerantType],MATCH(Table2[[#This Row],[Pre tech lookup (not required for "NR" measure application types)]],DropdownRefrigTech,0))</f>
        <v>#N/A</v>
      </c>
      <c r="K32" s="173" t="e">
        <f>INDEX(Table3[CommonRefrigerantType],MATCH(Table2[[#This Row],[Std tech lookup (not required for "AR" measure application types)]],DropdownRefrigTech,0))</f>
        <v>#N/A</v>
      </c>
      <c r="L32" s="173" t="e">
        <f>INDEX(Table3[CommonRefrigerantType],MATCH(Table2[[#This Row],[Msr tech lookup]],DropdownRefrigTech,0))</f>
        <v>#N/A</v>
      </c>
      <c r="M32" s="134" t="e">
        <f>INDEX(Table3[RefrigChargePoundsPerNormUnit],MATCH(Table2[[#This Row],[Pre tech lookup (not required for "NR" measure application types)]],DropdownRefrigTech,0))</f>
        <v>#N/A</v>
      </c>
      <c r="N32" s="134" t="e">
        <f>INDEX(Table3[RefrigChargePoundsPerNormUnit],MATCH(Table2[[#This Row],[Std tech lookup (not required for "AR" measure application types)]],DropdownRefrigTech,0))</f>
        <v>#N/A</v>
      </c>
      <c r="O32" s="149" t="e">
        <f>INDEX(Table3[RefrigChargePoundsPerNormUnit],MATCH(Table2[[#This Row],[Msr tech lookup]],DropdownRefrigTech,0))</f>
        <v>#N/A</v>
      </c>
      <c r="P32" s="163" t="e">
        <f>INDEX(Table3[AnnualLeakageRate],MATCH(Table2[[#This Row],[Pre tech lookup (not required for "NR" measure application types)]],DropdownRefrigTech,0))</f>
        <v>#N/A</v>
      </c>
      <c r="Q32" s="163" t="e">
        <f>INDEX(Table3[AnnualLeakageRate],MATCH(Table2[[#This Row],[Std tech lookup (not required for "AR" measure application types)]],DropdownRefrigTech,0))</f>
        <v>#N/A</v>
      </c>
      <c r="R32" s="163" t="e">
        <f>INDEX(Table3[AnnualLeakageRate],MATCH(Table2[[#This Row],[Msr tech lookup]],DropdownRefrigTech,0))</f>
        <v>#N/A</v>
      </c>
      <c r="S32" s="164" t="e">
        <f>INDEX(Table3[t_EOL],MATCH(Table2[[#This Row],[Pre tech lookup (not required for "NR" measure application types)]],DropdownRefrigTech,0))</f>
        <v>#N/A</v>
      </c>
      <c r="T32" s="164" t="e">
        <f>INDEX(Table3[t_EOL],MATCH(Table2[[#This Row],[Std tech lookup (not required for "AR" measure application types)]],DropdownRefrigTech,0))</f>
        <v>#N/A</v>
      </c>
      <c r="U32" s="164" t="e">
        <f>INDEX(Table3[t_EOL],MATCH(Table2[[#This Row],[Msr tech lookup]],DropdownRefrigTech,0))</f>
        <v>#N/A</v>
      </c>
      <c r="V32" s="163" t="e">
        <f>1-Table2[[#This Row],[Pre annual refrigerant leakage %]]*Table2[[#This Row],[Pre t_EOL]]</f>
        <v>#N/A</v>
      </c>
      <c r="W32" s="163" t="e">
        <f>1-Table2[[#This Row],[Std annual refrigerant leakage %]]*Table2[[#This Row],[Std t_EOL]]</f>
        <v>#N/A</v>
      </c>
      <c r="X32" s="163" t="e">
        <f>1-Table2[[#This Row],[Msr annual refrigerant leakage %]]*Table2[[#This Row],[Msr t_EOL]]</f>
        <v>#N/A</v>
      </c>
      <c r="Y32" s="163" t="e">
        <f>INDEX(Table3[q_EOL],MATCH(Table2[[#This Row],[Pre tech lookup (not required for "NR" measure application types)]],DropdownRefrigTech,0))</f>
        <v>#N/A</v>
      </c>
      <c r="Z32" s="163" t="e">
        <f>INDEX(Table3[q_EOL],MATCH(Table2[[#This Row],[Std tech lookup (not required for "AR" measure application types)]],DropdownRefrigTech,0))</f>
        <v>#N/A</v>
      </c>
      <c r="AA32" s="163" t="e">
        <f>INDEX(Table3[q_EOL],MATCH(Table2[[#This Row],[Msr tech lookup]],DropdownRefrigTech,0))</f>
        <v>#N/A</v>
      </c>
      <c r="AB32" s="163" t="e">
        <f>Table2[[#This Row],[Pre charging remaining (%)]]*Table2[[#This Row],[Pre gross EOL refrigerant leakage %]]</f>
        <v>#N/A</v>
      </c>
      <c r="AC32" s="163" t="e">
        <f>Table2[[#This Row],[Std charging remaining (%)]]*Table2[[#This Row],[Std gross EOL refrigerant leakage %]]</f>
        <v>#N/A</v>
      </c>
      <c r="AD32" s="163" t="e">
        <f>Table2[[#This Row],[Msr charging remaining (%)]]*Table2[[#This Row],[Msr gross EOL refrigerant leakage %]]</f>
        <v>#N/A</v>
      </c>
      <c r="AE32" s="164" t="e" cm="1">
        <f t="array" ref="AE32">INDEX(_xlfn.SWITCH($B$4,"20-yr",GWP_Values_20_year_AR4,"100-yr",GWP_Values_100_year_AR4),MATCH(Table2[[#This Row],[Pre Refrigerant Type]],RefrigDropdownList,0))</f>
        <v>#N/A</v>
      </c>
      <c r="AF32" s="164" t="e" cm="1">
        <f t="array" ref="AF32">INDEX(_xlfn.SWITCH($B$4,"20-yr",GWP_Values_20_year_AR4,"100-yr",GWP_Values_100_year_AR4),MATCH(Table2[[#This Row],[Std Refrigerant Type]],RefrigDropdownList,0))</f>
        <v>#N/A</v>
      </c>
      <c r="AG32" s="164" t="e" cm="1">
        <f t="array" ref="AG32">INDEX(_xlfn.SWITCH($B$4,"20-yr",GWP_Values_20_year_AR4,"100-yr",GWP_Values_100_year_AR4),MATCH(Table2[[#This Row],[Msr Refrigerant Type]],RefrigDropdownList,0))</f>
        <v>#N/A</v>
      </c>
      <c r="AH32" s="165" t="e">
        <f>(Table2[[#This Row],[Pre Refrigerant charge (lbs) per NormUnit]]/pounds_per_metric_ton)*Table2[[#This Row],[Pre annual refrigerant leakage %]]*Table2[[#This Row],[Pre GWP]]</f>
        <v>#N/A</v>
      </c>
      <c r="AI32" s="165" t="e">
        <f>(Table2[[#This Row],[Std Refrigerant charge (lbs)per NormUnit]]/pounds_per_metric_ton)*Table2[[#This Row],[Std annual refrigerant leakage %]]*Table2[[#This Row],[Std GWP]]</f>
        <v>#N/A</v>
      </c>
      <c r="AJ32" s="165" t="e">
        <f>(Table2[[#This Row],[Msr Refrigerant charge (lbs)per NormUnit]]/pounds_per_metric_ton)*Table2[[#This Row],[Msr annual refrigerant leakage %]]*Table2[[#This Row],[Msr GWP]]</f>
        <v>#N/A</v>
      </c>
      <c r="AK32" s="165" t="e">
        <f>(Table2[[#This Row],[Pre Refrigerant charge (lbs) per NormUnit]]/pounds_per_metric_ton)*Table2[[#This Row],[Pre net EOL refrigerant leakage (%)]]*Table2[[#This Row],[Pre GWP]]</f>
        <v>#N/A</v>
      </c>
      <c r="AL32" s="165" t="e">
        <f>(Table2[[#This Row],[Std Refrigerant charge (lbs)per NormUnit]]/pounds_per_metric_ton)*Table2[[#This Row],[Std net EOL refrigerant leakage (%)]]*Table2[[#This Row],[Std GWP]]</f>
        <v>#N/A</v>
      </c>
      <c r="AM32" s="165" t="e">
        <f>(Table2[[#This Row],[Msr Refrigerant charge (lbs)per NormUnit]]/pounds_per_metric_ton)*Table2[[#This Row],[Msr net EOL refrigerant leakage (%)]]*Table2[[#This Row],[Msr GWP]]</f>
        <v>#N/A</v>
      </c>
      <c r="AN32" s="174" cm="1">
        <f t="array" aca="1" ref="AN32" ca="1">IF(Table2[[#This Row],[MeasAppType]]="AR",Table2[[#This Row],[Pre Annual leakage tons CO2e]]*NPV(WACC,OFFSET(const_ones,0,0,1,Table2[[#This Row],[EUL]])*OFFSET(GHG_Adder_dollar_per_tonne,0,(Table2[[#This Row],[Device installation year]])-GHG_Adder_Yr1,1,Table2[[#This Row],[EUL]]))/(1+WACC)^(Table2[[#This Row],[Device installation year]]-DY),0)</f>
        <v>0</v>
      </c>
      <c r="AO32" s="174" t="e" cm="1">
        <f t="array" aca="1" ref="AO32"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32" s="174" t="e" cm="1">
        <f t="array" aca="1" ref="AP32" ca="1">Table2[[#This Row],[Msr Annual leakage tons CO2e]]*NPV(WACC,OFFSET(const_ones,0,0,1,Table2[[#This Row],[EUL]])*OFFSET(GHG_Adder_dollar_per_tonne,0,((Table2[[#This Row],[Device installation year]])-GHG_Adder_Yr1),1,Table2[[#This Row],[EUL]]))/(1+WACC)^(Table2[[#This Row],[Device installation year]]-DY)</f>
        <v>#N/A</v>
      </c>
      <c r="AQ32" s="260" cm="1">
        <f t="array" aca="1" ref="AQ32"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32" s="261" t="e" cm="1">
        <f t="array" aca="1" ref="AR32"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32" s="261" t="e" cm="1">
        <f t="array" aca="1" ref="AS32" ca="1">Table2[[#This Row],[Msr EOL leakage tons CO2e]]*NPV(WACC,OFFSET(const_repeat_after,Table2[[#This Row],[EUL]],0,1,Table2[[#This Row],[EUL]])*OFFSET(GHG_Adder_dollar_per_tonne,0,(Table2[[#This Row],[Device installation year]])-GHG_Adder_Yr1,1,Table2[[#This Row],[EUL]]))/(1+WACC)^(Table2[[#This Row],[Device installation year]]-DY)</f>
        <v>#N/A</v>
      </c>
      <c r="AT32" s="260">
        <f>0</f>
        <v>0</v>
      </c>
      <c r="AU32"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32" s="174" t="e">
        <f ca="1">Table2[[#This Row],[RefrigerantNPVCostsNet]]&gt;0</f>
        <v>#N/A</v>
      </c>
      <c r="AW32" s="174">
        <f>0</f>
        <v>0</v>
      </c>
      <c r="AX32" s="174">
        <f>0</f>
        <v>0</v>
      </c>
      <c r="AY32" s="174">
        <f>0</f>
        <v>0</v>
      </c>
      <c r="AZ32" s="174">
        <f ca="1">Table2[[#This Row],[Pre NPV Cost of Annual Leakage]]+Table2[[#This Row],[Pre NPV Cost of EOL Leakage]]</f>
        <v>0</v>
      </c>
      <c r="BA32" s="174" t="e">
        <f ca="1">Table2[[#This Row],[Std NPV Cost of Annual Leakage]]+Table2[[#This Row],[Std NPV Cost of EOL Leakage]]</f>
        <v>#N/A</v>
      </c>
      <c r="BB32" s="174" t="e">
        <f ca="1">Table2[[#This Row],[AR immediate NPV cost of leakage]]+Table2[[#This Row],[Msr NPV Cost of Annual Leakage]]+Table2[[#This Row],[Msr NPV Cost of EOL Leakage]]</f>
        <v>#N/A</v>
      </c>
      <c r="BC32" s="273" t="e">
        <f ca="1">IF(Table2[[#This Row],[Is Net Cost?]],Table2[[#This Row],[RefrigerantNPVCostsNet]],0)</f>
        <v>#N/A</v>
      </c>
      <c r="BD32" s="174" t="e">
        <f ca="1">IF(Table2[[#This Row],[Is Net Cost?]],0,-Table2[[#This Row],[RefrigerantNPVCostsNet]])</f>
        <v>#N/A</v>
      </c>
    </row>
    <row r="33" spans="1:56" x14ac:dyDescent="0.3">
      <c r="A33" s="173">
        <f t="shared" si="1"/>
        <v>2022</v>
      </c>
      <c r="B33" s="268"/>
      <c r="C33" s="212"/>
      <c r="D33" s="212"/>
      <c r="E33" s="216" t="str">
        <f>IF(Table2[[#This Row],[MeasAppType]]="NR","N/A","N/A")</f>
        <v>N/A</v>
      </c>
      <c r="F33" s="272"/>
      <c r="G33" s="218"/>
      <c r="H33" s="218"/>
      <c r="I33" s="218"/>
      <c r="J33" s="173" t="e">
        <f>INDEX(Table3[CommonRefrigerantType],MATCH(Table2[[#This Row],[Pre tech lookup (not required for "NR" measure application types)]],DropdownRefrigTech,0))</f>
        <v>#N/A</v>
      </c>
      <c r="K33" s="173" t="e">
        <f>INDEX(Table3[CommonRefrigerantType],MATCH(Table2[[#This Row],[Std tech lookup (not required for "AR" measure application types)]],DropdownRefrigTech,0))</f>
        <v>#N/A</v>
      </c>
      <c r="L33" s="173" t="e">
        <f>INDEX(Table3[CommonRefrigerantType],MATCH(Table2[[#This Row],[Msr tech lookup]],DropdownRefrigTech,0))</f>
        <v>#N/A</v>
      </c>
      <c r="M33" s="134" t="e">
        <f>INDEX(Table3[RefrigChargePoundsPerNormUnit],MATCH(Table2[[#This Row],[Pre tech lookup (not required for "NR" measure application types)]],DropdownRefrigTech,0))</f>
        <v>#N/A</v>
      </c>
      <c r="N33" s="134" t="e">
        <f>INDEX(Table3[RefrigChargePoundsPerNormUnit],MATCH(Table2[[#This Row],[Std tech lookup (not required for "AR" measure application types)]],DropdownRefrigTech,0))</f>
        <v>#N/A</v>
      </c>
      <c r="O33" s="149" t="e">
        <f>INDEX(Table3[RefrigChargePoundsPerNormUnit],MATCH(Table2[[#This Row],[Msr tech lookup]],DropdownRefrigTech,0))</f>
        <v>#N/A</v>
      </c>
      <c r="P33" s="163" t="e">
        <f>INDEX(Table3[AnnualLeakageRate],MATCH(Table2[[#This Row],[Pre tech lookup (not required for "NR" measure application types)]],DropdownRefrigTech,0))</f>
        <v>#N/A</v>
      </c>
      <c r="Q33" s="163" t="e">
        <f>INDEX(Table3[AnnualLeakageRate],MATCH(Table2[[#This Row],[Std tech lookup (not required for "AR" measure application types)]],DropdownRefrigTech,0))</f>
        <v>#N/A</v>
      </c>
      <c r="R33" s="163" t="e">
        <f>INDEX(Table3[AnnualLeakageRate],MATCH(Table2[[#This Row],[Msr tech lookup]],DropdownRefrigTech,0))</f>
        <v>#N/A</v>
      </c>
      <c r="S33" s="164" t="e">
        <f>INDEX(Table3[t_EOL],MATCH(Table2[[#This Row],[Pre tech lookup (not required for "NR" measure application types)]],DropdownRefrigTech,0))</f>
        <v>#N/A</v>
      </c>
      <c r="T33" s="164" t="e">
        <f>INDEX(Table3[t_EOL],MATCH(Table2[[#This Row],[Std tech lookup (not required for "AR" measure application types)]],DropdownRefrigTech,0))</f>
        <v>#N/A</v>
      </c>
      <c r="U33" s="164" t="e">
        <f>INDEX(Table3[t_EOL],MATCH(Table2[[#This Row],[Msr tech lookup]],DropdownRefrigTech,0))</f>
        <v>#N/A</v>
      </c>
      <c r="V33" s="163" t="e">
        <f>1-Table2[[#This Row],[Pre annual refrigerant leakage %]]*Table2[[#This Row],[Pre t_EOL]]</f>
        <v>#N/A</v>
      </c>
      <c r="W33" s="163" t="e">
        <f>1-Table2[[#This Row],[Std annual refrigerant leakage %]]*Table2[[#This Row],[Std t_EOL]]</f>
        <v>#N/A</v>
      </c>
      <c r="X33" s="163" t="e">
        <f>1-Table2[[#This Row],[Msr annual refrigerant leakage %]]*Table2[[#This Row],[Msr t_EOL]]</f>
        <v>#N/A</v>
      </c>
      <c r="Y33" s="163" t="e">
        <f>INDEX(Table3[q_EOL],MATCH(Table2[[#This Row],[Pre tech lookup (not required for "NR" measure application types)]],DropdownRefrigTech,0))</f>
        <v>#N/A</v>
      </c>
      <c r="Z33" s="163" t="e">
        <f>INDEX(Table3[q_EOL],MATCH(Table2[[#This Row],[Std tech lookup (not required for "AR" measure application types)]],DropdownRefrigTech,0))</f>
        <v>#N/A</v>
      </c>
      <c r="AA33" s="163" t="e">
        <f>INDEX(Table3[q_EOL],MATCH(Table2[[#This Row],[Msr tech lookup]],DropdownRefrigTech,0))</f>
        <v>#N/A</v>
      </c>
      <c r="AB33" s="163" t="e">
        <f>Table2[[#This Row],[Pre charging remaining (%)]]*Table2[[#This Row],[Pre gross EOL refrigerant leakage %]]</f>
        <v>#N/A</v>
      </c>
      <c r="AC33" s="163" t="e">
        <f>Table2[[#This Row],[Std charging remaining (%)]]*Table2[[#This Row],[Std gross EOL refrigerant leakage %]]</f>
        <v>#N/A</v>
      </c>
      <c r="AD33" s="163" t="e">
        <f>Table2[[#This Row],[Msr charging remaining (%)]]*Table2[[#This Row],[Msr gross EOL refrigerant leakage %]]</f>
        <v>#N/A</v>
      </c>
      <c r="AE33" s="164" t="e" cm="1">
        <f t="array" ref="AE33">INDEX(_xlfn.SWITCH($B$4,"20-yr",GWP_Values_20_year_AR4,"100-yr",GWP_Values_100_year_AR4),MATCH(Table2[[#This Row],[Pre Refrigerant Type]],RefrigDropdownList,0))</f>
        <v>#N/A</v>
      </c>
      <c r="AF33" s="164" t="e" cm="1">
        <f t="array" ref="AF33">INDEX(_xlfn.SWITCH($B$4,"20-yr",GWP_Values_20_year_AR4,"100-yr",GWP_Values_100_year_AR4),MATCH(Table2[[#This Row],[Std Refrigerant Type]],RefrigDropdownList,0))</f>
        <v>#N/A</v>
      </c>
      <c r="AG33" s="164" t="e" cm="1">
        <f t="array" ref="AG33">INDEX(_xlfn.SWITCH($B$4,"20-yr",GWP_Values_20_year_AR4,"100-yr",GWP_Values_100_year_AR4),MATCH(Table2[[#This Row],[Msr Refrigerant Type]],RefrigDropdownList,0))</f>
        <v>#N/A</v>
      </c>
      <c r="AH33" s="165" t="e">
        <f>(Table2[[#This Row],[Pre Refrigerant charge (lbs) per NormUnit]]/pounds_per_metric_ton)*Table2[[#This Row],[Pre annual refrigerant leakage %]]*Table2[[#This Row],[Pre GWP]]</f>
        <v>#N/A</v>
      </c>
      <c r="AI33" s="165" t="e">
        <f>(Table2[[#This Row],[Std Refrigerant charge (lbs)per NormUnit]]/pounds_per_metric_ton)*Table2[[#This Row],[Std annual refrigerant leakage %]]*Table2[[#This Row],[Std GWP]]</f>
        <v>#N/A</v>
      </c>
      <c r="AJ33" s="165" t="e">
        <f>(Table2[[#This Row],[Msr Refrigerant charge (lbs)per NormUnit]]/pounds_per_metric_ton)*Table2[[#This Row],[Msr annual refrigerant leakage %]]*Table2[[#This Row],[Msr GWP]]</f>
        <v>#N/A</v>
      </c>
      <c r="AK33" s="165" t="e">
        <f>(Table2[[#This Row],[Pre Refrigerant charge (lbs) per NormUnit]]/pounds_per_metric_ton)*Table2[[#This Row],[Pre net EOL refrigerant leakage (%)]]*Table2[[#This Row],[Pre GWP]]</f>
        <v>#N/A</v>
      </c>
      <c r="AL33" s="165" t="e">
        <f>(Table2[[#This Row],[Std Refrigerant charge (lbs)per NormUnit]]/pounds_per_metric_ton)*Table2[[#This Row],[Std net EOL refrigerant leakage (%)]]*Table2[[#This Row],[Std GWP]]</f>
        <v>#N/A</v>
      </c>
      <c r="AM33" s="165" t="e">
        <f>(Table2[[#This Row],[Msr Refrigerant charge (lbs)per NormUnit]]/pounds_per_metric_ton)*Table2[[#This Row],[Msr net EOL refrigerant leakage (%)]]*Table2[[#This Row],[Msr GWP]]</f>
        <v>#N/A</v>
      </c>
      <c r="AN33" s="174" cm="1">
        <f t="array" aca="1" ref="AN33" ca="1">IF(Table2[[#This Row],[MeasAppType]]="AR",Table2[[#This Row],[Pre Annual leakage tons CO2e]]*NPV(WACC,OFFSET(const_ones,0,0,1,Table2[[#This Row],[EUL]])*OFFSET(GHG_Adder_dollar_per_tonne,0,(Table2[[#This Row],[Device installation year]])-GHG_Adder_Yr1,1,Table2[[#This Row],[EUL]]))/(1+WACC)^(Table2[[#This Row],[Device installation year]]-DY),0)</f>
        <v>0</v>
      </c>
      <c r="AO33" s="174" t="e" cm="1">
        <f t="array" aca="1" ref="AO33"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33" s="174" t="e" cm="1">
        <f t="array" aca="1" ref="AP33" ca="1">Table2[[#This Row],[Msr Annual leakage tons CO2e]]*NPV(WACC,OFFSET(const_ones,0,0,1,Table2[[#This Row],[EUL]])*OFFSET(GHG_Adder_dollar_per_tonne,0,((Table2[[#This Row],[Device installation year]])-GHG_Adder_Yr1),1,Table2[[#This Row],[EUL]]))/(1+WACC)^(Table2[[#This Row],[Device installation year]]-DY)</f>
        <v>#N/A</v>
      </c>
      <c r="AQ33" s="260" cm="1">
        <f t="array" aca="1" ref="AQ33"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33" s="261" t="e" cm="1">
        <f t="array" aca="1" ref="AR33"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33" s="261" t="e" cm="1">
        <f t="array" aca="1" ref="AS33" ca="1">Table2[[#This Row],[Msr EOL leakage tons CO2e]]*NPV(WACC,OFFSET(const_repeat_after,Table2[[#This Row],[EUL]],0,1,Table2[[#This Row],[EUL]])*OFFSET(GHG_Adder_dollar_per_tonne,0,(Table2[[#This Row],[Device installation year]])-GHG_Adder_Yr1,1,Table2[[#This Row],[EUL]]))/(1+WACC)^(Table2[[#This Row],[Device installation year]]-DY)</f>
        <v>#N/A</v>
      </c>
      <c r="AT33" s="260">
        <f>0</f>
        <v>0</v>
      </c>
      <c r="AU33"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33" s="174" t="e">
        <f ca="1">Table2[[#This Row],[RefrigerantNPVCostsNet]]&gt;0</f>
        <v>#N/A</v>
      </c>
      <c r="AW33" s="174">
        <f>0</f>
        <v>0</v>
      </c>
      <c r="AX33" s="174">
        <f>0</f>
        <v>0</v>
      </c>
      <c r="AY33" s="174">
        <f>0</f>
        <v>0</v>
      </c>
      <c r="AZ33" s="174">
        <f ca="1">Table2[[#This Row],[Pre NPV Cost of Annual Leakage]]+Table2[[#This Row],[Pre NPV Cost of EOL Leakage]]</f>
        <v>0</v>
      </c>
      <c r="BA33" s="174" t="e">
        <f ca="1">Table2[[#This Row],[Std NPV Cost of Annual Leakage]]+Table2[[#This Row],[Std NPV Cost of EOL Leakage]]</f>
        <v>#N/A</v>
      </c>
      <c r="BB33" s="174" t="e">
        <f ca="1">Table2[[#This Row],[AR immediate NPV cost of leakage]]+Table2[[#This Row],[Msr NPV Cost of Annual Leakage]]+Table2[[#This Row],[Msr NPV Cost of EOL Leakage]]</f>
        <v>#N/A</v>
      </c>
      <c r="BC33" s="273" t="e">
        <f ca="1">IF(Table2[[#This Row],[Is Net Cost?]],Table2[[#This Row],[RefrigerantNPVCostsNet]],0)</f>
        <v>#N/A</v>
      </c>
      <c r="BD33" s="174" t="e">
        <f ca="1">IF(Table2[[#This Row],[Is Net Cost?]],0,-Table2[[#This Row],[RefrigerantNPVCostsNet]])</f>
        <v>#N/A</v>
      </c>
    </row>
    <row r="34" spans="1:56" x14ac:dyDescent="0.3">
      <c r="A34" s="173">
        <f t="shared" si="1"/>
        <v>2022</v>
      </c>
      <c r="B34" s="268"/>
      <c r="C34" s="212"/>
      <c r="D34" s="212"/>
      <c r="E34" s="216" t="str">
        <f>IF(Table2[[#This Row],[MeasAppType]]="NR","N/A","N/A")</f>
        <v>N/A</v>
      </c>
      <c r="F34" s="272"/>
      <c r="G34" s="218"/>
      <c r="H34" s="218"/>
      <c r="I34" s="218"/>
      <c r="J34" s="173" t="e">
        <f>INDEX(Table3[CommonRefrigerantType],MATCH(Table2[[#This Row],[Pre tech lookup (not required for "NR" measure application types)]],DropdownRefrigTech,0))</f>
        <v>#N/A</v>
      </c>
      <c r="K34" s="173" t="e">
        <f>INDEX(Table3[CommonRefrigerantType],MATCH(Table2[[#This Row],[Std tech lookup (not required for "AR" measure application types)]],DropdownRefrigTech,0))</f>
        <v>#N/A</v>
      </c>
      <c r="L34" s="173" t="e">
        <f>INDEX(Table3[CommonRefrigerantType],MATCH(Table2[[#This Row],[Msr tech lookup]],DropdownRefrigTech,0))</f>
        <v>#N/A</v>
      </c>
      <c r="M34" s="134" t="e">
        <f>INDEX(Table3[RefrigChargePoundsPerNormUnit],MATCH(Table2[[#This Row],[Pre tech lookup (not required for "NR" measure application types)]],DropdownRefrigTech,0))</f>
        <v>#N/A</v>
      </c>
      <c r="N34" s="134" t="e">
        <f>INDEX(Table3[RefrigChargePoundsPerNormUnit],MATCH(Table2[[#This Row],[Std tech lookup (not required for "AR" measure application types)]],DropdownRefrigTech,0))</f>
        <v>#N/A</v>
      </c>
      <c r="O34" s="149" t="e">
        <f>INDEX(Table3[RefrigChargePoundsPerNormUnit],MATCH(Table2[[#This Row],[Msr tech lookup]],DropdownRefrigTech,0))</f>
        <v>#N/A</v>
      </c>
      <c r="P34" s="163" t="e">
        <f>INDEX(Table3[AnnualLeakageRate],MATCH(Table2[[#This Row],[Pre tech lookup (not required for "NR" measure application types)]],DropdownRefrigTech,0))</f>
        <v>#N/A</v>
      </c>
      <c r="Q34" s="163" t="e">
        <f>INDEX(Table3[AnnualLeakageRate],MATCH(Table2[[#This Row],[Std tech lookup (not required for "AR" measure application types)]],DropdownRefrigTech,0))</f>
        <v>#N/A</v>
      </c>
      <c r="R34" s="163" t="e">
        <f>INDEX(Table3[AnnualLeakageRate],MATCH(Table2[[#This Row],[Msr tech lookup]],DropdownRefrigTech,0))</f>
        <v>#N/A</v>
      </c>
      <c r="S34" s="164" t="e">
        <f>INDEX(Table3[t_EOL],MATCH(Table2[[#This Row],[Pre tech lookup (not required for "NR" measure application types)]],DropdownRefrigTech,0))</f>
        <v>#N/A</v>
      </c>
      <c r="T34" s="164" t="e">
        <f>INDEX(Table3[t_EOL],MATCH(Table2[[#This Row],[Std tech lookup (not required for "AR" measure application types)]],DropdownRefrigTech,0))</f>
        <v>#N/A</v>
      </c>
      <c r="U34" s="164" t="e">
        <f>INDEX(Table3[t_EOL],MATCH(Table2[[#This Row],[Msr tech lookup]],DropdownRefrigTech,0))</f>
        <v>#N/A</v>
      </c>
      <c r="V34" s="163" t="e">
        <f>1-Table2[[#This Row],[Pre annual refrigerant leakage %]]*Table2[[#This Row],[Pre t_EOL]]</f>
        <v>#N/A</v>
      </c>
      <c r="W34" s="163" t="e">
        <f>1-Table2[[#This Row],[Std annual refrigerant leakage %]]*Table2[[#This Row],[Std t_EOL]]</f>
        <v>#N/A</v>
      </c>
      <c r="X34" s="163" t="e">
        <f>1-Table2[[#This Row],[Msr annual refrigerant leakage %]]*Table2[[#This Row],[Msr t_EOL]]</f>
        <v>#N/A</v>
      </c>
      <c r="Y34" s="163" t="e">
        <f>INDEX(Table3[q_EOL],MATCH(Table2[[#This Row],[Pre tech lookup (not required for "NR" measure application types)]],DropdownRefrigTech,0))</f>
        <v>#N/A</v>
      </c>
      <c r="Z34" s="163" t="e">
        <f>INDEX(Table3[q_EOL],MATCH(Table2[[#This Row],[Std tech lookup (not required for "AR" measure application types)]],DropdownRefrigTech,0))</f>
        <v>#N/A</v>
      </c>
      <c r="AA34" s="163" t="e">
        <f>INDEX(Table3[q_EOL],MATCH(Table2[[#This Row],[Msr tech lookup]],DropdownRefrigTech,0))</f>
        <v>#N/A</v>
      </c>
      <c r="AB34" s="163" t="e">
        <f>Table2[[#This Row],[Pre charging remaining (%)]]*Table2[[#This Row],[Pre gross EOL refrigerant leakage %]]</f>
        <v>#N/A</v>
      </c>
      <c r="AC34" s="163" t="e">
        <f>Table2[[#This Row],[Std charging remaining (%)]]*Table2[[#This Row],[Std gross EOL refrigerant leakage %]]</f>
        <v>#N/A</v>
      </c>
      <c r="AD34" s="163" t="e">
        <f>Table2[[#This Row],[Msr charging remaining (%)]]*Table2[[#This Row],[Msr gross EOL refrigerant leakage %]]</f>
        <v>#N/A</v>
      </c>
      <c r="AE34" s="164" t="e" cm="1">
        <f t="array" ref="AE34">INDEX(_xlfn.SWITCH($B$4,"20-yr",GWP_Values_20_year_AR4,"100-yr",GWP_Values_100_year_AR4),MATCH(Table2[[#This Row],[Pre Refrigerant Type]],RefrigDropdownList,0))</f>
        <v>#N/A</v>
      </c>
      <c r="AF34" s="164" t="e" cm="1">
        <f t="array" ref="AF34">INDEX(_xlfn.SWITCH($B$4,"20-yr",GWP_Values_20_year_AR4,"100-yr",GWP_Values_100_year_AR4),MATCH(Table2[[#This Row],[Std Refrigerant Type]],RefrigDropdownList,0))</f>
        <v>#N/A</v>
      </c>
      <c r="AG34" s="164" t="e" cm="1">
        <f t="array" ref="AG34">INDEX(_xlfn.SWITCH($B$4,"20-yr",GWP_Values_20_year_AR4,"100-yr",GWP_Values_100_year_AR4),MATCH(Table2[[#This Row],[Msr Refrigerant Type]],RefrigDropdownList,0))</f>
        <v>#N/A</v>
      </c>
      <c r="AH34" s="165" t="e">
        <f>(Table2[[#This Row],[Pre Refrigerant charge (lbs) per NormUnit]]/pounds_per_metric_ton)*Table2[[#This Row],[Pre annual refrigerant leakage %]]*Table2[[#This Row],[Pre GWP]]</f>
        <v>#N/A</v>
      </c>
      <c r="AI34" s="165" t="e">
        <f>(Table2[[#This Row],[Std Refrigerant charge (lbs)per NormUnit]]/pounds_per_metric_ton)*Table2[[#This Row],[Std annual refrigerant leakage %]]*Table2[[#This Row],[Std GWP]]</f>
        <v>#N/A</v>
      </c>
      <c r="AJ34" s="165" t="e">
        <f>(Table2[[#This Row],[Msr Refrigerant charge (lbs)per NormUnit]]/pounds_per_metric_ton)*Table2[[#This Row],[Msr annual refrigerant leakage %]]*Table2[[#This Row],[Msr GWP]]</f>
        <v>#N/A</v>
      </c>
      <c r="AK34" s="165" t="e">
        <f>(Table2[[#This Row],[Pre Refrigerant charge (lbs) per NormUnit]]/pounds_per_metric_ton)*Table2[[#This Row],[Pre net EOL refrigerant leakage (%)]]*Table2[[#This Row],[Pre GWP]]</f>
        <v>#N/A</v>
      </c>
      <c r="AL34" s="165" t="e">
        <f>(Table2[[#This Row],[Std Refrigerant charge (lbs)per NormUnit]]/pounds_per_metric_ton)*Table2[[#This Row],[Std net EOL refrigerant leakage (%)]]*Table2[[#This Row],[Std GWP]]</f>
        <v>#N/A</v>
      </c>
      <c r="AM34" s="165" t="e">
        <f>(Table2[[#This Row],[Msr Refrigerant charge (lbs)per NormUnit]]/pounds_per_metric_ton)*Table2[[#This Row],[Msr net EOL refrigerant leakage (%)]]*Table2[[#This Row],[Msr GWP]]</f>
        <v>#N/A</v>
      </c>
      <c r="AN34" s="174" cm="1">
        <f t="array" aca="1" ref="AN34" ca="1">IF(Table2[[#This Row],[MeasAppType]]="AR",Table2[[#This Row],[Pre Annual leakage tons CO2e]]*NPV(WACC,OFFSET(const_ones,0,0,1,Table2[[#This Row],[EUL]])*OFFSET(GHG_Adder_dollar_per_tonne,0,(Table2[[#This Row],[Device installation year]])-GHG_Adder_Yr1,1,Table2[[#This Row],[EUL]]))/(1+WACC)^(Table2[[#This Row],[Device installation year]]-DY),0)</f>
        <v>0</v>
      </c>
      <c r="AO34" s="174" t="e" cm="1">
        <f t="array" aca="1" ref="AO34"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34" s="174" t="e" cm="1">
        <f t="array" aca="1" ref="AP34" ca="1">Table2[[#This Row],[Msr Annual leakage tons CO2e]]*NPV(WACC,OFFSET(const_ones,0,0,1,Table2[[#This Row],[EUL]])*OFFSET(GHG_Adder_dollar_per_tonne,0,((Table2[[#This Row],[Device installation year]])-GHG_Adder_Yr1),1,Table2[[#This Row],[EUL]]))/(1+WACC)^(Table2[[#This Row],[Device installation year]]-DY)</f>
        <v>#N/A</v>
      </c>
      <c r="AQ34" s="260" cm="1">
        <f t="array" aca="1" ref="AQ34"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34" s="261" t="e" cm="1">
        <f t="array" aca="1" ref="AR34"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34" s="261" t="e" cm="1">
        <f t="array" aca="1" ref="AS34" ca="1">Table2[[#This Row],[Msr EOL leakage tons CO2e]]*NPV(WACC,OFFSET(const_repeat_after,Table2[[#This Row],[EUL]],0,1,Table2[[#This Row],[EUL]])*OFFSET(GHG_Adder_dollar_per_tonne,0,(Table2[[#This Row],[Device installation year]])-GHG_Adder_Yr1,1,Table2[[#This Row],[EUL]]))/(1+WACC)^(Table2[[#This Row],[Device installation year]]-DY)</f>
        <v>#N/A</v>
      </c>
      <c r="AT34" s="260">
        <f>0</f>
        <v>0</v>
      </c>
      <c r="AU34"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34" s="174" t="e">
        <f ca="1">Table2[[#This Row],[RefrigerantNPVCostsNet]]&gt;0</f>
        <v>#N/A</v>
      </c>
      <c r="AW34" s="174">
        <f>0</f>
        <v>0</v>
      </c>
      <c r="AX34" s="174">
        <f>0</f>
        <v>0</v>
      </c>
      <c r="AY34" s="174">
        <f>0</f>
        <v>0</v>
      </c>
      <c r="AZ34" s="174">
        <f ca="1">Table2[[#This Row],[Pre NPV Cost of Annual Leakage]]+Table2[[#This Row],[Pre NPV Cost of EOL Leakage]]</f>
        <v>0</v>
      </c>
      <c r="BA34" s="174" t="e">
        <f ca="1">Table2[[#This Row],[Std NPV Cost of Annual Leakage]]+Table2[[#This Row],[Std NPV Cost of EOL Leakage]]</f>
        <v>#N/A</v>
      </c>
      <c r="BB34" s="174" t="e">
        <f ca="1">Table2[[#This Row],[AR immediate NPV cost of leakage]]+Table2[[#This Row],[Msr NPV Cost of Annual Leakage]]+Table2[[#This Row],[Msr NPV Cost of EOL Leakage]]</f>
        <v>#N/A</v>
      </c>
      <c r="BC34" s="273" t="e">
        <f ca="1">IF(Table2[[#This Row],[Is Net Cost?]],Table2[[#This Row],[RefrigerantNPVCostsNet]],0)</f>
        <v>#N/A</v>
      </c>
      <c r="BD34" s="174" t="e">
        <f ca="1">IF(Table2[[#This Row],[Is Net Cost?]],0,-Table2[[#This Row],[RefrigerantNPVCostsNet]])</f>
        <v>#N/A</v>
      </c>
    </row>
    <row r="35" spans="1:56" x14ac:dyDescent="0.3">
      <c r="A35" s="173">
        <f t="shared" si="1"/>
        <v>2022</v>
      </c>
      <c r="B35" s="268"/>
      <c r="C35" s="212"/>
      <c r="D35" s="212"/>
      <c r="E35" s="216" t="str">
        <f>IF(Table2[[#This Row],[MeasAppType]]="NR","N/A","N/A")</f>
        <v>N/A</v>
      </c>
      <c r="F35" s="272"/>
      <c r="G35" s="218"/>
      <c r="H35" s="218"/>
      <c r="I35" s="218"/>
      <c r="J35" s="173" t="e">
        <f>INDEX(Table3[CommonRefrigerantType],MATCH(Table2[[#This Row],[Pre tech lookup (not required for "NR" measure application types)]],DropdownRefrigTech,0))</f>
        <v>#N/A</v>
      </c>
      <c r="K35" s="173" t="e">
        <f>INDEX(Table3[CommonRefrigerantType],MATCH(Table2[[#This Row],[Std tech lookup (not required for "AR" measure application types)]],DropdownRefrigTech,0))</f>
        <v>#N/A</v>
      </c>
      <c r="L35" s="173" t="e">
        <f>INDEX(Table3[CommonRefrigerantType],MATCH(Table2[[#This Row],[Msr tech lookup]],DropdownRefrigTech,0))</f>
        <v>#N/A</v>
      </c>
      <c r="M35" s="134" t="e">
        <f>INDEX(Table3[RefrigChargePoundsPerNormUnit],MATCH(Table2[[#This Row],[Pre tech lookup (not required for "NR" measure application types)]],DropdownRefrigTech,0))</f>
        <v>#N/A</v>
      </c>
      <c r="N35" s="134" t="e">
        <f>INDEX(Table3[RefrigChargePoundsPerNormUnit],MATCH(Table2[[#This Row],[Std tech lookup (not required for "AR" measure application types)]],DropdownRefrigTech,0))</f>
        <v>#N/A</v>
      </c>
      <c r="O35" s="149" t="e">
        <f>INDEX(Table3[RefrigChargePoundsPerNormUnit],MATCH(Table2[[#This Row],[Msr tech lookup]],DropdownRefrigTech,0))</f>
        <v>#N/A</v>
      </c>
      <c r="P35" s="163" t="e">
        <f>INDEX(Table3[AnnualLeakageRate],MATCH(Table2[[#This Row],[Pre tech lookup (not required for "NR" measure application types)]],DropdownRefrigTech,0))</f>
        <v>#N/A</v>
      </c>
      <c r="Q35" s="163" t="e">
        <f>INDEX(Table3[AnnualLeakageRate],MATCH(Table2[[#This Row],[Std tech lookup (not required for "AR" measure application types)]],DropdownRefrigTech,0))</f>
        <v>#N/A</v>
      </c>
      <c r="R35" s="163" t="e">
        <f>INDEX(Table3[AnnualLeakageRate],MATCH(Table2[[#This Row],[Msr tech lookup]],DropdownRefrigTech,0))</f>
        <v>#N/A</v>
      </c>
      <c r="S35" s="164" t="e">
        <f>INDEX(Table3[t_EOL],MATCH(Table2[[#This Row],[Pre tech lookup (not required for "NR" measure application types)]],DropdownRefrigTech,0))</f>
        <v>#N/A</v>
      </c>
      <c r="T35" s="164" t="e">
        <f>INDEX(Table3[t_EOL],MATCH(Table2[[#This Row],[Std tech lookup (not required for "AR" measure application types)]],DropdownRefrigTech,0))</f>
        <v>#N/A</v>
      </c>
      <c r="U35" s="164" t="e">
        <f>INDEX(Table3[t_EOL],MATCH(Table2[[#This Row],[Msr tech lookup]],DropdownRefrigTech,0))</f>
        <v>#N/A</v>
      </c>
      <c r="V35" s="163" t="e">
        <f>1-Table2[[#This Row],[Pre annual refrigerant leakage %]]*Table2[[#This Row],[Pre t_EOL]]</f>
        <v>#N/A</v>
      </c>
      <c r="W35" s="163" t="e">
        <f>1-Table2[[#This Row],[Std annual refrigerant leakage %]]*Table2[[#This Row],[Std t_EOL]]</f>
        <v>#N/A</v>
      </c>
      <c r="X35" s="163" t="e">
        <f>1-Table2[[#This Row],[Msr annual refrigerant leakage %]]*Table2[[#This Row],[Msr t_EOL]]</f>
        <v>#N/A</v>
      </c>
      <c r="Y35" s="163" t="e">
        <f>INDEX(Table3[q_EOL],MATCH(Table2[[#This Row],[Pre tech lookup (not required for "NR" measure application types)]],DropdownRefrigTech,0))</f>
        <v>#N/A</v>
      </c>
      <c r="Z35" s="163" t="e">
        <f>INDEX(Table3[q_EOL],MATCH(Table2[[#This Row],[Std tech lookup (not required for "AR" measure application types)]],DropdownRefrigTech,0))</f>
        <v>#N/A</v>
      </c>
      <c r="AA35" s="163" t="e">
        <f>INDEX(Table3[q_EOL],MATCH(Table2[[#This Row],[Msr tech lookup]],DropdownRefrigTech,0))</f>
        <v>#N/A</v>
      </c>
      <c r="AB35" s="163" t="e">
        <f>Table2[[#This Row],[Pre charging remaining (%)]]*Table2[[#This Row],[Pre gross EOL refrigerant leakage %]]</f>
        <v>#N/A</v>
      </c>
      <c r="AC35" s="163" t="e">
        <f>Table2[[#This Row],[Std charging remaining (%)]]*Table2[[#This Row],[Std gross EOL refrigerant leakage %]]</f>
        <v>#N/A</v>
      </c>
      <c r="AD35" s="163" t="e">
        <f>Table2[[#This Row],[Msr charging remaining (%)]]*Table2[[#This Row],[Msr gross EOL refrigerant leakage %]]</f>
        <v>#N/A</v>
      </c>
      <c r="AE35" s="164" t="e" cm="1">
        <f t="array" ref="AE35">INDEX(_xlfn.SWITCH($B$4,"20-yr",GWP_Values_20_year_AR4,"100-yr",GWP_Values_100_year_AR4),MATCH(Table2[[#This Row],[Pre Refrigerant Type]],RefrigDropdownList,0))</f>
        <v>#N/A</v>
      </c>
      <c r="AF35" s="164" t="e" cm="1">
        <f t="array" ref="AF35">INDEX(_xlfn.SWITCH($B$4,"20-yr",GWP_Values_20_year_AR4,"100-yr",GWP_Values_100_year_AR4),MATCH(Table2[[#This Row],[Std Refrigerant Type]],RefrigDropdownList,0))</f>
        <v>#N/A</v>
      </c>
      <c r="AG35" s="164" t="e" cm="1">
        <f t="array" ref="AG35">INDEX(_xlfn.SWITCH($B$4,"20-yr",GWP_Values_20_year_AR4,"100-yr",GWP_Values_100_year_AR4),MATCH(Table2[[#This Row],[Msr Refrigerant Type]],RefrigDropdownList,0))</f>
        <v>#N/A</v>
      </c>
      <c r="AH35" s="165" t="e">
        <f>(Table2[[#This Row],[Pre Refrigerant charge (lbs) per NormUnit]]/pounds_per_metric_ton)*Table2[[#This Row],[Pre annual refrigerant leakage %]]*Table2[[#This Row],[Pre GWP]]</f>
        <v>#N/A</v>
      </c>
      <c r="AI35" s="165" t="e">
        <f>(Table2[[#This Row],[Std Refrigerant charge (lbs)per NormUnit]]/pounds_per_metric_ton)*Table2[[#This Row],[Std annual refrigerant leakage %]]*Table2[[#This Row],[Std GWP]]</f>
        <v>#N/A</v>
      </c>
      <c r="AJ35" s="165" t="e">
        <f>(Table2[[#This Row],[Msr Refrigerant charge (lbs)per NormUnit]]/pounds_per_metric_ton)*Table2[[#This Row],[Msr annual refrigerant leakage %]]*Table2[[#This Row],[Msr GWP]]</f>
        <v>#N/A</v>
      </c>
      <c r="AK35" s="165" t="e">
        <f>(Table2[[#This Row],[Pre Refrigerant charge (lbs) per NormUnit]]/pounds_per_metric_ton)*Table2[[#This Row],[Pre net EOL refrigerant leakage (%)]]*Table2[[#This Row],[Pre GWP]]</f>
        <v>#N/A</v>
      </c>
      <c r="AL35" s="165" t="e">
        <f>(Table2[[#This Row],[Std Refrigerant charge (lbs)per NormUnit]]/pounds_per_metric_ton)*Table2[[#This Row],[Std net EOL refrigerant leakage (%)]]*Table2[[#This Row],[Std GWP]]</f>
        <v>#N/A</v>
      </c>
      <c r="AM35" s="165" t="e">
        <f>(Table2[[#This Row],[Msr Refrigerant charge (lbs)per NormUnit]]/pounds_per_metric_ton)*Table2[[#This Row],[Msr net EOL refrigerant leakage (%)]]*Table2[[#This Row],[Msr GWP]]</f>
        <v>#N/A</v>
      </c>
      <c r="AN35" s="174" cm="1">
        <f t="array" aca="1" ref="AN35" ca="1">IF(Table2[[#This Row],[MeasAppType]]="AR",Table2[[#This Row],[Pre Annual leakage tons CO2e]]*NPV(WACC,OFFSET(const_ones,0,0,1,Table2[[#This Row],[EUL]])*OFFSET(GHG_Adder_dollar_per_tonne,0,(Table2[[#This Row],[Device installation year]])-GHG_Adder_Yr1,1,Table2[[#This Row],[EUL]]))/(1+WACC)^(Table2[[#This Row],[Device installation year]]-DY),0)</f>
        <v>0</v>
      </c>
      <c r="AO35" s="174" t="e" cm="1">
        <f t="array" aca="1" ref="AO35"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35" s="174" t="e" cm="1">
        <f t="array" aca="1" ref="AP35" ca="1">Table2[[#This Row],[Msr Annual leakage tons CO2e]]*NPV(WACC,OFFSET(const_ones,0,0,1,Table2[[#This Row],[EUL]])*OFFSET(GHG_Adder_dollar_per_tonne,0,((Table2[[#This Row],[Device installation year]])-GHG_Adder_Yr1),1,Table2[[#This Row],[EUL]]))/(1+WACC)^(Table2[[#This Row],[Device installation year]]-DY)</f>
        <v>#N/A</v>
      </c>
      <c r="AQ35" s="260" cm="1">
        <f t="array" aca="1" ref="AQ35"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35" s="261" t="e" cm="1">
        <f t="array" aca="1" ref="AR35"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35" s="261" t="e" cm="1">
        <f t="array" aca="1" ref="AS35" ca="1">Table2[[#This Row],[Msr EOL leakage tons CO2e]]*NPV(WACC,OFFSET(const_repeat_after,Table2[[#This Row],[EUL]],0,1,Table2[[#This Row],[EUL]])*OFFSET(GHG_Adder_dollar_per_tonne,0,(Table2[[#This Row],[Device installation year]])-GHG_Adder_Yr1,1,Table2[[#This Row],[EUL]]))/(1+WACC)^(Table2[[#This Row],[Device installation year]]-DY)</f>
        <v>#N/A</v>
      </c>
      <c r="AT35" s="260">
        <f>0</f>
        <v>0</v>
      </c>
      <c r="AU35"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35" s="174" t="e">
        <f ca="1">Table2[[#This Row],[RefrigerantNPVCostsNet]]&gt;0</f>
        <v>#N/A</v>
      </c>
      <c r="AW35" s="174">
        <f>0</f>
        <v>0</v>
      </c>
      <c r="AX35" s="174">
        <f>0</f>
        <v>0</v>
      </c>
      <c r="AY35" s="174">
        <f>0</f>
        <v>0</v>
      </c>
      <c r="AZ35" s="174">
        <f ca="1">Table2[[#This Row],[Pre NPV Cost of Annual Leakage]]+Table2[[#This Row],[Pre NPV Cost of EOL Leakage]]</f>
        <v>0</v>
      </c>
      <c r="BA35" s="174" t="e">
        <f ca="1">Table2[[#This Row],[Std NPV Cost of Annual Leakage]]+Table2[[#This Row],[Std NPV Cost of EOL Leakage]]</f>
        <v>#N/A</v>
      </c>
      <c r="BB35" s="174" t="e">
        <f ca="1">Table2[[#This Row],[AR immediate NPV cost of leakage]]+Table2[[#This Row],[Msr NPV Cost of Annual Leakage]]+Table2[[#This Row],[Msr NPV Cost of EOL Leakage]]</f>
        <v>#N/A</v>
      </c>
      <c r="BC35" s="273" t="e">
        <f ca="1">IF(Table2[[#This Row],[Is Net Cost?]],Table2[[#This Row],[RefrigerantNPVCostsNet]],0)</f>
        <v>#N/A</v>
      </c>
      <c r="BD35" s="174" t="e">
        <f ca="1">IF(Table2[[#This Row],[Is Net Cost?]],0,-Table2[[#This Row],[RefrigerantNPVCostsNet]])</f>
        <v>#N/A</v>
      </c>
    </row>
    <row r="36" spans="1:56" x14ac:dyDescent="0.3">
      <c r="A36" s="173">
        <f t="shared" si="1"/>
        <v>2022</v>
      </c>
      <c r="B36" s="268"/>
      <c r="C36" s="212"/>
      <c r="D36" s="212"/>
      <c r="E36" s="216" t="str">
        <f>IF(Table2[[#This Row],[MeasAppType]]="NR","N/A","N/A")</f>
        <v>N/A</v>
      </c>
      <c r="F36" s="272"/>
      <c r="G36" s="218"/>
      <c r="H36" s="218"/>
      <c r="I36" s="218"/>
      <c r="J36" s="173" t="e">
        <f>INDEX(Table3[CommonRefrigerantType],MATCH(Table2[[#This Row],[Pre tech lookup (not required for "NR" measure application types)]],DropdownRefrigTech,0))</f>
        <v>#N/A</v>
      </c>
      <c r="K36" s="173" t="e">
        <f>INDEX(Table3[CommonRefrigerantType],MATCH(Table2[[#This Row],[Std tech lookup (not required for "AR" measure application types)]],DropdownRefrigTech,0))</f>
        <v>#N/A</v>
      </c>
      <c r="L36" s="173" t="e">
        <f>INDEX(Table3[CommonRefrigerantType],MATCH(Table2[[#This Row],[Msr tech lookup]],DropdownRefrigTech,0))</f>
        <v>#N/A</v>
      </c>
      <c r="M36" s="134" t="e">
        <f>INDEX(Table3[RefrigChargePoundsPerNormUnit],MATCH(Table2[[#This Row],[Pre tech lookup (not required for "NR" measure application types)]],DropdownRefrigTech,0))</f>
        <v>#N/A</v>
      </c>
      <c r="N36" s="134" t="e">
        <f>INDEX(Table3[RefrigChargePoundsPerNormUnit],MATCH(Table2[[#This Row],[Std tech lookup (not required for "AR" measure application types)]],DropdownRefrigTech,0))</f>
        <v>#N/A</v>
      </c>
      <c r="O36" s="149" t="e">
        <f>INDEX(Table3[RefrigChargePoundsPerNormUnit],MATCH(Table2[[#This Row],[Msr tech lookup]],DropdownRefrigTech,0))</f>
        <v>#N/A</v>
      </c>
      <c r="P36" s="163" t="e">
        <f>INDEX(Table3[AnnualLeakageRate],MATCH(Table2[[#This Row],[Pre tech lookup (not required for "NR" measure application types)]],DropdownRefrigTech,0))</f>
        <v>#N/A</v>
      </c>
      <c r="Q36" s="163" t="e">
        <f>INDEX(Table3[AnnualLeakageRate],MATCH(Table2[[#This Row],[Std tech lookup (not required for "AR" measure application types)]],DropdownRefrigTech,0))</f>
        <v>#N/A</v>
      </c>
      <c r="R36" s="163" t="e">
        <f>INDEX(Table3[AnnualLeakageRate],MATCH(Table2[[#This Row],[Msr tech lookup]],DropdownRefrigTech,0))</f>
        <v>#N/A</v>
      </c>
      <c r="S36" s="164" t="e">
        <f>INDEX(Table3[t_EOL],MATCH(Table2[[#This Row],[Pre tech lookup (not required for "NR" measure application types)]],DropdownRefrigTech,0))</f>
        <v>#N/A</v>
      </c>
      <c r="T36" s="164" t="e">
        <f>INDEX(Table3[t_EOL],MATCH(Table2[[#This Row],[Std tech lookup (not required for "AR" measure application types)]],DropdownRefrigTech,0))</f>
        <v>#N/A</v>
      </c>
      <c r="U36" s="164" t="e">
        <f>INDEX(Table3[t_EOL],MATCH(Table2[[#This Row],[Msr tech lookup]],DropdownRefrigTech,0))</f>
        <v>#N/A</v>
      </c>
      <c r="V36" s="163" t="e">
        <f>1-Table2[[#This Row],[Pre annual refrigerant leakage %]]*Table2[[#This Row],[Pre t_EOL]]</f>
        <v>#N/A</v>
      </c>
      <c r="W36" s="163" t="e">
        <f>1-Table2[[#This Row],[Std annual refrigerant leakage %]]*Table2[[#This Row],[Std t_EOL]]</f>
        <v>#N/A</v>
      </c>
      <c r="X36" s="163" t="e">
        <f>1-Table2[[#This Row],[Msr annual refrigerant leakage %]]*Table2[[#This Row],[Msr t_EOL]]</f>
        <v>#N/A</v>
      </c>
      <c r="Y36" s="163" t="e">
        <f>INDEX(Table3[q_EOL],MATCH(Table2[[#This Row],[Pre tech lookup (not required for "NR" measure application types)]],DropdownRefrigTech,0))</f>
        <v>#N/A</v>
      </c>
      <c r="Z36" s="163" t="e">
        <f>INDEX(Table3[q_EOL],MATCH(Table2[[#This Row],[Std tech lookup (not required for "AR" measure application types)]],DropdownRefrigTech,0))</f>
        <v>#N/A</v>
      </c>
      <c r="AA36" s="163" t="e">
        <f>INDEX(Table3[q_EOL],MATCH(Table2[[#This Row],[Msr tech lookup]],DropdownRefrigTech,0))</f>
        <v>#N/A</v>
      </c>
      <c r="AB36" s="163" t="e">
        <f>Table2[[#This Row],[Pre charging remaining (%)]]*Table2[[#This Row],[Pre gross EOL refrigerant leakage %]]</f>
        <v>#N/A</v>
      </c>
      <c r="AC36" s="163" t="e">
        <f>Table2[[#This Row],[Std charging remaining (%)]]*Table2[[#This Row],[Std gross EOL refrigerant leakage %]]</f>
        <v>#N/A</v>
      </c>
      <c r="AD36" s="163" t="e">
        <f>Table2[[#This Row],[Msr charging remaining (%)]]*Table2[[#This Row],[Msr gross EOL refrigerant leakage %]]</f>
        <v>#N/A</v>
      </c>
      <c r="AE36" s="164" t="e" cm="1">
        <f t="array" ref="AE36">INDEX(_xlfn.SWITCH($B$4,"20-yr",GWP_Values_20_year_AR4,"100-yr",GWP_Values_100_year_AR4),MATCH(Table2[[#This Row],[Pre Refrigerant Type]],RefrigDropdownList,0))</f>
        <v>#N/A</v>
      </c>
      <c r="AF36" s="164" t="e" cm="1">
        <f t="array" ref="AF36">INDEX(_xlfn.SWITCH($B$4,"20-yr",GWP_Values_20_year_AR4,"100-yr",GWP_Values_100_year_AR4),MATCH(Table2[[#This Row],[Std Refrigerant Type]],RefrigDropdownList,0))</f>
        <v>#N/A</v>
      </c>
      <c r="AG36" s="164" t="e" cm="1">
        <f t="array" ref="AG36">INDEX(_xlfn.SWITCH($B$4,"20-yr",GWP_Values_20_year_AR4,"100-yr",GWP_Values_100_year_AR4),MATCH(Table2[[#This Row],[Msr Refrigerant Type]],RefrigDropdownList,0))</f>
        <v>#N/A</v>
      </c>
      <c r="AH36" s="165" t="e">
        <f>(Table2[[#This Row],[Pre Refrigerant charge (lbs) per NormUnit]]/pounds_per_metric_ton)*Table2[[#This Row],[Pre annual refrigerant leakage %]]*Table2[[#This Row],[Pre GWP]]</f>
        <v>#N/A</v>
      </c>
      <c r="AI36" s="165" t="e">
        <f>(Table2[[#This Row],[Std Refrigerant charge (lbs)per NormUnit]]/pounds_per_metric_ton)*Table2[[#This Row],[Std annual refrigerant leakage %]]*Table2[[#This Row],[Std GWP]]</f>
        <v>#N/A</v>
      </c>
      <c r="AJ36" s="165" t="e">
        <f>(Table2[[#This Row],[Msr Refrigerant charge (lbs)per NormUnit]]/pounds_per_metric_ton)*Table2[[#This Row],[Msr annual refrigerant leakage %]]*Table2[[#This Row],[Msr GWP]]</f>
        <v>#N/A</v>
      </c>
      <c r="AK36" s="165" t="e">
        <f>(Table2[[#This Row],[Pre Refrigerant charge (lbs) per NormUnit]]/pounds_per_metric_ton)*Table2[[#This Row],[Pre net EOL refrigerant leakage (%)]]*Table2[[#This Row],[Pre GWP]]</f>
        <v>#N/A</v>
      </c>
      <c r="AL36" s="165" t="e">
        <f>(Table2[[#This Row],[Std Refrigerant charge (lbs)per NormUnit]]/pounds_per_metric_ton)*Table2[[#This Row],[Std net EOL refrigerant leakage (%)]]*Table2[[#This Row],[Std GWP]]</f>
        <v>#N/A</v>
      </c>
      <c r="AM36" s="165" t="e">
        <f>(Table2[[#This Row],[Msr Refrigerant charge (lbs)per NormUnit]]/pounds_per_metric_ton)*Table2[[#This Row],[Msr net EOL refrigerant leakage (%)]]*Table2[[#This Row],[Msr GWP]]</f>
        <v>#N/A</v>
      </c>
      <c r="AN36" s="174" cm="1">
        <f t="array" aca="1" ref="AN36" ca="1">IF(Table2[[#This Row],[MeasAppType]]="AR",Table2[[#This Row],[Pre Annual leakage tons CO2e]]*NPV(WACC,OFFSET(const_ones,0,0,1,Table2[[#This Row],[EUL]])*OFFSET(GHG_Adder_dollar_per_tonne,0,(Table2[[#This Row],[Device installation year]])-GHG_Adder_Yr1,1,Table2[[#This Row],[EUL]]))/(1+WACC)^(Table2[[#This Row],[Device installation year]]-DY),0)</f>
        <v>0</v>
      </c>
      <c r="AO36" s="174" t="e" cm="1">
        <f t="array" aca="1" ref="AO36"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36" s="174" t="e" cm="1">
        <f t="array" aca="1" ref="AP36" ca="1">Table2[[#This Row],[Msr Annual leakage tons CO2e]]*NPV(WACC,OFFSET(const_ones,0,0,1,Table2[[#This Row],[EUL]])*OFFSET(GHG_Adder_dollar_per_tonne,0,((Table2[[#This Row],[Device installation year]])-GHG_Adder_Yr1),1,Table2[[#This Row],[EUL]]))/(1+WACC)^(Table2[[#This Row],[Device installation year]]-DY)</f>
        <v>#N/A</v>
      </c>
      <c r="AQ36" s="260" cm="1">
        <f t="array" aca="1" ref="AQ36"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36" s="261" t="e" cm="1">
        <f t="array" aca="1" ref="AR36"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36" s="261" t="e" cm="1">
        <f t="array" aca="1" ref="AS36" ca="1">Table2[[#This Row],[Msr EOL leakage tons CO2e]]*NPV(WACC,OFFSET(const_repeat_after,Table2[[#This Row],[EUL]],0,1,Table2[[#This Row],[EUL]])*OFFSET(GHG_Adder_dollar_per_tonne,0,(Table2[[#This Row],[Device installation year]])-GHG_Adder_Yr1,1,Table2[[#This Row],[EUL]]))/(1+WACC)^(Table2[[#This Row],[Device installation year]]-DY)</f>
        <v>#N/A</v>
      </c>
      <c r="AT36" s="260">
        <f>0</f>
        <v>0</v>
      </c>
      <c r="AU36"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36" s="174" t="e">
        <f ca="1">Table2[[#This Row],[RefrigerantNPVCostsNet]]&gt;0</f>
        <v>#N/A</v>
      </c>
      <c r="AW36" s="174">
        <f>0</f>
        <v>0</v>
      </c>
      <c r="AX36" s="174">
        <f>0</f>
        <v>0</v>
      </c>
      <c r="AY36" s="174">
        <f>0</f>
        <v>0</v>
      </c>
      <c r="AZ36" s="174">
        <f ca="1">Table2[[#This Row],[Pre NPV Cost of Annual Leakage]]+Table2[[#This Row],[Pre NPV Cost of EOL Leakage]]</f>
        <v>0</v>
      </c>
      <c r="BA36" s="174" t="e">
        <f ca="1">Table2[[#This Row],[Std NPV Cost of Annual Leakage]]+Table2[[#This Row],[Std NPV Cost of EOL Leakage]]</f>
        <v>#N/A</v>
      </c>
      <c r="BB36" s="174" t="e">
        <f ca="1">Table2[[#This Row],[AR immediate NPV cost of leakage]]+Table2[[#This Row],[Msr NPV Cost of Annual Leakage]]+Table2[[#This Row],[Msr NPV Cost of EOL Leakage]]</f>
        <v>#N/A</v>
      </c>
      <c r="BC36" s="273" t="e">
        <f ca="1">IF(Table2[[#This Row],[Is Net Cost?]],Table2[[#This Row],[RefrigerantNPVCostsNet]],0)</f>
        <v>#N/A</v>
      </c>
      <c r="BD36" s="174" t="e">
        <f ca="1">IF(Table2[[#This Row],[Is Net Cost?]],0,-Table2[[#This Row],[RefrigerantNPVCostsNet]])</f>
        <v>#N/A</v>
      </c>
    </row>
    <row r="37" spans="1:56" x14ac:dyDescent="0.3">
      <c r="A37" s="173">
        <f t="shared" si="1"/>
        <v>2022</v>
      </c>
      <c r="B37" s="268"/>
      <c r="C37" s="212"/>
      <c r="D37" s="212"/>
      <c r="E37" s="216" t="str">
        <f>IF(Table2[[#This Row],[MeasAppType]]="NR","N/A","N/A")</f>
        <v>N/A</v>
      </c>
      <c r="F37" s="272"/>
      <c r="G37" s="218"/>
      <c r="H37" s="218"/>
      <c r="I37" s="218"/>
      <c r="J37" s="173" t="e">
        <f>INDEX(Table3[CommonRefrigerantType],MATCH(Table2[[#This Row],[Pre tech lookup (not required for "NR" measure application types)]],DropdownRefrigTech,0))</f>
        <v>#N/A</v>
      </c>
      <c r="K37" s="173" t="e">
        <f>INDEX(Table3[CommonRefrigerantType],MATCH(Table2[[#This Row],[Std tech lookup (not required for "AR" measure application types)]],DropdownRefrigTech,0))</f>
        <v>#N/A</v>
      </c>
      <c r="L37" s="173" t="e">
        <f>INDEX(Table3[CommonRefrigerantType],MATCH(Table2[[#This Row],[Msr tech lookup]],DropdownRefrigTech,0))</f>
        <v>#N/A</v>
      </c>
      <c r="M37" s="134" t="e">
        <f>INDEX(Table3[RefrigChargePoundsPerNormUnit],MATCH(Table2[[#This Row],[Pre tech lookup (not required for "NR" measure application types)]],DropdownRefrigTech,0))</f>
        <v>#N/A</v>
      </c>
      <c r="N37" s="134" t="e">
        <f>INDEX(Table3[RefrigChargePoundsPerNormUnit],MATCH(Table2[[#This Row],[Std tech lookup (not required for "AR" measure application types)]],DropdownRefrigTech,0))</f>
        <v>#N/A</v>
      </c>
      <c r="O37" s="149" t="e">
        <f>INDEX(Table3[RefrigChargePoundsPerNormUnit],MATCH(Table2[[#This Row],[Msr tech lookup]],DropdownRefrigTech,0))</f>
        <v>#N/A</v>
      </c>
      <c r="P37" s="163" t="e">
        <f>INDEX(Table3[AnnualLeakageRate],MATCH(Table2[[#This Row],[Pre tech lookup (not required for "NR" measure application types)]],DropdownRefrigTech,0))</f>
        <v>#N/A</v>
      </c>
      <c r="Q37" s="163" t="e">
        <f>INDEX(Table3[AnnualLeakageRate],MATCH(Table2[[#This Row],[Std tech lookup (not required for "AR" measure application types)]],DropdownRefrigTech,0))</f>
        <v>#N/A</v>
      </c>
      <c r="R37" s="163" t="e">
        <f>INDEX(Table3[AnnualLeakageRate],MATCH(Table2[[#This Row],[Msr tech lookup]],DropdownRefrigTech,0))</f>
        <v>#N/A</v>
      </c>
      <c r="S37" s="164" t="e">
        <f>INDEX(Table3[t_EOL],MATCH(Table2[[#This Row],[Pre tech lookup (not required for "NR" measure application types)]],DropdownRefrigTech,0))</f>
        <v>#N/A</v>
      </c>
      <c r="T37" s="164" t="e">
        <f>INDEX(Table3[t_EOL],MATCH(Table2[[#This Row],[Std tech lookup (not required for "AR" measure application types)]],DropdownRefrigTech,0))</f>
        <v>#N/A</v>
      </c>
      <c r="U37" s="164" t="e">
        <f>INDEX(Table3[t_EOL],MATCH(Table2[[#This Row],[Msr tech lookup]],DropdownRefrigTech,0))</f>
        <v>#N/A</v>
      </c>
      <c r="V37" s="163" t="e">
        <f>1-Table2[[#This Row],[Pre annual refrigerant leakage %]]*Table2[[#This Row],[Pre t_EOL]]</f>
        <v>#N/A</v>
      </c>
      <c r="W37" s="163" t="e">
        <f>1-Table2[[#This Row],[Std annual refrigerant leakage %]]*Table2[[#This Row],[Std t_EOL]]</f>
        <v>#N/A</v>
      </c>
      <c r="X37" s="163" t="e">
        <f>1-Table2[[#This Row],[Msr annual refrigerant leakage %]]*Table2[[#This Row],[Msr t_EOL]]</f>
        <v>#N/A</v>
      </c>
      <c r="Y37" s="163" t="e">
        <f>INDEX(Table3[q_EOL],MATCH(Table2[[#This Row],[Pre tech lookup (not required for "NR" measure application types)]],DropdownRefrigTech,0))</f>
        <v>#N/A</v>
      </c>
      <c r="Z37" s="163" t="e">
        <f>INDEX(Table3[q_EOL],MATCH(Table2[[#This Row],[Std tech lookup (not required for "AR" measure application types)]],DropdownRefrigTech,0))</f>
        <v>#N/A</v>
      </c>
      <c r="AA37" s="163" t="e">
        <f>INDEX(Table3[q_EOL],MATCH(Table2[[#This Row],[Msr tech lookup]],DropdownRefrigTech,0))</f>
        <v>#N/A</v>
      </c>
      <c r="AB37" s="163" t="e">
        <f>Table2[[#This Row],[Pre charging remaining (%)]]*Table2[[#This Row],[Pre gross EOL refrigerant leakage %]]</f>
        <v>#N/A</v>
      </c>
      <c r="AC37" s="163" t="e">
        <f>Table2[[#This Row],[Std charging remaining (%)]]*Table2[[#This Row],[Std gross EOL refrigerant leakage %]]</f>
        <v>#N/A</v>
      </c>
      <c r="AD37" s="163" t="e">
        <f>Table2[[#This Row],[Msr charging remaining (%)]]*Table2[[#This Row],[Msr gross EOL refrigerant leakage %]]</f>
        <v>#N/A</v>
      </c>
      <c r="AE37" s="164" t="e" cm="1">
        <f t="array" ref="AE37">INDEX(_xlfn.SWITCH($B$4,"20-yr",GWP_Values_20_year_AR4,"100-yr",GWP_Values_100_year_AR4),MATCH(Table2[[#This Row],[Pre Refrigerant Type]],RefrigDropdownList,0))</f>
        <v>#N/A</v>
      </c>
      <c r="AF37" s="164" t="e" cm="1">
        <f t="array" ref="AF37">INDEX(_xlfn.SWITCH($B$4,"20-yr",GWP_Values_20_year_AR4,"100-yr",GWP_Values_100_year_AR4),MATCH(Table2[[#This Row],[Std Refrigerant Type]],RefrigDropdownList,0))</f>
        <v>#N/A</v>
      </c>
      <c r="AG37" s="164" t="e" cm="1">
        <f t="array" ref="AG37">INDEX(_xlfn.SWITCH($B$4,"20-yr",GWP_Values_20_year_AR4,"100-yr",GWP_Values_100_year_AR4),MATCH(Table2[[#This Row],[Msr Refrigerant Type]],RefrigDropdownList,0))</f>
        <v>#N/A</v>
      </c>
      <c r="AH37" s="165" t="e">
        <f>(Table2[[#This Row],[Pre Refrigerant charge (lbs) per NormUnit]]/pounds_per_metric_ton)*Table2[[#This Row],[Pre annual refrigerant leakage %]]*Table2[[#This Row],[Pre GWP]]</f>
        <v>#N/A</v>
      </c>
      <c r="AI37" s="165" t="e">
        <f>(Table2[[#This Row],[Std Refrigerant charge (lbs)per NormUnit]]/pounds_per_metric_ton)*Table2[[#This Row],[Std annual refrigerant leakage %]]*Table2[[#This Row],[Std GWP]]</f>
        <v>#N/A</v>
      </c>
      <c r="AJ37" s="165" t="e">
        <f>(Table2[[#This Row],[Msr Refrigerant charge (lbs)per NormUnit]]/pounds_per_metric_ton)*Table2[[#This Row],[Msr annual refrigerant leakage %]]*Table2[[#This Row],[Msr GWP]]</f>
        <v>#N/A</v>
      </c>
      <c r="AK37" s="165" t="e">
        <f>(Table2[[#This Row],[Pre Refrigerant charge (lbs) per NormUnit]]/pounds_per_metric_ton)*Table2[[#This Row],[Pre net EOL refrigerant leakage (%)]]*Table2[[#This Row],[Pre GWP]]</f>
        <v>#N/A</v>
      </c>
      <c r="AL37" s="165" t="e">
        <f>(Table2[[#This Row],[Std Refrigerant charge (lbs)per NormUnit]]/pounds_per_metric_ton)*Table2[[#This Row],[Std net EOL refrigerant leakage (%)]]*Table2[[#This Row],[Std GWP]]</f>
        <v>#N/A</v>
      </c>
      <c r="AM37" s="165" t="e">
        <f>(Table2[[#This Row],[Msr Refrigerant charge (lbs)per NormUnit]]/pounds_per_metric_ton)*Table2[[#This Row],[Msr net EOL refrigerant leakage (%)]]*Table2[[#This Row],[Msr GWP]]</f>
        <v>#N/A</v>
      </c>
      <c r="AN37" s="174" cm="1">
        <f t="array" aca="1" ref="AN37" ca="1">IF(Table2[[#This Row],[MeasAppType]]="AR",Table2[[#This Row],[Pre Annual leakage tons CO2e]]*NPV(WACC,OFFSET(const_ones,0,0,1,Table2[[#This Row],[EUL]])*OFFSET(GHG_Adder_dollar_per_tonne,0,(Table2[[#This Row],[Device installation year]])-GHG_Adder_Yr1,1,Table2[[#This Row],[EUL]]))/(1+WACC)^(Table2[[#This Row],[Device installation year]]-DY),0)</f>
        <v>0</v>
      </c>
      <c r="AO37" s="174" t="e" cm="1">
        <f t="array" aca="1" ref="AO37"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37" s="174" t="e" cm="1">
        <f t="array" aca="1" ref="AP37" ca="1">Table2[[#This Row],[Msr Annual leakage tons CO2e]]*NPV(WACC,OFFSET(const_ones,0,0,1,Table2[[#This Row],[EUL]])*OFFSET(GHG_Adder_dollar_per_tonne,0,((Table2[[#This Row],[Device installation year]])-GHG_Adder_Yr1),1,Table2[[#This Row],[EUL]]))/(1+WACC)^(Table2[[#This Row],[Device installation year]]-DY)</f>
        <v>#N/A</v>
      </c>
      <c r="AQ37" s="260" cm="1">
        <f t="array" aca="1" ref="AQ37"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37" s="261" t="e" cm="1">
        <f t="array" aca="1" ref="AR37"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37" s="261" t="e" cm="1">
        <f t="array" aca="1" ref="AS37" ca="1">Table2[[#This Row],[Msr EOL leakage tons CO2e]]*NPV(WACC,OFFSET(const_repeat_after,Table2[[#This Row],[EUL]],0,1,Table2[[#This Row],[EUL]])*OFFSET(GHG_Adder_dollar_per_tonne,0,(Table2[[#This Row],[Device installation year]])-GHG_Adder_Yr1,1,Table2[[#This Row],[EUL]]))/(1+WACC)^(Table2[[#This Row],[Device installation year]]-DY)</f>
        <v>#N/A</v>
      </c>
      <c r="AT37" s="260">
        <f>0</f>
        <v>0</v>
      </c>
      <c r="AU37"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37" s="174" t="e">
        <f ca="1">Table2[[#This Row],[RefrigerantNPVCostsNet]]&gt;0</f>
        <v>#N/A</v>
      </c>
      <c r="AW37" s="174">
        <f>0</f>
        <v>0</v>
      </c>
      <c r="AX37" s="174">
        <f>0</f>
        <v>0</v>
      </c>
      <c r="AY37" s="174">
        <f>0</f>
        <v>0</v>
      </c>
      <c r="AZ37" s="174">
        <f ca="1">Table2[[#This Row],[Pre NPV Cost of Annual Leakage]]+Table2[[#This Row],[Pre NPV Cost of EOL Leakage]]</f>
        <v>0</v>
      </c>
      <c r="BA37" s="174" t="e">
        <f ca="1">Table2[[#This Row],[Std NPV Cost of Annual Leakage]]+Table2[[#This Row],[Std NPV Cost of EOL Leakage]]</f>
        <v>#N/A</v>
      </c>
      <c r="BB37" s="174" t="e">
        <f ca="1">Table2[[#This Row],[AR immediate NPV cost of leakage]]+Table2[[#This Row],[Msr NPV Cost of Annual Leakage]]+Table2[[#This Row],[Msr NPV Cost of EOL Leakage]]</f>
        <v>#N/A</v>
      </c>
      <c r="BC37" s="273" t="e">
        <f ca="1">IF(Table2[[#This Row],[Is Net Cost?]],Table2[[#This Row],[RefrigerantNPVCostsNet]],0)</f>
        <v>#N/A</v>
      </c>
      <c r="BD37" s="174" t="e">
        <f ca="1">IF(Table2[[#This Row],[Is Net Cost?]],0,-Table2[[#This Row],[RefrigerantNPVCostsNet]])</f>
        <v>#N/A</v>
      </c>
    </row>
    <row r="38" spans="1:56" x14ac:dyDescent="0.3">
      <c r="A38" s="173">
        <f t="shared" si="1"/>
        <v>2022</v>
      </c>
      <c r="B38" s="268"/>
      <c r="C38" s="212"/>
      <c r="D38" s="212"/>
      <c r="E38" s="216" t="str">
        <f>IF(Table2[[#This Row],[MeasAppType]]="NR","N/A","N/A")</f>
        <v>N/A</v>
      </c>
      <c r="F38" s="272"/>
      <c r="G38" s="218"/>
      <c r="H38" s="218"/>
      <c r="I38" s="218"/>
      <c r="J38" s="173" t="e">
        <f>INDEX(Table3[CommonRefrigerantType],MATCH(Table2[[#This Row],[Pre tech lookup (not required for "NR" measure application types)]],DropdownRefrigTech,0))</f>
        <v>#N/A</v>
      </c>
      <c r="K38" s="173" t="e">
        <f>INDEX(Table3[CommonRefrigerantType],MATCH(Table2[[#This Row],[Std tech lookup (not required for "AR" measure application types)]],DropdownRefrigTech,0))</f>
        <v>#N/A</v>
      </c>
      <c r="L38" s="173" t="e">
        <f>INDEX(Table3[CommonRefrigerantType],MATCH(Table2[[#This Row],[Msr tech lookup]],DropdownRefrigTech,0))</f>
        <v>#N/A</v>
      </c>
      <c r="M38" s="134" t="e">
        <f>INDEX(Table3[RefrigChargePoundsPerNormUnit],MATCH(Table2[[#This Row],[Pre tech lookup (not required for "NR" measure application types)]],DropdownRefrigTech,0))</f>
        <v>#N/A</v>
      </c>
      <c r="N38" s="134" t="e">
        <f>INDEX(Table3[RefrigChargePoundsPerNormUnit],MATCH(Table2[[#This Row],[Std tech lookup (not required for "AR" measure application types)]],DropdownRefrigTech,0))</f>
        <v>#N/A</v>
      </c>
      <c r="O38" s="149" t="e">
        <f>INDEX(Table3[RefrigChargePoundsPerNormUnit],MATCH(Table2[[#This Row],[Msr tech lookup]],DropdownRefrigTech,0))</f>
        <v>#N/A</v>
      </c>
      <c r="P38" s="163" t="e">
        <f>INDEX(Table3[AnnualLeakageRate],MATCH(Table2[[#This Row],[Pre tech lookup (not required for "NR" measure application types)]],DropdownRefrigTech,0))</f>
        <v>#N/A</v>
      </c>
      <c r="Q38" s="163" t="e">
        <f>INDEX(Table3[AnnualLeakageRate],MATCH(Table2[[#This Row],[Std tech lookup (not required for "AR" measure application types)]],DropdownRefrigTech,0))</f>
        <v>#N/A</v>
      </c>
      <c r="R38" s="163" t="e">
        <f>INDEX(Table3[AnnualLeakageRate],MATCH(Table2[[#This Row],[Msr tech lookup]],DropdownRefrigTech,0))</f>
        <v>#N/A</v>
      </c>
      <c r="S38" s="164" t="e">
        <f>INDEX(Table3[t_EOL],MATCH(Table2[[#This Row],[Pre tech lookup (not required for "NR" measure application types)]],DropdownRefrigTech,0))</f>
        <v>#N/A</v>
      </c>
      <c r="T38" s="164" t="e">
        <f>INDEX(Table3[t_EOL],MATCH(Table2[[#This Row],[Std tech lookup (not required for "AR" measure application types)]],DropdownRefrigTech,0))</f>
        <v>#N/A</v>
      </c>
      <c r="U38" s="164" t="e">
        <f>INDEX(Table3[t_EOL],MATCH(Table2[[#This Row],[Msr tech lookup]],DropdownRefrigTech,0))</f>
        <v>#N/A</v>
      </c>
      <c r="V38" s="163" t="e">
        <f>1-Table2[[#This Row],[Pre annual refrigerant leakage %]]*Table2[[#This Row],[Pre t_EOL]]</f>
        <v>#N/A</v>
      </c>
      <c r="W38" s="163" t="e">
        <f>1-Table2[[#This Row],[Std annual refrigerant leakage %]]*Table2[[#This Row],[Std t_EOL]]</f>
        <v>#N/A</v>
      </c>
      <c r="X38" s="163" t="e">
        <f>1-Table2[[#This Row],[Msr annual refrigerant leakage %]]*Table2[[#This Row],[Msr t_EOL]]</f>
        <v>#N/A</v>
      </c>
      <c r="Y38" s="163" t="e">
        <f>INDEX(Table3[q_EOL],MATCH(Table2[[#This Row],[Pre tech lookup (not required for "NR" measure application types)]],DropdownRefrigTech,0))</f>
        <v>#N/A</v>
      </c>
      <c r="Z38" s="163" t="e">
        <f>INDEX(Table3[q_EOL],MATCH(Table2[[#This Row],[Std tech lookup (not required for "AR" measure application types)]],DropdownRefrigTech,0))</f>
        <v>#N/A</v>
      </c>
      <c r="AA38" s="163" t="e">
        <f>INDEX(Table3[q_EOL],MATCH(Table2[[#This Row],[Msr tech lookup]],DropdownRefrigTech,0))</f>
        <v>#N/A</v>
      </c>
      <c r="AB38" s="163" t="e">
        <f>Table2[[#This Row],[Pre charging remaining (%)]]*Table2[[#This Row],[Pre gross EOL refrigerant leakage %]]</f>
        <v>#N/A</v>
      </c>
      <c r="AC38" s="163" t="e">
        <f>Table2[[#This Row],[Std charging remaining (%)]]*Table2[[#This Row],[Std gross EOL refrigerant leakage %]]</f>
        <v>#N/A</v>
      </c>
      <c r="AD38" s="163" t="e">
        <f>Table2[[#This Row],[Msr charging remaining (%)]]*Table2[[#This Row],[Msr gross EOL refrigerant leakage %]]</f>
        <v>#N/A</v>
      </c>
      <c r="AE38" s="164" t="e" cm="1">
        <f t="array" ref="AE38">INDEX(_xlfn.SWITCH($B$4,"20-yr",GWP_Values_20_year_AR4,"100-yr",GWP_Values_100_year_AR4),MATCH(Table2[[#This Row],[Pre Refrigerant Type]],RefrigDropdownList,0))</f>
        <v>#N/A</v>
      </c>
      <c r="AF38" s="164" t="e" cm="1">
        <f t="array" ref="AF38">INDEX(_xlfn.SWITCH($B$4,"20-yr",GWP_Values_20_year_AR4,"100-yr",GWP_Values_100_year_AR4),MATCH(Table2[[#This Row],[Std Refrigerant Type]],RefrigDropdownList,0))</f>
        <v>#N/A</v>
      </c>
      <c r="AG38" s="164" t="e" cm="1">
        <f t="array" ref="AG38">INDEX(_xlfn.SWITCH($B$4,"20-yr",GWP_Values_20_year_AR4,"100-yr",GWP_Values_100_year_AR4),MATCH(Table2[[#This Row],[Msr Refrigerant Type]],RefrigDropdownList,0))</f>
        <v>#N/A</v>
      </c>
      <c r="AH38" s="165" t="e">
        <f>(Table2[[#This Row],[Pre Refrigerant charge (lbs) per NormUnit]]/pounds_per_metric_ton)*Table2[[#This Row],[Pre annual refrigerant leakage %]]*Table2[[#This Row],[Pre GWP]]</f>
        <v>#N/A</v>
      </c>
      <c r="AI38" s="165" t="e">
        <f>(Table2[[#This Row],[Std Refrigerant charge (lbs)per NormUnit]]/pounds_per_metric_ton)*Table2[[#This Row],[Std annual refrigerant leakage %]]*Table2[[#This Row],[Std GWP]]</f>
        <v>#N/A</v>
      </c>
      <c r="AJ38" s="165" t="e">
        <f>(Table2[[#This Row],[Msr Refrigerant charge (lbs)per NormUnit]]/pounds_per_metric_ton)*Table2[[#This Row],[Msr annual refrigerant leakage %]]*Table2[[#This Row],[Msr GWP]]</f>
        <v>#N/A</v>
      </c>
      <c r="AK38" s="165" t="e">
        <f>(Table2[[#This Row],[Pre Refrigerant charge (lbs) per NormUnit]]/pounds_per_metric_ton)*Table2[[#This Row],[Pre net EOL refrigerant leakage (%)]]*Table2[[#This Row],[Pre GWP]]</f>
        <v>#N/A</v>
      </c>
      <c r="AL38" s="165" t="e">
        <f>(Table2[[#This Row],[Std Refrigerant charge (lbs)per NormUnit]]/pounds_per_metric_ton)*Table2[[#This Row],[Std net EOL refrigerant leakage (%)]]*Table2[[#This Row],[Std GWP]]</f>
        <v>#N/A</v>
      </c>
      <c r="AM38" s="165" t="e">
        <f>(Table2[[#This Row],[Msr Refrigerant charge (lbs)per NormUnit]]/pounds_per_metric_ton)*Table2[[#This Row],[Msr net EOL refrigerant leakage (%)]]*Table2[[#This Row],[Msr GWP]]</f>
        <v>#N/A</v>
      </c>
      <c r="AN38" s="174" cm="1">
        <f t="array" aca="1" ref="AN38" ca="1">IF(Table2[[#This Row],[MeasAppType]]="AR",Table2[[#This Row],[Pre Annual leakage tons CO2e]]*NPV(WACC,OFFSET(const_ones,0,0,1,Table2[[#This Row],[EUL]])*OFFSET(GHG_Adder_dollar_per_tonne,0,(Table2[[#This Row],[Device installation year]])-GHG_Adder_Yr1,1,Table2[[#This Row],[EUL]]))/(1+WACC)^(Table2[[#This Row],[Device installation year]]-DY),0)</f>
        <v>0</v>
      </c>
      <c r="AO38" s="174" t="e" cm="1">
        <f t="array" aca="1" ref="AO38"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38" s="174" t="e" cm="1">
        <f t="array" aca="1" ref="AP38" ca="1">Table2[[#This Row],[Msr Annual leakage tons CO2e]]*NPV(WACC,OFFSET(const_ones,0,0,1,Table2[[#This Row],[EUL]])*OFFSET(GHG_Adder_dollar_per_tonne,0,((Table2[[#This Row],[Device installation year]])-GHG_Adder_Yr1),1,Table2[[#This Row],[EUL]]))/(1+WACC)^(Table2[[#This Row],[Device installation year]]-DY)</f>
        <v>#N/A</v>
      </c>
      <c r="AQ38" s="260" cm="1">
        <f t="array" aca="1" ref="AQ38"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38" s="261" t="e" cm="1">
        <f t="array" aca="1" ref="AR38"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38" s="261" t="e" cm="1">
        <f t="array" aca="1" ref="AS38" ca="1">Table2[[#This Row],[Msr EOL leakage tons CO2e]]*NPV(WACC,OFFSET(const_repeat_after,Table2[[#This Row],[EUL]],0,1,Table2[[#This Row],[EUL]])*OFFSET(GHG_Adder_dollar_per_tonne,0,(Table2[[#This Row],[Device installation year]])-GHG_Adder_Yr1,1,Table2[[#This Row],[EUL]]))/(1+WACC)^(Table2[[#This Row],[Device installation year]]-DY)</f>
        <v>#N/A</v>
      </c>
      <c r="AT38" s="260">
        <f>0</f>
        <v>0</v>
      </c>
      <c r="AU38"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38" s="174" t="e">
        <f ca="1">Table2[[#This Row],[RefrigerantNPVCostsNet]]&gt;0</f>
        <v>#N/A</v>
      </c>
      <c r="AW38" s="174">
        <f>0</f>
        <v>0</v>
      </c>
      <c r="AX38" s="174">
        <f>0</f>
        <v>0</v>
      </c>
      <c r="AY38" s="174">
        <f>0</f>
        <v>0</v>
      </c>
      <c r="AZ38" s="174">
        <f ca="1">Table2[[#This Row],[Pre NPV Cost of Annual Leakage]]+Table2[[#This Row],[Pre NPV Cost of EOL Leakage]]</f>
        <v>0</v>
      </c>
      <c r="BA38" s="174" t="e">
        <f ca="1">Table2[[#This Row],[Std NPV Cost of Annual Leakage]]+Table2[[#This Row],[Std NPV Cost of EOL Leakage]]</f>
        <v>#N/A</v>
      </c>
      <c r="BB38" s="174" t="e">
        <f ca="1">Table2[[#This Row],[AR immediate NPV cost of leakage]]+Table2[[#This Row],[Msr NPV Cost of Annual Leakage]]+Table2[[#This Row],[Msr NPV Cost of EOL Leakage]]</f>
        <v>#N/A</v>
      </c>
      <c r="BC38" s="273" t="e">
        <f ca="1">IF(Table2[[#This Row],[Is Net Cost?]],Table2[[#This Row],[RefrigerantNPVCostsNet]],0)</f>
        <v>#N/A</v>
      </c>
      <c r="BD38" s="174" t="e">
        <f ca="1">IF(Table2[[#This Row],[Is Net Cost?]],0,-Table2[[#This Row],[RefrigerantNPVCostsNet]])</f>
        <v>#N/A</v>
      </c>
    </row>
    <row r="39" spans="1:56" x14ac:dyDescent="0.3">
      <c r="A39" s="173">
        <f t="shared" si="1"/>
        <v>2022</v>
      </c>
      <c r="B39" s="268"/>
      <c r="C39" s="212"/>
      <c r="D39" s="212"/>
      <c r="E39" s="216" t="str">
        <f>IF(Table2[[#This Row],[MeasAppType]]="NR","N/A","N/A")</f>
        <v>N/A</v>
      </c>
      <c r="F39" s="272"/>
      <c r="G39" s="218"/>
      <c r="H39" s="218"/>
      <c r="I39" s="218"/>
      <c r="J39" s="173" t="e">
        <f>INDEX(Table3[CommonRefrigerantType],MATCH(Table2[[#This Row],[Pre tech lookup (not required for "NR" measure application types)]],DropdownRefrigTech,0))</f>
        <v>#N/A</v>
      </c>
      <c r="K39" s="173" t="e">
        <f>INDEX(Table3[CommonRefrigerantType],MATCH(Table2[[#This Row],[Std tech lookup (not required for "AR" measure application types)]],DropdownRefrigTech,0))</f>
        <v>#N/A</v>
      </c>
      <c r="L39" s="173" t="e">
        <f>INDEX(Table3[CommonRefrigerantType],MATCH(Table2[[#This Row],[Msr tech lookup]],DropdownRefrigTech,0))</f>
        <v>#N/A</v>
      </c>
      <c r="M39" s="134" t="e">
        <f>INDEX(Table3[RefrigChargePoundsPerNormUnit],MATCH(Table2[[#This Row],[Pre tech lookup (not required for "NR" measure application types)]],DropdownRefrigTech,0))</f>
        <v>#N/A</v>
      </c>
      <c r="N39" s="134" t="e">
        <f>INDEX(Table3[RefrigChargePoundsPerNormUnit],MATCH(Table2[[#This Row],[Std tech lookup (not required for "AR" measure application types)]],DropdownRefrigTech,0))</f>
        <v>#N/A</v>
      </c>
      <c r="O39" s="149" t="e">
        <f>INDEX(Table3[RefrigChargePoundsPerNormUnit],MATCH(Table2[[#This Row],[Msr tech lookup]],DropdownRefrigTech,0))</f>
        <v>#N/A</v>
      </c>
      <c r="P39" s="163" t="e">
        <f>INDEX(Table3[AnnualLeakageRate],MATCH(Table2[[#This Row],[Pre tech lookup (not required for "NR" measure application types)]],DropdownRefrigTech,0))</f>
        <v>#N/A</v>
      </c>
      <c r="Q39" s="163" t="e">
        <f>INDEX(Table3[AnnualLeakageRate],MATCH(Table2[[#This Row],[Std tech lookup (not required for "AR" measure application types)]],DropdownRefrigTech,0))</f>
        <v>#N/A</v>
      </c>
      <c r="R39" s="163" t="e">
        <f>INDEX(Table3[AnnualLeakageRate],MATCH(Table2[[#This Row],[Msr tech lookup]],DropdownRefrigTech,0))</f>
        <v>#N/A</v>
      </c>
      <c r="S39" s="164" t="e">
        <f>INDEX(Table3[t_EOL],MATCH(Table2[[#This Row],[Pre tech lookup (not required for "NR" measure application types)]],DropdownRefrigTech,0))</f>
        <v>#N/A</v>
      </c>
      <c r="T39" s="164" t="e">
        <f>INDEX(Table3[t_EOL],MATCH(Table2[[#This Row],[Std tech lookup (not required for "AR" measure application types)]],DropdownRefrigTech,0))</f>
        <v>#N/A</v>
      </c>
      <c r="U39" s="164" t="e">
        <f>INDEX(Table3[t_EOL],MATCH(Table2[[#This Row],[Msr tech lookup]],DropdownRefrigTech,0))</f>
        <v>#N/A</v>
      </c>
      <c r="V39" s="163" t="e">
        <f>1-Table2[[#This Row],[Pre annual refrigerant leakage %]]*Table2[[#This Row],[Pre t_EOL]]</f>
        <v>#N/A</v>
      </c>
      <c r="W39" s="163" t="e">
        <f>1-Table2[[#This Row],[Std annual refrigerant leakage %]]*Table2[[#This Row],[Std t_EOL]]</f>
        <v>#N/A</v>
      </c>
      <c r="X39" s="163" t="e">
        <f>1-Table2[[#This Row],[Msr annual refrigerant leakage %]]*Table2[[#This Row],[Msr t_EOL]]</f>
        <v>#N/A</v>
      </c>
      <c r="Y39" s="163" t="e">
        <f>INDEX(Table3[q_EOL],MATCH(Table2[[#This Row],[Pre tech lookup (not required for "NR" measure application types)]],DropdownRefrigTech,0))</f>
        <v>#N/A</v>
      </c>
      <c r="Z39" s="163" t="e">
        <f>INDEX(Table3[q_EOL],MATCH(Table2[[#This Row],[Std tech lookup (not required for "AR" measure application types)]],DropdownRefrigTech,0))</f>
        <v>#N/A</v>
      </c>
      <c r="AA39" s="163" t="e">
        <f>INDEX(Table3[q_EOL],MATCH(Table2[[#This Row],[Msr tech lookup]],DropdownRefrigTech,0))</f>
        <v>#N/A</v>
      </c>
      <c r="AB39" s="163" t="e">
        <f>Table2[[#This Row],[Pre charging remaining (%)]]*Table2[[#This Row],[Pre gross EOL refrigerant leakage %]]</f>
        <v>#N/A</v>
      </c>
      <c r="AC39" s="163" t="e">
        <f>Table2[[#This Row],[Std charging remaining (%)]]*Table2[[#This Row],[Std gross EOL refrigerant leakage %]]</f>
        <v>#N/A</v>
      </c>
      <c r="AD39" s="163" t="e">
        <f>Table2[[#This Row],[Msr charging remaining (%)]]*Table2[[#This Row],[Msr gross EOL refrigerant leakage %]]</f>
        <v>#N/A</v>
      </c>
      <c r="AE39" s="164" t="e" cm="1">
        <f t="array" ref="AE39">INDEX(_xlfn.SWITCH($B$4,"20-yr",GWP_Values_20_year_AR4,"100-yr",GWP_Values_100_year_AR4),MATCH(Table2[[#This Row],[Pre Refrigerant Type]],RefrigDropdownList,0))</f>
        <v>#N/A</v>
      </c>
      <c r="AF39" s="164" t="e" cm="1">
        <f t="array" ref="AF39">INDEX(_xlfn.SWITCH($B$4,"20-yr",GWP_Values_20_year_AR4,"100-yr",GWP_Values_100_year_AR4),MATCH(Table2[[#This Row],[Std Refrigerant Type]],RefrigDropdownList,0))</f>
        <v>#N/A</v>
      </c>
      <c r="AG39" s="164" t="e" cm="1">
        <f t="array" ref="AG39">INDEX(_xlfn.SWITCH($B$4,"20-yr",GWP_Values_20_year_AR4,"100-yr",GWP_Values_100_year_AR4),MATCH(Table2[[#This Row],[Msr Refrigerant Type]],RefrigDropdownList,0))</f>
        <v>#N/A</v>
      </c>
      <c r="AH39" s="165" t="e">
        <f>(Table2[[#This Row],[Pre Refrigerant charge (lbs) per NormUnit]]/pounds_per_metric_ton)*Table2[[#This Row],[Pre annual refrigerant leakage %]]*Table2[[#This Row],[Pre GWP]]</f>
        <v>#N/A</v>
      </c>
      <c r="AI39" s="165" t="e">
        <f>(Table2[[#This Row],[Std Refrigerant charge (lbs)per NormUnit]]/pounds_per_metric_ton)*Table2[[#This Row],[Std annual refrigerant leakage %]]*Table2[[#This Row],[Std GWP]]</f>
        <v>#N/A</v>
      </c>
      <c r="AJ39" s="165" t="e">
        <f>(Table2[[#This Row],[Msr Refrigerant charge (lbs)per NormUnit]]/pounds_per_metric_ton)*Table2[[#This Row],[Msr annual refrigerant leakage %]]*Table2[[#This Row],[Msr GWP]]</f>
        <v>#N/A</v>
      </c>
      <c r="AK39" s="165" t="e">
        <f>(Table2[[#This Row],[Pre Refrigerant charge (lbs) per NormUnit]]/pounds_per_metric_ton)*Table2[[#This Row],[Pre net EOL refrigerant leakage (%)]]*Table2[[#This Row],[Pre GWP]]</f>
        <v>#N/A</v>
      </c>
      <c r="AL39" s="165" t="e">
        <f>(Table2[[#This Row],[Std Refrigerant charge (lbs)per NormUnit]]/pounds_per_metric_ton)*Table2[[#This Row],[Std net EOL refrigerant leakage (%)]]*Table2[[#This Row],[Std GWP]]</f>
        <v>#N/A</v>
      </c>
      <c r="AM39" s="165" t="e">
        <f>(Table2[[#This Row],[Msr Refrigerant charge (lbs)per NormUnit]]/pounds_per_metric_ton)*Table2[[#This Row],[Msr net EOL refrigerant leakage (%)]]*Table2[[#This Row],[Msr GWP]]</f>
        <v>#N/A</v>
      </c>
      <c r="AN39" s="174" cm="1">
        <f t="array" aca="1" ref="AN39" ca="1">IF(Table2[[#This Row],[MeasAppType]]="AR",Table2[[#This Row],[Pre Annual leakage tons CO2e]]*NPV(WACC,OFFSET(const_ones,0,0,1,Table2[[#This Row],[EUL]])*OFFSET(GHG_Adder_dollar_per_tonne,0,(Table2[[#This Row],[Device installation year]])-GHG_Adder_Yr1,1,Table2[[#This Row],[EUL]]))/(1+WACC)^(Table2[[#This Row],[Device installation year]]-DY),0)</f>
        <v>0</v>
      </c>
      <c r="AO39" s="174" t="e" cm="1">
        <f t="array" aca="1" ref="AO39"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39" s="174" t="e" cm="1">
        <f t="array" aca="1" ref="AP39" ca="1">Table2[[#This Row],[Msr Annual leakage tons CO2e]]*NPV(WACC,OFFSET(const_ones,0,0,1,Table2[[#This Row],[EUL]])*OFFSET(GHG_Adder_dollar_per_tonne,0,((Table2[[#This Row],[Device installation year]])-GHG_Adder_Yr1),1,Table2[[#This Row],[EUL]]))/(1+WACC)^(Table2[[#This Row],[Device installation year]]-DY)</f>
        <v>#N/A</v>
      </c>
      <c r="AQ39" s="260" cm="1">
        <f t="array" aca="1" ref="AQ39"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39" s="261" t="e" cm="1">
        <f t="array" aca="1" ref="AR39"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39" s="261" t="e" cm="1">
        <f t="array" aca="1" ref="AS39" ca="1">Table2[[#This Row],[Msr EOL leakage tons CO2e]]*NPV(WACC,OFFSET(const_repeat_after,Table2[[#This Row],[EUL]],0,1,Table2[[#This Row],[EUL]])*OFFSET(GHG_Adder_dollar_per_tonne,0,(Table2[[#This Row],[Device installation year]])-GHG_Adder_Yr1,1,Table2[[#This Row],[EUL]]))/(1+WACC)^(Table2[[#This Row],[Device installation year]]-DY)</f>
        <v>#N/A</v>
      </c>
      <c r="AT39" s="260">
        <f>0</f>
        <v>0</v>
      </c>
      <c r="AU39"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39" s="174" t="e">
        <f ca="1">Table2[[#This Row],[RefrigerantNPVCostsNet]]&gt;0</f>
        <v>#N/A</v>
      </c>
      <c r="AW39" s="174">
        <f>0</f>
        <v>0</v>
      </c>
      <c r="AX39" s="174">
        <f>0</f>
        <v>0</v>
      </c>
      <c r="AY39" s="174">
        <f>0</f>
        <v>0</v>
      </c>
      <c r="AZ39" s="174">
        <f ca="1">Table2[[#This Row],[Pre NPV Cost of Annual Leakage]]+Table2[[#This Row],[Pre NPV Cost of EOL Leakage]]</f>
        <v>0</v>
      </c>
      <c r="BA39" s="174" t="e">
        <f ca="1">Table2[[#This Row],[Std NPV Cost of Annual Leakage]]+Table2[[#This Row],[Std NPV Cost of EOL Leakage]]</f>
        <v>#N/A</v>
      </c>
      <c r="BB39" s="174" t="e">
        <f ca="1">Table2[[#This Row],[AR immediate NPV cost of leakage]]+Table2[[#This Row],[Msr NPV Cost of Annual Leakage]]+Table2[[#This Row],[Msr NPV Cost of EOL Leakage]]</f>
        <v>#N/A</v>
      </c>
      <c r="BC39" s="273" t="e">
        <f ca="1">IF(Table2[[#This Row],[Is Net Cost?]],Table2[[#This Row],[RefrigerantNPVCostsNet]],0)</f>
        <v>#N/A</v>
      </c>
      <c r="BD39" s="174" t="e">
        <f ca="1">IF(Table2[[#This Row],[Is Net Cost?]],0,-Table2[[#This Row],[RefrigerantNPVCostsNet]])</f>
        <v>#N/A</v>
      </c>
    </row>
    <row r="40" spans="1:56" x14ac:dyDescent="0.3">
      <c r="A40" s="173">
        <f t="shared" si="1"/>
        <v>2022</v>
      </c>
      <c r="B40" s="268"/>
      <c r="C40" s="212"/>
      <c r="D40" s="212"/>
      <c r="E40" s="216" t="str">
        <f>IF(Table2[[#This Row],[MeasAppType]]="NR","N/A","N/A")</f>
        <v>N/A</v>
      </c>
      <c r="F40" s="272"/>
      <c r="G40" s="218"/>
      <c r="H40" s="218"/>
      <c r="I40" s="218"/>
      <c r="J40" s="173" t="e">
        <f>INDEX(Table3[CommonRefrigerantType],MATCH(Table2[[#This Row],[Pre tech lookup (not required for "NR" measure application types)]],DropdownRefrigTech,0))</f>
        <v>#N/A</v>
      </c>
      <c r="K40" s="173" t="e">
        <f>INDEX(Table3[CommonRefrigerantType],MATCH(Table2[[#This Row],[Std tech lookup (not required for "AR" measure application types)]],DropdownRefrigTech,0))</f>
        <v>#N/A</v>
      </c>
      <c r="L40" s="173" t="e">
        <f>INDEX(Table3[CommonRefrigerantType],MATCH(Table2[[#This Row],[Msr tech lookup]],DropdownRefrigTech,0))</f>
        <v>#N/A</v>
      </c>
      <c r="M40" s="134" t="e">
        <f>INDEX(Table3[RefrigChargePoundsPerNormUnit],MATCH(Table2[[#This Row],[Pre tech lookup (not required for "NR" measure application types)]],DropdownRefrigTech,0))</f>
        <v>#N/A</v>
      </c>
      <c r="N40" s="134" t="e">
        <f>INDEX(Table3[RefrigChargePoundsPerNormUnit],MATCH(Table2[[#This Row],[Std tech lookup (not required for "AR" measure application types)]],DropdownRefrigTech,0))</f>
        <v>#N/A</v>
      </c>
      <c r="O40" s="149" t="e">
        <f>INDEX(Table3[RefrigChargePoundsPerNormUnit],MATCH(Table2[[#This Row],[Msr tech lookup]],DropdownRefrigTech,0))</f>
        <v>#N/A</v>
      </c>
      <c r="P40" s="163" t="e">
        <f>INDEX(Table3[AnnualLeakageRate],MATCH(Table2[[#This Row],[Pre tech lookup (not required for "NR" measure application types)]],DropdownRefrigTech,0))</f>
        <v>#N/A</v>
      </c>
      <c r="Q40" s="163" t="e">
        <f>INDEX(Table3[AnnualLeakageRate],MATCH(Table2[[#This Row],[Std tech lookup (not required for "AR" measure application types)]],DropdownRefrigTech,0))</f>
        <v>#N/A</v>
      </c>
      <c r="R40" s="163" t="e">
        <f>INDEX(Table3[AnnualLeakageRate],MATCH(Table2[[#This Row],[Msr tech lookup]],DropdownRefrigTech,0))</f>
        <v>#N/A</v>
      </c>
      <c r="S40" s="164" t="e">
        <f>INDEX(Table3[t_EOL],MATCH(Table2[[#This Row],[Pre tech lookup (not required for "NR" measure application types)]],DropdownRefrigTech,0))</f>
        <v>#N/A</v>
      </c>
      <c r="T40" s="164" t="e">
        <f>INDEX(Table3[t_EOL],MATCH(Table2[[#This Row],[Std tech lookup (not required for "AR" measure application types)]],DropdownRefrigTech,0))</f>
        <v>#N/A</v>
      </c>
      <c r="U40" s="164" t="e">
        <f>INDEX(Table3[t_EOL],MATCH(Table2[[#This Row],[Msr tech lookup]],DropdownRefrigTech,0))</f>
        <v>#N/A</v>
      </c>
      <c r="V40" s="163" t="e">
        <f>1-Table2[[#This Row],[Pre annual refrigerant leakage %]]*Table2[[#This Row],[Pre t_EOL]]</f>
        <v>#N/A</v>
      </c>
      <c r="W40" s="163" t="e">
        <f>1-Table2[[#This Row],[Std annual refrigerant leakage %]]*Table2[[#This Row],[Std t_EOL]]</f>
        <v>#N/A</v>
      </c>
      <c r="X40" s="163" t="e">
        <f>1-Table2[[#This Row],[Msr annual refrigerant leakage %]]*Table2[[#This Row],[Msr t_EOL]]</f>
        <v>#N/A</v>
      </c>
      <c r="Y40" s="163" t="e">
        <f>INDEX(Table3[q_EOL],MATCH(Table2[[#This Row],[Pre tech lookup (not required for "NR" measure application types)]],DropdownRefrigTech,0))</f>
        <v>#N/A</v>
      </c>
      <c r="Z40" s="163" t="e">
        <f>INDEX(Table3[q_EOL],MATCH(Table2[[#This Row],[Std tech lookup (not required for "AR" measure application types)]],DropdownRefrigTech,0))</f>
        <v>#N/A</v>
      </c>
      <c r="AA40" s="163" t="e">
        <f>INDEX(Table3[q_EOL],MATCH(Table2[[#This Row],[Msr tech lookup]],DropdownRefrigTech,0))</f>
        <v>#N/A</v>
      </c>
      <c r="AB40" s="163" t="e">
        <f>Table2[[#This Row],[Pre charging remaining (%)]]*Table2[[#This Row],[Pre gross EOL refrigerant leakage %]]</f>
        <v>#N/A</v>
      </c>
      <c r="AC40" s="163" t="e">
        <f>Table2[[#This Row],[Std charging remaining (%)]]*Table2[[#This Row],[Std gross EOL refrigerant leakage %]]</f>
        <v>#N/A</v>
      </c>
      <c r="AD40" s="163" t="e">
        <f>Table2[[#This Row],[Msr charging remaining (%)]]*Table2[[#This Row],[Msr gross EOL refrigerant leakage %]]</f>
        <v>#N/A</v>
      </c>
      <c r="AE40" s="164" t="e" cm="1">
        <f t="array" ref="AE40">INDEX(_xlfn.SWITCH($B$4,"20-yr",GWP_Values_20_year_AR4,"100-yr",GWP_Values_100_year_AR4),MATCH(Table2[[#This Row],[Pre Refrigerant Type]],RefrigDropdownList,0))</f>
        <v>#N/A</v>
      </c>
      <c r="AF40" s="164" t="e" cm="1">
        <f t="array" ref="AF40">INDEX(_xlfn.SWITCH($B$4,"20-yr",GWP_Values_20_year_AR4,"100-yr",GWP_Values_100_year_AR4),MATCH(Table2[[#This Row],[Std Refrigerant Type]],RefrigDropdownList,0))</f>
        <v>#N/A</v>
      </c>
      <c r="AG40" s="164" t="e" cm="1">
        <f t="array" ref="AG40">INDEX(_xlfn.SWITCH($B$4,"20-yr",GWP_Values_20_year_AR4,"100-yr",GWP_Values_100_year_AR4),MATCH(Table2[[#This Row],[Msr Refrigerant Type]],RefrigDropdownList,0))</f>
        <v>#N/A</v>
      </c>
      <c r="AH40" s="165" t="e">
        <f>(Table2[[#This Row],[Pre Refrigerant charge (lbs) per NormUnit]]/pounds_per_metric_ton)*Table2[[#This Row],[Pre annual refrigerant leakage %]]*Table2[[#This Row],[Pre GWP]]</f>
        <v>#N/A</v>
      </c>
      <c r="AI40" s="165" t="e">
        <f>(Table2[[#This Row],[Std Refrigerant charge (lbs)per NormUnit]]/pounds_per_metric_ton)*Table2[[#This Row],[Std annual refrigerant leakage %]]*Table2[[#This Row],[Std GWP]]</f>
        <v>#N/A</v>
      </c>
      <c r="AJ40" s="165" t="e">
        <f>(Table2[[#This Row],[Msr Refrigerant charge (lbs)per NormUnit]]/pounds_per_metric_ton)*Table2[[#This Row],[Msr annual refrigerant leakage %]]*Table2[[#This Row],[Msr GWP]]</f>
        <v>#N/A</v>
      </c>
      <c r="AK40" s="165" t="e">
        <f>(Table2[[#This Row],[Pre Refrigerant charge (lbs) per NormUnit]]/pounds_per_metric_ton)*Table2[[#This Row],[Pre net EOL refrigerant leakage (%)]]*Table2[[#This Row],[Pre GWP]]</f>
        <v>#N/A</v>
      </c>
      <c r="AL40" s="165" t="e">
        <f>(Table2[[#This Row],[Std Refrigerant charge (lbs)per NormUnit]]/pounds_per_metric_ton)*Table2[[#This Row],[Std net EOL refrigerant leakage (%)]]*Table2[[#This Row],[Std GWP]]</f>
        <v>#N/A</v>
      </c>
      <c r="AM40" s="165" t="e">
        <f>(Table2[[#This Row],[Msr Refrigerant charge (lbs)per NormUnit]]/pounds_per_metric_ton)*Table2[[#This Row],[Msr net EOL refrigerant leakage (%)]]*Table2[[#This Row],[Msr GWP]]</f>
        <v>#N/A</v>
      </c>
      <c r="AN40" s="174" cm="1">
        <f t="array" aca="1" ref="AN40" ca="1">IF(Table2[[#This Row],[MeasAppType]]="AR",Table2[[#This Row],[Pre Annual leakage tons CO2e]]*NPV(WACC,OFFSET(const_ones,0,0,1,Table2[[#This Row],[EUL]])*OFFSET(GHG_Adder_dollar_per_tonne,0,(Table2[[#This Row],[Device installation year]])-GHG_Adder_Yr1,1,Table2[[#This Row],[EUL]]))/(1+WACC)^(Table2[[#This Row],[Device installation year]]-DY),0)</f>
        <v>0</v>
      </c>
      <c r="AO40" s="174" t="e" cm="1">
        <f t="array" aca="1" ref="AO40"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40" s="174" t="e" cm="1">
        <f t="array" aca="1" ref="AP40" ca="1">Table2[[#This Row],[Msr Annual leakage tons CO2e]]*NPV(WACC,OFFSET(const_ones,0,0,1,Table2[[#This Row],[EUL]])*OFFSET(GHG_Adder_dollar_per_tonne,0,((Table2[[#This Row],[Device installation year]])-GHG_Adder_Yr1),1,Table2[[#This Row],[EUL]]))/(1+WACC)^(Table2[[#This Row],[Device installation year]]-DY)</f>
        <v>#N/A</v>
      </c>
      <c r="AQ40" s="260" cm="1">
        <f t="array" aca="1" ref="AQ40"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40" s="261" t="e" cm="1">
        <f t="array" aca="1" ref="AR40"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40" s="261" t="e" cm="1">
        <f t="array" aca="1" ref="AS40" ca="1">Table2[[#This Row],[Msr EOL leakage tons CO2e]]*NPV(WACC,OFFSET(const_repeat_after,Table2[[#This Row],[EUL]],0,1,Table2[[#This Row],[EUL]])*OFFSET(GHG_Adder_dollar_per_tonne,0,(Table2[[#This Row],[Device installation year]])-GHG_Adder_Yr1,1,Table2[[#This Row],[EUL]]))/(1+WACC)^(Table2[[#This Row],[Device installation year]]-DY)</f>
        <v>#N/A</v>
      </c>
      <c r="AT40" s="260">
        <f>0</f>
        <v>0</v>
      </c>
      <c r="AU40"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40" s="174" t="e">
        <f ca="1">Table2[[#This Row],[RefrigerantNPVCostsNet]]&gt;0</f>
        <v>#N/A</v>
      </c>
      <c r="AW40" s="174">
        <f>0</f>
        <v>0</v>
      </c>
      <c r="AX40" s="174">
        <f>0</f>
        <v>0</v>
      </c>
      <c r="AY40" s="174">
        <f>0</f>
        <v>0</v>
      </c>
      <c r="AZ40" s="174">
        <f ca="1">Table2[[#This Row],[Pre NPV Cost of Annual Leakage]]+Table2[[#This Row],[Pre NPV Cost of EOL Leakage]]</f>
        <v>0</v>
      </c>
      <c r="BA40" s="174" t="e">
        <f ca="1">Table2[[#This Row],[Std NPV Cost of Annual Leakage]]+Table2[[#This Row],[Std NPV Cost of EOL Leakage]]</f>
        <v>#N/A</v>
      </c>
      <c r="BB40" s="174" t="e">
        <f ca="1">Table2[[#This Row],[AR immediate NPV cost of leakage]]+Table2[[#This Row],[Msr NPV Cost of Annual Leakage]]+Table2[[#This Row],[Msr NPV Cost of EOL Leakage]]</f>
        <v>#N/A</v>
      </c>
      <c r="BC40" s="273" t="e">
        <f ca="1">IF(Table2[[#This Row],[Is Net Cost?]],Table2[[#This Row],[RefrigerantNPVCostsNet]],0)</f>
        <v>#N/A</v>
      </c>
      <c r="BD40" s="174" t="e">
        <f ca="1">IF(Table2[[#This Row],[Is Net Cost?]],0,-Table2[[#This Row],[RefrigerantNPVCostsNet]])</f>
        <v>#N/A</v>
      </c>
    </row>
    <row r="41" spans="1:56" x14ac:dyDescent="0.3">
      <c r="A41" s="173">
        <f t="shared" si="1"/>
        <v>2022</v>
      </c>
      <c r="B41" s="268"/>
      <c r="C41" s="212"/>
      <c r="D41" s="212"/>
      <c r="E41" s="216" t="str">
        <f>IF(Table2[[#This Row],[MeasAppType]]="NR","N/A","N/A")</f>
        <v>N/A</v>
      </c>
      <c r="F41" s="272"/>
      <c r="G41" s="218"/>
      <c r="H41" s="218"/>
      <c r="I41" s="218"/>
      <c r="J41" s="173" t="e">
        <f>INDEX(Table3[CommonRefrigerantType],MATCH(Table2[[#This Row],[Pre tech lookup (not required for "NR" measure application types)]],DropdownRefrigTech,0))</f>
        <v>#N/A</v>
      </c>
      <c r="K41" s="173" t="e">
        <f>INDEX(Table3[CommonRefrigerantType],MATCH(Table2[[#This Row],[Std tech lookup (not required for "AR" measure application types)]],DropdownRefrigTech,0))</f>
        <v>#N/A</v>
      </c>
      <c r="L41" s="173" t="e">
        <f>INDEX(Table3[CommonRefrigerantType],MATCH(Table2[[#This Row],[Msr tech lookup]],DropdownRefrigTech,0))</f>
        <v>#N/A</v>
      </c>
      <c r="M41" s="134" t="e">
        <f>INDEX(Table3[RefrigChargePoundsPerNormUnit],MATCH(Table2[[#This Row],[Pre tech lookup (not required for "NR" measure application types)]],DropdownRefrigTech,0))</f>
        <v>#N/A</v>
      </c>
      <c r="N41" s="134" t="e">
        <f>INDEX(Table3[RefrigChargePoundsPerNormUnit],MATCH(Table2[[#This Row],[Std tech lookup (not required for "AR" measure application types)]],DropdownRefrigTech,0))</f>
        <v>#N/A</v>
      </c>
      <c r="O41" s="149" t="e">
        <f>INDEX(Table3[RefrigChargePoundsPerNormUnit],MATCH(Table2[[#This Row],[Msr tech lookup]],DropdownRefrigTech,0))</f>
        <v>#N/A</v>
      </c>
      <c r="P41" s="163" t="e">
        <f>INDEX(Table3[AnnualLeakageRate],MATCH(Table2[[#This Row],[Pre tech lookup (not required for "NR" measure application types)]],DropdownRefrigTech,0))</f>
        <v>#N/A</v>
      </c>
      <c r="Q41" s="163" t="e">
        <f>INDEX(Table3[AnnualLeakageRate],MATCH(Table2[[#This Row],[Std tech lookup (not required for "AR" measure application types)]],DropdownRefrigTech,0))</f>
        <v>#N/A</v>
      </c>
      <c r="R41" s="163" t="e">
        <f>INDEX(Table3[AnnualLeakageRate],MATCH(Table2[[#This Row],[Msr tech lookup]],DropdownRefrigTech,0))</f>
        <v>#N/A</v>
      </c>
      <c r="S41" s="164" t="e">
        <f>INDEX(Table3[t_EOL],MATCH(Table2[[#This Row],[Pre tech lookup (not required for "NR" measure application types)]],DropdownRefrigTech,0))</f>
        <v>#N/A</v>
      </c>
      <c r="T41" s="164" t="e">
        <f>INDEX(Table3[t_EOL],MATCH(Table2[[#This Row],[Std tech lookup (not required for "AR" measure application types)]],DropdownRefrigTech,0))</f>
        <v>#N/A</v>
      </c>
      <c r="U41" s="164" t="e">
        <f>INDEX(Table3[t_EOL],MATCH(Table2[[#This Row],[Msr tech lookup]],DropdownRefrigTech,0))</f>
        <v>#N/A</v>
      </c>
      <c r="V41" s="163" t="e">
        <f>1-Table2[[#This Row],[Pre annual refrigerant leakage %]]*Table2[[#This Row],[Pre t_EOL]]</f>
        <v>#N/A</v>
      </c>
      <c r="W41" s="163" t="e">
        <f>1-Table2[[#This Row],[Std annual refrigerant leakage %]]*Table2[[#This Row],[Std t_EOL]]</f>
        <v>#N/A</v>
      </c>
      <c r="X41" s="163" t="e">
        <f>1-Table2[[#This Row],[Msr annual refrigerant leakage %]]*Table2[[#This Row],[Msr t_EOL]]</f>
        <v>#N/A</v>
      </c>
      <c r="Y41" s="163" t="e">
        <f>INDEX(Table3[q_EOL],MATCH(Table2[[#This Row],[Pre tech lookup (not required for "NR" measure application types)]],DropdownRefrigTech,0))</f>
        <v>#N/A</v>
      </c>
      <c r="Z41" s="163" t="e">
        <f>INDEX(Table3[q_EOL],MATCH(Table2[[#This Row],[Std tech lookup (not required for "AR" measure application types)]],DropdownRefrigTech,0))</f>
        <v>#N/A</v>
      </c>
      <c r="AA41" s="163" t="e">
        <f>INDEX(Table3[q_EOL],MATCH(Table2[[#This Row],[Msr tech lookup]],DropdownRefrigTech,0))</f>
        <v>#N/A</v>
      </c>
      <c r="AB41" s="163" t="e">
        <f>Table2[[#This Row],[Pre charging remaining (%)]]*Table2[[#This Row],[Pre gross EOL refrigerant leakage %]]</f>
        <v>#N/A</v>
      </c>
      <c r="AC41" s="163" t="e">
        <f>Table2[[#This Row],[Std charging remaining (%)]]*Table2[[#This Row],[Std gross EOL refrigerant leakage %]]</f>
        <v>#N/A</v>
      </c>
      <c r="AD41" s="163" t="e">
        <f>Table2[[#This Row],[Msr charging remaining (%)]]*Table2[[#This Row],[Msr gross EOL refrigerant leakage %]]</f>
        <v>#N/A</v>
      </c>
      <c r="AE41" s="164" t="e" cm="1">
        <f t="array" ref="AE41">INDEX(_xlfn.SWITCH($B$4,"20-yr",GWP_Values_20_year_AR4,"100-yr",GWP_Values_100_year_AR4),MATCH(Table2[[#This Row],[Pre Refrigerant Type]],RefrigDropdownList,0))</f>
        <v>#N/A</v>
      </c>
      <c r="AF41" s="164" t="e" cm="1">
        <f t="array" ref="AF41">INDEX(_xlfn.SWITCH($B$4,"20-yr",GWP_Values_20_year_AR4,"100-yr",GWP_Values_100_year_AR4),MATCH(Table2[[#This Row],[Std Refrigerant Type]],RefrigDropdownList,0))</f>
        <v>#N/A</v>
      </c>
      <c r="AG41" s="164" t="e" cm="1">
        <f t="array" ref="AG41">INDEX(_xlfn.SWITCH($B$4,"20-yr",GWP_Values_20_year_AR4,"100-yr",GWP_Values_100_year_AR4),MATCH(Table2[[#This Row],[Msr Refrigerant Type]],RefrigDropdownList,0))</f>
        <v>#N/A</v>
      </c>
      <c r="AH41" s="165" t="e">
        <f>(Table2[[#This Row],[Pre Refrigerant charge (lbs) per NormUnit]]/pounds_per_metric_ton)*Table2[[#This Row],[Pre annual refrigerant leakage %]]*Table2[[#This Row],[Pre GWP]]</f>
        <v>#N/A</v>
      </c>
      <c r="AI41" s="165" t="e">
        <f>(Table2[[#This Row],[Std Refrigerant charge (lbs)per NormUnit]]/pounds_per_metric_ton)*Table2[[#This Row],[Std annual refrigerant leakage %]]*Table2[[#This Row],[Std GWP]]</f>
        <v>#N/A</v>
      </c>
      <c r="AJ41" s="165" t="e">
        <f>(Table2[[#This Row],[Msr Refrigerant charge (lbs)per NormUnit]]/pounds_per_metric_ton)*Table2[[#This Row],[Msr annual refrigerant leakage %]]*Table2[[#This Row],[Msr GWP]]</f>
        <v>#N/A</v>
      </c>
      <c r="AK41" s="165" t="e">
        <f>(Table2[[#This Row],[Pre Refrigerant charge (lbs) per NormUnit]]/pounds_per_metric_ton)*Table2[[#This Row],[Pre net EOL refrigerant leakage (%)]]*Table2[[#This Row],[Pre GWP]]</f>
        <v>#N/A</v>
      </c>
      <c r="AL41" s="165" t="e">
        <f>(Table2[[#This Row],[Std Refrigerant charge (lbs)per NormUnit]]/pounds_per_metric_ton)*Table2[[#This Row],[Std net EOL refrigerant leakage (%)]]*Table2[[#This Row],[Std GWP]]</f>
        <v>#N/A</v>
      </c>
      <c r="AM41" s="165" t="e">
        <f>(Table2[[#This Row],[Msr Refrigerant charge (lbs)per NormUnit]]/pounds_per_metric_ton)*Table2[[#This Row],[Msr net EOL refrigerant leakage (%)]]*Table2[[#This Row],[Msr GWP]]</f>
        <v>#N/A</v>
      </c>
      <c r="AN41" s="174" cm="1">
        <f t="array" aca="1" ref="AN41" ca="1">IF(Table2[[#This Row],[MeasAppType]]="AR",Table2[[#This Row],[Pre Annual leakage tons CO2e]]*NPV(WACC,OFFSET(const_ones,0,0,1,Table2[[#This Row],[EUL]])*OFFSET(GHG_Adder_dollar_per_tonne,0,(Table2[[#This Row],[Device installation year]])-GHG_Adder_Yr1,1,Table2[[#This Row],[EUL]]))/(1+WACC)^(Table2[[#This Row],[Device installation year]]-DY),0)</f>
        <v>0</v>
      </c>
      <c r="AO41" s="174" t="e" cm="1">
        <f t="array" aca="1" ref="AO41"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41" s="174" t="e" cm="1">
        <f t="array" aca="1" ref="AP41" ca="1">Table2[[#This Row],[Msr Annual leakage tons CO2e]]*NPV(WACC,OFFSET(const_ones,0,0,1,Table2[[#This Row],[EUL]])*OFFSET(GHG_Adder_dollar_per_tonne,0,((Table2[[#This Row],[Device installation year]])-GHG_Adder_Yr1),1,Table2[[#This Row],[EUL]]))/(1+WACC)^(Table2[[#This Row],[Device installation year]]-DY)</f>
        <v>#N/A</v>
      </c>
      <c r="AQ41" s="260" cm="1">
        <f t="array" aca="1" ref="AQ41"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41" s="261" t="e" cm="1">
        <f t="array" aca="1" ref="AR41"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41" s="261" t="e" cm="1">
        <f t="array" aca="1" ref="AS41" ca="1">Table2[[#This Row],[Msr EOL leakage tons CO2e]]*NPV(WACC,OFFSET(const_repeat_after,Table2[[#This Row],[EUL]],0,1,Table2[[#This Row],[EUL]])*OFFSET(GHG_Adder_dollar_per_tonne,0,(Table2[[#This Row],[Device installation year]])-GHG_Adder_Yr1,1,Table2[[#This Row],[EUL]]))/(1+WACC)^(Table2[[#This Row],[Device installation year]]-DY)</f>
        <v>#N/A</v>
      </c>
      <c r="AT41" s="260">
        <f>0</f>
        <v>0</v>
      </c>
      <c r="AU41"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41" s="174" t="e">
        <f ca="1">Table2[[#This Row],[RefrigerantNPVCostsNet]]&gt;0</f>
        <v>#N/A</v>
      </c>
      <c r="AW41" s="174">
        <f>0</f>
        <v>0</v>
      </c>
      <c r="AX41" s="174">
        <f>0</f>
        <v>0</v>
      </c>
      <c r="AY41" s="174">
        <f>0</f>
        <v>0</v>
      </c>
      <c r="AZ41" s="174">
        <f ca="1">Table2[[#This Row],[Pre NPV Cost of Annual Leakage]]+Table2[[#This Row],[Pre NPV Cost of EOL Leakage]]</f>
        <v>0</v>
      </c>
      <c r="BA41" s="174" t="e">
        <f ca="1">Table2[[#This Row],[Std NPV Cost of Annual Leakage]]+Table2[[#This Row],[Std NPV Cost of EOL Leakage]]</f>
        <v>#N/A</v>
      </c>
      <c r="BB41" s="174" t="e">
        <f ca="1">Table2[[#This Row],[AR immediate NPV cost of leakage]]+Table2[[#This Row],[Msr NPV Cost of Annual Leakage]]+Table2[[#This Row],[Msr NPV Cost of EOL Leakage]]</f>
        <v>#N/A</v>
      </c>
      <c r="BC41" s="273" t="e">
        <f ca="1">IF(Table2[[#This Row],[Is Net Cost?]],Table2[[#This Row],[RefrigerantNPVCostsNet]],0)</f>
        <v>#N/A</v>
      </c>
      <c r="BD41" s="174" t="e">
        <f ca="1">IF(Table2[[#This Row],[Is Net Cost?]],0,-Table2[[#This Row],[RefrigerantNPVCostsNet]])</f>
        <v>#N/A</v>
      </c>
    </row>
    <row r="42" spans="1:56" x14ac:dyDescent="0.3">
      <c r="A42" s="173">
        <f t="shared" si="1"/>
        <v>2022</v>
      </c>
      <c r="B42" s="268"/>
      <c r="C42" s="212"/>
      <c r="D42" s="212"/>
      <c r="E42" s="216" t="str">
        <f>IF(Table2[[#This Row],[MeasAppType]]="NR","N/A","N/A")</f>
        <v>N/A</v>
      </c>
      <c r="F42" s="272"/>
      <c r="G42" s="218"/>
      <c r="H42" s="218"/>
      <c r="I42" s="218"/>
      <c r="J42" s="173" t="e">
        <f>INDEX(Table3[CommonRefrigerantType],MATCH(Table2[[#This Row],[Pre tech lookup (not required for "NR" measure application types)]],DropdownRefrigTech,0))</f>
        <v>#N/A</v>
      </c>
      <c r="K42" s="173" t="e">
        <f>INDEX(Table3[CommonRefrigerantType],MATCH(Table2[[#This Row],[Std tech lookup (not required for "AR" measure application types)]],DropdownRefrigTech,0))</f>
        <v>#N/A</v>
      </c>
      <c r="L42" s="173" t="e">
        <f>INDEX(Table3[CommonRefrigerantType],MATCH(Table2[[#This Row],[Msr tech lookup]],DropdownRefrigTech,0))</f>
        <v>#N/A</v>
      </c>
      <c r="M42" s="134" t="e">
        <f>INDEX(Table3[RefrigChargePoundsPerNormUnit],MATCH(Table2[[#This Row],[Pre tech lookup (not required for "NR" measure application types)]],DropdownRefrigTech,0))</f>
        <v>#N/A</v>
      </c>
      <c r="N42" s="134" t="e">
        <f>INDEX(Table3[RefrigChargePoundsPerNormUnit],MATCH(Table2[[#This Row],[Std tech lookup (not required for "AR" measure application types)]],DropdownRefrigTech,0))</f>
        <v>#N/A</v>
      </c>
      <c r="O42" s="149" t="e">
        <f>INDEX(Table3[RefrigChargePoundsPerNormUnit],MATCH(Table2[[#This Row],[Msr tech lookup]],DropdownRefrigTech,0))</f>
        <v>#N/A</v>
      </c>
      <c r="P42" s="163" t="e">
        <f>INDEX(Table3[AnnualLeakageRate],MATCH(Table2[[#This Row],[Pre tech lookup (not required for "NR" measure application types)]],DropdownRefrigTech,0))</f>
        <v>#N/A</v>
      </c>
      <c r="Q42" s="163" t="e">
        <f>INDEX(Table3[AnnualLeakageRate],MATCH(Table2[[#This Row],[Std tech lookup (not required for "AR" measure application types)]],DropdownRefrigTech,0))</f>
        <v>#N/A</v>
      </c>
      <c r="R42" s="163" t="e">
        <f>INDEX(Table3[AnnualLeakageRate],MATCH(Table2[[#This Row],[Msr tech lookup]],DropdownRefrigTech,0))</f>
        <v>#N/A</v>
      </c>
      <c r="S42" s="164" t="e">
        <f>INDEX(Table3[t_EOL],MATCH(Table2[[#This Row],[Pre tech lookup (not required for "NR" measure application types)]],DropdownRefrigTech,0))</f>
        <v>#N/A</v>
      </c>
      <c r="T42" s="164" t="e">
        <f>INDEX(Table3[t_EOL],MATCH(Table2[[#This Row],[Std tech lookup (not required for "AR" measure application types)]],DropdownRefrigTech,0))</f>
        <v>#N/A</v>
      </c>
      <c r="U42" s="164" t="e">
        <f>INDEX(Table3[t_EOL],MATCH(Table2[[#This Row],[Msr tech lookup]],DropdownRefrigTech,0))</f>
        <v>#N/A</v>
      </c>
      <c r="V42" s="163" t="e">
        <f>1-Table2[[#This Row],[Pre annual refrigerant leakage %]]*Table2[[#This Row],[Pre t_EOL]]</f>
        <v>#N/A</v>
      </c>
      <c r="W42" s="163" t="e">
        <f>1-Table2[[#This Row],[Std annual refrigerant leakage %]]*Table2[[#This Row],[Std t_EOL]]</f>
        <v>#N/A</v>
      </c>
      <c r="X42" s="163" t="e">
        <f>1-Table2[[#This Row],[Msr annual refrigerant leakage %]]*Table2[[#This Row],[Msr t_EOL]]</f>
        <v>#N/A</v>
      </c>
      <c r="Y42" s="163" t="e">
        <f>INDEX(Table3[q_EOL],MATCH(Table2[[#This Row],[Pre tech lookup (not required for "NR" measure application types)]],DropdownRefrigTech,0))</f>
        <v>#N/A</v>
      </c>
      <c r="Z42" s="163" t="e">
        <f>INDEX(Table3[q_EOL],MATCH(Table2[[#This Row],[Std tech lookup (not required for "AR" measure application types)]],DropdownRefrigTech,0))</f>
        <v>#N/A</v>
      </c>
      <c r="AA42" s="163" t="e">
        <f>INDEX(Table3[q_EOL],MATCH(Table2[[#This Row],[Msr tech lookup]],DropdownRefrigTech,0))</f>
        <v>#N/A</v>
      </c>
      <c r="AB42" s="163" t="e">
        <f>Table2[[#This Row],[Pre charging remaining (%)]]*Table2[[#This Row],[Pre gross EOL refrigerant leakage %]]</f>
        <v>#N/A</v>
      </c>
      <c r="AC42" s="163" t="e">
        <f>Table2[[#This Row],[Std charging remaining (%)]]*Table2[[#This Row],[Std gross EOL refrigerant leakage %]]</f>
        <v>#N/A</v>
      </c>
      <c r="AD42" s="163" t="e">
        <f>Table2[[#This Row],[Msr charging remaining (%)]]*Table2[[#This Row],[Msr gross EOL refrigerant leakage %]]</f>
        <v>#N/A</v>
      </c>
      <c r="AE42" s="164" t="e" cm="1">
        <f t="array" ref="AE42">INDEX(_xlfn.SWITCH($B$4,"20-yr",GWP_Values_20_year_AR4,"100-yr",GWP_Values_100_year_AR4),MATCH(Table2[[#This Row],[Pre Refrigerant Type]],RefrigDropdownList,0))</f>
        <v>#N/A</v>
      </c>
      <c r="AF42" s="164" t="e" cm="1">
        <f t="array" ref="AF42">INDEX(_xlfn.SWITCH($B$4,"20-yr",GWP_Values_20_year_AR4,"100-yr",GWP_Values_100_year_AR4),MATCH(Table2[[#This Row],[Std Refrigerant Type]],RefrigDropdownList,0))</f>
        <v>#N/A</v>
      </c>
      <c r="AG42" s="164" t="e" cm="1">
        <f t="array" ref="AG42">INDEX(_xlfn.SWITCH($B$4,"20-yr",GWP_Values_20_year_AR4,"100-yr",GWP_Values_100_year_AR4),MATCH(Table2[[#This Row],[Msr Refrigerant Type]],RefrigDropdownList,0))</f>
        <v>#N/A</v>
      </c>
      <c r="AH42" s="165" t="e">
        <f>(Table2[[#This Row],[Pre Refrigerant charge (lbs) per NormUnit]]/pounds_per_metric_ton)*Table2[[#This Row],[Pre annual refrigerant leakage %]]*Table2[[#This Row],[Pre GWP]]</f>
        <v>#N/A</v>
      </c>
      <c r="AI42" s="165" t="e">
        <f>(Table2[[#This Row],[Std Refrigerant charge (lbs)per NormUnit]]/pounds_per_metric_ton)*Table2[[#This Row],[Std annual refrigerant leakage %]]*Table2[[#This Row],[Std GWP]]</f>
        <v>#N/A</v>
      </c>
      <c r="AJ42" s="165" t="e">
        <f>(Table2[[#This Row],[Msr Refrigerant charge (lbs)per NormUnit]]/pounds_per_metric_ton)*Table2[[#This Row],[Msr annual refrigerant leakage %]]*Table2[[#This Row],[Msr GWP]]</f>
        <v>#N/A</v>
      </c>
      <c r="AK42" s="165" t="e">
        <f>(Table2[[#This Row],[Pre Refrigerant charge (lbs) per NormUnit]]/pounds_per_metric_ton)*Table2[[#This Row],[Pre net EOL refrigerant leakage (%)]]*Table2[[#This Row],[Pre GWP]]</f>
        <v>#N/A</v>
      </c>
      <c r="AL42" s="165" t="e">
        <f>(Table2[[#This Row],[Std Refrigerant charge (lbs)per NormUnit]]/pounds_per_metric_ton)*Table2[[#This Row],[Std net EOL refrigerant leakage (%)]]*Table2[[#This Row],[Std GWP]]</f>
        <v>#N/A</v>
      </c>
      <c r="AM42" s="165" t="e">
        <f>(Table2[[#This Row],[Msr Refrigerant charge (lbs)per NormUnit]]/pounds_per_metric_ton)*Table2[[#This Row],[Msr net EOL refrigerant leakage (%)]]*Table2[[#This Row],[Msr GWP]]</f>
        <v>#N/A</v>
      </c>
      <c r="AN42" s="174" cm="1">
        <f t="array" aca="1" ref="AN42" ca="1">IF(Table2[[#This Row],[MeasAppType]]="AR",Table2[[#This Row],[Pre Annual leakage tons CO2e]]*NPV(WACC,OFFSET(const_ones,0,0,1,Table2[[#This Row],[EUL]])*OFFSET(GHG_Adder_dollar_per_tonne,0,(Table2[[#This Row],[Device installation year]])-GHG_Adder_Yr1,1,Table2[[#This Row],[EUL]]))/(1+WACC)^(Table2[[#This Row],[Device installation year]]-DY),0)</f>
        <v>0</v>
      </c>
      <c r="AO42" s="174" t="e" cm="1">
        <f t="array" aca="1" ref="AO42"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42" s="174" t="e" cm="1">
        <f t="array" aca="1" ref="AP42" ca="1">Table2[[#This Row],[Msr Annual leakage tons CO2e]]*NPV(WACC,OFFSET(const_ones,0,0,1,Table2[[#This Row],[EUL]])*OFFSET(GHG_Adder_dollar_per_tonne,0,((Table2[[#This Row],[Device installation year]])-GHG_Adder_Yr1),1,Table2[[#This Row],[EUL]]))/(1+WACC)^(Table2[[#This Row],[Device installation year]]-DY)</f>
        <v>#N/A</v>
      </c>
      <c r="AQ42" s="260" cm="1">
        <f t="array" aca="1" ref="AQ42"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42" s="261" t="e" cm="1">
        <f t="array" aca="1" ref="AR42"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42" s="261" t="e" cm="1">
        <f t="array" aca="1" ref="AS42" ca="1">Table2[[#This Row],[Msr EOL leakage tons CO2e]]*NPV(WACC,OFFSET(const_repeat_after,Table2[[#This Row],[EUL]],0,1,Table2[[#This Row],[EUL]])*OFFSET(GHG_Adder_dollar_per_tonne,0,(Table2[[#This Row],[Device installation year]])-GHG_Adder_Yr1,1,Table2[[#This Row],[EUL]]))/(1+WACC)^(Table2[[#This Row],[Device installation year]]-DY)</f>
        <v>#N/A</v>
      </c>
      <c r="AT42" s="260">
        <f>0</f>
        <v>0</v>
      </c>
      <c r="AU42"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42" s="174" t="e">
        <f ca="1">Table2[[#This Row],[RefrigerantNPVCostsNet]]&gt;0</f>
        <v>#N/A</v>
      </c>
      <c r="AW42" s="174">
        <f>0</f>
        <v>0</v>
      </c>
      <c r="AX42" s="174">
        <f>0</f>
        <v>0</v>
      </c>
      <c r="AY42" s="174">
        <f>0</f>
        <v>0</v>
      </c>
      <c r="AZ42" s="174">
        <f ca="1">Table2[[#This Row],[Pre NPV Cost of Annual Leakage]]+Table2[[#This Row],[Pre NPV Cost of EOL Leakage]]</f>
        <v>0</v>
      </c>
      <c r="BA42" s="174" t="e">
        <f ca="1">Table2[[#This Row],[Std NPV Cost of Annual Leakage]]+Table2[[#This Row],[Std NPV Cost of EOL Leakage]]</f>
        <v>#N/A</v>
      </c>
      <c r="BB42" s="174" t="e">
        <f ca="1">Table2[[#This Row],[AR immediate NPV cost of leakage]]+Table2[[#This Row],[Msr NPV Cost of Annual Leakage]]+Table2[[#This Row],[Msr NPV Cost of EOL Leakage]]</f>
        <v>#N/A</v>
      </c>
      <c r="BC42" s="273" t="e">
        <f ca="1">IF(Table2[[#This Row],[Is Net Cost?]],Table2[[#This Row],[RefrigerantNPVCostsNet]],0)</f>
        <v>#N/A</v>
      </c>
      <c r="BD42" s="174" t="e">
        <f ca="1">IF(Table2[[#This Row],[Is Net Cost?]],0,-Table2[[#This Row],[RefrigerantNPVCostsNet]])</f>
        <v>#N/A</v>
      </c>
    </row>
    <row r="43" spans="1:56" x14ac:dyDescent="0.3">
      <c r="A43" s="173">
        <f t="shared" si="1"/>
        <v>2022</v>
      </c>
      <c r="B43" s="268"/>
      <c r="C43" s="212"/>
      <c r="D43" s="212"/>
      <c r="E43" s="216" t="str">
        <f>IF(Table2[[#This Row],[MeasAppType]]="NR","N/A","N/A")</f>
        <v>N/A</v>
      </c>
      <c r="F43" s="272"/>
      <c r="G43" s="218"/>
      <c r="H43" s="218"/>
      <c r="I43" s="218"/>
      <c r="J43" s="173" t="e">
        <f>INDEX(Table3[CommonRefrigerantType],MATCH(Table2[[#This Row],[Pre tech lookup (not required for "NR" measure application types)]],DropdownRefrigTech,0))</f>
        <v>#N/A</v>
      </c>
      <c r="K43" s="173" t="e">
        <f>INDEX(Table3[CommonRefrigerantType],MATCH(Table2[[#This Row],[Std tech lookup (not required for "AR" measure application types)]],DropdownRefrigTech,0))</f>
        <v>#N/A</v>
      </c>
      <c r="L43" s="173" t="e">
        <f>INDEX(Table3[CommonRefrigerantType],MATCH(Table2[[#This Row],[Msr tech lookup]],DropdownRefrigTech,0))</f>
        <v>#N/A</v>
      </c>
      <c r="M43" s="134" t="e">
        <f>INDEX(Table3[RefrigChargePoundsPerNormUnit],MATCH(Table2[[#This Row],[Pre tech lookup (not required for "NR" measure application types)]],DropdownRefrigTech,0))</f>
        <v>#N/A</v>
      </c>
      <c r="N43" s="134" t="e">
        <f>INDEX(Table3[RefrigChargePoundsPerNormUnit],MATCH(Table2[[#This Row],[Std tech lookup (not required for "AR" measure application types)]],DropdownRefrigTech,0))</f>
        <v>#N/A</v>
      </c>
      <c r="O43" s="149" t="e">
        <f>INDEX(Table3[RefrigChargePoundsPerNormUnit],MATCH(Table2[[#This Row],[Msr tech lookup]],DropdownRefrigTech,0))</f>
        <v>#N/A</v>
      </c>
      <c r="P43" s="163" t="e">
        <f>INDEX(Table3[AnnualLeakageRate],MATCH(Table2[[#This Row],[Pre tech lookup (not required for "NR" measure application types)]],DropdownRefrigTech,0))</f>
        <v>#N/A</v>
      </c>
      <c r="Q43" s="163" t="e">
        <f>INDEX(Table3[AnnualLeakageRate],MATCH(Table2[[#This Row],[Std tech lookup (not required for "AR" measure application types)]],DropdownRefrigTech,0))</f>
        <v>#N/A</v>
      </c>
      <c r="R43" s="163" t="e">
        <f>INDEX(Table3[AnnualLeakageRate],MATCH(Table2[[#This Row],[Msr tech lookup]],DropdownRefrigTech,0))</f>
        <v>#N/A</v>
      </c>
      <c r="S43" s="164" t="e">
        <f>INDEX(Table3[t_EOL],MATCH(Table2[[#This Row],[Pre tech lookup (not required for "NR" measure application types)]],DropdownRefrigTech,0))</f>
        <v>#N/A</v>
      </c>
      <c r="T43" s="164" t="e">
        <f>INDEX(Table3[t_EOL],MATCH(Table2[[#This Row],[Std tech lookup (not required for "AR" measure application types)]],DropdownRefrigTech,0))</f>
        <v>#N/A</v>
      </c>
      <c r="U43" s="164" t="e">
        <f>INDEX(Table3[t_EOL],MATCH(Table2[[#This Row],[Msr tech lookup]],DropdownRefrigTech,0))</f>
        <v>#N/A</v>
      </c>
      <c r="V43" s="163" t="e">
        <f>1-Table2[[#This Row],[Pre annual refrigerant leakage %]]*Table2[[#This Row],[Pre t_EOL]]</f>
        <v>#N/A</v>
      </c>
      <c r="W43" s="163" t="e">
        <f>1-Table2[[#This Row],[Std annual refrigerant leakage %]]*Table2[[#This Row],[Std t_EOL]]</f>
        <v>#N/A</v>
      </c>
      <c r="X43" s="163" t="e">
        <f>1-Table2[[#This Row],[Msr annual refrigerant leakage %]]*Table2[[#This Row],[Msr t_EOL]]</f>
        <v>#N/A</v>
      </c>
      <c r="Y43" s="163" t="e">
        <f>INDEX(Table3[q_EOL],MATCH(Table2[[#This Row],[Pre tech lookup (not required for "NR" measure application types)]],DropdownRefrigTech,0))</f>
        <v>#N/A</v>
      </c>
      <c r="Z43" s="163" t="e">
        <f>INDEX(Table3[q_EOL],MATCH(Table2[[#This Row],[Std tech lookup (not required for "AR" measure application types)]],DropdownRefrigTech,0))</f>
        <v>#N/A</v>
      </c>
      <c r="AA43" s="163" t="e">
        <f>INDEX(Table3[q_EOL],MATCH(Table2[[#This Row],[Msr tech lookup]],DropdownRefrigTech,0))</f>
        <v>#N/A</v>
      </c>
      <c r="AB43" s="163" t="e">
        <f>Table2[[#This Row],[Pre charging remaining (%)]]*Table2[[#This Row],[Pre gross EOL refrigerant leakage %]]</f>
        <v>#N/A</v>
      </c>
      <c r="AC43" s="163" t="e">
        <f>Table2[[#This Row],[Std charging remaining (%)]]*Table2[[#This Row],[Std gross EOL refrigerant leakage %]]</f>
        <v>#N/A</v>
      </c>
      <c r="AD43" s="163" t="e">
        <f>Table2[[#This Row],[Msr charging remaining (%)]]*Table2[[#This Row],[Msr gross EOL refrigerant leakage %]]</f>
        <v>#N/A</v>
      </c>
      <c r="AE43" s="164" t="e" cm="1">
        <f t="array" ref="AE43">INDEX(_xlfn.SWITCH($B$4,"20-yr",GWP_Values_20_year_AR4,"100-yr",GWP_Values_100_year_AR4),MATCH(Table2[[#This Row],[Pre Refrigerant Type]],RefrigDropdownList,0))</f>
        <v>#N/A</v>
      </c>
      <c r="AF43" s="164" t="e" cm="1">
        <f t="array" ref="AF43">INDEX(_xlfn.SWITCH($B$4,"20-yr",GWP_Values_20_year_AR4,"100-yr",GWP_Values_100_year_AR4),MATCH(Table2[[#This Row],[Std Refrigerant Type]],RefrigDropdownList,0))</f>
        <v>#N/A</v>
      </c>
      <c r="AG43" s="164" t="e" cm="1">
        <f t="array" ref="AG43">INDEX(_xlfn.SWITCH($B$4,"20-yr",GWP_Values_20_year_AR4,"100-yr",GWP_Values_100_year_AR4),MATCH(Table2[[#This Row],[Msr Refrigerant Type]],RefrigDropdownList,0))</f>
        <v>#N/A</v>
      </c>
      <c r="AH43" s="165" t="e">
        <f>(Table2[[#This Row],[Pre Refrigerant charge (lbs) per NormUnit]]/pounds_per_metric_ton)*Table2[[#This Row],[Pre annual refrigerant leakage %]]*Table2[[#This Row],[Pre GWP]]</f>
        <v>#N/A</v>
      </c>
      <c r="AI43" s="165" t="e">
        <f>(Table2[[#This Row],[Std Refrigerant charge (lbs)per NormUnit]]/pounds_per_metric_ton)*Table2[[#This Row],[Std annual refrigerant leakage %]]*Table2[[#This Row],[Std GWP]]</f>
        <v>#N/A</v>
      </c>
      <c r="AJ43" s="165" t="e">
        <f>(Table2[[#This Row],[Msr Refrigerant charge (lbs)per NormUnit]]/pounds_per_metric_ton)*Table2[[#This Row],[Msr annual refrigerant leakage %]]*Table2[[#This Row],[Msr GWP]]</f>
        <v>#N/A</v>
      </c>
      <c r="AK43" s="165" t="e">
        <f>(Table2[[#This Row],[Pre Refrigerant charge (lbs) per NormUnit]]/pounds_per_metric_ton)*Table2[[#This Row],[Pre net EOL refrigerant leakage (%)]]*Table2[[#This Row],[Pre GWP]]</f>
        <v>#N/A</v>
      </c>
      <c r="AL43" s="165" t="e">
        <f>(Table2[[#This Row],[Std Refrigerant charge (lbs)per NormUnit]]/pounds_per_metric_ton)*Table2[[#This Row],[Std net EOL refrigerant leakage (%)]]*Table2[[#This Row],[Std GWP]]</f>
        <v>#N/A</v>
      </c>
      <c r="AM43" s="165" t="e">
        <f>(Table2[[#This Row],[Msr Refrigerant charge (lbs)per NormUnit]]/pounds_per_metric_ton)*Table2[[#This Row],[Msr net EOL refrigerant leakage (%)]]*Table2[[#This Row],[Msr GWP]]</f>
        <v>#N/A</v>
      </c>
      <c r="AN43" s="174" cm="1">
        <f t="array" aca="1" ref="AN43" ca="1">IF(Table2[[#This Row],[MeasAppType]]="AR",Table2[[#This Row],[Pre Annual leakage tons CO2e]]*NPV(WACC,OFFSET(const_ones,0,0,1,Table2[[#This Row],[EUL]])*OFFSET(GHG_Adder_dollar_per_tonne,0,(Table2[[#This Row],[Device installation year]])-GHG_Adder_Yr1,1,Table2[[#This Row],[EUL]]))/(1+WACC)^(Table2[[#This Row],[Device installation year]]-DY),0)</f>
        <v>0</v>
      </c>
      <c r="AO43" s="174" t="e" cm="1">
        <f t="array" aca="1" ref="AO43"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43" s="174" t="e" cm="1">
        <f t="array" aca="1" ref="AP43" ca="1">Table2[[#This Row],[Msr Annual leakage tons CO2e]]*NPV(WACC,OFFSET(const_ones,0,0,1,Table2[[#This Row],[EUL]])*OFFSET(GHG_Adder_dollar_per_tonne,0,((Table2[[#This Row],[Device installation year]])-GHG_Adder_Yr1),1,Table2[[#This Row],[EUL]]))/(1+WACC)^(Table2[[#This Row],[Device installation year]]-DY)</f>
        <v>#N/A</v>
      </c>
      <c r="AQ43" s="260" cm="1">
        <f t="array" aca="1" ref="AQ43"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43" s="261" t="e" cm="1">
        <f t="array" aca="1" ref="AR43"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43" s="261" t="e" cm="1">
        <f t="array" aca="1" ref="AS43" ca="1">Table2[[#This Row],[Msr EOL leakage tons CO2e]]*NPV(WACC,OFFSET(const_repeat_after,Table2[[#This Row],[EUL]],0,1,Table2[[#This Row],[EUL]])*OFFSET(GHG_Adder_dollar_per_tonne,0,(Table2[[#This Row],[Device installation year]])-GHG_Adder_Yr1,1,Table2[[#This Row],[EUL]]))/(1+WACC)^(Table2[[#This Row],[Device installation year]]-DY)</f>
        <v>#N/A</v>
      </c>
      <c r="AT43" s="260">
        <f>0</f>
        <v>0</v>
      </c>
      <c r="AU43"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43" s="174" t="e">
        <f ca="1">Table2[[#This Row],[RefrigerantNPVCostsNet]]&gt;0</f>
        <v>#N/A</v>
      </c>
      <c r="AW43" s="174">
        <f>0</f>
        <v>0</v>
      </c>
      <c r="AX43" s="174">
        <f>0</f>
        <v>0</v>
      </c>
      <c r="AY43" s="174">
        <f>0</f>
        <v>0</v>
      </c>
      <c r="AZ43" s="174">
        <f ca="1">Table2[[#This Row],[Pre NPV Cost of Annual Leakage]]+Table2[[#This Row],[Pre NPV Cost of EOL Leakage]]</f>
        <v>0</v>
      </c>
      <c r="BA43" s="174" t="e">
        <f ca="1">Table2[[#This Row],[Std NPV Cost of Annual Leakage]]+Table2[[#This Row],[Std NPV Cost of EOL Leakage]]</f>
        <v>#N/A</v>
      </c>
      <c r="BB43" s="174" t="e">
        <f ca="1">Table2[[#This Row],[AR immediate NPV cost of leakage]]+Table2[[#This Row],[Msr NPV Cost of Annual Leakage]]+Table2[[#This Row],[Msr NPV Cost of EOL Leakage]]</f>
        <v>#N/A</v>
      </c>
      <c r="BC43" s="273" t="e">
        <f ca="1">IF(Table2[[#This Row],[Is Net Cost?]],Table2[[#This Row],[RefrigerantNPVCostsNet]],0)</f>
        <v>#N/A</v>
      </c>
      <c r="BD43" s="174" t="e">
        <f ca="1">IF(Table2[[#This Row],[Is Net Cost?]],0,-Table2[[#This Row],[RefrigerantNPVCostsNet]])</f>
        <v>#N/A</v>
      </c>
    </row>
    <row r="44" spans="1:56" x14ac:dyDescent="0.3">
      <c r="A44" s="173">
        <f t="shared" si="1"/>
        <v>2022</v>
      </c>
      <c r="B44" s="268"/>
      <c r="C44" s="212"/>
      <c r="D44" s="212"/>
      <c r="E44" s="216" t="str">
        <f>IF(Table2[[#This Row],[MeasAppType]]="NR","N/A","N/A")</f>
        <v>N/A</v>
      </c>
      <c r="F44" s="272"/>
      <c r="G44" s="218"/>
      <c r="H44" s="218"/>
      <c r="I44" s="218"/>
      <c r="J44" s="173" t="e">
        <f>INDEX(Table3[CommonRefrigerantType],MATCH(Table2[[#This Row],[Pre tech lookup (not required for "NR" measure application types)]],DropdownRefrigTech,0))</f>
        <v>#N/A</v>
      </c>
      <c r="K44" s="173" t="e">
        <f>INDEX(Table3[CommonRefrigerantType],MATCH(Table2[[#This Row],[Std tech lookup (not required for "AR" measure application types)]],DropdownRefrigTech,0))</f>
        <v>#N/A</v>
      </c>
      <c r="L44" s="173" t="e">
        <f>INDEX(Table3[CommonRefrigerantType],MATCH(Table2[[#This Row],[Msr tech lookup]],DropdownRefrigTech,0))</f>
        <v>#N/A</v>
      </c>
      <c r="M44" s="134" t="e">
        <f>INDEX(Table3[RefrigChargePoundsPerNormUnit],MATCH(Table2[[#This Row],[Pre tech lookup (not required for "NR" measure application types)]],DropdownRefrigTech,0))</f>
        <v>#N/A</v>
      </c>
      <c r="N44" s="134" t="e">
        <f>INDEX(Table3[RefrigChargePoundsPerNormUnit],MATCH(Table2[[#This Row],[Std tech lookup (not required for "AR" measure application types)]],DropdownRefrigTech,0))</f>
        <v>#N/A</v>
      </c>
      <c r="O44" s="149" t="e">
        <f>INDEX(Table3[RefrigChargePoundsPerNormUnit],MATCH(Table2[[#This Row],[Msr tech lookup]],DropdownRefrigTech,0))</f>
        <v>#N/A</v>
      </c>
      <c r="P44" s="163" t="e">
        <f>INDEX(Table3[AnnualLeakageRate],MATCH(Table2[[#This Row],[Pre tech lookup (not required for "NR" measure application types)]],DropdownRefrigTech,0))</f>
        <v>#N/A</v>
      </c>
      <c r="Q44" s="163" t="e">
        <f>INDEX(Table3[AnnualLeakageRate],MATCH(Table2[[#This Row],[Std tech lookup (not required for "AR" measure application types)]],DropdownRefrigTech,0))</f>
        <v>#N/A</v>
      </c>
      <c r="R44" s="163" t="e">
        <f>INDEX(Table3[AnnualLeakageRate],MATCH(Table2[[#This Row],[Msr tech lookup]],DropdownRefrigTech,0))</f>
        <v>#N/A</v>
      </c>
      <c r="S44" s="164" t="e">
        <f>INDEX(Table3[t_EOL],MATCH(Table2[[#This Row],[Pre tech lookup (not required for "NR" measure application types)]],DropdownRefrigTech,0))</f>
        <v>#N/A</v>
      </c>
      <c r="T44" s="164" t="e">
        <f>INDEX(Table3[t_EOL],MATCH(Table2[[#This Row],[Std tech lookup (not required for "AR" measure application types)]],DropdownRefrigTech,0))</f>
        <v>#N/A</v>
      </c>
      <c r="U44" s="164" t="e">
        <f>INDEX(Table3[t_EOL],MATCH(Table2[[#This Row],[Msr tech lookup]],DropdownRefrigTech,0))</f>
        <v>#N/A</v>
      </c>
      <c r="V44" s="163" t="e">
        <f>1-Table2[[#This Row],[Pre annual refrigerant leakage %]]*Table2[[#This Row],[Pre t_EOL]]</f>
        <v>#N/A</v>
      </c>
      <c r="W44" s="163" t="e">
        <f>1-Table2[[#This Row],[Std annual refrigerant leakage %]]*Table2[[#This Row],[Std t_EOL]]</f>
        <v>#N/A</v>
      </c>
      <c r="X44" s="163" t="e">
        <f>1-Table2[[#This Row],[Msr annual refrigerant leakage %]]*Table2[[#This Row],[Msr t_EOL]]</f>
        <v>#N/A</v>
      </c>
      <c r="Y44" s="163" t="e">
        <f>INDEX(Table3[q_EOL],MATCH(Table2[[#This Row],[Pre tech lookup (not required for "NR" measure application types)]],DropdownRefrigTech,0))</f>
        <v>#N/A</v>
      </c>
      <c r="Z44" s="163" t="e">
        <f>INDEX(Table3[q_EOL],MATCH(Table2[[#This Row],[Std tech lookup (not required for "AR" measure application types)]],DropdownRefrigTech,0))</f>
        <v>#N/A</v>
      </c>
      <c r="AA44" s="163" t="e">
        <f>INDEX(Table3[q_EOL],MATCH(Table2[[#This Row],[Msr tech lookup]],DropdownRefrigTech,0))</f>
        <v>#N/A</v>
      </c>
      <c r="AB44" s="163" t="e">
        <f>Table2[[#This Row],[Pre charging remaining (%)]]*Table2[[#This Row],[Pre gross EOL refrigerant leakage %]]</f>
        <v>#N/A</v>
      </c>
      <c r="AC44" s="163" t="e">
        <f>Table2[[#This Row],[Std charging remaining (%)]]*Table2[[#This Row],[Std gross EOL refrigerant leakage %]]</f>
        <v>#N/A</v>
      </c>
      <c r="AD44" s="163" t="e">
        <f>Table2[[#This Row],[Msr charging remaining (%)]]*Table2[[#This Row],[Msr gross EOL refrigerant leakage %]]</f>
        <v>#N/A</v>
      </c>
      <c r="AE44" s="164" t="e" cm="1">
        <f t="array" ref="AE44">INDEX(_xlfn.SWITCH($B$4,"20-yr",GWP_Values_20_year_AR4,"100-yr",GWP_Values_100_year_AR4),MATCH(Table2[[#This Row],[Pre Refrigerant Type]],RefrigDropdownList,0))</f>
        <v>#N/A</v>
      </c>
      <c r="AF44" s="164" t="e" cm="1">
        <f t="array" ref="AF44">INDEX(_xlfn.SWITCH($B$4,"20-yr",GWP_Values_20_year_AR4,"100-yr",GWP_Values_100_year_AR4),MATCH(Table2[[#This Row],[Std Refrigerant Type]],RefrigDropdownList,0))</f>
        <v>#N/A</v>
      </c>
      <c r="AG44" s="164" t="e" cm="1">
        <f t="array" ref="AG44">INDEX(_xlfn.SWITCH($B$4,"20-yr",GWP_Values_20_year_AR4,"100-yr",GWP_Values_100_year_AR4),MATCH(Table2[[#This Row],[Msr Refrigerant Type]],RefrigDropdownList,0))</f>
        <v>#N/A</v>
      </c>
      <c r="AH44" s="165" t="e">
        <f>(Table2[[#This Row],[Pre Refrigerant charge (lbs) per NormUnit]]/pounds_per_metric_ton)*Table2[[#This Row],[Pre annual refrigerant leakage %]]*Table2[[#This Row],[Pre GWP]]</f>
        <v>#N/A</v>
      </c>
      <c r="AI44" s="165" t="e">
        <f>(Table2[[#This Row],[Std Refrigerant charge (lbs)per NormUnit]]/pounds_per_metric_ton)*Table2[[#This Row],[Std annual refrigerant leakage %]]*Table2[[#This Row],[Std GWP]]</f>
        <v>#N/A</v>
      </c>
      <c r="AJ44" s="165" t="e">
        <f>(Table2[[#This Row],[Msr Refrigerant charge (lbs)per NormUnit]]/pounds_per_metric_ton)*Table2[[#This Row],[Msr annual refrigerant leakage %]]*Table2[[#This Row],[Msr GWP]]</f>
        <v>#N/A</v>
      </c>
      <c r="AK44" s="165" t="e">
        <f>(Table2[[#This Row],[Pre Refrigerant charge (lbs) per NormUnit]]/pounds_per_metric_ton)*Table2[[#This Row],[Pre net EOL refrigerant leakage (%)]]*Table2[[#This Row],[Pre GWP]]</f>
        <v>#N/A</v>
      </c>
      <c r="AL44" s="165" t="e">
        <f>(Table2[[#This Row],[Std Refrigerant charge (lbs)per NormUnit]]/pounds_per_metric_ton)*Table2[[#This Row],[Std net EOL refrigerant leakage (%)]]*Table2[[#This Row],[Std GWP]]</f>
        <v>#N/A</v>
      </c>
      <c r="AM44" s="165" t="e">
        <f>(Table2[[#This Row],[Msr Refrigerant charge (lbs)per NormUnit]]/pounds_per_metric_ton)*Table2[[#This Row],[Msr net EOL refrigerant leakage (%)]]*Table2[[#This Row],[Msr GWP]]</f>
        <v>#N/A</v>
      </c>
      <c r="AN44" s="174" cm="1">
        <f t="array" aca="1" ref="AN44" ca="1">IF(Table2[[#This Row],[MeasAppType]]="AR",Table2[[#This Row],[Pre Annual leakage tons CO2e]]*NPV(WACC,OFFSET(const_ones,0,0,1,Table2[[#This Row],[EUL]])*OFFSET(GHG_Adder_dollar_per_tonne,0,(Table2[[#This Row],[Device installation year]])-GHG_Adder_Yr1,1,Table2[[#This Row],[EUL]]))/(1+WACC)^(Table2[[#This Row],[Device installation year]]-DY),0)</f>
        <v>0</v>
      </c>
      <c r="AO44" s="174" t="e" cm="1">
        <f t="array" aca="1" ref="AO44"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44" s="174" t="e" cm="1">
        <f t="array" aca="1" ref="AP44" ca="1">Table2[[#This Row],[Msr Annual leakage tons CO2e]]*NPV(WACC,OFFSET(const_ones,0,0,1,Table2[[#This Row],[EUL]])*OFFSET(GHG_Adder_dollar_per_tonne,0,((Table2[[#This Row],[Device installation year]])-GHG_Adder_Yr1),1,Table2[[#This Row],[EUL]]))/(1+WACC)^(Table2[[#This Row],[Device installation year]]-DY)</f>
        <v>#N/A</v>
      </c>
      <c r="AQ44" s="260" cm="1">
        <f t="array" aca="1" ref="AQ44"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44" s="261" t="e" cm="1">
        <f t="array" aca="1" ref="AR44"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44" s="261" t="e" cm="1">
        <f t="array" aca="1" ref="AS44" ca="1">Table2[[#This Row],[Msr EOL leakage tons CO2e]]*NPV(WACC,OFFSET(const_repeat_after,Table2[[#This Row],[EUL]],0,1,Table2[[#This Row],[EUL]])*OFFSET(GHG_Adder_dollar_per_tonne,0,(Table2[[#This Row],[Device installation year]])-GHG_Adder_Yr1,1,Table2[[#This Row],[EUL]]))/(1+WACC)^(Table2[[#This Row],[Device installation year]]-DY)</f>
        <v>#N/A</v>
      </c>
      <c r="AT44" s="260">
        <f>0</f>
        <v>0</v>
      </c>
      <c r="AU44"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44" s="174" t="e">
        <f ca="1">Table2[[#This Row],[RefrigerantNPVCostsNet]]&gt;0</f>
        <v>#N/A</v>
      </c>
      <c r="AW44" s="174">
        <f>0</f>
        <v>0</v>
      </c>
      <c r="AX44" s="174">
        <f>0</f>
        <v>0</v>
      </c>
      <c r="AY44" s="174">
        <f>0</f>
        <v>0</v>
      </c>
      <c r="AZ44" s="174">
        <f ca="1">Table2[[#This Row],[Pre NPV Cost of Annual Leakage]]+Table2[[#This Row],[Pre NPV Cost of EOL Leakage]]</f>
        <v>0</v>
      </c>
      <c r="BA44" s="174" t="e">
        <f ca="1">Table2[[#This Row],[Std NPV Cost of Annual Leakage]]+Table2[[#This Row],[Std NPV Cost of EOL Leakage]]</f>
        <v>#N/A</v>
      </c>
      <c r="BB44" s="174" t="e">
        <f ca="1">Table2[[#This Row],[AR immediate NPV cost of leakage]]+Table2[[#This Row],[Msr NPV Cost of Annual Leakage]]+Table2[[#This Row],[Msr NPV Cost of EOL Leakage]]</f>
        <v>#N/A</v>
      </c>
      <c r="BC44" s="273" t="e">
        <f ca="1">IF(Table2[[#This Row],[Is Net Cost?]],Table2[[#This Row],[RefrigerantNPVCostsNet]],0)</f>
        <v>#N/A</v>
      </c>
      <c r="BD44" s="174" t="e">
        <f ca="1">IF(Table2[[#This Row],[Is Net Cost?]],0,-Table2[[#This Row],[RefrigerantNPVCostsNet]])</f>
        <v>#N/A</v>
      </c>
    </row>
    <row r="45" spans="1:56" x14ac:dyDescent="0.3">
      <c r="A45" s="173">
        <f t="shared" si="1"/>
        <v>2022</v>
      </c>
      <c r="B45" s="268"/>
      <c r="C45" s="212"/>
      <c r="D45" s="212"/>
      <c r="E45" s="216" t="str">
        <f>IF(Table2[[#This Row],[MeasAppType]]="NR","N/A","N/A")</f>
        <v>N/A</v>
      </c>
      <c r="F45" s="272"/>
      <c r="G45" s="218"/>
      <c r="H45" s="218"/>
      <c r="I45" s="218"/>
      <c r="J45" s="173" t="e">
        <f>INDEX(Table3[CommonRefrigerantType],MATCH(Table2[[#This Row],[Pre tech lookup (not required for "NR" measure application types)]],DropdownRefrigTech,0))</f>
        <v>#N/A</v>
      </c>
      <c r="K45" s="173" t="e">
        <f>INDEX(Table3[CommonRefrigerantType],MATCH(Table2[[#This Row],[Std tech lookup (not required for "AR" measure application types)]],DropdownRefrigTech,0))</f>
        <v>#N/A</v>
      </c>
      <c r="L45" s="173" t="e">
        <f>INDEX(Table3[CommonRefrigerantType],MATCH(Table2[[#This Row],[Msr tech lookup]],DropdownRefrigTech,0))</f>
        <v>#N/A</v>
      </c>
      <c r="M45" s="134" t="e">
        <f>INDEX(Table3[RefrigChargePoundsPerNormUnit],MATCH(Table2[[#This Row],[Pre tech lookup (not required for "NR" measure application types)]],DropdownRefrigTech,0))</f>
        <v>#N/A</v>
      </c>
      <c r="N45" s="134" t="e">
        <f>INDEX(Table3[RefrigChargePoundsPerNormUnit],MATCH(Table2[[#This Row],[Std tech lookup (not required for "AR" measure application types)]],DropdownRefrigTech,0))</f>
        <v>#N/A</v>
      </c>
      <c r="O45" s="149" t="e">
        <f>INDEX(Table3[RefrigChargePoundsPerNormUnit],MATCH(Table2[[#This Row],[Msr tech lookup]],DropdownRefrigTech,0))</f>
        <v>#N/A</v>
      </c>
      <c r="P45" s="163" t="e">
        <f>INDEX(Table3[AnnualLeakageRate],MATCH(Table2[[#This Row],[Pre tech lookup (not required for "NR" measure application types)]],DropdownRefrigTech,0))</f>
        <v>#N/A</v>
      </c>
      <c r="Q45" s="163" t="e">
        <f>INDEX(Table3[AnnualLeakageRate],MATCH(Table2[[#This Row],[Std tech lookup (not required for "AR" measure application types)]],DropdownRefrigTech,0))</f>
        <v>#N/A</v>
      </c>
      <c r="R45" s="163" t="e">
        <f>INDEX(Table3[AnnualLeakageRate],MATCH(Table2[[#This Row],[Msr tech lookup]],DropdownRefrigTech,0))</f>
        <v>#N/A</v>
      </c>
      <c r="S45" s="164" t="e">
        <f>INDEX(Table3[t_EOL],MATCH(Table2[[#This Row],[Pre tech lookup (not required for "NR" measure application types)]],DropdownRefrigTech,0))</f>
        <v>#N/A</v>
      </c>
      <c r="T45" s="164" t="e">
        <f>INDEX(Table3[t_EOL],MATCH(Table2[[#This Row],[Std tech lookup (not required for "AR" measure application types)]],DropdownRefrigTech,0))</f>
        <v>#N/A</v>
      </c>
      <c r="U45" s="164" t="e">
        <f>INDEX(Table3[t_EOL],MATCH(Table2[[#This Row],[Msr tech lookup]],DropdownRefrigTech,0))</f>
        <v>#N/A</v>
      </c>
      <c r="V45" s="163" t="e">
        <f>1-Table2[[#This Row],[Pre annual refrigerant leakage %]]*Table2[[#This Row],[Pre t_EOL]]</f>
        <v>#N/A</v>
      </c>
      <c r="W45" s="163" t="e">
        <f>1-Table2[[#This Row],[Std annual refrigerant leakage %]]*Table2[[#This Row],[Std t_EOL]]</f>
        <v>#N/A</v>
      </c>
      <c r="X45" s="163" t="e">
        <f>1-Table2[[#This Row],[Msr annual refrigerant leakage %]]*Table2[[#This Row],[Msr t_EOL]]</f>
        <v>#N/A</v>
      </c>
      <c r="Y45" s="163" t="e">
        <f>INDEX(Table3[q_EOL],MATCH(Table2[[#This Row],[Pre tech lookup (not required for "NR" measure application types)]],DropdownRefrigTech,0))</f>
        <v>#N/A</v>
      </c>
      <c r="Z45" s="163" t="e">
        <f>INDEX(Table3[q_EOL],MATCH(Table2[[#This Row],[Std tech lookup (not required for "AR" measure application types)]],DropdownRefrigTech,0))</f>
        <v>#N/A</v>
      </c>
      <c r="AA45" s="163" t="e">
        <f>INDEX(Table3[q_EOL],MATCH(Table2[[#This Row],[Msr tech lookup]],DropdownRefrigTech,0))</f>
        <v>#N/A</v>
      </c>
      <c r="AB45" s="163" t="e">
        <f>Table2[[#This Row],[Pre charging remaining (%)]]*Table2[[#This Row],[Pre gross EOL refrigerant leakage %]]</f>
        <v>#N/A</v>
      </c>
      <c r="AC45" s="163" t="e">
        <f>Table2[[#This Row],[Std charging remaining (%)]]*Table2[[#This Row],[Std gross EOL refrigerant leakage %]]</f>
        <v>#N/A</v>
      </c>
      <c r="AD45" s="163" t="e">
        <f>Table2[[#This Row],[Msr charging remaining (%)]]*Table2[[#This Row],[Msr gross EOL refrigerant leakage %]]</f>
        <v>#N/A</v>
      </c>
      <c r="AE45" s="164" t="e" cm="1">
        <f t="array" ref="AE45">INDEX(_xlfn.SWITCH($B$4,"20-yr",GWP_Values_20_year_AR4,"100-yr",GWP_Values_100_year_AR4),MATCH(Table2[[#This Row],[Pre Refrigerant Type]],RefrigDropdownList,0))</f>
        <v>#N/A</v>
      </c>
      <c r="AF45" s="164" t="e" cm="1">
        <f t="array" ref="AF45">INDEX(_xlfn.SWITCH($B$4,"20-yr",GWP_Values_20_year_AR4,"100-yr",GWP_Values_100_year_AR4),MATCH(Table2[[#This Row],[Std Refrigerant Type]],RefrigDropdownList,0))</f>
        <v>#N/A</v>
      </c>
      <c r="AG45" s="164" t="e" cm="1">
        <f t="array" ref="AG45">INDEX(_xlfn.SWITCH($B$4,"20-yr",GWP_Values_20_year_AR4,"100-yr",GWP_Values_100_year_AR4),MATCH(Table2[[#This Row],[Msr Refrigerant Type]],RefrigDropdownList,0))</f>
        <v>#N/A</v>
      </c>
      <c r="AH45" s="165" t="e">
        <f>(Table2[[#This Row],[Pre Refrigerant charge (lbs) per NormUnit]]/pounds_per_metric_ton)*Table2[[#This Row],[Pre annual refrigerant leakage %]]*Table2[[#This Row],[Pre GWP]]</f>
        <v>#N/A</v>
      </c>
      <c r="AI45" s="165" t="e">
        <f>(Table2[[#This Row],[Std Refrigerant charge (lbs)per NormUnit]]/pounds_per_metric_ton)*Table2[[#This Row],[Std annual refrigerant leakage %]]*Table2[[#This Row],[Std GWP]]</f>
        <v>#N/A</v>
      </c>
      <c r="AJ45" s="165" t="e">
        <f>(Table2[[#This Row],[Msr Refrigerant charge (lbs)per NormUnit]]/pounds_per_metric_ton)*Table2[[#This Row],[Msr annual refrigerant leakage %]]*Table2[[#This Row],[Msr GWP]]</f>
        <v>#N/A</v>
      </c>
      <c r="AK45" s="165" t="e">
        <f>(Table2[[#This Row],[Pre Refrigerant charge (lbs) per NormUnit]]/pounds_per_metric_ton)*Table2[[#This Row],[Pre net EOL refrigerant leakage (%)]]*Table2[[#This Row],[Pre GWP]]</f>
        <v>#N/A</v>
      </c>
      <c r="AL45" s="165" t="e">
        <f>(Table2[[#This Row],[Std Refrigerant charge (lbs)per NormUnit]]/pounds_per_metric_ton)*Table2[[#This Row],[Std net EOL refrigerant leakage (%)]]*Table2[[#This Row],[Std GWP]]</f>
        <v>#N/A</v>
      </c>
      <c r="AM45" s="165" t="e">
        <f>(Table2[[#This Row],[Msr Refrigerant charge (lbs)per NormUnit]]/pounds_per_metric_ton)*Table2[[#This Row],[Msr net EOL refrigerant leakage (%)]]*Table2[[#This Row],[Msr GWP]]</f>
        <v>#N/A</v>
      </c>
      <c r="AN45" s="174" cm="1">
        <f t="array" aca="1" ref="AN45" ca="1">IF(Table2[[#This Row],[MeasAppType]]="AR",Table2[[#This Row],[Pre Annual leakage tons CO2e]]*NPV(WACC,OFFSET(const_ones,0,0,1,Table2[[#This Row],[EUL]])*OFFSET(GHG_Adder_dollar_per_tonne,0,(Table2[[#This Row],[Device installation year]])-GHG_Adder_Yr1,1,Table2[[#This Row],[EUL]]))/(1+WACC)^(Table2[[#This Row],[Device installation year]]-DY),0)</f>
        <v>0</v>
      </c>
      <c r="AO45" s="174" t="e" cm="1">
        <f t="array" aca="1" ref="AO45"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45" s="174" t="e" cm="1">
        <f t="array" aca="1" ref="AP45" ca="1">Table2[[#This Row],[Msr Annual leakage tons CO2e]]*NPV(WACC,OFFSET(const_ones,0,0,1,Table2[[#This Row],[EUL]])*OFFSET(GHG_Adder_dollar_per_tonne,0,((Table2[[#This Row],[Device installation year]])-GHG_Adder_Yr1),1,Table2[[#This Row],[EUL]]))/(1+WACC)^(Table2[[#This Row],[Device installation year]]-DY)</f>
        <v>#N/A</v>
      </c>
      <c r="AQ45" s="260" cm="1">
        <f t="array" aca="1" ref="AQ45"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45" s="261" t="e" cm="1">
        <f t="array" aca="1" ref="AR45"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45" s="261" t="e" cm="1">
        <f t="array" aca="1" ref="AS45" ca="1">Table2[[#This Row],[Msr EOL leakage tons CO2e]]*NPV(WACC,OFFSET(const_repeat_after,Table2[[#This Row],[EUL]],0,1,Table2[[#This Row],[EUL]])*OFFSET(GHG_Adder_dollar_per_tonne,0,(Table2[[#This Row],[Device installation year]])-GHG_Adder_Yr1,1,Table2[[#This Row],[EUL]]))/(1+WACC)^(Table2[[#This Row],[Device installation year]]-DY)</f>
        <v>#N/A</v>
      </c>
      <c r="AT45" s="260">
        <f>0</f>
        <v>0</v>
      </c>
      <c r="AU45"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45" s="174" t="e">
        <f ca="1">Table2[[#This Row],[RefrigerantNPVCostsNet]]&gt;0</f>
        <v>#N/A</v>
      </c>
      <c r="AW45" s="174">
        <f>0</f>
        <v>0</v>
      </c>
      <c r="AX45" s="174">
        <f>0</f>
        <v>0</v>
      </c>
      <c r="AY45" s="174">
        <f>0</f>
        <v>0</v>
      </c>
      <c r="AZ45" s="174">
        <f ca="1">Table2[[#This Row],[Pre NPV Cost of Annual Leakage]]+Table2[[#This Row],[Pre NPV Cost of EOL Leakage]]</f>
        <v>0</v>
      </c>
      <c r="BA45" s="174" t="e">
        <f ca="1">Table2[[#This Row],[Std NPV Cost of Annual Leakage]]+Table2[[#This Row],[Std NPV Cost of EOL Leakage]]</f>
        <v>#N/A</v>
      </c>
      <c r="BB45" s="174" t="e">
        <f ca="1">Table2[[#This Row],[AR immediate NPV cost of leakage]]+Table2[[#This Row],[Msr NPV Cost of Annual Leakage]]+Table2[[#This Row],[Msr NPV Cost of EOL Leakage]]</f>
        <v>#N/A</v>
      </c>
      <c r="BC45" s="273" t="e">
        <f ca="1">IF(Table2[[#This Row],[Is Net Cost?]],Table2[[#This Row],[RefrigerantNPVCostsNet]],0)</f>
        <v>#N/A</v>
      </c>
      <c r="BD45" s="174" t="e">
        <f ca="1">IF(Table2[[#This Row],[Is Net Cost?]],0,-Table2[[#This Row],[RefrigerantNPVCostsNet]])</f>
        <v>#N/A</v>
      </c>
    </row>
    <row r="46" spans="1:56" x14ac:dyDescent="0.3">
      <c r="A46" s="173">
        <f t="shared" si="1"/>
        <v>2022</v>
      </c>
      <c r="B46" s="268"/>
      <c r="C46" s="212"/>
      <c r="D46" s="212"/>
      <c r="E46" s="216" t="str">
        <f>IF(Table2[[#This Row],[MeasAppType]]="NR","N/A","N/A")</f>
        <v>N/A</v>
      </c>
      <c r="F46" s="272"/>
      <c r="G46" s="218"/>
      <c r="H46" s="218"/>
      <c r="I46" s="218"/>
      <c r="J46" s="173" t="e">
        <f>INDEX(Table3[CommonRefrigerantType],MATCH(Table2[[#This Row],[Pre tech lookup (not required for "NR" measure application types)]],DropdownRefrigTech,0))</f>
        <v>#N/A</v>
      </c>
      <c r="K46" s="173" t="e">
        <f>INDEX(Table3[CommonRefrigerantType],MATCH(Table2[[#This Row],[Std tech lookup (not required for "AR" measure application types)]],DropdownRefrigTech,0))</f>
        <v>#N/A</v>
      </c>
      <c r="L46" s="173" t="e">
        <f>INDEX(Table3[CommonRefrigerantType],MATCH(Table2[[#This Row],[Msr tech lookup]],DropdownRefrigTech,0))</f>
        <v>#N/A</v>
      </c>
      <c r="M46" s="134" t="e">
        <f>INDEX(Table3[RefrigChargePoundsPerNormUnit],MATCH(Table2[[#This Row],[Pre tech lookup (not required for "NR" measure application types)]],DropdownRefrigTech,0))</f>
        <v>#N/A</v>
      </c>
      <c r="N46" s="134" t="e">
        <f>INDEX(Table3[RefrigChargePoundsPerNormUnit],MATCH(Table2[[#This Row],[Std tech lookup (not required for "AR" measure application types)]],DropdownRefrigTech,0))</f>
        <v>#N/A</v>
      </c>
      <c r="O46" s="149" t="e">
        <f>INDEX(Table3[RefrigChargePoundsPerNormUnit],MATCH(Table2[[#This Row],[Msr tech lookup]],DropdownRefrigTech,0))</f>
        <v>#N/A</v>
      </c>
      <c r="P46" s="163" t="e">
        <f>INDEX(Table3[AnnualLeakageRate],MATCH(Table2[[#This Row],[Pre tech lookup (not required for "NR" measure application types)]],DropdownRefrigTech,0))</f>
        <v>#N/A</v>
      </c>
      <c r="Q46" s="163" t="e">
        <f>INDEX(Table3[AnnualLeakageRate],MATCH(Table2[[#This Row],[Std tech lookup (not required for "AR" measure application types)]],DropdownRefrigTech,0))</f>
        <v>#N/A</v>
      </c>
      <c r="R46" s="163" t="e">
        <f>INDEX(Table3[AnnualLeakageRate],MATCH(Table2[[#This Row],[Msr tech lookup]],DropdownRefrigTech,0))</f>
        <v>#N/A</v>
      </c>
      <c r="S46" s="164" t="e">
        <f>INDEX(Table3[t_EOL],MATCH(Table2[[#This Row],[Pre tech lookup (not required for "NR" measure application types)]],DropdownRefrigTech,0))</f>
        <v>#N/A</v>
      </c>
      <c r="T46" s="164" t="e">
        <f>INDEX(Table3[t_EOL],MATCH(Table2[[#This Row],[Std tech lookup (not required for "AR" measure application types)]],DropdownRefrigTech,0))</f>
        <v>#N/A</v>
      </c>
      <c r="U46" s="164" t="e">
        <f>INDEX(Table3[t_EOL],MATCH(Table2[[#This Row],[Msr tech lookup]],DropdownRefrigTech,0))</f>
        <v>#N/A</v>
      </c>
      <c r="V46" s="163" t="e">
        <f>1-Table2[[#This Row],[Pre annual refrigerant leakage %]]*Table2[[#This Row],[Pre t_EOL]]</f>
        <v>#N/A</v>
      </c>
      <c r="W46" s="163" t="e">
        <f>1-Table2[[#This Row],[Std annual refrigerant leakage %]]*Table2[[#This Row],[Std t_EOL]]</f>
        <v>#N/A</v>
      </c>
      <c r="X46" s="163" t="e">
        <f>1-Table2[[#This Row],[Msr annual refrigerant leakage %]]*Table2[[#This Row],[Msr t_EOL]]</f>
        <v>#N/A</v>
      </c>
      <c r="Y46" s="163" t="e">
        <f>INDEX(Table3[q_EOL],MATCH(Table2[[#This Row],[Pre tech lookup (not required for "NR" measure application types)]],DropdownRefrigTech,0))</f>
        <v>#N/A</v>
      </c>
      <c r="Z46" s="163" t="e">
        <f>INDEX(Table3[q_EOL],MATCH(Table2[[#This Row],[Std tech lookup (not required for "AR" measure application types)]],DropdownRefrigTech,0))</f>
        <v>#N/A</v>
      </c>
      <c r="AA46" s="163" t="e">
        <f>INDEX(Table3[q_EOL],MATCH(Table2[[#This Row],[Msr tech lookup]],DropdownRefrigTech,0))</f>
        <v>#N/A</v>
      </c>
      <c r="AB46" s="163" t="e">
        <f>Table2[[#This Row],[Pre charging remaining (%)]]*Table2[[#This Row],[Pre gross EOL refrigerant leakage %]]</f>
        <v>#N/A</v>
      </c>
      <c r="AC46" s="163" t="e">
        <f>Table2[[#This Row],[Std charging remaining (%)]]*Table2[[#This Row],[Std gross EOL refrigerant leakage %]]</f>
        <v>#N/A</v>
      </c>
      <c r="AD46" s="163" t="e">
        <f>Table2[[#This Row],[Msr charging remaining (%)]]*Table2[[#This Row],[Msr gross EOL refrigerant leakage %]]</f>
        <v>#N/A</v>
      </c>
      <c r="AE46" s="164" t="e" cm="1">
        <f t="array" ref="AE46">INDEX(_xlfn.SWITCH($B$4,"20-yr",GWP_Values_20_year_AR4,"100-yr",GWP_Values_100_year_AR4),MATCH(Table2[[#This Row],[Pre Refrigerant Type]],RefrigDropdownList,0))</f>
        <v>#N/A</v>
      </c>
      <c r="AF46" s="164" t="e" cm="1">
        <f t="array" ref="AF46">INDEX(_xlfn.SWITCH($B$4,"20-yr",GWP_Values_20_year_AR4,"100-yr",GWP_Values_100_year_AR4),MATCH(Table2[[#This Row],[Std Refrigerant Type]],RefrigDropdownList,0))</f>
        <v>#N/A</v>
      </c>
      <c r="AG46" s="164" t="e" cm="1">
        <f t="array" ref="AG46">INDEX(_xlfn.SWITCH($B$4,"20-yr",GWP_Values_20_year_AR4,"100-yr",GWP_Values_100_year_AR4),MATCH(Table2[[#This Row],[Msr Refrigerant Type]],RefrigDropdownList,0))</f>
        <v>#N/A</v>
      </c>
      <c r="AH46" s="165" t="e">
        <f>(Table2[[#This Row],[Pre Refrigerant charge (lbs) per NormUnit]]/pounds_per_metric_ton)*Table2[[#This Row],[Pre annual refrigerant leakage %]]*Table2[[#This Row],[Pre GWP]]</f>
        <v>#N/A</v>
      </c>
      <c r="AI46" s="165" t="e">
        <f>(Table2[[#This Row],[Std Refrigerant charge (lbs)per NormUnit]]/pounds_per_metric_ton)*Table2[[#This Row],[Std annual refrigerant leakage %]]*Table2[[#This Row],[Std GWP]]</f>
        <v>#N/A</v>
      </c>
      <c r="AJ46" s="165" t="e">
        <f>(Table2[[#This Row],[Msr Refrigerant charge (lbs)per NormUnit]]/pounds_per_metric_ton)*Table2[[#This Row],[Msr annual refrigerant leakage %]]*Table2[[#This Row],[Msr GWP]]</f>
        <v>#N/A</v>
      </c>
      <c r="AK46" s="165" t="e">
        <f>(Table2[[#This Row],[Pre Refrigerant charge (lbs) per NormUnit]]/pounds_per_metric_ton)*Table2[[#This Row],[Pre net EOL refrigerant leakage (%)]]*Table2[[#This Row],[Pre GWP]]</f>
        <v>#N/A</v>
      </c>
      <c r="AL46" s="165" t="e">
        <f>(Table2[[#This Row],[Std Refrigerant charge (lbs)per NormUnit]]/pounds_per_metric_ton)*Table2[[#This Row],[Std net EOL refrigerant leakage (%)]]*Table2[[#This Row],[Std GWP]]</f>
        <v>#N/A</v>
      </c>
      <c r="AM46" s="165" t="e">
        <f>(Table2[[#This Row],[Msr Refrigerant charge (lbs)per NormUnit]]/pounds_per_metric_ton)*Table2[[#This Row],[Msr net EOL refrigerant leakage (%)]]*Table2[[#This Row],[Msr GWP]]</f>
        <v>#N/A</v>
      </c>
      <c r="AN46" s="174" cm="1">
        <f t="array" aca="1" ref="AN46" ca="1">IF(Table2[[#This Row],[MeasAppType]]="AR",Table2[[#This Row],[Pre Annual leakage tons CO2e]]*NPV(WACC,OFFSET(const_ones,0,0,1,Table2[[#This Row],[EUL]])*OFFSET(GHG_Adder_dollar_per_tonne,0,(Table2[[#This Row],[Device installation year]])-GHG_Adder_Yr1,1,Table2[[#This Row],[EUL]]))/(1+WACC)^(Table2[[#This Row],[Device installation year]]-DY),0)</f>
        <v>0</v>
      </c>
      <c r="AO46" s="174" t="e" cm="1">
        <f t="array" aca="1" ref="AO46"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46" s="174" t="e" cm="1">
        <f t="array" aca="1" ref="AP46" ca="1">Table2[[#This Row],[Msr Annual leakage tons CO2e]]*NPV(WACC,OFFSET(const_ones,0,0,1,Table2[[#This Row],[EUL]])*OFFSET(GHG_Adder_dollar_per_tonne,0,((Table2[[#This Row],[Device installation year]])-GHG_Adder_Yr1),1,Table2[[#This Row],[EUL]]))/(1+WACC)^(Table2[[#This Row],[Device installation year]]-DY)</f>
        <v>#N/A</v>
      </c>
      <c r="AQ46" s="260" cm="1">
        <f t="array" aca="1" ref="AQ46"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46" s="261" t="e" cm="1">
        <f t="array" aca="1" ref="AR46"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46" s="261" t="e" cm="1">
        <f t="array" aca="1" ref="AS46" ca="1">Table2[[#This Row],[Msr EOL leakage tons CO2e]]*NPV(WACC,OFFSET(const_repeat_after,Table2[[#This Row],[EUL]],0,1,Table2[[#This Row],[EUL]])*OFFSET(GHG_Adder_dollar_per_tonne,0,(Table2[[#This Row],[Device installation year]])-GHG_Adder_Yr1,1,Table2[[#This Row],[EUL]]))/(1+WACC)^(Table2[[#This Row],[Device installation year]]-DY)</f>
        <v>#N/A</v>
      </c>
      <c r="AT46" s="260">
        <f>0</f>
        <v>0</v>
      </c>
      <c r="AU46"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46" s="174" t="e">
        <f ca="1">Table2[[#This Row],[RefrigerantNPVCostsNet]]&gt;0</f>
        <v>#N/A</v>
      </c>
      <c r="AW46" s="174">
        <f>0</f>
        <v>0</v>
      </c>
      <c r="AX46" s="174">
        <f>0</f>
        <v>0</v>
      </c>
      <c r="AY46" s="174">
        <f>0</f>
        <v>0</v>
      </c>
      <c r="AZ46" s="174">
        <f ca="1">Table2[[#This Row],[Pre NPV Cost of Annual Leakage]]+Table2[[#This Row],[Pre NPV Cost of EOL Leakage]]</f>
        <v>0</v>
      </c>
      <c r="BA46" s="174" t="e">
        <f ca="1">Table2[[#This Row],[Std NPV Cost of Annual Leakage]]+Table2[[#This Row],[Std NPV Cost of EOL Leakage]]</f>
        <v>#N/A</v>
      </c>
      <c r="BB46" s="174" t="e">
        <f ca="1">Table2[[#This Row],[AR immediate NPV cost of leakage]]+Table2[[#This Row],[Msr NPV Cost of Annual Leakage]]+Table2[[#This Row],[Msr NPV Cost of EOL Leakage]]</f>
        <v>#N/A</v>
      </c>
      <c r="BC46" s="273" t="e">
        <f ca="1">IF(Table2[[#This Row],[Is Net Cost?]],Table2[[#This Row],[RefrigerantNPVCostsNet]],0)</f>
        <v>#N/A</v>
      </c>
      <c r="BD46" s="174" t="e">
        <f ca="1">IF(Table2[[#This Row],[Is Net Cost?]],0,-Table2[[#This Row],[RefrigerantNPVCostsNet]])</f>
        <v>#N/A</v>
      </c>
    </row>
    <row r="47" spans="1:56" x14ac:dyDescent="0.3">
      <c r="A47" s="173">
        <f t="shared" si="1"/>
        <v>2022</v>
      </c>
      <c r="B47" s="268"/>
      <c r="C47" s="212"/>
      <c r="D47" s="212"/>
      <c r="E47" s="216" t="str">
        <f>IF(Table2[[#This Row],[MeasAppType]]="NR","N/A","N/A")</f>
        <v>N/A</v>
      </c>
      <c r="F47" s="272"/>
      <c r="G47" s="218"/>
      <c r="H47" s="218"/>
      <c r="I47" s="218"/>
      <c r="J47" s="173" t="e">
        <f>INDEX(Table3[CommonRefrigerantType],MATCH(Table2[[#This Row],[Pre tech lookup (not required for "NR" measure application types)]],DropdownRefrigTech,0))</f>
        <v>#N/A</v>
      </c>
      <c r="K47" s="173" t="e">
        <f>INDEX(Table3[CommonRefrigerantType],MATCH(Table2[[#This Row],[Std tech lookup (not required for "AR" measure application types)]],DropdownRefrigTech,0))</f>
        <v>#N/A</v>
      </c>
      <c r="L47" s="173" t="e">
        <f>INDEX(Table3[CommonRefrigerantType],MATCH(Table2[[#This Row],[Msr tech lookup]],DropdownRefrigTech,0))</f>
        <v>#N/A</v>
      </c>
      <c r="M47" s="134" t="e">
        <f>INDEX(Table3[RefrigChargePoundsPerNormUnit],MATCH(Table2[[#This Row],[Pre tech lookup (not required for "NR" measure application types)]],DropdownRefrigTech,0))</f>
        <v>#N/A</v>
      </c>
      <c r="N47" s="134" t="e">
        <f>INDEX(Table3[RefrigChargePoundsPerNormUnit],MATCH(Table2[[#This Row],[Std tech lookup (not required for "AR" measure application types)]],DropdownRefrigTech,0))</f>
        <v>#N/A</v>
      </c>
      <c r="O47" s="149" t="e">
        <f>INDEX(Table3[RefrigChargePoundsPerNormUnit],MATCH(Table2[[#This Row],[Msr tech lookup]],DropdownRefrigTech,0))</f>
        <v>#N/A</v>
      </c>
      <c r="P47" s="163" t="e">
        <f>INDEX(Table3[AnnualLeakageRate],MATCH(Table2[[#This Row],[Pre tech lookup (not required for "NR" measure application types)]],DropdownRefrigTech,0))</f>
        <v>#N/A</v>
      </c>
      <c r="Q47" s="163" t="e">
        <f>INDEX(Table3[AnnualLeakageRate],MATCH(Table2[[#This Row],[Std tech lookup (not required for "AR" measure application types)]],DropdownRefrigTech,0))</f>
        <v>#N/A</v>
      </c>
      <c r="R47" s="163" t="e">
        <f>INDEX(Table3[AnnualLeakageRate],MATCH(Table2[[#This Row],[Msr tech lookup]],DropdownRefrigTech,0))</f>
        <v>#N/A</v>
      </c>
      <c r="S47" s="164" t="e">
        <f>INDEX(Table3[t_EOL],MATCH(Table2[[#This Row],[Pre tech lookup (not required for "NR" measure application types)]],DropdownRefrigTech,0))</f>
        <v>#N/A</v>
      </c>
      <c r="T47" s="164" t="e">
        <f>INDEX(Table3[t_EOL],MATCH(Table2[[#This Row],[Std tech lookup (not required for "AR" measure application types)]],DropdownRefrigTech,0))</f>
        <v>#N/A</v>
      </c>
      <c r="U47" s="164" t="e">
        <f>INDEX(Table3[t_EOL],MATCH(Table2[[#This Row],[Msr tech lookup]],DropdownRefrigTech,0))</f>
        <v>#N/A</v>
      </c>
      <c r="V47" s="163" t="e">
        <f>1-Table2[[#This Row],[Pre annual refrigerant leakage %]]*Table2[[#This Row],[Pre t_EOL]]</f>
        <v>#N/A</v>
      </c>
      <c r="W47" s="163" t="e">
        <f>1-Table2[[#This Row],[Std annual refrigerant leakage %]]*Table2[[#This Row],[Std t_EOL]]</f>
        <v>#N/A</v>
      </c>
      <c r="X47" s="163" t="e">
        <f>1-Table2[[#This Row],[Msr annual refrigerant leakage %]]*Table2[[#This Row],[Msr t_EOL]]</f>
        <v>#N/A</v>
      </c>
      <c r="Y47" s="163" t="e">
        <f>INDEX(Table3[q_EOL],MATCH(Table2[[#This Row],[Pre tech lookup (not required for "NR" measure application types)]],DropdownRefrigTech,0))</f>
        <v>#N/A</v>
      </c>
      <c r="Z47" s="163" t="e">
        <f>INDEX(Table3[q_EOL],MATCH(Table2[[#This Row],[Std tech lookup (not required for "AR" measure application types)]],DropdownRefrigTech,0))</f>
        <v>#N/A</v>
      </c>
      <c r="AA47" s="163" t="e">
        <f>INDEX(Table3[q_EOL],MATCH(Table2[[#This Row],[Msr tech lookup]],DropdownRefrigTech,0))</f>
        <v>#N/A</v>
      </c>
      <c r="AB47" s="163" t="e">
        <f>Table2[[#This Row],[Pre charging remaining (%)]]*Table2[[#This Row],[Pre gross EOL refrigerant leakage %]]</f>
        <v>#N/A</v>
      </c>
      <c r="AC47" s="163" t="e">
        <f>Table2[[#This Row],[Std charging remaining (%)]]*Table2[[#This Row],[Std gross EOL refrigerant leakage %]]</f>
        <v>#N/A</v>
      </c>
      <c r="AD47" s="163" t="e">
        <f>Table2[[#This Row],[Msr charging remaining (%)]]*Table2[[#This Row],[Msr gross EOL refrigerant leakage %]]</f>
        <v>#N/A</v>
      </c>
      <c r="AE47" s="164" t="e" cm="1">
        <f t="array" ref="AE47">INDEX(_xlfn.SWITCH($B$4,"20-yr",GWP_Values_20_year_AR4,"100-yr",GWP_Values_100_year_AR4),MATCH(Table2[[#This Row],[Pre Refrigerant Type]],RefrigDropdownList,0))</f>
        <v>#N/A</v>
      </c>
      <c r="AF47" s="164" t="e" cm="1">
        <f t="array" ref="AF47">INDEX(_xlfn.SWITCH($B$4,"20-yr",GWP_Values_20_year_AR4,"100-yr",GWP_Values_100_year_AR4),MATCH(Table2[[#This Row],[Std Refrigerant Type]],RefrigDropdownList,0))</f>
        <v>#N/A</v>
      </c>
      <c r="AG47" s="164" t="e" cm="1">
        <f t="array" ref="AG47">INDEX(_xlfn.SWITCH($B$4,"20-yr",GWP_Values_20_year_AR4,"100-yr",GWP_Values_100_year_AR4),MATCH(Table2[[#This Row],[Msr Refrigerant Type]],RefrigDropdownList,0))</f>
        <v>#N/A</v>
      </c>
      <c r="AH47" s="165" t="e">
        <f>(Table2[[#This Row],[Pre Refrigerant charge (lbs) per NormUnit]]/pounds_per_metric_ton)*Table2[[#This Row],[Pre annual refrigerant leakage %]]*Table2[[#This Row],[Pre GWP]]</f>
        <v>#N/A</v>
      </c>
      <c r="AI47" s="165" t="e">
        <f>(Table2[[#This Row],[Std Refrigerant charge (lbs)per NormUnit]]/pounds_per_metric_ton)*Table2[[#This Row],[Std annual refrigerant leakage %]]*Table2[[#This Row],[Std GWP]]</f>
        <v>#N/A</v>
      </c>
      <c r="AJ47" s="165" t="e">
        <f>(Table2[[#This Row],[Msr Refrigerant charge (lbs)per NormUnit]]/pounds_per_metric_ton)*Table2[[#This Row],[Msr annual refrigerant leakage %]]*Table2[[#This Row],[Msr GWP]]</f>
        <v>#N/A</v>
      </c>
      <c r="AK47" s="165" t="e">
        <f>(Table2[[#This Row],[Pre Refrigerant charge (lbs) per NormUnit]]/pounds_per_metric_ton)*Table2[[#This Row],[Pre net EOL refrigerant leakage (%)]]*Table2[[#This Row],[Pre GWP]]</f>
        <v>#N/A</v>
      </c>
      <c r="AL47" s="165" t="e">
        <f>(Table2[[#This Row],[Std Refrigerant charge (lbs)per NormUnit]]/pounds_per_metric_ton)*Table2[[#This Row],[Std net EOL refrigerant leakage (%)]]*Table2[[#This Row],[Std GWP]]</f>
        <v>#N/A</v>
      </c>
      <c r="AM47" s="165" t="e">
        <f>(Table2[[#This Row],[Msr Refrigerant charge (lbs)per NormUnit]]/pounds_per_metric_ton)*Table2[[#This Row],[Msr net EOL refrigerant leakage (%)]]*Table2[[#This Row],[Msr GWP]]</f>
        <v>#N/A</v>
      </c>
      <c r="AN47" s="174" cm="1">
        <f t="array" aca="1" ref="AN47" ca="1">IF(Table2[[#This Row],[MeasAppType]]="AR",Table2[[#This Row],[Pre Annual leakage tons CO2e]]*NPV(WACC,OFFSET(const_ones,0,0,1,Table2[[#This Row],[EUL]])*OFFSET(GHG_Adder_dollar_per_tonne,0,(Table2[[#This Row],[Device installation year]])-GHG_Adder_Yr1,1,Table2[[#This Row],[EUL]]))/(1+WACC)^(Table2[[#This Row],[Device installation year]]-DY),0)</f>
        <v>0</v>
      </c>
      <c r="AO47" s="174" t="e" cm="1">
        <f t="array" aca="1" ref="AO47"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47" s="174" t="e" cm="1">
        <f t="array" aca="1" ref="AP47" ca="1">Table2[[#This Row],[Msr Annual leakage tons CO2e]]*NPV(WACC,OFFSET(const_ones,0,0,1,Table2[[#This Row],[EUL]])*OFFSET(GHG_Adder_dollar_per_tonne,0,((Table2[[#This Row],[Device installation year]])-GHG_Adder_Yr1),1,Table2[[#This Row],[EUL]]))/(1+WACC)^(Table2[[#This Row],[Device installation year]]-DY)</f>
        <v>#N/A</v>
      </c>
      <c r="AQ47" s="260" cm="1">
        <f t="array" aca="1" ref="AQ47"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47" s="261" t="e" cm="1">
        <f t="array" aca="1" ref="AR47"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47" s="261" t="e" cm="1">
        <f t="array" aca="1" ref="AS47" ca="1">Table2[[#This Row],[Msr EOL leakage tons CO2e]]*NPV(WACC,OFFSET(const_repeat_after,Table2[[#This Row],[EUL]],0,1,Table2[[#This Row],[EUL]])*OFFSET(GHG_Adder_dollar_per_tonne,0,(Table2[[#This Row],[Device installation year]])-GHG_Adder_Yr1,1,Table2[[#This Row],[EUL]]))/(1+WACC)^(Table2[[#This Row],[Device installation year]]-DY)</f>
        <v>#N/A</v>
      </c>
      <c r="AT47" s="260">
        <f>0</f>
        <v>0</v>
      </c>
      <c r="AU47"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47" s="174" t="e">
        <f ca="1">Table2[[#This Row],[RefrigerantNPVCostsNet]]&gt;0</f>
        <v>#N/A</v>
      </c>
      <c r="AW47" s="174">
        <f>0</f>
        <v>0</v>
      </c>
      <c r="AX47" s="174">
        <f>0</f>
        <v>0</v>
      </c>
      <c r="AY47" s="174">
        <f>0</f>
        <v>0</v>
      </c>
      <c r="AZ47" s="174">
        <f ca="1">Table2[[#This Row],[Pre NPV Cost of Annual Leakage]]+Table2[[#This Row],[Pre NPV Cost of EOL Leakage]]</f>
        <v>0</v>
      </c>
      <c r="BA47" s="174" t="e">
        <f ca="1">Table2[[#This Row],[Std NPV Cost of Annual Leakage]]+Table2[[#This Row],[Std NPV Cost of EOL Leakage]]</f>
        <v>#N/A</v>
      </c>
      <c r="BB47" s="174" t="e">
        <f ca="1">Table2[[#This Row],[AR immediate NPV cost of leakage]]+Table2[[#This Row],[Msr NPV Cost of Annual Leakage]]+Table2[[#This Row],[Msr NPV Cost of EOL Leakage]]</f>
        <v>#N/A</v>
      </c>
      <c r="BC47" s="273" t="e">
        <f ca="1">IF(Table2[[#This Row],[Is Net Cost?]],Table2[[#This Row],[RefrigerantNPVCostsNet]],0)</f>
        <v>#N/A</v>
      </c>
      <c r="BD47" s="174" t="e">
        <f ca="1">IF(Table2[[#This Row],[Is Net Cost?]],0,-Table2[[#This Row],[RefrigerantNPVCostsNet]])</f>
        <v>#N/A</v>
      </c>
    </row>
    <row r="48" spans="1:56" x14ac:dyDescent="0.3">
      <c r="A48" s="173">
        <f t="shared" si="1"/>
        <v>2022</v>
      </c>
      <c r="B48" s="268"/>
      <c r="C48" s="212"/>
      <c r="D48" s="212"/>
      <c r="E48" s="216" t="str">
        <f>IF(Table2[[#This Row],[MeasAppType]]="NR","N/A","N/A")</f>
        <v>N/A</v>
      </c>
      <c r="F48" s="272"/>
      <c r="G48" s="218"/>
      <c r="H48" s="218"/>
      <c r="I48" s="218"/>
      <c r="J48" s="173" t="e">
        <f>INDEX(Table3[CommonRefrigerantType],MATCH(Table2[[#This Row],[Pre tech lookup (not required for "NR" measure application types)]],DropdownRefrigTech,0))</f>
        <v>#N/A</v>
      </c>
      <c r="K48" s="173" t="e">
        <f>INDEX(Table3[CommonRefrigerantType],MATCH(Table2[[#This Row],[Std tech lookup (not required for "AR" measure application types)]],DropdownRefrigTech,0))</f>
        <v>#N/A</v>
      </c>
      <c r="L48" s="173" t="e">
        <f>INDEX(Table3[CommonRefrigerantType],MATCH(Table2[[#This Row],[Msr tech lookup]],DropdownRefrigTech,0))</f>
        <v>#N/A</v>
      </c>
      <c r="M48" s="134" t="e">
        <f>INDEX(Table3[RefrigChargePoundsPerNormUnit],MATCH(Table2[[#This Row],[Pre tech lookup (not required for "NR" measure application types)]],DropdownRefrigTech,0))</f>
        <v>#N/A</v>
      </c>
      <c r="N48" s="134" t="e">
        <f>INDEX(Table3[RefrigChargePoundsPerNormUnit],MATCH(Table2[[#This Row],[Std tech lookup (not required for "AR" measure application types)]],DropdownRefrigTech,0))</f>
        <v>#N/A</v>
      </c>
      <c r="O48" s="149" t="e">
        <f>INDEX(Table3[RefrigChargePoundsPerNormUnit],MATCH(Table2[[#This Row],[Msr tech lookup]],DropdownRefrigTech,0))</f>
        <v>#N/A</v>
      </c>
      <c r="P48" s="163" t="e">
        <f>INDEX(Table3[AnnualLeakageRate],MATCH(Table2[[#This Row],[Pre tech lookup (not required for "NR" measure application types)]],DropdownRefrigTech,0))</f>
        <v>#N/A</v>
      </c>
      <c r="Q48" s="163" t="e">
        <f>INDEX(Table3[AnnualLeakageRate],MATCH(Table2[[#This Row],[Std tech lookup (not required for "AR" measure application types)]],DropdownRefrigTech,0))</f>
        <v>#N/A</v>
      </c>
      <c r="R48" s="163" t="e">
        <f>INDEX(Table3[AnnualLeakageRate],MATCH(Table2[[#This Row],[Msr tech lookup]],DropdownRefrigTech,0))</f>
        <v>#N/A</v>
      </c>
      <c r="S48" s="164" t="e">
        <f>INDEX(Table3[t_EOL],MATCH(Table2[[#This Row],[Pre tech lookup (not required for "NR" measure application types)]],DropdownRefrigTech,0))</f>
        <v>#N/A</v>
      </c>
      <c r="T48" s="164" t="e">
        <f>INDEX(Table3[t_EOL],MATCH(Table2[[#This Row],[Std tech lookup (not required for "AR" measure application types)]],DropdownRefrigTech,0))</f>
        <v>#N/A</v>
      </c>
      <c r="U48" s="164" t="e">
        <f>INDEX(Table3[t_EOL],MATCH(Table2[[#This Row],[Msr tech lookup]],DropdownRefrigTech,0))</f>
        <v>#N/A</v>
      </c>
      <c r="V48" s="163" t="e">
        <f>1-Table2[[#This Row],[Pre annual refrigerant leakage %]]*Table2[[#This Row],[Pre t_EOL]]</f>
        <v>#N/A</v>
      </c>
      <c r="W48" s="163" t="e">
        <f>1-Table2[[#This Row],[Std annual refrigerant leakage %]]*Table2[[#This Row],[Std t_EOL]]</f>
        <v>#N/A</v>
      </c>
      <c r="X48" s="163" t="e">
        <f>1-Table2[[#This Row],[Msr annual refrigerant leakage %]]*Table2[[#This Row],[Msr t_EOL]]</f>
        <v>#N/A</v>
      </c>
      <c r="Y48" s="163" t="e">
        <f>INDEX(Table3[q_EOL],MATCH(Table2[[#This Row],[Pre tech lookup (not required for "NR" measure application types)]],DropdownRefrigTech,0))</f>
        <v>#N/A</v>
      </c>
      <c r="Z48" s="163" t="e">
        <f>INDEX(Table3[q_EOL],MATCH(Table2[[#This Row],[Std tech lookup (not required for "AR" measure application types)]],DropdownRefrigTech,0))</f>
        <v>#N/A</v>
      </c>
      <c r="AA48" s="163" t="e">
        <f>INDEX(Table3[q_EOL],MATCH(Table2[[#This Row],[Msr tech lookup]],DropdownRefrigTech,0))</f>
        <v>#N/A</v>
      </c>
      <c r="AB48" s="163" t="e">
        <f>Table2[[#This Row],[Pre charging remaining (%)]]*Table2[[#This Row],[Pre gross EOL refrigerant leakage %]]</f>
        <v>#N/A</v>
      </c>
      <c r="AC48" s="163" t="e">
        <f>Table2[[#This Row],[Std charging remaining (%)]]*Table2[[#This Row],[Std gross EOL refrigerant leakage %]]</f>
        <v>#N/A</v>
      </c>
      <c r="AD48" s="163" t="e">
        <f>Table2[[#This Row],[Msr charging remaining (%)]]*Table2[[#This Row],[Msr gross EOL refrigerant leakage %]]</f>
        <v>#N/A</v>
      </c>
      <c r="AE48" s="164" t="e" cm="1">
        <f t="array" ref="AE48">INDEX(_xlfn.SWITCH($B$4,"20-yr",GWP_Values_20_year_AR4,"100-yr",GWP_Values_100_year_AR4),MATCH(Table2[[#This Row],[Pre Refrigerant Type]],RefrigDropdownList,0))</f>
        <v>#N/A</v>
      </c>
      <c r="AF48" s="164" t="e" cm="1">
        <f t="array" ref="AF48">INDEX(_xlfn.SWITCH($B$4,"20-yr",GWP_Values_20_year_AR4,"100-yr",GWP_Values_100_year_AR4),MATCH(Table2[[#This Row],[Std Refrigerant Type]],RefrigDropdownList,0))</f>
        <v>#N/A</v>
      </c>
      <c r="AG48" s="164" t="e" cm="1">
        <f t="array" ref="AG48">INDEX(_xlfn.SWITCH($B$4,"20-yr",GWP_Values_20_year_AR4,"100-yr",GWP_Values_100_year_AR4),MATCH(Table2[[#This Row],[Msr Refrigerant Type]],RefrigDropdownList,0))</f>
        <v>#N/A</v>
      </c>
      <c r="AH48" s="165" t="e">
        <f>(Table2[[#This Row],[Pre Refrigerant charge (lbs) per NormUnit]]/pounds_per_metric_ton)*Table2[[#This Row],[Pre annual refrigerant leakage %]]*Table2[[#This Row],[Pre GWP]]</f>
        <v>#N/A</v>
      </c>
      <c r="AI48" s="165" t="e">
        <f>(Table2[[#This Row],[Std Refrigerant charge (lbs)per NormUnit]]/pounds_per_metric_ton)*Table2[[#This Row],[Std annual refrigerant leakage %]]*Table2[[#This Row],[Std GWP]]</f>
        <v>#N/A</v>
      </c>
      <c r="AJ48" s="165" t="e">
        <f>(Table2[[#This Row],[Msr Refrigerant charge (lbs)per NormUnit]]/pounds_per_metric_ton)*Table2[[#This Row],[Msr annual refrigerant leakage %]]*Table2[[#This Row],[Msr GWP]]</f>
        <v>#N/A</v>
      </c>
      <c r="AK48" s="165" t="e">
        <f>(Table2[[#This Row],[Pre Refrigerant charge (lbs) per NormUnit]]/pounds_per_metric_ton)*Table2[[#This Row],[Pre net EOL refrigerant leakage (%)]]*Table2[[#This Row],[Pre GWP]]</f>
        <v>#N/A</v>
      </c>
      <c r="AL48" s="165" t="e">
        <f>(Table2[[#This Row],[Std Refrigerant charge (lbs)per NormUnit]]/pounds_per_metric_ton)*Table2[[#This Row],[Std net EOL refrigerant leakage (%)]]*Table2[[#This Row],[Std GWP]]</f>
        <v>#N/A</v>
      </c>
      <c r="AM48" s="165" t="e">
        <f>(Table2[[#This Row],[Msr Refrigerant charge (lbs)per NormUnit]]/pounds_per_metric_ton)*Table2[[#This Row],[Msr net EOL refrigerant leakage (%)]]*Table2[[#This Row],[Msr GWP]]</f>
        <v>#N/A</v>
      </c>
      <c r="AN48" s="174" cm="1">
        <f t="array" aca="1" ref="AN48" ca="1">IF(Table2[[#This Row],[MeasAppType]]="AR",Table2[[#This Row],[Pre Annual leakage tons CO2e]]*NPV(WACC,OFFSET(const_ones,0,0,1,Table2[[#This Row],[EUL]])*OFFSET(GHG_Adder_dollar_per_tonne,0,(Table2[[#This Row],[Device installation year]])-GHG_Adder_Yr1,1,Table2[[#This Row],[EUL]]))/(1+WACC)^(Table2[[#This Row],[Device installation year]]-DY),0)</f>
        <v>0</v>
      </c>
      <c r="AO48" s="174" t="e" cm="1">
        <f t="array" aca="1" ref="AO48"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48" s="174" t="e" cm="1">
        <f t="array" aca="1" ref="AP48" ca="1">Table2[[#This Row],[Msr Annual leakage tons CO2e]]*NPV(WACC,OFFSET(const_ones,0,0,1,Table2[[#This Row],[EUL]])*OFFSET(GHG_Adder_dollar_per_tonne,0,((Table2[[#This Row],[Device installation year]])-GHG_Adder_Yr1),1,Table2[[#This Row],[EUL]]))/(1+WACC)^(Table2[[#This Row],[Device installation year]]-DY)</f>
        <v>#N/A</v>
      </c>
      <c r="AQ48" s="260" cm="1">
        <f t="array" aca="1" ref="AQ48"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48" s="261" t="e" cm="1">
        <f t="array" aca="1" ref="AR48"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48" s="261" t="e" cm="1">
        <f t="array" aca="1" ref="AS48" ca="1">Table2[[#This Row],[Msr EOL leakage tons CO2e]]*NPV(WACC,OFFSET(const_repeat_after,Table2[[#This Row],[EUL]],0,1,Table2[[#This Row],[EUL]])*OFFSET(GHG_Adder_dollar_per_tonne,0,(Table2[[#This Row],[Device installation year]])-GHG_Adder_Yr1,1,Table2[[#This Row],[EUL]]))/(1+WACC)^(Table2[[#This Row],[Device installation year]]-DY)</f>
        <v>#N/A</v>
      </c>
      <c r="AT48" s="260">
        <f>0</f>
        <v>0</v>
      </c>
      <c r="AU48"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48" s="174" t="e">
        <f ca="1">Table2[[#This Row],[RefrigerantNPVCostsNet]]&gt;0</f>
        <v>#N/A</v>
      </c>
      <c r="AW48" s="174">
        <f>0</f>
        <v>0</v>
      </c>
      <c r="AX48" s="174">
        <f>0</f>
        <v>0</v>
      </c>
      <c r="AY48" s="174">
        <f>0</f>
        <v>0</v>
      </c>
      <c r="AZ48" s="174">
        <f ca="1">Table2[[#This Row],[Pre NPV Cost of Annual Leakage]]+Table2[[#This Row],[Pre NPV Cost of EOL Leakage]]</f>
        <v>0</v>
      </c>
      <c r="BA48" s="174" t="e">
        <f ca="1">Table2[[#This Row],[Std NPV Cost of Annual Leakage]]+Table2[[#This Row],[Std NPV Cost of EOL Leakage]]</f>
        <v>#N/A</v>
      </c>
      <c r="BB48" s="174" t="e">
        <f ca="1">Table2[[#This Row],[AR immediate NPV cost of leakage]]+Table2[[#This Row],[Msr NPV Cost of Annual Leakage]]+Table2[[#This Row],[Msr NPV Cost of EOL Leakage]]</f>
        <v>#N/A</v>
      </c>
      <c r="BC48" s="273" t="e">
        <f ca="1">IF(Table2[[#This Row],[Is Net Cost?]],Table2[[#This Row],[RefrigerantNPVCostsNet]],0)</f>
        <v>#N/A</v>
      </c>
      <c r="BD48" s="174" t="e">
        <f ca="1">IF(Table2[[#This Row],[Is Net Cost?]],0,-Table2[[#This Row],[RefrigerantNPVCostsNet]])</f>
        <v>#N/A</v>
      </c>
    </row>
    <row r="49" spans="1:56" x14ac:dyDescent="0.3">
      <c r="A49" s="173">
        <f t="shared" ref="A49:A80" si="2">$B$2</f>
        <v>2022</v>
      </c>
      <c r="B49" s="268"/>
      <c r="C49" s="212"/>
      <c r="D49" s="212"/>
      <c r="E49" s="216" t="str">
        <f>IF(Table2[[#This Row],[MeasAppType]]="NR","N/A","N/A")</f>
        <v>N/A</v>
      </c>
      <c r="F49" s="272"/>
      <c r="G49" s="218"/>
      <c r="H49" s="218"/>
      <c r="I49" s="218"/>
      <c r="J49" s="173" t="e">
        <f>INDEX(Table3[CommonRefrigerantType],MATCH(Table2[[#This Row],[Pre tech lookup (not required for "NR" measure application types)]],DropdownRefrigTech,0))</f>
        <v>#N/A</v>
      </c>
      <c r="K49" s="173" t="e">
        <f>INDEX(Table3[CommonRefrigerantType],MATCH(Table2[[#This Row],[Std tech lookup (not required for "AR" measure application types)]],DropdownRefrigTech,0))</f>
        <v>#N/A</v>
      </c>
      <c r="L49" s="173" t="e">
        <f>INDEX(Table3[CommonRefrigerantType],MATCH(Table2[[#This Row],[Msr tech lookup]],DropdownRefrigTech,0))</f>
        <v>#N/A</v>
      </c>
      <c r="M49" s="134" t="e">
        <f>INDEX(Table3[RefrigChargePoundsPerNormUnit],MATCH(Table2[[#This Row],[Pre tech lookup (not required for "NR" measure application types)]],DropdownRefrigTech,0))</f>
        <v>#N/A</v>
      </c>
      <c r="N49" s="134" t="e">
        <f>INDEX(Table3[RefrigChargePoundsPerNormUnit],MATCH(Table2[[#This Row],[Std tech lookup (not required for "AR" measure application types)]],DropdownRefrigTech,0))</f>
        <v>#N/A</v>
      </c>
      <c r="O49" s="149" t="e">
        <f>INDEX(Table3[RefrigChargePoundsPerNormUnit],MATCH(Table2[[#This Row],[Msr tech lookup]],DropdownRefrigTech,0))</f>
        <v>#N/A</v>
      </c>
      <c r="P49" s="163" t="e">
        <f>INDEX(Table3[AnnualLeakageRate],MATCH(Table2[[#This Row],[Pre tech lookup (not required for "NR" measure application types)]],DropdownRefrigTech,0))</f>
        <v>#N/A</v>
      </c>
      <c r="Q49" s="163" t="e">
        <f>INDEX(Table3[AnnualLeakageRate],MATCH(Table2[[#This Row],[Std tech lookup (not required for "AR" measure application types)]],DropdownRefrigTech,0))</f>
        <v>#N/A</v>
      </c>
      <c r="R49" s="163" t="e">
        <f>INDEX(Table3[AnnualLeakageRate],MATCH(Table2[[#This Row],[Msr tech lookup]],DropdownRefrigTech,0))</f>
        <v>#N/A</v>
      </c>
      <c r="S49" s="164" t="e">
        <f>INDEX(Table3[t_EOL],MATCH(Table2[[#This Row],[Pre tech lookup (not required for "NR" measure application types)]],DropdownRefrigTech,0))</f>
        <v>#N/A</v>
      </c>
      <c r="T49" s="164" t="e">
        <f>INDEX(Table3[t_EOL],MATCH(Table2[[#This Row],[Std tech lookup (not required for "AR" measure application types)]],DropdownRefrigTech,0))</f>
        <v>#N/A</v>
      </c>
      <c r="U49" s="164" t="e">
        <f>INDEX(Table3[t_EOL],MATCH(Table2[[#This Row],[Msr tech lookup]],DropdownRefrigTech,0))</f>
        <v>#N/A</v>
      </c>
      <c r="V49" s="163" t="e">
        <f>1-Table2[[#This Row],[Pre annual refrigerant leakage %]]*Table2[[#This Row],[Pre t_EOL]]</f>
        <v>#N/A</v>
      </c>
      <c r="W49" s="163" t="e">
        <f>1-Table2[[#This Row],[Std annual refrigerant leakage %]]*Table2[[#This Row],[Std t_EOL]]</f>
        <v>#N/A</v>
      </c>
      <c r="X49" s="163" t="e">
        <f>1-Table2[[#This Row],[Msr annual refrigerant leakage %]]*Table2[[#This Row],[Msr t_EOL]]</f>
        <v>#N/A</v>
      </c>
      <c r="Y49" s="163" t="e">
        <f>INDEX(Table3[q_EOL],MATCH(Table2[[#This Row],[Pre tech lookup (not required for "NR" measure application types)]],DropdownRefrigTech,0))</f>
        <v>#N/A</v>
      </c>
      <c r="Z49" s="163" t="e">
        <f>INDEX(Table3[q_EOL],MATCH(Table2[[#This Row],[Std tech lookup (not required for "AR" measure application types)]],DropdownRefrigTech,0))</f>
        <v>#N/A</v>
      </c>
      <c r="AA49" s="163" t="e">
        <f>INDEX(Table3[q_EOL],MATCH(Table2[[#This Row],[Msr tech lookup]],DropdownRefrigTech,0))</f>
        <v>#N/A</v>
      </c>
      <c r="AB49" s="163" t="e">
        <f>Table2[[#This Row],[Pre charging remaining (%)]]*Table2[[#This Row],[Pre gross EOL refrigerant leakage %]]</f>
        <v>#N/A</v>
      </c>
      <c r="AC49" s="163" t="e">
        <f>Table2[[#This Row],[Std charging remaining (%)]]*Table2[[#This Row],[Std gross EOL refrigerant leakage %]]</f>
        <v>#N/A</v>
      </c>
      <c r="AD49" s="163" t="e">
        <f>Table2[[#This Row],[Msr charging remaining (%)]]*Table2[[#This Row],[Msr gross EOL refrigerant leakage %]]</f>
        <v>#N/A</v>
      </c>
      <c r="AE49" s="164" t="e" cm="1">
        <f t="array" ref="AE49">INDEX(_xlfn.SWITCH($B$4,"20-yr",GWP_Values_20_year_AR4,"100-yr",GWP_Values_100_year_AR4),MATCH(Table2[[#This Row],[Pre Refrigerant Type]],RefrigDropdownList,0))</f>
        <v>#N/A</v>
      </c>
      <c r="AF49" s="164" t="e" cm="1">
        <f t="array" ref="AF49">INDEX(_xlfn.SWITCH($B$4,"20-yr",GWP_Values_20_year_AR4,"100-yr",GWP_Values_100_year_AR4),MATCH(Table2[[#This Row],[Std Refrigerant Type]],RefrigDropdownList,0))</f>
        <v>#N/A</v>
      </c>
      <c r="AG49" s="164" t="e" cm="1">
        <f t="array" ref="AG49">INDEX(_xlfn.SWITCH($B$4,"20-yr",GWP_Values_20_year_AR4,"100-yr",GWP_Values_100_year_AR4),MATCH(Table2[[#This Row],[Msr Refrigerant Type]],RefrigDropdownList,0))</f>
        <v>#N/A</v>
      </c>
      <c r="AH49" s="165" t="e">
        <f>(Table2[[#This Row],[Pre Refrigerant charge (lbs) per NormUnit]]/pounds_per_metric_ton)*Table2[[#This Row],[Pre annual refrigerant leakage %]]*Table2[[#This Row],[Pre GWP]]</f>
        <v>#N/A</v>
      </c>
      <c r="AI49" s="165" t="e">
        <f>(Table2[[#This Row],[Std Refrigerant charge (lbs)per NormUnit]]/pounds_per_metric_ton)*Table2[[#This Row],[Std annual refrigerant leakage %]]*Table2[[#This Row],[Std GWP]]</f>
        <v>#N/A</v>
      </c>
      <c r="AJ49" s="165" t="e">
        <f>(Table2[[#This Row],[Msr Refrigerant charge (lbs)per NormUnit]]/pounds_per_metric_ton)*Table2[[#This Row],[Msr annual refrigerant leakage %]]*Table2[[#This Row],[Msr GWP]]</f>
        <v>#N/A</v>
      </c>
      <c r="AK49" s="165" t="e">
        <f>(Table2[[#This Row],[Pre Refrigerant charge (lbs) per NormUnit]]/pounds_per_metric_ton)*Table2[[#This Row],[Pre net EOL refrigerant leakage (%)]]*Table2[[#This Row],[Pre GWP]]</f>
        <v>#N/A</v>
      </c>
      <c r="AL49" s="165" t="e">
        <f>(Table2[[#This Row],[Std Refrigerant charge (lbs)per NormUnit]]/pounds_per_metric_ton)*Table2[[#This Row],[Std net EOL refrigerant leakage (%)]]*Table2[[#This Row],[Std GWP]]</f>
        <v>#N/A</v>
      </c>
      <c r="AM49" s="165" t="e">
        <f>(Table2[[#This Row],[Msr Refrigerant charge (lbs)per NormUnit]]/pounds_per_metric_ton)*Table2[[#This Row],[Msr net EOL refrigerant leakage (%)]]*Table2[[#This Row],[Msr GWP]]</f>
        <v>#N/A</v>
      </c>
      <c r="AN49" s="174" cm="1">
        <f t="array" aca="1" ref="AN49" ca="1">IF(Table2[[#This Row],[MeasAppType]]="AR",Table2[[#This Row],[Pre Annual leakage tons CO2e]]*NPV(WACC,OFFSET(const_ones,0,0,1,Table2[[#This Row],[EUL]])*OFFSET(GHG_Adder_dollar_per_tonne,0,(Table2[[#This Row],[Device installation year]])-GHG_Adder_Yr1,1,Table2[[#This Row],[EUL]]))/(1+WACC)^(Table2[[#This Row],[Device installation year]]-DY),0)</f>
        <v>0</v>
      </c>
      <c r="AO49" s="174" t="e" cm="1">
        <f t="array" aca="1" ref="AO49"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49" s="174" t="e" cm="1">
        <f t="array" aca="1" ref="AP49" ca="1">Table2[[#This Row],[Msr Annual leakage tons CO2e]]*NPV(WACC,OFFSET(const_ones,0,0,1,Table2[[#This Row],[EUL]])*OFFSET(GHG_Adder_dollar_per_tonne,0,((Table2[[#This Row],[Device installation year]])-GHG_Adder_Yr1),1,Table2[[#This Row],[EUL]]))/(1+WACC)^(Table2[[#This Row],[Device installation year]]-DY)</f>
        <v>#N/A</v>
      </c>
      <c r="AQ49" s="260" cm="1">
        <f t="array" aca="1" ref="AQ49"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49" s="261" t="e" cm="1">
        <f t="array" aca="1" ref="AR49"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49" s="261" t="e" cm="1">
        <f t="array" aca="1" ref="AS49" ca="1">Table2[[#This Row],[Msr EOL leakage tons CO2e]]*NPV(WACC,OFFSET(const_repeat_after,Table2[[#This Row],[EUL]],0,1,Table2[[#This Row],[EUL]])*OFFSET(GHG_Adder_dollar_per_tonne,0,(Table2[[#This Row],[Device installation year]])-GHG_Adder_Yr1,1,Table2[[#This Row],[EUL]]))/(1+WACC)^(Table2[[#This Row],[Device installation year]]-DY)</f>
        <v>#N/A</v>
      </c>
      <c r="AT49" s="260">
        <f>0</f>
        <v>0</v>
      </c>
      <c r="AU49"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49" s="174" t="e">
        <f ca="1">Table2[[#This Row],[RefrigerantNPVCostsNet]]&gt;0</f>
        <v>#N/A</v>
      </c>
      <c r="AW49" s="174">
        <f>0</f>
        <v>0</v>
      </c>
      <c r="AX49" s="174">
        <f>0</f>
        <v>0</v>
      </c>
      <c r="AY49" s="174">
        <f>0</f>
        <v>0</v>
      </c>
      <c r="AZ49" s="174">
        <f ca="1">Table2[[#This Row],[Pre NPV Cost of Annual Leakage]]+Table2[[#This Row],[Pre NPV Cost of EOL Leakage]]</f>
        <v>0</v>
      </c>
      <c r="BA49" s="174" t="e">
        <f ca="1">Table2[[#This Row],[Std NPV Cost of Annual Leakage]]+Table2[[#This Row],[Std NPV Cost of EOL Leakage]]</f>
        <v>#N/A</v>
      </c>
      <c r="BB49" s="174" t="e">
        <f ca="1">Table2[[#This Row],[AR immediate NPV cost of leakage]]+Table2[[#This Row],[Msr NPV Cost of Annual Leakage]]+Table2[[#This Row],[Msr NPV Cost of EOL Leakage]]</f>
        <v>#N/A</v>
      </c>
      <c r="BC49" s="273" t="e">
        <f ca="1">IF(Table2[[#This Row],[Is Net Cost?]],Table2[[#This Row],[RefrigerantNPVCostsNet]],0)</f>
        <v>#N/A</v>
      </c>
      <c r="BD49" s="174" t="e">
        <f ca="1">IF(Table2[[#This Row],[Is Net Cost?]],0,-Table2[[#This Row],[RefrigerantNPVCostsNet]])</f>
        <v>#N/A</v>
      </c>
    </row>
    <row r="50" spans="1:56" x14ac:dyDescent="0.3">
      <c r="A50" s="173">
        <f t="shared" si="2"/>
        <v>2022</v>
      </c>
      <c r="B50" s="268"/>
      <c r="C50" s="212"/>
      <c r="D50" s="212"/>
      <c r="E50" s="216" t="str">
        <f>IF(Table2[[#This Row],[MeasAppType]]="NR","N/A","N/A")</f>
        <v>N/A</v>
      </c>
      <c r="F50" s="272"/>
      <c r="G50" s="218"/>
      <c r="H50" s="218"/>
      <c r="I50" s="218"/>
      <c r="J50" s="173" t="e">
        <f>INDEX(Table3[CommonRefrigerantType],MATCH(Table2[[#This Row],[Pre tech lookup (not required for "NR" measure application types)]],DropdownRefrigTech,0))</f>
        <v>#N/A</v>
      </c>
      <c r="K50" s="173" t="e">
        <f>INDEX(Table3[CommonRefrigerantType],MATCH(Table2[[#This Row],[Std tech lookup (not required for "AR" measure application types)]],DropdownRefrigTech,0))</f>
        <v>#N/A</v>
      </c>
      <c r="L50" s="173" t="e">
        <f>INDEX(Table3[CommonRefrigerantType],MATCH(Table2[[#This Row],[Msr tech lookup]],DropdownRefrigTech,0))</f>
        <v>#N/A</v>
      </c>
      <c r="M50" s="134" t="e">
        <f>INDEX(Table3[RefrigChargePoundsPerNormUnit],MATCH(Table2[[#This Row],[Pre tech lookup (not required for "NR" measure application types)]],DropdownRefrigTech,0))</f>
        <v>#N/A</v>
      </c>
      <c r="N50" s="134" t="e">
        <f>INDEX(Table3[RefrigChargePoundsPerNormUnit],MATCH(Table2[[#This Row],[Std tech lookup (not required for "AR" measure application types)]],DropdownRefrigTech,0))</f>
        <v>#N/A</v>
      </c>
      <c r="O50" s="149" t="e">
        <f>INDEX(Table3[RefrigChargePoundsPerNormUnit],MATCH(Table2[[#This Row],[Msr tech lookup]],DropdownRefrigTech,0))</f>
        <v>#N/A</v>
      </c>
      <c r="P50" s="163" t="e">
        <f>INDEX(Table3[AnnualLeakageRate],MATCH(Table2[[#This Row],[Pre tech lookup (not required for "NR" measure application types)]],DropdownRefrigTech,0))</f>
        <v>#N/A</v>
      </c>
      <c r="Q50" s="163" t="e">
        <f>INDEX(Table3[AnnualLeakageRate],MATCH(Table2[[#This Row],[Std tech lookup (not required for "AR" measure application types)]],DropdownRefrigTech,0))</f>
        <v>#N/A</v>
      </c>
      <c r="R50" s="163" t="e">
        <f>INDEX(Table3[AnnualLeakageRate],MATCH(Table2[[#This Row],[Msr tech lookup]],DropdownRefrigTech,0))</f>
        <v>#N/A</v>
      </c>
      <c r="S50" s="164" t="e">
        <f>INDEX(Table3[t_EOL],MATCH(Table2[[#This Row],[Pre tech lookup (not required for "NR" measure application types)]],DropdownRefrigTech,0))</f>
        <v>#N/A</v>
      </c>
      <c r="T50" s="164" t="e">
        <f>INDEX(Table3[t_EOL],MATCH(Table2[[#This Row],[Std tech lookup (not required for "AR" measure application types)]],DropdownRefrigTech,0))</f>
        <v>#N/A</v>
      </c>
      <c r="U50" s="164" t="e">
        <f>INDEX(Table3[t_EOL],MATCH(Table2[[#This Row],[Msr tech lookup]],DropdownRefrigTech,0))</f>
        <v>#N/A</v>
      </c>
      <c r="V50" s="163" t="e">
        <f>1-Table2[[#This Row],[Pre annual refrigerant leakage %]]*Table2[[#This Row],[Pre t_EOL]]</f>
        <v>#N/A</v>
      </c>
      <c r="W50" s="163" t="e">
        <f>1-Table2[[#This Row],[Std annual refrigerant leakage %]]*Table2[[#This Row],[Std t_EOL]]</f>
        <v>#N/A</v>
      </c>
      <c r="X50" s="163" t="e">
        <f>1-Table2[[#This Row],[Msr annual refrigerant leakage %]]*Table2[[#This Row],[Msr t_EOL]]</f>
        <v>#N/A</v>
      </c>
      <c r="Y50" s="163" t="e">
        <f>INDEX(Table3[q_EOL],MATCH(Table2[[#This Row],[Pre tech lookup (not required for "NR" measure application types)]],DropdownRefrigTech,0))</f>
        <v>#N/A</v>
      </c>
      <c r="Z50" s="163" t="e">
        <f>INDEX(Table3[q_EOL],MATCH(Table2[[#This Row],[Std tech lookup (not required for "AR" measure application types)]],DropdownRefrigTech,0))</f>
        <v>#N/A</v>
      </c>
      <c r="AA50" s="163" t="e">
        <f>INDEX(Table3[q_EOL],MATCH(Table2[[#This Row],[Msr tech lookup]],DropdownRefrigTech,0))</f>
        <v>#N/A</v>
      </c>
      <c r="AB50" s="163" t="e">
        <f>Table2[[#This Row],[Pre charging remaining (%)]]*Table2[[#This Row],[Pre gross EOL refrigerant leakage %]]</f>
        <v>#N/A</v>
      </c>
      <c r="AC50" s="163" t="e">
        <f>Table2[[#This Row],[Std charging remaining (%)]]*Table2[[#This Row],[Std gross EOL refrigerant leakage %]]</f>
        <v>#N/A</v>
      </c>
      <c r="AD50" s="163" t="e">
        <f>Table2[[#This Row],[Msr charging remaining (%)]]*Table2[[#This Row],[Msr gross EOL refrigerant leakage %]]</f>
        <v>#N/A</v>
      </c>
      <c r="AE50" s="164" t="e" cm="1">
        <f t="array" ref="AE50">INDEX(_xlfn.SWITCH($B$4,"20-yr",GWP_Values_20_year_AR4,"100-yr",GWP_Values_100_year_AR4),MATCH(Table2[[#This Row],[Pre Refrigerant Type]],RefrigDropdownList,0))</f>
        <v>#N/A</v>
      </c>
      <c r="AF50" s="164" t="e" cm="1">
        <f t="array" ref="AF50">INDEX(_xlfn.SWITCH($B$4,"20-yr",GWP_Values_20_year_AR4,"100-yr",GWP_Values_100_year_AR4),MATCH(Table2[[#This Row],[Std Refrigerant Type]],RefrigDropdownList,0))</f>
        <v>#N/A</v>
      </c>
      <c r="AG50" s="164" t="e" cm="1">
        <f t="array" ref="AG50">INDEX(_xlfn.SWITCH($B$4,"20-yr",GWP_Values_20_year_AR4,"100-yr",GWP_Values_100_year_AR4),MATCH(Table2[[#This Row],[Msr Refrigerant Type]],RefrigDropdownList,0))</f>
        <v>#N/A</v>
      </c>
      <c r="AH50" s="165" t="e">
        <f>(Table2[[#This Row],[Pre Refrigerant charge (lbs) per NormUnit]]/pounds_per_metric_ton)*Table2[[#This Row],[Pre annual refrigerant leakage %]]*Table2[[#This Row],[Pre GWP]]</f>
        <v>#N/A</v>
      </c>
      <c r="AI50" s="165" t="e">
        <f>(Table2[[#This Row],[Std Refrigerant charge (lbs)per NormUnit]]/pounds_per_metric_ton)*Table2[[#This Row],[Std annual refrigerant leakage %]]*Table2[[#This Row],[Std GWP]]</f>
        <v>#N/A</v>
      </c>
      <c r="AJ50" s="165" t="e">
        <f>(Table2[[#This Row],[Msr Refrigerant charge (lbs)per NormUnit]]/pounds_per_metric_ton)*Table2[[#This Row],[Msr annual refrigerant leakage %]]*Table2[[#This Row],[Msr GWP]]</f>
        <v>#N/A</v>
      </c>
      <c r="AK50" s="165" t="e">
        <f>(Table2[[#This Row],[Pre Refrigerant charge (lbs) per NormUnit]]/pounds_per_metric_ton)*Table2[[#This Row],[Pre net EOL refrigerant leakage (%)]]*Table2[[#This Row],[Pre GWP]]</f>
        <v>#N/A</v>
      </c>
      <c r="AL50" s="165" t="e">
        <f>(Table2[[#This Row],[Std Refrigerant charge (lbs)per NormUnit]]/pounds_per_metric_ton)*Table2[[#This Row],[Std net EOL refrigerant leakage (%)]]*Table2[[#This Row],[Std GWP]]</f>
        <v>#N/A</v>
      </c>
      <c r="AM50" s="165" t="e">
        <f>(Table2[[#This Row],[Msr Refrigerant charge (lbs)per NormUnit]]/pounds_per_metric_ton)*Table2[[#This Row],[Msr net EOL refrigerant leakage (%)]]*Table2[[#This Row],[Msr GWP]]</f>
        <v>#N/A</v>
      </c>
      <c r="AN50" s="174" cm="1">
        <f t="array" aca="1" ref="AN50" ca="1">IF(Table2[[#This Row],[MeasAppType]]="AR",Table2[[#This Row],[Pre Annual leakage tons CO2e]]*NPV(WACC,OFFSET(const_ones,0,0,1,Table2[[#This Row],[EUL]])*OFFSET(GHG_Adder_dollar_per_tonne,0,(Table2[[#This Row],[Device installation year]])-GHG_Adder_Yr1,1,Table2[[#This Row],[EUL]]))/(1+WACC)^(Table2[[#This Row],[Device installation year]]-DY),0)</f>
        <v>0</v>
      </c>
      <c r="AO50" s="174" t="e" cm="1">
        <f t="array" aca="1" ref="AO50"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50" s="174" t="e" cm="1">
        <f t="array" aca="1" ref="AP50" ca="1">Table2[[#This Row],[Msr Annual leakage tons CO2e]]*NPV(WACC,OFFSET(const_ones,0,0,1,Table2[[#This Row],[EUL]])*OFFSET(GHG_Adder_dollar_per_tonne,0,((Table2[[#This Row],[Device installation year]])-GHG_Adder_Yr1),1,Table2[[#This Row],[EUL]]))/(1+WACC)^(Table2[[#This Row],[Device installation year]]-DY)</f>
        <v>#N/A</v>
      </c>
      <c r="AQ50" s="260" cm="1">
        <f t="array" aca="1" ref="AQ50"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50" s="261" t="e" cm="1">
        <f t="array" aca="1" ref="AR50"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50" s="261" t="e" cm="1">
        <f t="array" aca="1" ref="AS50" ca="1">Table2[[#This Row],[Msr EOL leakage tons CO2e]]*NPV(WACC,OFFSET(const_repeat_after,Table2[[#This Row],[EUL]],0,1,Table2[[#This Row],[EUL]])*OFFSET(GHG_Adder_dollar_per_tonne,0,(Table2[[#This Row],[Device installation year]])-GHG_Adder_Yr1,1,Table2[[#This Row],[EUL]]))/(1+WACC)^(Table2[[#This Row],[Device installation year]]-DY)</f>
        <v>#N/A</v>
      </c>
      <c r="AT50" s="260">
        <f>0</f>
        <v>0</v>
      </c>
      <c r="AU50"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50" s="174" t="e">
        <f ca="1">Table2[[#This Row],[RefrigerantNPVCostsNet]]&gt;0</f>
        <v>#N/A</v>
      </c>
      <c r="AW50" s="174">
        <f>0</f>
        <v>0</v>
      </c>
      <c r="AX50" s="174">
        <f>0</f>
        <v>0</v>
      </c>
      <c r="AY50" s="174">
        <f>0</f>
        <v>0</v>
      </c>
      <c r="AZ50" s="174">
        <f ca="1">Table2[[#This Row],[Pre NPV Cost of Annual Leakage]]+Table2[[#This Row],[Pre NPV Cost of EOL Leakage]]</f>
        <v>0</v>
      </c>
      <c r="BA50" s="174" t="e">
        <f ca="1">Table2[[#This Row],[Std NPV Cost of Annual Leakage]]+Table2[[#This Row],[Std NPV Cost of EOL Leakage]]</f>
        <v>#N/A</v>
      </c>
      <c r="BB50" s="174" t="e">
        <f ca="1">Table2[[#This Row],[AR immediate NPV cost of leakage]]+Table2[[#This Row],[Msr NPV Cost of Annual Leakage]]+Table2[[#This Row],[Msr NPV Cost of EOL Leakage]]</f>
        <v>#N/A</v>
      </c>
      <c r="BC50" s="273" t="e">
        <f ca="1">IF(Table2[[#This Row],[Is Net Cost?]],Table2[[#This Row],[RefrigerantNPVCostsNet]],0)</f>
        <v>#N/A</v>
      </c>
      <c r="BD50" s="174" t="e">
        <f ca="1">IF(Table2[[#This Row],[Is Net Cost?]],0,-Table2[[#This Row],[RefrigerantNPVCostsNet]])</f>
        <v>#N/A</v>
      </c>
    </row>
    <row r="51" spans="1:56" x14ac:dyDescent="0.3">
      <c r="A51" s="173">
        <f t="shared" si="2"/>
        <v>2022</v>
      </c>
      <c r="B51" s="268"/>
      <c r="C51" s="212"/>
      <c r="D51" s="212"/>
      <c r="E51" s="216" t="str">
        <f>IF(Table2[[#This Row],[MeasAppType]]="NR","N/A","N/A")</f>
        <v>N/A</v>
      </c>
      <c r="F51" s="272"/>
      <c r="G51" s="218"/>
      <c r="H51" s="218"/>
      <c r="I51" s="218"/>
      <c r="J51" s="173" t="e">
        <f>INDEX(Table3[CommonRefrigerantType],MATCH(Table2[[#This Row],[Pre tech lookup (not required for "NR" measure application types)]],DropdownRefrigTech,0))</f>
        <v>#N/A</v>
      </c>
      <c r="K51" s="173" t="e">
        <f>INDEX(Table3[CommonRefrigerantType],MATCH(Table2[[#This Row],[Std tech lookup (not required for "AR" measure application types)]],DropdownRefrigTech,0))</f>
        <v>#N/A</v>
      </c>
      <c r="L51" s="173" t="e">
        <f>INDEX(Table3[CommonRefrigerantType],MATCH(Table2[[#This Row],[Msr tech lookup]],DropdownRefrigTech,0))</f>
        <v>#N/A</v>
      </c>
      <c r="M51" s="134" t="e">
        <f>INDEX(Table3[RefrigChargePoundsPerNormUnit],MATCH(Table2[[#This Row],[Pre tech lookup (not required for "NR" measure application types)]],DropdownRefrigTech,0))</f>
        <v>#N/A</v>
      </c>
      <c r="N51" s="134" t="e">
        <f>INDEX(Table3[RefrigChargePoundsPerNormUnit],MATCH(Table2[[#This Row],[Std tech lookup (not required for "AR" measure application types)]],DropdownRefrigTech,0))</f>
        <v>#N/A</v>
      </c>
      <c r="O51" s="149" t="e">
        <f>INDEX(Table3[RefrigChargePoundsPerNormUnit],MATCH(Table2[[#This Row],[Msr tech lookup]],DropdownRefrigTech,0))</f>
        <v>#N/A</v>
      </c>
      <c r="P51" s="163" t="e">
        <f>INDEX(Table3[AnnualLeakageRate],MATCH(Table2[[#This Row],[Pre tech lookup (not required for "NR" measure application types)]],DropdownRefrigTech,0))</f>
        <v>#N/A</v>
      </c>
      <c r="Q51" s="163" t="e">
        <f>INDEX(Table3[AnnualLeakageRate],MATCH(Table2[[#This Row],[Std tech lookup (not required for "AR" measure application types)]],DropdownRefrigTech,0))</f>
        <v>#N/A</v>
      </c>
      <c r="R51" s="163" t="e">
        <f>INDEX(Table3[AnnualLeakageRate],MATCH(Table2[[#This Row],[Msr tech lookup]],DropdownRefrigTech,0))</f>
        <v>#N/A</v>
      </c>
      <c r="S51" s="164" t="e">
        <f>INDEX(Table3[t_EOL],MATCH(Table2[[#This Row],[Pre tech lookup (not required for "NR" measure application types)]],DropdownRefrigTech,0))</f>
        <v>#N/A</v>
      </c>
      <c r="T51" s="164" t="e">
        <f>INDEX(Table3[t_EOL],MATCH(Table2[[#This Row],[Std tech lookup (not required for "AR" measure application types)]],DropdownRefrigTech,0))</f>
        <v>#N/A</v>
      </c>
      <c r="U51" s="164" t="e">
        <f>INDEX(Table3[t_EOL],MATCH(Table2[[#This Row],[Msr tech lookup]],DropdownRefrigTech,0))</f>
        <v>#N/A</v>
      </c>
      <c r="V51" s="163" t="e">
        <f>1-Table2[[#This Row],[Pre annual refrigerant leakage %]]*Table2[[#This Row],[Pre t_EOL]]</f>
        <v>#N/A</v>
      </c>
      <c r="W51" s="163" t="e">
        <f>1-Table2[[#This Row],[Std annual refrigerant leakage %]]*Table2[[#This Row],[Std t_EOL]]</f>
        <v>#N/A</v>
      </c>
      <c r="X51" s="163" t="e">
        <f>1-Table2[[#This Row],[Msr annual refrigerant leakage %]]*Table2[[#This Row],[Msr t_EOL]]</f>
        <v>#N/A</v>
      </c>
      <c r="Y51" s="163" t="e">
        <f>INDEX(Table3[q_EOL],MATCH(Table2[[#This Row],[Pre tech lookup (not required for "NR" measure application types)]],DropdownRefrigTech,0))</f>
        <v>#N/A</v>
      </c>
      <c r="Z51" s="163" t="e">
        <f>INDEX(Table3[q_EOL],MATCH(Table2[[#This Row],[Std tech lookup (not required for "AR" measure application types)]],DropdownRefrigTech,0))</f>
        <v>#N/A</v>
      </c>
      <c r="AA51" s="163" t="e">
        <f>INDEX(Table3[q_EOL],MATCH(Table2[[#This Row],[Msr tech lookup]],DropdownRefrigTech,0))</f>
        <v>#N/A</v>
      </c>
      <c r="AB51" s="163" t="e">
        <f>Table2[[#This Row],[Pre charging remaining (%)]]*Table2[[#This Row],[Pre gross EOL refrigerant leakage %]]</f>
        <v>#N/A</v>
      </c>
      <c r="AC51" s="163" t="e">
        <f>Table2[[#This Row],[Std charging remaining (%)]]*Table2[[#This Row],[Std gross EOL refrigerant leakage %]]</f>
        <v>#N/A</v>
      </c>
      <c r="AD51" s="163" t="e">
        <f>Table2[[#This Row],[Msr charging remaining (%)]]*Table2[[#This Row],[Msr gross EOL refrigerant leakage %]]</f>
        <v>#N/A</v>
      </c>
      <c r="AE51" s="164" t="e" cm="1">
        <f t="array" ref="AE51">INDEX(_xlfn.SWITCH($B$4,"20-yr",GWP_Values_20_year_AR4,"100-yr",GWP_Values_100_year_AR4),MATCH(Table2[[#This Row],[Pre Refrigerant Type]],RefrigDropdownList,0))</f>
        <v>#N/A</v>
      </c>
      <c r="AF51" s="164" t="e" cm="1">
        <f t="array" ref="AF51">INDEX(_xlfn.SWITCH($B$4,"20-yr",GWP_Values_20_year_AR4,"100-yr",GWP_Values_100_year_AR4),MATCH(Table2[[#This Row],[Std Refrigerant Type]],RefrigDropdownList,0))</f>
        <v>#N/A</v>
      </c>
      <c r="AG51" s="164" t="e" cm="1">
        <f t="array" ref="AG51">INDEX(_xlfn.SWITCH($B$4,"20-yr",GWP_Values_20_year_AR4,"100-yr",GWP_Values_100_year_AR4),MATCH(Table2[[#This Row],[Msr Refrigerant Type]],RefrigDropdownList,0))</f>
        <v>#N/A</v>
      </c>
      <c r="AH51" s="165" t="e">
        <f>(Table2[[#This Row],[Pre Refrigerant charge (lbs) per NormUnit]]/pounds_per_metric_ton)*Table2[[#This Row],[Pre annual refrigerant leakage %]]*Table2[[#This Row],[Pre GWP]]</f>
        <v>#N/A</v>
      </c>
      <c r="AI51" s="165" t="e">
        <f>(Table2[[#This Row],[Std Refrigerant charge (lbs)per NormUnit]]/pounds_per_metric_ton)*Table2[[#This Row],[Std annual refrigerant leakage %]]*Table2[[#This Row],[Std GWP]]</f>
        <v>#N/A</v>
      </c>
      <c r="AJ51" s="165" t="e">
        <f>(Table2[[#This Row],[Msr Refrigerant charge (lbs)per NormUnit]]/pounds_per_metric_ton)*Table2[[#This Row],[Msr annual refrigerant leakage %]]*Table2[[#This Row],[Msr GWP]]</f>
        <v>#N/A</v>
      </c>
      <c r="AK51" s="165" t="e">
        <f>(Table2[[#This Row],[Pre Refrigerant charge (lbs) per NormUnit]]/pounds_per_metric_ton)*Table2[[#This Row],[Pre net EOL refrigerant leakage (%)]]*Table2[[#This Row],[Pre GWP]]</f>
        <v>#N/A</v>
      </c>
      <c r="AL51" s="165" t="e">
        <f>(Table2[[#This Row],[Std Refrigerant charge (lbs)per NormUnit]]/pounds_per_metric_ton)*Table2[[#This Row],[Std net EOL refrigerant leakage (%)]]*Table2[[#This Row],[Std GWP]]</f>
        <v>#N/A</v>
      </c>
      <c r="AM51" s="165" t="e">
        <f>(Table2[[#This Row],[Msr Refrigerant charge (lbs)per NormUnit]]/pounds_per_metric_ton)*Table2[[#This Row],[Msr net EOL refrigerant leakage (%)]]*Table2[[#This Row],[Msr GWP]]</f>
        <v>#N/A</v>
      </c>
      <c r="AN51" s="174" cm="1">
        <f t="array" aca="1" ref="AN51" ca="1">IF(Table2[[#This Row],[MeasAppType]]="AR",Table2[[#This Row],[Pre Annual leakage tons CO2e]]*NPV(WACC,OFFSET(const_ones,0,0,1,Table2[[#This Row],[EUL]])*OFFSET(GHG_Adder_dollar_per_tonne,0,(Table2[[#This Row],[Device installation year]])-GHG_Adder_Yr1,1,Table2[[#This Row],[EUL]]))/(1+WACC)^(Table2[[#This Row],[Device installation year]]-DY),0)</f>
        <v>0</v>
      </c>
      <c r="AO51" s="174" t="e" cm="1">
        <f t="array" aca="1" ref="AO51"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51" s="174" t="e" cm="1">
        <f t="array" aca="1" ref="AP51" ca="1">Table2[[#This Row],[Msr Annual leakage tons CO2e]]*NPV(WACC,OFFSET(const_ones,0,0,1,Table2[[#This Row],[EUL]])*OFFSET(GHG_Adder_dollar_per_tonne,0,((Table2[[#This Row],[Device installation year]])-GHG_Adder_Yr1),1,Table2[[#This Row],[EUL]]))/(1+WACC)^(Table2[[#This Row],[Device installation year]]-DY)</f>
        <v>#N/A</v>
      </c>
      <c r="AQ51" s="260" cm="1">
        <f t="array" aca="1" ref="AQ51"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51" s="261" t="e" cm="1">
        <f t="array" aca="1" ref="AR51"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51" s="261" t="e" cm="1">
        <f t="array" aca="1" ref="AS51" ca="1">Table2[[#This Row],[Msr EOL leakage tons CO2e]]*NPV(WACC,OFFSET(const_repeat_after,Table2[[#This Row],[EUL]],0,1,Table2[[#This Row],[EUL]])*OFFSET(GHG_Adder_dollar_per_tonne,0,(Table2[[#This Row],[Device installation year]])-GHG_Adder_Yr1,1,Table2[[#This Row],[EUL]]))/(1+WACC)^(Table2[[#This Row],[Device installation year]]-DY)</f>
        <v>#N/A</v>
      </c>
      <c r="AT51" s="260">
        <f>0</f>
        <v>0</v>
      </c>
      <c r="AU51"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51" s="174" t="e">
        <f ca="1">Table2[[#This Row],[RefrigerantNPVCostsNet]]&gt;0</f>
        <v>#N/A</v>
      </c>
      <c r="AW51" s="174">
        <f>0</f>
        <v>0</v>
      </c>
      <c r="AX51" s="174">
        <f>0</f>
        <v>0</v>
      </c>
      <c r="AY51" s="174">
        <f>0</f>
        <v>0</v>
      </c>
      <c r="AZ51" s="174">
        <f ca="1">Table2[[#This Row],[Pre NPV Cost of Annual Leakage]]+Table2[[#This Row],[Pre NPV Cost of EOL Leakage]]</f>
        <v>0</v>
      </c>
      <c r="BA51" s="174" t="e">
        <f ca="1">Table2[[#This Row],[Std NPV Cost of Annual Leakage]]+Table2[[#This Row],[Std NPV Cost of EOL Leakage]]</f>
        <v>#N/A</v>
      </c>
      <c r="BB51" s="174" t="e">
        <f ca="1">Table2[[#This Row],[AR immediate NPV cost of leakage]]+Table2[[#This Row],[Msr NPV Cost of Annual Leakage]]+Table2[[#This Row],[Msr NPV Cost of EOL Leakage]]</f>
        <v>#N/A</v>
      </c>
      <c r="BC51" s="273" t="e">
        <f ca="1">IF(Table2[[#This Row],[Is Net Cost?]],Table2[[#This Row],[RefrigerantNPVCostsNet]],0)</f>
        <v>#N/A</v>
      </c>
      <c r="BD51" s="174" t="e">
        <f ca="1">IF(Table2[[#This Row],[Is Net Cost?]],0,-Table2[[#This Row],[RefrigerantNPVCostsNet]])</f>
        <v>#N/A</v>
      </c>
    </row>
    <row r="52" spans="1:56" x14ac:dyDescent="0.3">
      <c r="A52" s="173">
        <f t="shared" si="2"/>
        <v>2022</v>
      </c>
      <c r="B52" s="268"/>
      <c r="C52" s="212"/>
      <c r="D52" s="212"/>
      <c r="E52" s="216" t="str">
        <f>IF(Table2[[#This Row],[MeasAppType]]="NR","N/A","N/A")</f>
        <v>N/A</v>
      </c>
      <c r="F52" s="272"/>
      <c r="G52" s="218"/>
      <c r="H52" s="218"/>
      <c r="I52" s="218"/>
      <c r="J52" s="173" t="e">
        <f>INDEX(Table3[CommonRefrigerantType],MATCH(Table2[[#This Row],[Pre tech lookup (not required for "NR" measure application types)]],DropdownRefrigTech,0))</f>
        <v>#N/A</v>
      </c>
      <c r="K52" s="173" t="e">
        <f>INDEX(Table3[CommonRefrigerantType],MATCH(Table2[[#This Row],[Std tech lookup (not required for "AR" measure application types)]],DropdownRefrigTech,0))</f>
        <v>#N/A</v>
      </c>
      <c r="L52" s="173" t="e">
        <f>INDEX(Table3[CommonRefrigerantType],MATCH(Table2[[#This Row],[Msr tech lookup]],DropdownRefrigTech,0))</f>
        <v>#N/A</v>
      </c>
      <c r="M52" s="134" t="e">
        <f>INDEX(Table3[RefrigChargePoundsPerNormUnit],MATCH(Table2[[#This Row],[Pre tech lookup (not required for "NR" measure application types)]],DropdownRefrigTech,0))</f>
        <v>#N/A</v>
      </c>
      <c r="N52" s="134" t="e">
        <f>INDEX(Table3[RefrigChargePoundsPerNormUnit],MATCH(Table2[[#This Row],[Std tech lookup (not required for "AR" measure application types)]],DropdownRefrigTech,0))</f>
        <v>#N/A</v>
      </c>
      <c r="O52" s="149" t="e">
        <f>INDEX(Table3[RefrigChargePoundsPerNormUnit],MATCH(Table2[[#This Row],[Msr tech lookup]],DropdownRefrigTech,0))</f>
        <v>#N/A</v>
      </c>
      <c r="P52" s="163" t="e">
        <f>INDEX(Table3[AnnualLeakageRate],MATCH(Table2[[#This Row],[Pre tech lookup (not required for "NR" measure application types)]],DropdownRefrigTech,0))</f>
        <v>#N/A</v>
      </c>
      <c r="Q52" s="163" t="e">
        <f>INDEX(Table3[AnnualLeakageRate],MATCH(Table2[[#This Row],[Std tech lookup (not required for "AR" measure application types)]],DropdownRefrigTech,0))</f>
        <v>#N/A</v>
      </c>
      <c r="R52" s="163" t="e">
        <f>INDEX(Table3[AnnualLeakageRate],MATCH(Table2[[#This Row],[Msr tech lookup]],DropdownRefrigTech,0))</f>
        <v>#N/A</v>
      </c>
      <c r="S52" s="164" t="e">
        <f>INDEX(Table3[t_EOL],MATCH(Table2[[#This Row],[Pre tech lookup (not required for "NR" measure application types)]],DropdownRefrigTech,0))</f>
        <v>#N/A</v>
      </c>
      <c r="T52" s="164" t="e">
        <f>INDEX(Table3[t_EOL],MATCH(Table2[[#This Row],[Std tech lookup (not required for "AR" measure application types)]],DropdownRefrigTech,0))</f>
        <v>#N/A</v>
      </c>
      <c r="U52" s="164" t="e">
        <f>INDEX(Table3[t_EOL],MATCH(Table2[[#This Row],[Msr tech lookup]],DropdownRefrigTech,0))</f>
        <v>#N/A</v>
      </c>
      <c r="V52" s="163" t="e">
        <f>1-Table2[[#This Row],[Pre annual refrigerant leakage %]]*Table2[[#This Row],[Pre t_EOL]]</f>
        <v>#N/A</v>
      </c>
      <c r="W52" s="163" t="e">
        <f>1-Table2[[#This Row],[Std annual refrigerant leakage %]]*Table2[[#This Row],[Std t_EOL]]</f>
        <v>#N/A</v>
      </c>
      <c r="X52" s="163" t="e">
        <f>1-Table2[[#This Row],[Msr annual refrigerant leakage %]]*Table2[[#This Row],[Msr t_EOL]]</f>
        <v>#N/A</v>
      </c>
      <c r="Y52" s="163" t="e">
        <f>INDEX(Table3[q_EOL],MATCH(Table2[[#This Row],[Pre tech lookup (not required for "NR" measure application types)]],DropdownRefrigTech,0))</f>
        <v>#N/A</v>
      </c>
      <c r="Z52" s="163" t="e">
        <f>INDEX(Table3[q_EOL],MATCH(Table2[[#This Row],[Std tech lookup (not required for "AR" measure application types)]],DropdownRefrigTech,0))</f>
        <v>#N/A</v>
      </c>
      <c r="AA52" s="163" t="e">
        <f>INDEX(Table3[q_EOL],MATCH(Table2[[#This Row],[Msr tech lookup]],DropdownRefrigTech,0))</f>
        <v>#N/A</v>
      </c>
      <c r="AB52" s="163" t="e">
        <f>Table2[[#This Row],[Pre charging remaining (%)]]*Table2[[#This Row],[Pre gross EOL refrigerant leakage %]]</f>
        <v>#N/A</v>
      </c>
      <c r="AC52" s="163" t="e">
        <f>Table2[[#This Row],[Std charging remaining (%)]]*Table2[[#This Row],[Std gross EOL refrigerant leakage %]]</f>
        <v>#N/A</v>
      </c>
      <c r="AD52" s="163" t="e">
        <f>Table2[[#This Row],[Msr charging remaining (%)]]*Table2[[#This Row],[Msr gross EOL refrigerant leakage %]]</f>
        <v>#N/A</v>
      </c>
      <c r="AE52" s="164" t="e" cm="1">
        <f t="array" ref="AE52">INDEX(_xlfn.SWITCH($B$4,"20-yr",GWP_Values_20_year_AR4,"100-yr",GWP_Values_100_year_AR4),MATCH(Table2[[#This Row],[Pre Refrigerant Type]],RefrigDropdownList,0))</f>
        <v>#N/A</v>
      </c>
      <c r="AF52" s="164" t="e" cm="1">
        <f t="array" ref="AF52">INDEX(_xlfn.SWITCH($B$4,"20-yr",GWP_Values_20_year_AR4,"100-yr",GWP_Values_100_year_AR4),MATCH(Table2[[#This Row],[Std Refrigerant Type]],RefrigDropdownList,0))</f>
        <v>#N/A</v>
      </c>
      <c r="AG52" s="164" t="e" cm="1">
        <f t="array" ref="AG52">INDEX(_xlfn.SWITCH($B$4,"20-yr",GWP_Values_20_year_AR4,"100-yr",GWP_Values_100_year_AR4),MATCH(Table2[[#This Row],[Msr Refrigerant Type]],RefrigDropdownList,0))</f>
        <v>#N/A</v>
      </c>
      <c r="AH52" s="165" t="e">
        <f>(Table2[[#This Row],[Pre Refrigerant charge (lbs) per NormUnit]]/pounds_per_metric_ton)*Table2[[#This Row],[Pre annual refrigerant leakage %]]*Table2[[#This Row],[Pre GWP]]</f>
        <v>#N/A</v>
      </c>
      <c r="AI52" s="165" t="e">
        <f>(Table2[[#This Row],[Std Refrigerant charge (lbs)per NormUnit]]/pounds_per_metric_ton)*Table2[[#This Row],[Std annual refrigerant leakage %]]*Table2[[#This Row],[Std GWP]]</f>
        <v>#N/A</v>
      </c>
      <c r="AJ52" s="165" t="e">
        <f>(Table2[[#This Row],[Msr Refrigerant charge (lbs)per NormUnit]]/pounds_per_metric_ton)*Table2[[#This Row],[Msr annual refrigerant leakage %]]*Table2[[#This Row],[Msr GWP]]</f>
        <v>#N/A</v>
      </c>
      <c r="AK52" s="165" t="e">
        <f>(Table2[[#This Row],[Pre Refrigerant charge (lbs) per NormUnit]]/pounds_per_metric_ton)*Table2[[#This Row],[Pre net EOL refrigerant leakage (%)]]*Table2[[#This Row],[Pre GWP]]</f>
        <v>#N/A</v>
      </c>
      <c r="AL52" s="165" t="e">
        <f>(Table2[[#This Row],[Std Refrigerant charge (lbs)per NormUnit]]/pounds_per_metric_ton)*Table2[[#This Row],[Std net EOL refrigerant leakage (%)]]*Table2[[#This Row],[Std GWP]]</f>
        <v>#N/A</v>
      </c>
      <c r="AM52" s="165" t="e">
        <f>(Table2[[#This Row],[Msr Refrigerant charge (lbs)per NormUnit]]/pounds_per_metric_ton)*Table2[[#This Row],[Msr net EOL refrigerant leakage (%)]]*Table2[[#This Row],[Msr GWP]]</f>
        <v>#N/A</v>
      </c>
      <c r="AN52" s="174" cm="1">
        <f t="array" aca="1" ref="AN52" ca="1">IF(Table2[[#This Row],[MeasAppType]]="AR",Table2[[#This Row],[Pre Annual leakage tons CO2e]]*NPV(WACC,OFFSET(const_ones,0,0,1,Table2[[#This Row],[EUL]])*OFFSET(GHG_Adder_dollar_per_tonne,0,(Table2[[#This Row],[Device installation year]])-GHG_Adder_Yr1,1,Table2[[#This Row],[EUL]]))/(1+WACC)^(Table2[[#This Row],[Device installation year]]-DY),0)</f>
        <v>0</v>
      </c>
      <c r="AO52" s="174" t="e" cm="1">
        <f t="array" aca="1" ref="AO52"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52" s="174" t="e" cm="1">
        <f t="array" aca="1" ref="AP52" ca="1">Table2[[#This Row],[Msr Annual leakage tons CO2e]]*NPV(WACC,OFFSET(const_ones,0,0,1,Table2[[#This Row],[EUL]])*OFFSET(GHG_Adder_dollar_per_tonne,0,((Table2[[#This Row],[Device installation year]])-GHG_Adder_Yr1),1,Table2[[#This Row],[EUL]]))/(1+WACC)^(Table2[[#This Row],[Device installation year]]-DY)</f>
        <v>#N/A</v>
      </c>
      <c r="AQ52" s="260" cm="1">
        <f t="array" aca="1" ref="AQ52"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52" s="261" t="e" cm="1">
        <f t="array" aca="1" ref="AR52"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52" s="261" t="e" cm="1">
        <f t="array" aca="1" ref="AS52" ca="1">Table2[[#This Row],[Msr EOL leakage tons CO2e]]*NPV(WACC,OFFSET(const_repeat_after,Table2[[#This Row],[EUL]],0,1,Table2[[#This Row],[EUL]])*OFFSET(GHG_Adder_dollar_per_tonne,0,(Table2[[#This Row],[Device installation year]])-GHG_Adder_Yr1,1,Table2[[#This Row],[EUL]]))/(1+WACC)^(Table2[[#This Row],[Device installation year]]-DY)</f>
        <v>#N/A</v>
      </c>
      <c r="AT52" s="260">
        <f>0</f>
        <v>0</v>
      </c>
      <c r="AU52"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52" s="174" t="e">
        <f ca="1">Table2[[#This Row],[RefrigerantNPVCostsNet]]&gt;0</f>
        <v>#N/A</v>
      </c>
      <c r="AW52" s="174">
        <f>0</f>
        <v>0</v>
      </c>
      <c r="AX52" s="174">
        <f>0</f>
        <v>0</v>
      </c>
      <c r="AY52" s="174">
        <f>0</f>
        <v>0</v>
      </c>
      <c r="AZ52" s="174">
        <f ca="1">Table2[[#This Row],[Pre NPV Cost of Annual Leakage]]+Table2[[#This Row],[Pre NPV Cost of EOL Leakage]]</f>
        <v>0</v>
      </c>
      <c r="BA52" s="174" t="e">
        <f ca="1">Table2[[#This Row],[Std NPV Cost of Annual Leakage]]+Table2[[#This Row],[Std NPV Cost of EOL Leakage]]</f>
        <v>#N/A</v>
      </c>
      <c r="BB52" s="174" t="e">
        <f ca="1">Table2[[#This Row],[AR immediate NPV cost of leakage]]+Table2[[#This Row],[Msr NPV Cost of Annual Leakage]]+Table2[[#This Row],[Msr NPV Cost of EOL Leakage]]</f>
        <v>#N/A</v>
      </c>
      <c r="BC52" s="273" t="e">
        <f ca="1">IF(Table2[[#This Row],[Is Net Cost?]],Table2[[#This Row],[RefrigerantNPVCostsNet]],0)</f>
        <v>#N/A</v>
      </c>
      <c r="BD52" s="174" t="e">
        <f ca="1">IF(Table2[[#This Row],[Is Net Cost?]],0,-Table2[[#This Row],[RefrigerantNPVCostsNet]])</f>
        <v>#N/A</v>
      </c>
    </row>
    <row r="53" spans="1:56" x14ac:dyDescent="0.3">
      <c r="A53" s="173">
        <f t="shared" si="2"/>
        <v>2022</v>
      </c>
      <c r="B53" s="268"/>
      <c r="C53" s="212"/>
      <c r="D53" s="212"/>
      <c r="E53" s="216" t="str">
        <f>IF(Table2[[#This Row],[MeasAppType]]="NR","N/A","N/A")</f>
        <v>N/A</v>
      </c>
      <c r="F53" s="272"/>
      <c r="G53" s="218"/>
      <c r="H53" s="218"/>
      <c r="I53" s="218"/>
      <c r="J53" s="173" t="e">
        <f>INDEX(Table3[CommonRefrigerantType],MATCH(Table2[[#This Row],[Pre tech lookup (not required for "NR" measure application types)]],DropdownRefrigTech,0))</f>
        <v>#N/A</v>
      </c>
      <c r="K53" s="173" t="e">
        <f>INDEX(Table3[CommonRefrigerantType],MATCH(Table2[[#This Row],[Std tech lookup (not required for "AR" measure application types)]],DropdownRefrigTech,0))</f>
        <v>#N/A</v>
      </c>
      <c r="L53" s="173" t="e">
        <f>INDEX(Table3[CommonRefrigerantType],MATCH(Table2[[#This Row],[Msr tech lookup]],DropdownRefrigTech,0))</f>
        <v>#N/A</v>
      </c>
      <c r="M53" s="134" t="e">
        <f>INDEX(Table3[RefrigChargePoundsPerNormUnit],MATCH(Table2[[#This Row],[Pre tech lookup (not required for "NR" measure application types)]],DropdownRefrigTech,0))</f>
        <v>#N/A</v>
      </c>
      <c r="N53" s="134" t="e">
        <f>INDEX(Table3[RefrigChargePoundsPerNormUnit],MATCH(Table2[[#This Row],[Std tech lookup (not required for "AR" measure application types)]],DropdownRefrigTech,0))</f>
        <v>#N/A</v>
      </c>
      <c r="O53" s="149" t="e">
        <f>INDEX(Table3[RefrigChargePoundsPerNormUnit],MATCH(Table2[[#This Row],[Msr tech lookup]],DropdownRefrigTech,0))</f>
        <v>#N/A</v>
      </c>
      <c r="P53" s="163" t="e">
        <f>INDEX(Table3[AnnualLeakageRate],MATCH(Table2[[#This Row],[Pre tech lookup (not required for "NR" measure application types)]],DropdownRefrigTech,0))</f>
        <v>#N/A</v>
      </c>
      <c r="Q53" s="163" t="e">
        <f>INDEX(Table3[AnnualLeakageRate],MATCH(Table2[[#This Row],[Std tech lookup (not required for "AR" measure application types)]],DropdownRefrigTech,0))</f>
        <v>#N/A</v>
      </c>
      <c r="R53" s="163" t="e">
        <f>INDEX(Table3[AnnualLeakageRate],MATCH(Table2[[#This Row],[Msr tech lookup]],DropdownRefrigTech,0))</f>
        <v>#N/A</v>
      </c>
      <c r="S53" s="164" t="e">
        <f>INDEX(Table3[t_EOL],MATCH(Table2[[#This Row],[Pre tech lookup (not required for "NR" measure application types)]],DropdownRefrigTech,0))</f>
        <v>#N/A</v>
      </c>
      <c r="T53" s="164" t="e">
        <f>INDEX(Table3[t_EOL],MATCH(Table2[[#This Row],[Std tech lookup (not required for "AR" measure application types)]],DropdownRefrigTech,0))</f>
        <v>#N/A</v>
      </c>
      <c r="U53" s="164" t="e">
        <f>INDEX(Table3[t_EOL],MATCH(Table2[[#This Row],[Msr tech lookup]],DropdownRefrigTech,0))</f>
        <v>#N/A</v>
      </c>
      <c r="V53" s="163" t="e">
        <f>1-Table2[[#This Row],[Pre annual refrigerant leakage %]]*Table2[[#This Row],[Pre t_EOL]]</f>
        <v>#N/A</v>
      </c>
      <c r="W53" s="163" t="e">
        <f>1-Table2[[#This Row],[Std annual refrigerant leakage %]]*Table2[[#This Row],[Std t_EOL]]</f>
        <v>#N/A</v>
      </c>
      <c r="X53" s="163" t="e">
        <f>1-Table2[[#This Row],[Msr annual refrigerant leakage %]]*Table2[[#This Row],[Msr t_EOL]]</f>
        <v>#N/A</v>
      </c>
      <c r="Y53" s="163" t="e">
        <f>INDEX(Table3[q_EOL],MATCH(Table2[[#This Row],[Pre tech lookup (not required for "NR" measure application types)]],DropdownRefrigTech,0))</f>
        <v>#N/A</v>
      </c>
      <c r="Z53" s="163" t="e">
        <f>INDEX(Table3[q_EOL],MATCH(Table2[[#This Row],[Std tech lookup (not required for "AR" measure application types)]],DropdownRefrigTech,0))</f>
        <v>#N/A</v>
      </c>
      <c r="AA53" s="163" t="e">
        <f>INDEX(Table3[q_EOL],MATCH(Table2[[#This Row],[Msr tech lookup]],DropdownRefrigTech,0))</f>
        <v>#N/A</v>
      </c>
      <c r="AB53" s="163" t="e">
        <f>Table2[[#This Row],[Pre charging remaining (%)]]*Table2[[#This Row],[Pre gross EOL refrigerant leakage %]]</f>
        <v>#N/A</v>
      </c>
      <c r="AC53" s="163" t="e">
        <f>Table2[[#This Row],[Std charging remaining (%)]]*Table2[[#This Row],[Std gross EOL refrigerant leakage %]]</f>
        <v>#N/A</v>
      </c>
      <c r="AD53" s="163" t="e">
        <f>Table2[[#This Row],[Msr charging remaining (%)]]*Table2[[#This Row],[Msr gross EOL refrigerant leakage %]]</f>
        <v>#N/A</v>
      </c>
      <c r="AE53" s="164" t="e" cm="1">
        <f t="array" ref="AE53">INDEX(_xlfn.SWITCH($B$4,"20-yr",GWP_Values_20_year_AR4,"100-yr",GWP_Values_100_year_AR4),MATCH(Table2[[#This Row],[Pre Refrigerant Type]],RefrigDropdownList,0))</f>
        <v>#N/A</v>
      </c>
      <c r="AF53" s="164" t="e" cm="1">
        <f t="array" ref="AF53">INDEX(_xlfn.SWITCH($B$4,"20-yr",GWP_Values_20_year_AR4,"100-yr",GWP_Values_100_year_AR4),MATCH(Table2[[#This Row],[Std Refrigerant Type]],RefrigDropdownList,0))</f>
        <v>#N/A</v>
      </c>
      <c r="AG53" s="164" t="e" cm="1">
        <f t="array" ref="AG53">INDEX(_xlfn.SWITCH($B$4,"20-yr",GWP_Values_20_year_AR4,"100-yr",GWP_Values_100_year_AR4),MATCH(Table2[[#This Row],[Msr Refrigerant Type]],RefrigDropdownList,0))</f>
        <v>#N/A</v>
      </c>
      <c r="AH53" s="165" t="e">
        <f>(Table2[[#This Row],[Pre Refrigerant charge (lbs) per NormUnit]]/pounds_per_metric_ton)*Table2[[#This Row],[Pre annual refrigerant leakage %]]*Table2[[#This Row],[Pre GWP]]</f>
        <v>#N/A</v>
      </c>
      <c r="AI53" s="165" t="e">
        <f>(Table2[[#This Row],[Std Refrigerant charge (lbs)per NormUnit]]/pounds_per_metric_ton)*Table2[[#This Row],[Std annual refrigerant leakage %]]*Table2[[#This Row],[Std GWP]]</f>
        <v>#N/A</v>
      </c>
      <c r="AJ53" s="165" t="e">
        <f>(Table2[[#This Row],[Msr Refrigerant charge (lbs)per NormUnit]]/pounds_per_metric_ton)*Table2[[#This Row],[Msr annual refrigerant leakage %]]*Table2[[#This Row],[Msr GWP]]</f>
        <v>#N/A</v>
      </c>
      <c r="AK53" s="165" t="e">
        <f>(Table2[[#This Row],[Pre Refrigerant charge (lbs) per NormUnit]]/pounds_per_metric_ton)*Table2[[#This Row],[Pre net EOL refrigerant leakage (%)]]*Table2[[#This Row],[Pre GWP]]</f>
        <v>#N/A</v>
      </c>
      <c r="AL53" s="165" t="e">
        <f>(Table2[[#This Row],[Std Refrigerant charge (lbs)per NormUnit]]/pounds_per_metric_ton)*Table2[[#This Row],[Std net EOL refrigerant leakage (%)]]*Table2[[#This Row],[Std GWP]]</f>
        <v>#N/A</v>
      </c>
      <c r="AM53" s="165" t="e">
        <f>(Table2[[#This Row],[Msr Refrigerant charge (lbs)per NormUnit]]/pounds_per_metric_ton)*Table2[[#This Row],[Msr net EOL refrigerant leakage (%)]]*Table2[[#This Row],[Msr GWP]]</f>
        <v>#N/A</v>
      </c>
      <c r="AN53" s="174" cm="1">
        <f t="array" aca="1" ref="AN53" ca="1">IF(Table2[[#This Row],[MeasAppType]]="AR",Table2[[#This Row],[Pre Annual leakage tons CO2e]]*NPV(WACC,OFFSET(const_ones,0,0,1,Table2[[#This Row],[EUL]])*OFFSET(GHG_Adder_dollar_per_tonne,0,(Table2[[#This Row],[Device installation year]])-GHG_Adder_Yr1,1,Table2[[#This Row],[EUL]]))/(1+WACC)^(Table2[[#This Row],[Device installation year]]-DY),0)</f>
        <v>0</v>
      </c>
      <c r="AO53" s="174" t="e" cm="1">
        <f t="array" aca="1" ref="AO53"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53" s="174" t="e" cm="1">
        <f t="array" aca="1" ref="AP53" ca="1">Table2[[#This Row],[Msr Annual leakage tons CO2e]]*NPV(WACC,OFFSET(const_ones,0,0,1,Table2[[#This Row],[EUL]])*OFFSET(GHG_Adder_dollar_per_tonne,0,((Table2[[#This Row],[Device installation year]])-GHG_Adder_Yr1),1,Table2[[#This Row],[EUL]]))/(1+WACC)^(Table2[[#This Row],[Device installation year]]-DY)</f>
        <v>#N/A</v>
      </c>
      <c r="AQ53" s="260" cm="1">
        <f t="array" aca="1" ref="AQ53"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53" s="261" t="e" cm="1">
        <f t="array" aca="1" ref="AR53"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53" s="261" t="e" cm="1">
        <f t="array" aca="1" ref="AS53" ca="1">Table2[[#This Row],[Msr EOL leakage tons CO2e]]*NPV(WACC,OFFSET(const_repeat_after,Table2[[#This Row],[EUL]],0,1,Table2[[#This Row],[EUL]])*OFFSET(GHG_Adder_dollar_per_tonne,0,(Table2[[#This Row],[Device installation year]])-GHG_Adder_Yr1,1,Table2[[#This Row],[EUL]]))/(1+WACC)^(Table2[[#This Row],[Device installation year]]-DY)</f>
        <v>#N/A</v>
      </c>
      <c r="AT53" s="260">
        <f>0</f>
        <v>0</v>
      </c>
      <c r="AU53"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53" s="174" t="e">
        <f ca="1">Table2[[#This Row],[RefrigerantNPVCostsNet]]&gt;0</f>
        <v>#N/A</v>
      </c>
      <c r="AW53" s="174">
        <f>0</f>
        <v>0</v>
      </c>
      <c r="AX53" s="174">
        <f>0</f>
        <v>0</v>
      </c>
      <c r="AY53" s="174">
        <f>0</f>
        <v>0</v>
      </c>
      <c r="AZ53" s="174">
        <f ca="1">Table2[[#This Row],[Pre NPV Cost of Annual Leakage]]+Table2[[#This Row],[Pre NPV Cost of EOL Leakage]]</f>
        <v>0</v>
      </c>
      <c r="BA53" s="174" t="e">
        <f ca="1">Table2[[#This Row],[Std NPV Cost of Annual Leakage]]+Table2[[#This Row],[Std NPV Cost of EOL Leakage]]</f>
        <v>#N/A</v>
      </c>
      <c r="BB53" s="174" t="e">
        <f ca="1">Table2[[#This Row],[AR immediate NPV cost of leakage]]+Table2[[#This Row],[Msr NPV Cost of Annual Leakage]]+Table2[[#This Row],[Msr NPV Cost of EOL Leakage]]</f>
        <v>#N/A</v>
      </c>
      <c r="BC53" s="273" t="e">
        <f ca="1">IF(Table2[[#This Row],[Is Net Cost?]],Table2[[#This Row],[RefrigerantNPVCostsNet]],0)</f>
        <v>#N/A</v>
      </c>
      <c r="BD53" s="174" t="e">
        <f ca="1">IF(Table2[[#This Row],[Is Net Cost?]],0,-Table2[[#This Row],[RefrigerantNPVCostsNet]])</f>
        <v>#N/A</v>
      </c>
    </row>
    <row r="54" spans="1:56" x14ac:dyDescent="0.3">
      <c r="A54" s="173">
        <f t="shared" si="2"/>
        <v>2022</v>
      </c>
      <c r="B54" s="268"/>
      <c r="C54" s="212"/>
      <c r="D54" s="212"/>
      <c r="E54" s="216" t="str">
        <f>IF(Table2[[#This Row],[MeasAppType]]="NR","N/A","N/A")</f>
        <v>N/A</v>
      </c>
      <c r="F54" s="272"/>
      <c r="G54" s="218"/>
      <c r="H54" s="218"/>
      <c r="I54" s="218"/>
      <c r="J54" s="173" t="e">
        <f>INDEX(Table3[CommonRefrigerantType],MATCH(Table2[[#This Row],[Pre tech lookup (not required for "NR" measure application types)]],DropdownRefrigTech,0))</f>
        <v>#N/A</v>
      </c>
      <c r="K54" s="173" t="e">
        <f>INDEX(Table3[CommonRefrigerantType],MATCH(Table2[[#This Row],[Std tech lookup (not required for "AR" measure application types)]],DropdownRefrigTech,0))</f>
        <v>#N/A</v>
      </c>
      <c r="L54" s="173" t="e">
        <f>INDEX(Table3[CommonRefrigerantType],MATCH(Table2[[#This Row],[Msr tech lookup]],DropdownRefrigTech,0))</f>
        <v>#N/A</v>
      </c>
      <c r="M54" s="134" t="e">
        <f>INDEX(Table3[RefrigChargePoundsPerNormUnit],MATCH(Table2[[#This Row],[Pre tech lookup (not required for "NR" measure application types)]],DropdownRefrigTech,0))</f>
        <v>#N/A</v>
      </c>
      <c r="N54" s="134" t="e">
        <f>INDEX(Table3[RefrigChargePoundsPerNormUnit],MATCH(Table2[[#This Row],[Std tech lookup (not required for "AR" measure application types)]],DropdownRefrigTech,0))</f>
        <v>#N/A</v>
      </c>
      <c r="O54" s="149" t="e">
        <f>INDEX(Table3[RefrigChargePoundsPerNormUnit],MATCH(Table2[[#This Row],[Msr tech lookup]],DropdownRefrigTech,0))</f>
        <v>#N/A</v>
      </c>
      <c r="P54" s="163" t="e">
        <f>INDEX(Table3[AnnualLeakageRate],MATCH(Table2[[#This Row],[Pre tech lookup (not required for "NR" measure application types)]],DropdownRefrigTech,0))</f>
        <v>#N/A</v>
      </c>
      <c r="Q54" s="163" t="e">
        <f>INDEX(Table3[AnnualLeakageRate],MATCH(Table2[[#This Row],[Std tech lookup (not required for "AR" measure application types)]],DropdownRefrigTech,0))</f>
        <v>#N/A</v>
      </c>
      <c r="R54" s="163" t="e">
        <f>INDEX(Table3[AnnualLeakageRate],MATCH(Table2[[#This Row],[Msr tech lookup]],DropdownRefrigTech,0))</f>
        <v>#N/A</v>
      </c>
      <c r="S54" s="164" t="e">
        <f>INDEX(Table3[t_EOL],MATCH(Table2[[#This Row],[Pre tech lookup (not required for "NR" measure application types)]],DropdownRefrigTech,0))</f>
        <v>#N/A</v>
      </c>
      <c r="T54" s="164" t="e">
        <f>INDEX(Table3[t_EOL],MATCH(Table2[[#This Row],[Std tech lookup (not required for "AR" measure application types)]],DropdownRefrigTech,0))</f>
        <v>#N/A</v>
      </c>
      <c r="U54" s="164" t="e">
        <f>INDEX(Table3[t_EOL],MATCH(Table2[[#This Row],[Msr tech lookup]],DropdownRefrigTech,0))</f>
        <v>#N/A</v>
      </c>
      <c r="V54" s="163" t="e">
        <f>1-Table2[[#This Row],[Pre annual refrigerant leakage %]]*Table2[[#This Row],[Pre t_EOL]]</f>
        <v>#N/A</v>
      </c>
      <c r="W54" s="163" t="e">
        <f>1-Table2[[#This Row],[Std annual refrigerant leakage %]]*Table2[[#This Row],[Std t_EOL]]</f>
        <v>#N/A</v>
      </c>
      <c r="X54" s="163" t="e">
        <f>1-Table2[[#This Row],[Msr annual refrigerant leakage %]]*Table2[[#This Row],[Msr t_EOL]]</f>
        <v>#N/A</v>
      </c>
      <c r="Y54" s="163" t="e">
        <f>INDEX(Table3[q_EOL],MATCH(Table2[[#This Row],[Pre tech lookup (not required for "NR" measure application types)]],DropdownRefrigTech,0))</f>
        <v>#N/A</v>
      </c>
      <c r="Z54" s="163" t="e">
        <f>INDEX(Table3[q_EOL],MATCH(Table2[[#This Row],[Std tech lookup (not required for "AR" measure application types)]],DropdownRefrigTech,0))</f>
        <v>#N/A</v>
      </c>
      <c r="AA54" s="163" t="e">
        <f>INDEX(Table3[q_EOL],MATCH(Table2[[#This Row],[Msr tech lookup]],DropdownRefrigTech,0))</f>
        <v>#N/A</v>
      </c>
      <c r="AB54" s="163" t="e">
        <f>Table2[[#This Row],[Pre charging remaining (%)]]*Table2[[#This Row],[Pre gross EOL refrigerant leakage %]]</f>
        <v>#N/A</v>
      </c>
      <c r="AC54" s="163" t="e">
        <f>Table2[[#This Row],[Std charging remaining (%)]]*Table2[[#This Row],[Std gross EOL refrigerant leakage %]]</f>
        <v>#N/A</v>
      </c>
      <c r="AD54" s="163" t="e">
        <f>Table2[[#This Row],[Msr charging remaining (%)]]*Table2[[#This Row],[Msr gross EOL refrigerant leakage %]]</f>
        <v>#N/A</v>
      </c>
      <c r="AE54" s="164" t="e" cm="1">
        <f t="array" ref="AE54">INDEX(_xlfn.SWITCH($B$4,"20-yr",GWP_Values_20_year_AR4,"100-yr",GWP_Values_100_year_AR4),MATCH(Table2[[#This Row],[Pre Refrigerant Type]],RefrigDropdownList,0))</f>
        <v>#N/A</v>
      </c>
      <c r="AF54" s="164" t="e" cm="1">
        <f t="array" ref="AF54">INDEX(_xlfn.SWITCH($B$4,"20-yr",GWP_Values_20_year_AR4,"100-yr",GWP_Values_100_year_AR4),MATCH(Table2[[#This Row],[Std Refrigerant Type]],RefrigDropdownList,0))</f>
        <v>#N/A</v>
      </c>
      <c r="AG54" s="164" t="e" cm="1">
        <f t="array" ref="AG54">INDEX(_xlfn.SWITCH($B$4,"20-yr",GWP_Values_20_year_AR4,"100-yr",GWP_Values_100_year_AR4),MATCH(Table2[[#This Row],[Msr Refrigerant Type]],RefrigDropdownList,0))</f>
        <v>#N/A</v>
      </c>
      <c r="AH54" s="165" t="e">
        <f>(Table2[[#This Row],[Pre Refrigerant charge (lbs) per NormUnit]]/pounds_per_metric_ton)*Table2[[#This Row],[Pre annual refrigerant leakage %]]*Table2[[#This Row],[Pre GWP]]</f>
        <v>#N/A</v>
      </c>
      <c r="AI54" s="165" t="e">
        <f>(Table2[[#This Row],[Std Refrigerant charge (lbs)per NormUnit]]/pounds_per_metric_ton)*Table2[[#This Row],[Std annual refrigerant leakage %]]*Table2[[#This Row],[Std GWP]]</f>
        <v>#N/A</v>
      </c>
      <c r="AJ54" s="165" t="e">
        <f>(Table2[[#This Row],[Msr Refrigerant charge (lbs)per NormUnit]]/pounds_per_metric_ton)*Table2[[#This Row],[Msr annual refrigerant leakage %]]*Table2[[#This Row],[Msr GWP]]</f>
        <v>#N/A</v>
      </c>
      <c r="AK54" s="165" t="e">
        <f>(Table2[[#This Row],[Pre Refrigerant charge (lbs) per NormUnit]]/pounds_per_metric_ton)*Table2[[#This Row],[Pre net EOL refrigerant leakage (%)]]*Table2[[#This Row],[Pre GWP]]</f>
        <v>#N/A</v>
      </c>
      <c r="AL54" s="165" t="e">
        <f>(Table2[[#This Row],[Std Refrigerant charge (lbs)per NormUnit]]/pounds_per_metric_ton)*Table2[[#This Row],[Std net EOL refrigerant leakage (%)]]*Table2[[#This Row],[Std GWP]]</f>
        <v>#N/A</v>
      </c>
      <c r="AM54" s="165" t="e">
        <f>(Table2[[#This Row],[Msr Refrigerant charge (lbs)per NormUnit]]/pounds_per_metric_ton)*Table2[[#This Row],[Msr net EOL refrigerant leakage (%)]]*Table2[[#This Row],[Msr GWP]]</f>
        <v>#N/A</v>
      </c>
      <c r="AN54" s="174" cm="1">
        <f t="array" aca="1" ref="AN54" ca="1">IF(Table2[[#This Row],[MeasAppType]]="AR",Table2[[#This Row],[Pre Annual leakage tons CO2e]]*NPV(WACC,OFFSET(const_ones,0,0,1,Table2[[#This Row],[EUL]])*OFFSET(GHG_Adder_dollar_per_tonne,0,(Table2[[#This Row],[Device installation year]])-GHG_Adder_Yr1,1,Table2[[#This Row],[EUL]]))/(1+WACC)^(Table2[[#This Row],[Device installation year]]-DY),0)</f>
        <v>0</v>
      </c>
      <c r="AO54" s="174" t="e" cm="1">
        <f t="array" aca="1" ref="AO54"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54" s="174" t="e" cm="1">
        <f t="array" aca="1" ref="AP54" ca="1">Table2[[#This Row],[Msr Annual leakage tons CO2e]]*NPV(WACC,OFFSET(const_ones,0,0,1,Table2[[#This Row],[EUL]])*OFFSET(GHG_Adder_dollar_per_tonne,0,((Table2[[#This Row],[Device installation year]])-GHG_Adder_Yr1),1,Table2[[#This Row],[EUL]]))/(1+WACC)^(Table2[[#This Row],[Device installation year]]-DY)</f>
        <v>#N/A</v>
      </c>
      <c r="AQ54" s="260" cm="1">
        <f t="array" aca="1" ref="AQ54"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54" s="261" t="e" cm="1">
        <f t="array" aca="1" ref="AR54"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54" s="261" t="e" cm="1">
        <f t="array" aca="1" ref="AS54" ca="1">Table2[[#This Row],[Msr EOL leakage tons CO2e]]*NPV(WACC,OFFSET(const_repeat_after,Table2[[#This Row],[EUL]],0,1,Table2[[#This Row],[EUL]])*OFFSET(GHG_Adder_dollar_per_tonne,0,(Table2[[#This Row],[Device installation year]])-GHG_Adder_Yr1,1,Table2[[#This Row],[EUL]]))/(1+WACC)^(Table2[[#This Row],[Device installation year]]-DY)</f>
        <v>#N/A</v>
      </c>
      <c r="AT54" s="260">
        <f>0</f>
        <v>0</v>
      </c>
      <c r="AU54"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54" s="174" t="e">
        <f ca="1">Table2[[#This Row],[RefrigerantNPVCostsNet]]&gt;0</f>
        <v>#N/A</v>
      </c>
      <c r="AW54" s="174">
        <f>0</f>
        <v>0</v>
      </c>
      <c r="AX54" s="174">
        <f>0</f>
        <v>0</v>
      </c>
      <c r="AY54" s="174">
        <f>0</f>
        <v>0</v>
      </c>
      <c r="AZ54" s="174">
        <f ca="1">Table2[[#This Row],[Pre NPV Cost of Annual Leakage]]+Table2[[#This Row],[Pre NPV Cost of EOL Leakage]]</f>
        <v>0</v>
      </c>
      <c r="BA54" s="174" t="e">
        <f ca="1">Table2[[#This Row],[Std NPV Cost of Annual Leakage]]+Table2[[#This Row],[Std NPV Cost of EOL Leakage]]</f>
        <v>#N/A</v>
      </c>
      <c r="BB54" s="174" t="e">
        <f ca="1">Table2[[#This Row],[AR immediate NPV cost of leakage]]+Table2[[#This Row],[Msr NPV Cost of Annual Leakage]]+Table2[[#This Row],[Msr NPV Cost of EOL Leakage]]</f>
        <v>#N/A</v>
      </c>
      <c r="BC54" s="273" t="e">
        <f ca="1">IF(Table2[[#This Row],[Is Net Cost?]],Table2[[#This Row],[RefrigerantNPVCostsNet]],0)</f>
        <v>#N/A</v>
      </c>
      <c r="BD54" s="174" t="e">
        <f ca="1">IF(Table2[[#This Row],[Is Net Cost?]],0,-Table2[[#This Row],[RefrigerantNPVCostsNet]])</f>
        <v>#N/A</v>
      </c>
    </row>
    <row r="55" spans="1:56" x14ac:dyDescent="0.3">
      <c r="A55" s="173">
        <f t="shared" si="2"/>
        <v>2022</v>
      </c>
      <c r="B55" s="268"/>
      <c r="C55" s="212"/>
      <c r="D55" s="212"/>
      <c r="E55" s="216" t="str">
        <f>IF(Table2[[#This Row],[MeasAppType]]="NR","N/A","N/A")</f>
        <v>N/A</v>
      </c>
      <c r="F55" s="272"/>
      <c r="G55" s="218"/>
      <c r="H55" s="218"/>
      <c r="I55" s="218"/>
      <c r="J55" s="173" t="e">
        <f>INDEX(Table3[CommonRefrigerantType],MATCH(Table2[[#This Row],[Pre tech lookup (not required for "NR" measure application types)]],DropdownRefrigTech,0))</f>
        <v>#N/A</v>
      </c>
      <c r="K55" s="173" t="e">
        <f>INDEX(Table3[CommonRefrigerantType],MATCH(Table2[[#This Row],[Std tech lookup (not required for "AR" measure application types)]],DropdownRefrigTech,0))</f>
        <v>#N/A</v>
      </c>
      <c r="L55" s="173" t="e">
        <f>INDEX(Table3[CommonRefrigerantType],MATCH(Table2[[#This Row],[Msr tech lookup]],DropdownRefrigTech,0))</f>
        <v>#N/A</v>
      </c>
      <c r="M55" s="134" t="e">
        <f>INDEX(Table3[RefrigChargePoundsPerNormUnit],MATCH(Table2[[#This Row],[Pre tech lookup (not required for "NR" measure application types)]],DropdownRefrigTech,0))</f>
        <v>#N/A</v>
      </c>
      <c r="N55" s="134" t="e">
        <f>INDEX(Table3[RefrigChargePoundsPerNormUnit],MATCH(Table2[[#This Row],[Std tech lookup (not required for "AR" measure application types)]],DropdownRefrigTech,0))</f>
        <v>#N/A</v>
      </c>
      <c r="O55" s="149" t="e">
        <f>INDEX(Table3[RefrigChargePoundsPerNormUnit],MATCH(Table2[[#This Row],[Msr tech lookup]],DropdownRefrigTech,0))</f>
        <v>#N/A</v>
      </c>
      <c r="P55" s="163" t="e">
        <f>INDEX(Table3[AnnualLeakageRate],MATCH(Table2[[#This Row],[Pre tech lookup (not required for "NR" measure application types)]],DropdownRefrigTech,0))</f>
        <v>#N/A</v>
      </c>
      <c r="Q55" s="163" t="e">
        <f>INDEX(Table3[AnnualLeakageRate],MATCH(Table2[[#This Row],[Std tech lookup (not required for "AR" measure application types)]],DropdownRefrigTech,0))</f>
        <v>#N/A</v>
      </c>
      <c r="R55" s="163" t="e">
        <f>INDEX(Table3[AnnualLeakageRate],MATCH(Table2[[#This Row],[Msr tech lookup]],DropdownRefrigTech,0))</f>
        <v>#N/A</v>
      </c>
      <c r="S55" s="164" t="e">
        <f>INDEX(Table3[t_EOL],MATCH(Table2[[#This Row],[Pre tech lookup (not required for "NR" measure application types)]],DropdownRefrigTech,0))</f>
        <v>#N/A</v>
      </c>
      <c r="T55" s="164" t="e">
        <f>INDEX(Table3[t_EOL],MATCH(Table2[[#This Row],[Std tech lookup (not required for "AR" measure application types)]],DropdownRefrigTech,0))</f>
        <v>#N/A</v>
      </c>
      <c r="U55" s="164" t="e">
        <f>INDEX(Table3[t_EOL],MATCH(Table2[[#This Row],[Msr tech lookup]],DropdownRefrigTech,0))</f>
        <v>#N/A</v>
      </c>
      <c r="V55" s="163" t="e">
        <f>1-Table2[[#This Row],[Pre annual refrigerant leakage %]]*Table2[[#This Row],[Pre t_EOL]]</f>
        <v>#N/A</v>
      </c>
      <c r="W55" s="163" t="e">
        <f>1-Table2[[#This Row],[Std annual refrigerant leakage %]]*Table2[[#This Row],[Std t_EOL]]</f>
        <v>#N/A</v>
      </c>
      <c r="X55" s="163" t="e">
        <f>1-Table2[[#This Row],[Msr annual refrigerant leakage %]]*Table2[[#This Row],[Msr t_EOL]]</f>
        <v>#N/A</v>
      </c>
      <c r="Y55" s="163" t="e">
        <f>INDEX(Table3[q_EOL],MATCH(Table2[[#This Row],[Pre tech lookup (not required for "NR" measure application types)]],DropdownRefrigTech,0))</f>
        <v>#N/A</v>
      </c>
      <c r="Z55" s="163" t="e">
        <f>INDEX(Table3[q_EOL],MATCH(Table2[[#This Row],[Std tech lookup (not required for "AR" measure application types)]],DropdownRefrigTech,0))</f>
        <v>#N/A</v>
      </c>
      <c r="AA55" s="163" t="e">
        <f>INDEX(Table3[q_EOL],MATCH(Table2[[#This Row],[Msr tech lookup]],DropdownRefrigTech,0))</f>
        <v>#N/A</v>
      </c>
      <c r="AB55" s="163" t="e">
        <f>Table2[[#This Row],[Pre charging remaining (%)]]*Table2[[#This Row],[Pre gross EOL refrigerant leakage %]]</f>
        <v>#N/A</v>
      </c>
      <c r="AC55" s="163" t="e">
        <f>Table2[[#This Row],[Std charging remaining (%)]]*Table2[[#This Row],[Std gross EOL refrigerant leakage %]]</f>
        <v>#N/A</v>
      </c>
      <c r="AD55" s="163" t="e">
        <f>Table2[[#This Row],[Msr charging remaining (%)]]*Table2[[#This Row],[Msr gross EOL refrigerant leakage %]]</f>
        <v>#N/A</v>
      </c>
      <c r="AE55" s="164" t="e" cm="1">
        <f t="array" ref="AE55">INDEX(_xlfn.SWITCH($B$4,"20-yr",GWP_Values_20_year_AR4,"100-yr",GWP_Values_100_year_AR4),MATCH(Table2[[#This Row],[Pre Refrigerant Type]],RefrigDropdownList,0))</f>
        <v>#N/A</v>
      </c>
      <c r="AF55" s="164" t="e" cm="1">
        <f t="array" ref="AF55">INDEX(_xlfn.SWITCH($B$4,"20-yr",GWP_Values_20_year_AR4,"100-yr",GWP_Values_100_year_AR4),MATCH(Table2[[#This Row],[Std Refrigerant Type]],RefrigDropdownList,0))</f>
        <v>#N/A</v>
      </c>
      <c r="AG55" s="164" t="e" cm="1">
        <f t="array" ref="AG55">INDEX(_xlfn.SWITCH($B$4,"20-yr",GWP_Values_20_year_AR4,"100-yr",GWP_Values_100_year_AR4),MATCH(Table2[[#This Row],[Msr Refrigerant Type]],RefrigDropdownList,0))</f>
        <v>#N/A</v>
      </c>
      <c r="AH55" s="165" t="e">
        <f>(Table2[[#This Row],[Pre Refrigerant charge (lbs) per NormUnit]]/pounds_per_metric_ton)*Table2[[#This Row],[Pre annual refrigerant leakage %]]*Table2[[#This Row],[Pre GWP]]</f>
        <v>#N/A</v>
      </c>
      <c r="AI55" s="165" t="e">
        <f>(Table2[[#This Row],[Std Refrigerant charge (lbs)per NormUnit]]/pounds_per_metric_ton)*Table2[[#This Row],[Std annual refrigerant leakage %]]*Table2[[#This Row],[Std GWP]]</f>
        <v>#N/A</v>
      </c>
      <c r="AJ55" s="165" t="e">
        <f>(Table2[[#This Row],[Msr Refrigerant charge (lbs)per NormUnit]]/pounds_per_metric_ton)*Table2[[#This Row],[Msr annual refrigerant leakage %]]*Table2[[#This Row],[Msr GWP]]</f>
        <v>#N/A</v>
      </c>
      <c r="AK55" s="165" t="e">
        <f>(Table2[[#This Row],[Pre Refrigerant charge (lbs) per NormUnit]]/pounds_per_metric_ton)*Table2[[#This Row],[Pre net EOL refrigerant leakage (%)]]*Table2[[#This Row],[Pre GWP]]</f>
        <v>#N/A</v>
      </c>
      <c r="AL55" s="165" t="e">
        <f>(Table2[[#This Row],[Std Refrigerant charge (lbs)per NormUnit]]/pounds_per_metric_ton)*Table2[[#This Row],[Std net EOL refrigerant leakage (%)]]*Table2[[#This Row],[Std GWP]]</f>
        <v>#N/A</v>
      </c>
      <c r="AM55" s="165" t="e">
        <f>(Table2[[#This Row],[Msr Refrigerant charge (lbs)per NormUnit]]/pounds_per_metric_ton)*Table2[[#This Row],[Msr net EOL refrigerant leakage (%)]]*Table2[[#This Row],[Msr GWP]]</f>
        <v>#N/A</v>
      </c>
      <c r="AN55" s="174" cm="1">
        <f t="array" aca="1" ref="AN55" ca="1">IF(Table2[[#This Row],[MeasAppType]]="AR",Table2[[#This Row],[Pre Annual leakage tons CO2e]]*NPV(WACC,OFFSET(const_ones,0,0,1,Table2[[#This Row],[EUL]])*OFFSET(GHG_Adder_dollar_per_tonne,0,(Table2[[#This Row],[Device installation year]])-GHG_Adder_Yr1,1,Table2[[#This Row],[EUL]]))/(1+WACC)^(Table2[[#This Row],[Device installation year]]-DY),0)</f>
        <v>0</v>
      </c>
      <c r="AO55" s="174" t="e" cm="1">
        <f t="array" aca="1" ref="AO55"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55" s="174" t="e" cm="1">
        <f t="array" aca="1" ref="AP55" ca="1">Table2[[#This Row],[Msr Annual leakage tons CO2e]]*NPV(WACC,OFFSET(const_ones,0,0,1,Table2[[#This Row],[EUL]])*OFFSET(GHG_Adder_dollar_per_tonne,0,((Table2[[#This Row],[Device installation year]])-GHG_Adder_Yr1),1,Table2[[#This Row],[EUL]]))/(1+WACC)^(Table2[[#This Row],[Device installation year]]-DY)</f>
        <v>#N/A</v>
      </c>
      <c r="AQ55" s="260" cm="1">
        <f t="array" aca="1" ref="AQ55"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55" s="261" t="e" cm="1">
        <f t="array" aca="1" ref="AR55"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55" s="261" t="e" cm="1">
        <f t="array" aca="1" ref="AS55" ca="1">Table2[[#This Row],[Msr EOL leakage tons CO2e]]*NPV(WACC,OFFSET(const_repeat_after,Table2[[#This Row],[EUL]],0,1,Table2[[#This Row],[EUL]])*OFFSET(GHG_Adder_dollar_per_tonne,0,(Table2[[#This Row],[Device installation year]])-GHG_Adder_Yr1,1,Table2[[#This Row],[EUL]]))/(1+WACC)^(Table2[[#This Row],[Device installation year]]-DY)</f>
        <v>#N/A</v>
      </c>
      <c r="AT55" s="260">
        <f>0</f>
        <v>0</v>
      </c>
      <c r="AU55"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55" s="174" t="e">
        <f ca="1">Table2[[#This Row],[RefrigerantNPVCostsNet]]&gt;0</f>
        <v>#N/A</v>
      </c>
      <c r="AW55" s="174">
        <f>0</f>
        <v>0</v>
      </c>
      <c r="AX55" s="174">
        <f>0</f>
        <v>0</v>
      </c>
      <c r="AY55" s="174">
        <f>0</f>
        <v>0</v>
      </c>
      <c r="AZ55" s="174">
        <f ca="1">Table2[[#This Row],[Pre NPV Cost of Annual Leakage]]+Table2[[#This Row],[Pre NPV Cost of EOL Leakage]]</f>
        <v>0</v>
      </c>
      <c r="BA55" s="174" t="e">
        <f ca="1">Table2[[#This Row],[Std NPV Cost of Annual Leakage]]+Table2[[#This Row],[Std NPV Cost of EOL Leakage]]</f>
        <v>#N/A</v>
      </c>
      <c r="BB55" s="174" t="e">
        <f ca="1">Table2[[#This Row],[AR immediate NPV cost of leakage]]+Table2[[#This Row],[Msr NPV Cost of Annual Leakage]]+Table2[[#This Row],[Msr NPV Cost of EOL Leakage]]</f>
        <v>#N/A</v>
      </c>
      <c r="BC55" s="273" t="e">
        <f ca="1">IF(Table2[[#This Row],[Is Net Cost?]],Table2[[#This Row],[RefrigerantNPVCostsNet]],0)</f>
        <v>#N/A</v>
      </c>
      <c r="BD55" s="174" t="e">
        <f ca="1">IF(Table2[[#This Row],[Is Net Cost?]],0,-Table2[[#This Row],[RefrigerantNPVCostsNet]])</f>
        <v>#N/A</v>
      </c>
    </row>
    <row r="56" spans="1:56" x14ac:dyDescent="0.3">
      <c r="A56" s="173">
        <f t="shared" si="2"/>
        <v>2022</v>
      </c>
      <c r="B56" s="268"/>
      <c r="C56" s="212"/>
      <c r="D56" s="212"/>
      <c r="E56" s="216" t="str">
        <f>IF(Table2[[#This Row],[MeasAppType]]="NR","N/A","N/A")</f>
        <v>N/A</v>
      </c>
      <c r="F56" s="272"/>
      <c r="G56" s="218"/>
      <c r="H56" s="218"/>
      <c r="I56" s="218"/>
      <c r="J56" s="173" t="e">
        <f>INDEX(Table3[CommonRefrigerantType],MATCH(Table2[[#This Row],[Pre tech lookup (not required for "NR" measure application types)]],DropdownRefrigTech,0))</f>
        <v>#N/A</v>
      </c>
      <c r="K56" s="173" t="e">
        <f>INDEX(Table3[CommonRefrigerantType],MATCH(Table2[[#This Row],[Std tech lookup (not required for "AR" measure application types)]],DropdownRefrigTech,0))</f>
        <v>#N/A</v>
      </c>
      <c r="L56" s="173" t="e">
        <f>INDEX(Table3[CommonRefrigerantType],MATCH(Table2[[#This Row],[Msr tech lookup]],DropdownRefrigTech,0))</f>
        <v>#N/A</v>
      </c>
      <c r="M56" s="134" t="e">
        <f>INDEX(Table3[RefrigChargePoundsPerNormUnit],MATCH(Table2[[#This Row],[Pre tech lookup (not required for "NR" measure application types)]],DropdownRefrigTech,0))</f>
        <v>#N/A</v>
      </c>
      <c r="N56" s="134" t="e">
        <f>INDEX(Table3[RefrigChargePoundsPerNormUnit],MATCH(Table2[[#This Row],[Std tech lookup (not required for "AR" measure application types)]],DropdownRefrigTech,0))</f>
        <v>#N/A</v>
      </c>
      <c r="O56" s="149" t="e">
        <f>INDEX(Table3[RefrigChargePoundsPerNormUnit],MATCH(Table2[[#This Row],[Msr tech lookup]],DropdownRefrigTech,0))</f>
        <v>#N/A</v>
      </c>
      <c r="P56" s="163" t="e">
        <f>INDEX(Table3[AnnualLeakageRate],MATCH(Table2[[#This Row],[Pre tech lookup (not required for "NR" measure application types)]],DropdownRefrigTech,0))</f>
        <v>#N/A</v>
      </c>
      <c r="Q56" s="163" t="e">
        <f>INDEX(Table3[AnnualLeakageRate],MATCH(Table2[[#This Row],[Std tech lookup (not required for "AR" measure application types)]],DropdownRefrigTech,0))</f>
        <v>#N/A</v>
      </c>
      <c r="R56" s="163" t="e">
        <f>INDEX(Table3[AnnualLeakageRate],MATCH(Table2[[#This Row],[Msr tech lookup]],DropdownRefrigTech,0))</f>
        <v>#N/A</v>
      </c>
      <c r="S56" s="164" t="e">
        <f>INDEX(Table3[t_EOL],MATCH(Table2[[#This Row],[Pre tech lookup (not required for "NR" measure application types)]],DropdownRefrigTech,0))</f>
        <v>#N/A</v>
      </c>
      <c r="T56" s="164" t="e">
        <f>INDEX(Table3[t_EOL],MATCH(Table2[[#This Row],[Std tech lookup (not required for "AR" measure application types)]],DropdownRefrigTech,0))</f>
        <v>#N/A</v>
      </c>
      <c r="U56" s="164" t="e">
        <f>INDEX(Table3[t_EOL],MATCH(Table2[[#This Row],[Msr tech lookup]],DropdownRefrigTech,0))</f>
        <v>#N/A</v>
      </c>
      <c r="V56" s="163" t="e">
        <f>1-Table2[[#This Row],[Pre annual refrigerant leakage %]]*Table2[[#This Row],[Pre t_EOL]]</f>
        <v>#N/A</v>
      </c>
      <c r="W56" s="163" t="e">
        <f>1-Table2[[#This Row],[Std annual refrigerant leakage %]]*Table2[[#This Row],[Std t_EOL]]</f>
        <v>#N/A</v>
      </c>
      <c r="X56" s="163" t="e">
        <f>1-Table2[[#This Row],[Msr annual refrigerant leakage %]]*Table2[[#This Row],[Msr t_EOL]]</f>
        <v>#N/A</v>
      </c>
      <c r="Y56" s="163" t="e">
        <f>INDEX(Table3[q_EOL],MATCH(Table2[[#This Row],[Pre tech lookup (not required for "NR" measure application types)]],DropdownRefrigTech,0))</f>
        <v>#N/A</v>
      </c>
      <c r="Z56" s="163" t="e">
        <f>INDEX(Table3[q_EOL],MATCH(Table2[[#This Row],[Std tech lookup (not required for "AR" measure application types)]],DropdownRefrigTech,0))</f>
        <v>#N/A</v>
      </c>
      <c r="AA56" s="163" t="e">
        <f>INDEX(Table3[q_EOL],MATCH(Table2[[#This Row],[Msr tech lookup]],DropdownRefrigTech,0))</f>
        <v>#N/A</v>
      </c>
      <c r="AB56" s="163" t="e">
        <f>Table2[[#This Row],[Pre charging remaining (%)]]*Table2[[#This Row],[Pre gross EOL refrigerant leakage %]]</f>
        <v>#N/A</v>
      </c>
      <c r="AC56" s="163" t="e">
        <f>Table2[[#This Row],[Std charging remaining (%)]]*Table2[[#This Row],[Std gross EOL refrigerant leakage %]]</f>
        <v>#N/A</v>
      </c>
      <c r="AD56" s="163" t="e">
        <f>Table2[[#This Row],[Msr charging remaining (%)]]*Table2[[#This Row],[Msr gross EOL refrigerant leakage %]]</f>
        <v>#N/A</v>
      </c>
      <c r="AE56" s="164" t="e" cm="1">
        <f t="array" ref="AE56">INDEX(_xlfn.SWITCH($B$4,"20-yr",GWP_Values_20_year_AR4,"100-yr",GWP_Values_100_year_AR4),MATCH(Table2[[#This Row],[Pre Refrigerant Type]],RefrigDropdownList,0))</f>
        <v>#N/A</v>
      </c>
      <c r="AF56" s="164" t="e" cm="1">
        <f t="array" ref="AF56">INDEX(_xlfn.SWITCH($B$4,"20-yr",GWP_Values_20_year_AR4,"100-yr",GWP_Values_100_year_AR4),MATCH(Table2[[#This Row],[Std Refrigerant Type]],RefrigDropdownList,0))</f>
        <v>#N/A</v>
      </c>
      <c r="AG56" s="164" t="e" cm="1">
        <f t="array" ref="AG56">INDEX(_xlfn.SWITCH($B$4,"20-yr",GWP_Values_20_year_AR4,"100-yr",GWP_Values_100_year_AR4),MATCH(Table2[[#This Row],[Msr Refrigerant Type]],RefrigDropdownList,0))</f>
        <v>#N/A</v>
      </c>
      <c r="AH56" s="165" t="e">
        <f>(Table2[[#This Row],[Pre Refrigerant charge (lbs) per NormUnit]]/pounds_per_metric_ton)*Table2[[#This Row],[Pre annual refrigerant leakage %]]*Table2[[#This Row],[Pre GWP]]</f>
        <v>#N/A</v>
      </c>
      <c r="AI56" s="165" t="e">
        <f>(Table2[[#This Row],[Std Refrigerant charge (lbs)per NormUnit]]/pounds_per_metric_ton)*Table2[[#This Row],[Std annual refrigerant leakage %]]*Table2[[#This Row],[Std GWP]]</f>
        <v>#N/A</v>
      </c>
      <c r="AJ56" s="165" t="e">
        <f>(Table2[[#This Row],[Msr Refrigerant charge (lbs)per NormUnit]]/pounds_per_metric_ton)*Table2[[#This Row],[Msr annual refrigerant leakage %]]*Table2[[#This Row],[Msr GWP]]</f>
        <v>#N/A</v>
      </c>
      <c r="AK56" s="165" t="e">
        <f>(Table2[[#This Row],[Pre Refrigerant charge (lbs) per NormUnit]]/pounds_per_metric_ton)*Table2[[#This Row],[Pre net EOL refrigerant leakage (%)]]*Table2[[#This Row],[Pre GWP]]</f>
        <v>#N/A</v>
      </c>
      <c r="AL56" s="165" t="e">
        <f>(Table2[[#This Row],[Std Refrigerant charge (lbs)per NormUnit]]/pounds_per_metric_ton)*Table2[[#This Row],[Std net EOL refrigerant leakage (%)]]*Table2[[#This Row],[Std GWP]]</f>
        <v>#N/A</v>
      </c>
      <c r="AM56" s="165" t="e">
        <f>(Table2[[#This Row],[Msr Refrigerant charge (lbs)per NormUnit]]/pounds_per_metric_ton)*Table2[[#This Row],[Msr net EOL refrigerant leakage (%)]]*Table2[[#This Row],[Msr GWP]]</f>
        <v>#N/A</v>
      </c>
      <c r="AN56" s="174" cm="1">
        <f t="array" aca="1" ref="AN56" ca="1">IF(Table2[[#This Row],[MeasAppType]]="AR",Table2[[#This Row],[Pre Annual leakage tons CO2e]]*NPV(WACC,OFFSET(const_ones,0,0,1,Table2[[#This Row],[EUL]])*OFFSET(GHG_Adder_dollar_per_tonne,0,(Table2[[#This Row],[Device installation year]])-GHG_Adder_Yr1,1,Table2[[#This Row],[EUL]]))/(1+WACC)^(Table2[[#This Row],[Device installation year]]-DY),0)</f>
        <v>0</v>
      </c>
      <c r="AO56" s="174" t="e" cm="1">
        <f t="array" aca="1" ref="AO56"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56" s="174" t="e" cm="1">
        <f t="array" aca="1" ref="AP56" ca="1">Table2[[#This Row],[Msr Annual leakage tons CO2e]]*NPV(WACC,OFFSET(const_ones,0,0,1,Table2[[#This Row],[EUL]])*OFFSET(GHG_Adder_dollar_per_tonne,0,((Table2[[#This Row],[Device installation year]])-GHG_Adder_Yr1),1,Table2[[#This Row],[EUL]]))/(1+WACC)^(Table2[[#This Row],[Device installation year]]-DY)</f>
        <v>#N/A</v>
      </c>
      <c r="AQ56" s="260" cm="1">
        <f t="array" aca="1" ref="AQ56"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56" s="261" t="e" cm="1">
        <f t="array" aca="1" ref="AR56"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56" s="261" t="e" cm="1">
        <f t="array" aca="1" ref="AS56" ca="1">Table2[[#This Row],[Msr EOL leakage tons CO2e]]*NPV(WACC,OFFSET(const_repeat_after,Table2[[#This Row],[EUL]],0,1,Table2[[#This Row],[EUL]])*OFFSET(GHG_Adder_dollar_per_tonne,0,(Table2[[#This Row],[Device installation year]])-GHG_Adder_Yr1,1,Table2[[#This Row],[EUL]]))/(1+WACC)^(Table2[[#This Row],[Device installation year]]-DY)</f>
        <v>#N/A</v>
      </c>
      <c r="AT56" s="260">
        <f>0</f>
        <v>0</v>
      </c>
      <c r="AU56"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56" s="174" t="e">
        <f ca="1">Table2[[#This Row],[RefrigerantNPVCostsNet]]&gt;0</f>
        <v>#N/A</v>
      </c>
      <c r="AW56" s="174">
        <f>0</f>
        <v>0</v>
      </c>
      <c r="AX56" s="174">
        <f>0</f>
        <v>0</v>
      </c>
      <c r="AY56" s="174">
        <f>0</f>
        <v>0</v>
      </c>
      <c r="AZ56" s="174">
        <f ca="1">Table2[[#This Row],[Pre NPV Cost of Annual Leakage]]+Table2[[#This Row],[Pre NPV Cost of EOL Leakage]]</f>
        <v>0</v>
      </c>
      <c r="BA56" s="174" t="e">
        <f ca="1">Table2[[#This Row],[Std NPV Cost of Annual Leakage]]+Table2[[#This Row],[Std NPV Cost of EOL Leakage]]</f>
        <v>#N/A</v>
      </c>
      <c r="BB56" s="174" t="e">
        <f ca="1">Table2[[#This Row],[AR immediate NPV cost of leakage]]+Table2[[#This Row],[Msr NPV Cost of Annual Leakage]]+Table2[[#This Row],[Msr NPV Cost of EOL Leakage]]</f>
        <v>#N/A</v>
      </c>
      <c r="BC56" s="273" t="e">
        <f ca="1">IF(Table2[[#This Row],[Is Net Cost?]],Table2[[#This Row],[RefrigerantNPVCostsNet]],0)</f>
        <v>#N/A</v>
      </c>
      <c r="BD56" s="174" t="e">
        <f ca="1">IF(Table2[[#This Row],[Is Net Cost?]],0,-Table2[[#This Row],[RefrigerantNPVCostsNet]])</f>
        <v>#N/A</v>
      </c>
    </row>
    <row r="57" spans="1:56" x14ac:dyDescent="0.3">
      <c r="A57" s="173">
        <f t="shared" si="2"/>
        <v>2022</v>
      </c>
      <c r="B57" s="268"/>
      <c r="C57" s="212"/>
      <c r="D57" s="212"/>
      <c r="E57" s="216" t="str">
        <f>IF(Table2[[#This Row],[MeasAppType]]="NR","N/A","N/A")</f>
        <v>N/A</v>
      </c>
      <c r="F57" s="272"/>
      <c r="G57" s="218"/>
      <c r="H57" s="218"/>
      <c r="I57" s="218"/>
      <c r="J57" s="173" t="e">
        <f>INDEX(Table3[CommonRefrigerantType],MATCH(Table2[[#This Row],[Pre tech lookup (not required for "NR" measure application types)]],DropdownRefrigTech,0))</f>
        <v>#N/A</v>
      </c>
      <c r="K57" s="173" t="e">
        <f>INDEX(Table3[CommonRefrigerantType],MATCH(Table2[[#This Row],[Std tech lookup (not required for "AR" measure application types)]],DropdownRefrigTech,0))</f>
        <v>#N/A</v>
      </c>
      <c r="L57" s="173" t="e">
        <f>INDEX(Table3[CommonRefrigerantType],MATCH(Table2[[#This Row],[Msr tech lookup]],DropdownRefrigTech,0))</f>
        <v>#N/A</v>
      </c>
      <c r="M57" s="134" t="e">
        <f>INDEX(Table3[RefrigChargePoundsPerNormUnit],MATCH(Table2[[#This Row],[Pre tech lookup (not required for "NR" measure application types)]],DropdownRefrigTech,0))</f>
        <v>#N/A</v>
      </c>
      <c r="N57" s="134" t="e">
        <f>INDEX(Table3[RefrigChargePoundsPerNormUnit],MATCH(Table2[[#This Row],[Std tech lookup (not required for "AR" measure application types)]],DropdownRefrigTech,0))</f>
        <v>#N/A</v>
      </c>
      <c r="O57" s="149" t="e">
        <f>INDEX(Table3[RefrigChargePoundsPerNormUnit],MATCH(Table2[[#This Row],[Msr tech lookup]],DropdownRefrigTech,0))</f>
        <v>#N/A</v>
      </c>
      <c r="P57" s="163" t="e">
        <f>INDEX(Table3[AnnualLeakageRate],MATCH(Table2[[#This Row],[Pre tech lookup (not required for "NR" measure application types)]],DropdownRefrigTech,0))</f>
        <v>#N/A</v>
      </c>
      <c r="Q57" s="163" t="e">
        <f>INDEX(Table3[AnnualLeakageRate],MATCH(Table2[[#This Row],[Std tech lookup (not required for "AR" measure application types)]],DropdownRefrigTech,0))</f>
        <v>#N/A</v>
      </c>
      <c r="R57" s="163" t="e">
        <f>INDEX(Table3[AnnualLeakageRate],MATCH(Table2[[#This Row],[Msr tech lookup]],DropdownRefrigTech,0))</f>
        <v>#N/A</v>
      </c>
      <c r="S57" s="164" t="e">
        <f>INDEX(Table3[t_EOL],MATCH(Table2[[#This Row],[Pre tech lookup (not required for "NR" measure application types)]],DropdownRefrigTech,0))</f>
        <v>#N/A</v>
      </c>
      <c r="T57" s="164" t="e">
        <f>INDEX(Table3[t_EOL],MATCH(Table2[[#This Row],[Std tech lookup (not required for "AR" measure application types)]],DropdownRefrigTech,0))</f>
        <v>#N/A</v>
      </c>
      <c r="U57" s="164" t="e">
        <f>INDEX(Table3[t_EOL],MATCH(Table2[[#This Row],[Msr tech lookup]],DropdownRefrigTech,0))</f>
        <v>#N/A</v>
      </c>
      <c r="V57" s="163" t="e">
        <f>1-Table2[[#This Row],[Pre annual refrigerant leakage %]]*Table2[[#This Row],[Pre t_EOL]]</f>
        <v>#N/A</v>
      </c>
      <c r="W57" s="163" t="e">
        <f>1-Table2[[#This Row],[Std annual refrigerant leakage %]]*Table2[[#This Row],[Std t_EOL]]</f>
        <v>#N/A</v>
      </c>
      <c r="X57" s="163" t="e">
        <f>1-Table2[[#This Row],[Msr annual refrigerant leakage %]]*Table2[[#This Row],[Msr t_EOL]]</f>
        <v>#N/A</v>
      </c>
      <c r="Y57" s="163" t="e">
        <f>INDEX(Table3[q_EOL],MATCH(Table2[[#This Row],[Pre tech lookup (not required for "NR" measure application types)]],DropdownRefrigTech,0))</f>
        <v>#N/A</v>
      </c>
      <c r="Z57" s="163" t="e">
        <f>INDEX(Table3[q_EOL],MATCH(Table2[[#This Row],[Std tech lookup (not required for "AR" measure application types)]],DropdownRefrigTech,0))</f>
        <v>#N/A</v>
      </c>
      <c r="AA57" s="163" t="e">
        <f>INDEX(Table3[q_EOL],MATCH(Table2[[#This Row],[Msr tech lookup]],DropdownRefrigTech,0))</f>
        <v>#N/A</v>
      </c>
      <c r="AB57" s="163" t="e">
        <f>Table2[[#This Row],[Pre charging remaining (%)]]*Table2[[#This Row],[Pre gross EOL refrigerant leakage %]]</f>
        <v>#N/A</v>
      </c>
      <c r="AC57" s="163" t="e">
        <f>Table2[[#This Row],[Std charging remaining (%)]]*Table2[[#This Row],[Std gross EOL refrigerant leakage %]]</f>
        <v>#N/A</v>
      </c>
      <c r="AD57" s="163" t="e">
        <f>Table2[[#This Row],[Msr charging remaining (%)]]*Table2[[#This Row],[Msr gross EOL refrigerant leakage %]]</f>
        <v>#N/A</v>
      </c>
      <c r="AE57" s="164" t="e" cm="1">
        <f t="array" ref="AE57">INDEX(_xlfn.SWITCH($B$4,"20-yr",GWP_Values_20_year_AR4,"100-yr",GWP_Values_100_year_AR4),MATCH(Table2[[#This Row],[Pre Refrigerant Type]],RefrigDropdownList,0))</f>
        <v>#N/A</v>
      </c>
      <c r="AF57" s="164" t="e" cm="1">
        <f t="array" ref="AF57">INDEX(_xlfn.SWITCH($B$4,"20-yr",GWP_Values_20_year_AR4,"100-yr",GWP_Values_100_year_AR4),MATCH(Table2[[#This Row],[Std Refrigerant Type]],RefrigDropdownList,0))</f>
        <v>#N/A</v>
      </c>
      <c r="AG57" s="164" t="e" cm="1">
        <f t="array" ref="AG57">INDEX(_xlfn.SWITCH($B$4,"20-yr",GWP_Values_20_year_AR4,"100-yr",GWP_Values_100_year_AR4),MATCH(Table2[[#This Row],[Msr Refrigerant Type]],RefrigDropdownList,0))</f>
        <v>#N/A</v>
      </c>
      <c r="AH57" s="165" t="e">
        <f>(Table2[[#This Row],[Pre Refrigerant charge (lbs) per NormUnit]]/pounds_per_metric_ton)*Table2[[#This Row],[Pre annual refrigerant leakage %]]*Table2[[#This Row],[Pre GWP]]</f>
        <v>#N/A</v>
      </c>
      <c r="AI57" s="165" t="e">
        <f>(Table2[[#This Row],[Std Refrigerant charge (lbs)per NormUnit]]/pounds_per_metric_ton)*Table2[[#This Row],[Std annual refrigerant leakage %]]*Table2[[#This Row],[Std GWP]]</f>
        <v>#N/A</v>
      </c>
      <c r="AJ57" s="165" t="e">
        <f>(Table2[[#This Row],[Msr Refrigerant charge (lbs)per NormUnit]]/pounds_per_metric_ton)*Table2[[#This Row],[Msr annual refrigerant leakage %]]*Table2[[#This Row],[Msr GWP]]</f>
        <v>#N/A</v>
      </c>
      <c r="AK57" s="165" t="e">
        <f>(Table2[[#This Row],[Pre Refrigerant charge (lbs) per NormUnit]]/pounds_per_metric_ton)*Table2[[#This Row],[Pre net EOL refrigerant leakage (%)]]*Table2[[#This Row],[Pre GWP]]</f>
        <v>#N/A</v>
      </c>
      <c r="AL57" s="165" t="e">
        <f>(Table2[[#This Row],[Std Refrigerant charge (lbs)per NormUnit]]/pounds_per_metric_ton)*Table2[[#This Row],[Std net EOL refrigerant leakage (%)]]*Table2[[#This Row],[Std GWP]]</f>
        <v>#N/A</v>
      </c>
      <c r="AM57" s="165" t="e">
        <f>(Table2[[#This Row],[Msr Refrigerant charge (lbs)per NormUnit]]/pounds_per_metric_ton)*Table2[[#This Row],[Msr net EOL refrigerant leakage (%)]]*Table2[[#This Row],[Msr GWP]]</f>
        <v>#N/A</v>
      </c>
      <c r="AN57" s="174" cm="1">
        <f t="array" aca="1" ref="AN57" ca="1">IF(Table2[[#This Row],[MeasAppType]]="AR",Table2[[#This Row],[Pre Annual leakage tons CO2e]]*NPV(WACC,OFFSET(const_ones,0,0,1,Table2[[#This Row],[EUL]])*OFFSET(GHG_Adder_dollar_per_tonne,0,(Table2[[#This Row],[Device installation year]])-GHG_Adder_Yr1,1,Table2[[#This Row],[EUL]]))/(1+WACC)^(Table2[[#This Row],[Device installation year]]-DY),0)</f>
        <v>0</v>
      </c>
      <c r="AO57" s="174" t="e" cm="1">
        <f t="array" aca="1" ref="AO57"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57" s="174" t="e" cm="1">
        <f t="array" aca="1" ref="AP57" ca="1">Table2[[#This Row],[Msr Annual leakage tons CO2e]]*NPV(WACC,OFFSET(const_ones,0,0,1,Table2[[#This Row],[EUL]])*OFFSET(GHG_Adder_dollar_per_tonne,0,((Table2[[#This Row],[Device installation year]])-GHG_Adder_Yr1),1,Table2[[#This Row],[EUL]]))/(1+WACC)^(Table2[[#This Row],[Device installation year]]-DY)</f>
        <v>#N/A</v>
      </c>
      <c r="AQ57" s="260" cm="1">
        <f t="array" aca="1" ref="AQ57"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57" s="261" t="e" cm="1">
        <f t="array" aca="1" ref="AR57"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57" s="261" t="e" cm="1">
        <f t="array" aca="1" ref="AS57" ca="1">Table2[[#This Row],[Msr EOL leakage tons CO2e]]*NPV(WACC,OFFSET(const_repeat_after,Table2[[#This Row],[EUL]],0,1,Table2[[#This Row],[EUL]])*OFFSET(GHG_Adder_dollar_per_tonne,0,(Table2[[#This Row],[Device installation year]])-GHG_Adder_Yr1,1,Table2[[#This Row],[EUL]]))/(1+WACC)^(Table2[[#This Row],[Device installation year]]-DY)</f>
        <v>#N/A</v>
      </c>
      <c r="AT57" s="260">
        <f>0</f>
        <v>0</v>
      </c>
      <c r="AU57"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57" s="174" t="e">
        <f ca="1">Table2[[#This Row],[RefrigerantNPVCostsNet]]&gt;0</f>
        <v>#N/A</v>
      </c>
      <c r="AW57" s="174">
        <f>0</f>
        <v>0</v>
      </c>
      <c r="AX57" s="174">
        <f>0</f>
        <v>0</v>
      </c>
      <c r="AY57" s="174">
        <f>0</f>
        <v>0</v>
      </c>
      <c r="AZ57" s="174">
        <f ca="1">Table2[[#This Row],[Pre NPV Cost of Annual Leakage]]+Table2[[#This Row],[Pre NPV Cost of EOL Leakage]]</f>
        <v>0</v>
      </c>
      <c r="BA57" s="174" t="e">
        <f ca="1">Table2[[#This Row],[Std NPV Cost of Annual Leakage]]+Table2[[#This Row],[Std NPV Cost of EOL Leakage]]</f>
        <v>#N/A</v>
      </c>
      <c r="BB57" s="174" t="e">
        <f ca="1">Table2[[#This Row],[AR immediate NPV cost of leakage]]+Table2[[#This Row],[Msr NPV Cost of Annual Leakage]]+Table2[[#This Row],[Msr NPV Cost of EOL Leakage]]</f>
        <v>#N/A</v>
      </c>
      <c r="BC57" s="273" t="e">
        <f ca="1">IF(Table2[[#This Row],[Is Net Cost?]],Table2[[#This Row],[RefrigerantNPVCostsNet]],0)</f>
        <v>#N/A</v>
      </c>
      <c r="BD57" s="174" t="e">
        <f ca="1">IF(Table2[[#This Row],[Is Net Cost?]],0,-Table2[[#This Row],[RefrigerantNPVCostsNet]])</f>
        <v>#N/A</v>
      </c>
    </row>
    <row r="58" spans="1:56" x14ac:dyDescent="0.3">
      <c r="A58" s="173">
        <f t="shared" si="2"/>
        <v>2022</v>
      </c>
      <c r="B58" s="268"/>
      <c r="C58" s="212"/>
      <c r="D58" s="212"/>
      <c r="E58" s="216" t="str">
        <f>IF(Table2[[#This Row],[MeasAppType]]="NR","N/A","N/A")</f>
        <v>N/A</v>
      </c>
      <c r="F58" s="272"/>
      <c r="G58" s="218"/>
      <c r="H58" s="218"/>
      <c r="I58" s="218"/>
      <c r="J58" s="173" t="e">
        <f>INDEX(Table3[CommonRefrigerantType],MATCH(Table2[[#This Row],[Pre tech lookup (not required for "NR" measure application types)]],DropdownRefrigTech,0))</f>
        <v>#N/A</v>
      </c>
      <c r="K58" s="173" t="e">
        <f>INDEX(Table3[CommonRefrigerantType],MATCH(Table2[[#This Row],[Std tech lookup (not required for "AR" measure application types)]],DropdownRefrigTech,0))</f>
        <v>#N/A</v>
      </c>
      <c r="L58" s="173" t="e">
        <f>INDEX(Table3[CommonRefrigerantType],MATCH(Table2[[#This Row],[Msr tech lookup]],DropdownRefrigTech,0))</f>
        <v>#N/A</v>
      </c>
      <c r="M58" s="134" t="e">
        <f>INDEX(Table3[RefrigChargePoundsPerNormUnit],MATCH(Table2[[#This Row],[Pre tech lookup (not required for "NR" measure application types)]],DropdownRefrigTech,0))</f>
        <v>#N/A</v>
      </c>
      <c r="N58" s="134" t="e">
        <f>INDEX(Table3[RefrigChargePoundsPerNormUnit],MATCH(Table2[[#This Row],[Std tech lookup (not required for "AR" measure application types)]],DropdownRefrigTech,0))</f>
        <v>#N/A</v>
      </c>
      <c r="O58" s="149" t="e">
        <f>INDEX(Table3[RefrigChargePoundsPerNormUnit],MATCH(Table2[[#This Row],[Msr tech lookup]],DropdownRefrigTech,0))</f>
        <v>#N/A</v>
      </c>
      <c r="P58" s="163" t="e">
        <f>INDEX(Table3[AnnualLeakageRate],MATCH(Table2[[#This Row],[Pre tech lookup (not required for "NR" measure application types)]],DropdownRefrigTech,0))</f>
        <v>#N/A</v>
      </c>
      <c r="Q58" s="163" t="e">
        <f>INDEX(Table3[AnnualLeakageRate],MATCH(Table2[[#This Row],[Std tech lookup (not required for "AR" measure application types)]],DropdownRefrigTech,0))</f>
        <v>#N/A</v>
      </c>
      <c r="R58" s="163" t="e">
        <f>INDEX(Table3[AnnualLeakageRate],MATCH(Table2[[#This Row],[Msr tech lookup]],DropdownRefrigTech,0))</f>
        <v>#N/A</v>
      </c>
      <c r="S58" s="164" t="e">
        <f>INDEX(Table3[t_EOL],MATCH(Table2[[#This Row],[Pre tech lookup (not required for "NR" measure application types)]],DropdownRefrigTech,0))</f>
        <v>#N/A</v>
      </c>
      <c r="T58" s="164" t="e">
        <f>INDEX(Table3[t_EOL],MATCH(Table2[[#This Row],[Std tech lookup (not required for "AR" measure application types)]],DropdownRefrigTech,0))</f>
        <v>#N/A</v>
      </c>
      <c r="U58" s="164" t="e">
        <f>INDEX(Table3[t_EOL],MATCH(Table2[[#This Row],[Msr tech lookup]],DropdownRefrigTech,0))</f>
        <v>#N/A</v>
      </c>
      <c r="V58" s="163" t="e">
        <f>1-Table2[[#This Row],[Pre annual refrigerant leakage %]]*Table2[[#This Row],[Pre t_EOL]]</f>
        <v>#N/A</v>
      </c>
      <c r="W58" s="163" t="e">
        <f>1-Table2[[#This Row],[Std annual refrigerant leakage %]]*Table2[[#This Row],[Std t_EOL]]</f>
        <v>#N/A</v>
      </c>
      <c r="X58" s="163" t="e">
        <f>1-Table2[[#This Row],[Msr annual refrigerant leakage %]]*Table2[[#This Row],[Msr t_EOL]]</f>
        <v>#N/A</v>
      </c>
      <c r="Y58" s="163" t="e">
        <f>INDEX(Table3[q_EOL],MATCH(Table2[[#This Row],[Pre tech lookup (not required for "NR" measure application types)]],DropdownRefrigTech,0))</f>
        <v>#N/A</v>
      </c>
      <c r="Z58" s="163" t="e">
        <f>INDEX(Table3[q_EOL],MATCH(Table2[[#This Row],[Std tech lookup (not required for "AR" measure application types)]],DropdownRefrigTech,0))</f>
        <v>#N/A</v>
      </c>
      <c r="AA58" s="163" t="e">
        <f>INDEX(Table3[q_EOL],MATCH(Table2[[#This Row],[Msr tech lookup]],DropdownRefrigTech,0))</f>
        <v>#N/A</v>
      </c>
      <c r="AB58" s="163" t="e">
        <f>Table2[[#This Row],[Pre charging remaining (%)]]*Table2[[#This Row],[Pre gross EOL refrigerant leakage %]]</f>
        <v>#N/A</v>
      </c>
      <c r="AC58" s="163" t="e">
        <f>Table2[[#This Row],[Std charging remaining (%)]]*Table2[[#This Row],[Std gross EOL refrigerant leakage %]]</f>
        <v>#N/A</v>
      </c>
      <c r="AD58" s="163" t="e">
        <f>Table2[[#This Row],[Msr charging remaining (%)]]*Table2[[#This Row],[Msr gross EOL refrigerant leakage %]]</f>
        <v>#N/A</v>
      </c>
      <c r="AE58" s="164" t="e" cm="1">
        <f t="array" ref="AE58">INDEX(_xlfn.SWITCH($B$4,"20-yr",GWP_Values_20_year_AR4,"100-yr",GWP_Values_100_year_AR4),MATCH(Table2[[#This Row],[Pre Refrigerant Type]],RefrigDropdownList,0))</f>
        <v>#N/A</v>
      </c>
      <c r="AF58" s="164" t="e" cm="1">
        <f t="array" ref="AF58">INDEX(_xlfn.SWITCH($B$4,"20-yr",GWP_Values_20_year_AR4,"100-yr",GWP_Values_100_year_AR4),MATCH(Table2[[#This Row],[Std Refrigerant Type]],RefrigDropdownList,0))</f>
        <v>#N/A</v>
      </c>
      <c r="AG58" s="164" t="e" cm="1">
        <f t="array" ref="AG58">INDEX(_xlfn.SWITCH($B$4,"20-yr",GWP_Values_20_year_AR4,"100-yr",GWP_Values_100_year_AR4),MATCH(Table2[[#This Row],[Msr Refrigerant Type]],RefrigDropdownList,0))</f>
        <v>#N/A</v>
      </c>
      <c r="AH58" s="165" t="e">
        <f>(Table2[[#This Row],[Pre Refrigerant charge (lbs) per NormUnit]]/pounds_per_metric_ton)*Table2[[#This Row],[Pre annual refrigerant leakage %]]*Table2[[#This Row],[Pre GWP]]</f>
        <v>#N/A</v>
      </c>
      <c r="AI58" s="165" t="e">
        <f>(Table2[[#This Row],[Std Refrigerant charge (lbs)per NormUnit]]/pounds_per_metric_ton)*Table2[[#This Row],[Std annual refrigerant leakage %]]*Table2[[#This Row],[Std GWP]]</f>
        <v>#N/A</v>
      </c>
      <c r="AJ58" s="165" t="e">
        <f>(Table2[[#This Row],[Msr Refrigerant charge (lbs)per NormUnit]]/pounds_per_metric_ton)*Table2[[#This Row],[Msr annual refrigerant leakage %]]*Table2[[#This Row],[Msr GWP]]</f>
        <v>#N/A</v>
      </c>
      <c r="AK58" s="165" t="e">
        <f>(Table2[[#This Row],[Pre Refrigerant charge (lbs) per NormUnit]]/pounds_per_metric_ton)*Table2[[#This Row],[Pre net EOL refrigerant leakage (%)]]*Table2[[#This Row],[Pre GWP]]</f>
        <v>#N/A</v>
      </c>
      <c r="AL58" s="165" t="e">
        <f>(Table2[[#This Row],[Std Refrigerant charge (lbs)per NormUnit]]/pounds_per_metric_ton)*Table2[[#This Row],[Std net EOL refrigerant leakage (%)]]*Table2[[#This Row],[Std GWP]]</f>
        <v>#N/A</v>
      </c>
      <c r="AM58" s="165" t="e">
        <f>(Table2[[#This Row],[Msr Refrigerant charge (lbs)per NormUnit]]/pounds_per_metric_ton)*Table2[[#This Row],[Msr net EOL refrigerant leakage (%)]]*Table2[[#This Row],[Msr GWP]]</f>
        <v>#N/A</v>
      </c>
      <c r="AN58" s="174" cm="1">
        <f t="array" aca="1" ref="AN58" ca="1">IF(Table2[[#This Row],[MeasAppType]]="AR",Table2[[#This Row],[Pre Annual leakage tons CO2e]]*NPV(WACC,OFFSET(const_ones,0,0,1,Table2[[#This Row],[EUL]])*OFFSET(GHG_Adder_dollar_per_tonne,0,(Table2[[#This Row],[Device installation year]])-GHG_Adder_Yr1,1,Table2[[#This Row],[EUL]]))/(1+WACC)^(Table2[[#This Row],[Device installation year]]-DY),0)</f>
        <v>0</v>
      </c>
      <c r="AO58" s="174" t="e" cm="1">
        <f t="array" aca="1" ref="AO58"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58" s="174" t="e" cm="1">
        <f t="array" aca="1" ref="AP58" ca="1">Table2[[#This Row],[Msr Annual leakage tons CO2e]]*NPV(WACC,OFFSET(const_ones,0,0,1,Table2[[#This Row],[EUL]])*OFFSET(GHG_Adder_dollar_per_tonne,0,((Table2[[#This Row],[Device installation year]])-GHG_Adder_Yr1),1,Table2[[#This Row],[EUL]]))/(1+WACC)^(Table2[[#This Row],[Device installation year]]-DY)</f>
        <v>#N/A</v>
      </c>
      <c r="AQ58" s="260" cm="1">
        <f t="array" aca="1" ref="AQ58"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58" s="261" t="e" cm="1">
        <f t="array" aca="1" ref="AR58"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58" s="261" t="e" cm="1">
        <f t="array" aca="1" ref="AS58" ca="1">Table2[[#This Row],[Msr EOL leakage tons CO2e]]*NPV(WACC,OFFSET(const_repeat_after,Table2[[#This Row],[EUL]],0,1,Table2[[#This Row],[EUL]])*OFFSET(GHG_Adder_dollar_per_tonne,0,(Table2[[#This Row],[Device installation year]])-GHG_Adder_Yr1,1,Table2[[#This Row],[EUL]]))/(1+WACC)^(Table2[[#This Row],[Device installation year]]-DY)</f>
        <v>#N/A</v>
      </c>
      <c r="AT58" s="260">
        <f>0</f>
        <v>0</v>
      </c>
      <c r="AU58"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58" s="174" t="e">
        <f ca="1">Table2[[#This Row],[RefrigerantNPVCostsNet]]&gt;0</f>
        <v>#N/A</v>
      </c>
      <c r="AW58" s="174">
        <f>0</f>
        <v>0</v>
      </c>
      <c r="AX58" s="174">
        <f>0</f>
        <v>0</v>
      </c>
      <c r="AY58" s="174">
        <f>0</f>
        <v>0</v>
      </c>
      <c r="AZ58" s="174">
        <f ca="1">Table2[[#This Row],[Pre NPV Cost of Annual Leakage]]+Table2[[#This Row],[Pre NPV Cost of EOL Leakage]]</f>
        <v>0</v>
      </c>
      <c r="BA58" s="174" t="e">
        <f ca="1">Table2[[#This Row],[Std NPV Cost of Annual Leakage]]+Table2[[#This Row],[Std NPV Cost of EOL Leakage]]</f>
        <v>#N/A</v>
      </c>
      <c r="BB58" s="174" t="e">
        <f ca="1">Table2[[#This Row],[AR immediate NPV cost of leakage]]+Table2[[#This Row],[Msr NPV Cost of Annual Leakage]]+Table2[[#This Row],[Msr NPV Cost of EOL Leakage]]</f>
        <v>#N/A</v>
      </c>
      <c r="BC58" s="273" t="e">
        <f ca="1">IF(Table2[[#This Row],[Is Net Cost?]],Table2[[#This Row],[RefrigerantNPVCostsNet]],0)</f>
        <v>#N/A</v>
      </c>
      <c r="BD58" s="174" t="e">
        <f ca="1">IF(Table2[[#This Row],[Is Net Cost?]],0,-Table2[[#This Row],[RefrigerantNPVCostsNet]])</f>
        <v>#N/A</v>
      </c>
    </row>
    <row r="59" spans="1:56" x14ac:dyDescent="0.3">
      <c r="A59" s="173">
        <f t="shared" si="2"/>
        <v>2022</v>
      </c>
      <c r="B59" s="268"/>
      <c r="C59" s="212"/>
      <c r="D59" s="212"/>
      <c r="E59" s="216" t="str">
        <f>IF(Table2[[#This Row],[MeasAppType]]="NR","N/A","N/A")</f>
        <v>N/A</v>
      </c>
      <c r="F59" s="272"/>
      <c r="G59" s="218"/>
      <c r="H59" s="218"/>
      <c r="I59" s="218"/>
      <c r="J59" s="173" t="e">
        <f>INDEX(Table3[CommonRefrigerantType],MATCH(Table2[[#This Row],[Pre tech lookup (not required for "NR" measure application types)]],DropdownRefrigTech,0))</f>
        <v>#N/A</v>
      </c>
      <c r="K59" s="173" t="e">
        <f>INDEX(Table3[CommonRefrigerantType],MATCH(Table2[[#This Row],[Std tech lookup (not required for "AR" measure application types)]],DropdownRefrigTech,0))</f>
        <v>#N/A</v>
      </c>
      <c r="L59" s="173" t="e">
        <f>INDEX(Table3[CommonRefrigerantType],MATCH(Table2[[#This Row],[Msr tech lookup]],DropdownRefrigTech,0))</f>
        <v>#N/A</v>
      </c>
      <c r="M59" s="134" t="e">
        <f>INDEX(Table3[RefrigChargePoundsPerNormUnit],MATCH(Table2[[#This Row],[Pre tech lookup (not required for "NR" measure application types)]],DropdownRefrigTech,0))</f>
        <v>#N/A</v>
      </c>
      <c r="N59" s="134" t="e">
        <f>INDEX(Table3[RefrigChargePoundsPerNormUnit],MATCH(Table2[[#This Row],[Std tech lookup (not required for "AR" measure application types)]],DropdownRefrigTech,0))</f>
        <v>#N/A</v>
      </c>
      <c r="O59" s="149" t="e">
        <f>INDEX(Table3[RefrigChargePoundsPerNormUnit],MATCH(Table2[[#This Row],[Msr tech lookup]],DropdownRefrigTech,0))</f>
        <v>#N/A</v>
      </c>
      <c r="P59" s="163" t="e">
        <f>INDEX(Table3[AnnualLeakageRate],MATCH(Table2[[#This Row],[Pre tech lookup (not required for "NR" measure application types)]],DropdownRefrigTech,0))</f>
        <v>#N/A</v>
      </c>
      <c r="Q59" s="163" t="e">
        <f>INDEX(Table3[AnnualLeakageRate],MATCH(Table2[[#This Row],[Std tech lookup (not required for "AR" measure application types)]],DropdownRefrigTech,0))</f>
        <v>#N/A</v>
      </c>
      <c r="R59" s="163" t="e">
        <f>INDEX(Table3[AnnualLeakageRate],MATCH(Table2[[#This Row],[Msr tech lookup]],DropdownRefrigTech,0))</f>
        <v>#N/A</v>
      </c>
      <c r="S59" s="164" t="e">
        <f>INDEX(Table3[t_EOL],MATCH(Table2[[#This Row],[Pre tech lookup (not required for "NR" measure application types)]],DropdownRefrigTech,0))</f>
        <v>#N/A</v>
      </c>
      <c r="T59" s="164" t="e">
        <f>INDEX(Table3[t_EOL],MATCH(Table2[[#This Row],[Std tech lookup (not required for "AR" measure application types)]],DropdownRefrigTech,0))</f>
        <v>#N/A</v>
      </c>
      <c r="U59" s="164" t="e">
        <f>INDEX(Table3[t_EOL],MATCH(Table2[[#This Row],[Msr tech lookup]],DropdownRefrigTech,0))</f>
        <v>#N/A</v>
      </c>
      <c r="V59" s="163" t="e">
        <f>1-Table2[[#This Row],[Pre annual refrigerant leakage %]]*Table2[[#This Row],[Pre t_EOL]]</f>
        <v>#N/A</v>
      </c>
      <c r="W59" s="163" t="e">
        <f>1-Table2[[#This Row],[Std annual refrigerant leakage %]]*Table2[[#This Row],[Std t_EOL]]</f>
        <v>#N/A</v>
      </c>
      <c r="X59" s="163" t="e">
        <f>1-Table2[[#This Row],[Msr annual refrigerant leakage %]]*Table2[[#This Row],[Msr t_EOL]]</f>
        <v>#N/A</v>
      </c>
      <c r="Y59" s="163" t="e">
        <f>INDEX(Table3[q_EOL],MATCH(Table2[[#This Row],[Pre tech lookup (not required for "NR" measure application types)]],DropdownRefrigTech,0))</f>
        <v>#N/A</v>
      </c>
      <c r="Z59" s="163" t="e">
        <f>INDEX(Table3[q_EOL],MATCH(Table2[[#This Row],[Std tech lookup (not required for "AR" measure application types)]],DropdownRefrigTech,0))</f>
        <v>#N/A</v>
      </c>
      <c r="AA59" s="163" t="e">
        <f>INDEX(Table3[q_EOL],MATCH(Table2[[#This Row],[Msr tech lookup]],DropdownRefrigTech,0))</f>
        <v>#N/A</v>
      </c>
      <c r="AB59" s="163" t="e">
        <f>Table2[[#This Row],[Pre charging remaining (%)]]*Table2[[#This Row],[Pre gross EOL refrigerant leakage %]]</f>
        <v>#N/A</v>
      </c>
      <c r="AC59" s="163" t="e">
        <f>Table2[[#This Row],[Std charging remaining (%)]]*Table2[[#This Row],[Std gross EOL refrigerant leakage %]]</f>
        <v>#N/A</v>
      </c>
      <c r="AD59" s="163" t="e">
        <f>Table2[[#This Row],[Msr charging remaining (%)]]*Table2[[#This Row],[Msr gross EOL refrigerant leakage %]]</f>
        <v>#N/A</v>
      </c>
      <c r="AE59" s="164" t="e" cm="1">
        <f t="array" ref="AE59">INDEX(_xlfn.SWITCH($B$4,"20-yr",GWP_Values_20_year_AR4,"100-yr",GWP_Values_100_year_AR4),MATCH(Table2[[#This Row],[Pre Refrigerant Type]],RefrigDropdownList,0))</f>
        <v>#N/A</v>
      </c>
      <c r="AF59" s="164" t="e" cm="1">
        <f t="array" ref="AF59">INDEX(_xlfn.SWITCH($B$4,"20-yr",GWP_Values_20_year_AR4,"100-yr",GWP_Values_100_year_AR4),MATCH(Table2[[#This Row],[Std Refrigerant Type]],RefrigDropdownList,0))</f>
        <v>#N/A</v>
      </c>
      <c r="AG59" s="164" t="e" cm="1">
        <f t="array" ref="AG59">INDEX(_xlfn.SWITCH($B$4,"20-yr",GWP_Values_20_year_AR4,"100-yr",GWP_Values_100_year_AR4),MATCH(Table2[[#This Row],[Msr Refrigerant Type]],RefrigDropdownList,0))</f>
        <v>#N/A</v>
      </c>
      <c r="AH59" s="165" t="e">
        <f>(Table2[[#This Row],[Pre Refrigerant charge (lbs) per NormUnit]]/pounds_per_metric_ton)*Table2[[#This Row],[Pre annual refrigerant leakage %]]*Table2[[#This Row],[Pre GWP]]</f>
        <v>#N/A</v>
      </c>
      <c r="AI59" s="165" t="e">
        <f>(Table2[[#This Row],[Std Refrigerant charge (lbs)per NormUnit]]/pounds_per_metric_ton)*Table2[[#This Row],[Std annual refrigerant leakage %]]*Table2[[#This Row],[Std GWP]]</f>
        <v>#N/A</v>
      </c>
      <c r="AJ59" s="165" t="e">
        <f>(Table2[[#This Row],[Msr Refrigerant charge (lbs)per NormUnit]]/pounds_per_metric_ton)*Table2[[#This Row],[Msr annual refrigerant leakage %]]*Table2[[#This Row],[Msr GWP]]</f>
        <v>#N/A</v>
      </c>
      <c r="AK59" s="165" t="e">
        <f>(Table2[[#This Row],[Pre Refrigerant charge (lbs) per NormUnit]]/pounds_per_metric_ton)*Table2[[#This Row],[Pre net EOL refrigerant leakage (%)]]*Table2[[#This Row],[Pre GWP]]</f>
        <v>#N/A</v>
      </c>
      <c r="AL59" s="165" t="e">
        <f>(Table2[[#This Row],[Std Refrigerant charge (lbs)per NormUnit]]/pounds_per_metric_ton)*Table2[[#This Row],[Std net EOL refrigerant leakage (%)]]*Table2[[#This Row],[Std GWP]]</f>
        <v>#N/A</v>
      </c>
      <c r="AM59" s="165" t="e">
        <f>(Table2[[#This Row],[Msr Refrigerant charge (lbs)per NormUnit]]/pounds_per_metric_ton)*Table2[[#This Row],[Msr net EOL refrigerant leakage (%)]]*Table2[[#This Row],[Msr GWP]]</f>
        <v>#N/A</v>
      </c>
      <c r="AN59" s="174" cm="1">
        <f t="array" aca="1" ref="AN59" ca="1">IF(Table2[[#This Row],[MeasAppType]]="AR",Table2[[#This Row],[Pre Annual leakage tons CO2e]]*NPV(WACC,OFFSET(const_ones,0,0,1,Table2[[#This Row],[EUL]])*OFFSET(GHG_Adder_dollar_per_tonne,0,(Table2[[#This Row],[Device installation year]])-GHG_Adder_Yr1,1,Table2[[#This Row],[EUL]]))/(1+WACC)^(Table2[[#This Row],[Device installation year]]-DY),0)</f>
        <v>0</v>
      </c>
      <c r="AO59" s="174" t="e" cm="1">
        <f t="array" aca="1" ref="AO59"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59" s="174" t="e" cm="1">
        <f t="array" aca="1" ref="AP59" ca="1">Table2[[#This Row],[Msr Annual leakage tons CO2e]]*NPV(WACC,OFFSET(const_ones,0,0,1,Table2[[#This Row],[EUL]])*OFFSET(GHG_Adder_dollar_per_tonne,0,((Table2[[#This Row],[Device installation year]])-GHG_Adder_Yr1),1,Table2[[#This Row],[EUL]]))/(1+WACC)^(Table2[[#This Row],[Device installation year]]-DY)</f>
        <v>#N/A</v>
      </c>
      <c r="AQ59" s="260" cm="1">
        <f t="array" aca="1" ref="AQ59"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59" s="261" t="e" cm="1">
        <f t="array" aca="1" ref="AR59"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59" s="261" t="e" cm="1">
        <f t="array" aca="1" ref="AS59" ca="1">Table2[[#This Row],[Msr EOL leakage tons CO2e]]*NPV(WACC,OFFSET(const_repeat_after,Table2[[#This Row],[EUL]],0,1,Table2[[#This Row],[EUL]])*OFFSET(GHG_Adder_dollar_per_tonne,0,(Table2[[#This Row],[Device installation year]])-GHG_Adder_Yr1,1,Table2[[#This Row],[EUL]]))/(1+WACC)^(Table2[[#This Row],[Device installation year]]-DY)</f>
        <v>#N/A</v>
      </c>
      <c r="AT59" s="260">
        <f>0</f>
        <v>0</v>
      </c>
      <c r="AU59"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59" s="174" t="e">
        <f ca="1">Table2[[#This Row],[RefrigerantNPVCostsNet]]&gt;0</f>
        <v>#N/A</v>
      </c>
      <c r="AW59" s="174">
        <f>0</f>
        <v>0</v>
      </c>
      <c r="AX59" s="174">
        <f>0</f>
        <v>0</v>
      </c>
      <c r="AY59" s="174">
        <f>0</f>
        <v>0</v>
      </c>
      <c r="AZ59" s="174">
        <f ca="1">Table2[[#This Row],[Pre NPV Cost of Annual Leakage]]+Table2[[#This Row],[Pre NPV Cost of EOL Leakage]]</f>
        <v>0</v>
      </c>
      <c r="BA59" s="174" t="e">
        <f ca="1">Table2[[#This Row],[Std NPV Cost of Annual Leakage]]+Table2[[#This Row],[Std NPV Cost of EOL Leakage]]</f>
        <v>#N/A</v>
      </c>
      <c r="BB59" s="174" t="e">
        <f ca="1">Table2[[#This Row],[AR immediate NPV cost of leakage]]+Table2[[#This Row],[Msr NPV Cost of Annual Leakage]]+Table2[[#This Row],[Msr NPV Cost of EOL Leakage]]</f>
        <v>#N/A</v>
      </c>
      <c r="BC59" s="273" t="e">
        <f ca="1">IF(Table2[[#This Row],[Is Net Cost?]],Table2[[#This Row],[RefrigerantNPVCostsNet]],0)</f>
        <v>#N/A</v>
      </c>
      <c r="BD59" s="174" t="e">
        <f ca="1">IF(Table2[[#This Row],[Is Net Cost?]],0,-Table2[[#This Row],[RefrigerantNPVCostsNet]])</f>
        <v>#N/A</v>
      </c>
    </row>
    <row r="60" spans="1:56" x14ac:dyDescent="0.3">
      <c r="A60" s="173">
        <f t="shared" si="2"/>
        <v>2022</v>
      </c>
      <c r="B60" s="268"/>
      <c r="C60" s="212"/>
      <c r="D60" s="212"/>
      <c r="E60" s="216" t="str">
        <f>IF(Table2[[#This Row],[MeasAppType]]="NR","N/A","N/A")</f>
        <v>N/A</v>
      </c>
      <c r="F60" s="272"/>
      <c r="G60" s="218"/>
      <c r="H60" s="218"/>
      <c r="I60" s="218"/>
      <c r="J60" s="173" t="e">
        <f>INDEX(Table3[CommonRefrigerantType],MATCH(Table2[[#This Row],[Pre tech lookup (not required for "NR" measure application types)]],DropdownRefrigTech,0))</f>
        <v>#N/A</v>
      </c>
      <c r="K60" s="173" t="e">
        <f>INDEX(Table3[CommonRefrigerantType],MATCH(Table2[[#This Row],[Std tech lookup (not required for "AR" measure application types)]],DropdownRefrigTech,0))</f>
        <v>#N/A</v>
      </c>
      <c r="L60" s="173" t="e">
        <f>INDEX(Table3[CommonRefrigerantType],MATCH(Table2[[#This Row],[Msr tech lookup]],DropdownRefrigTech,0))</f>
        <v>#N/A</v>
      </c>
      <c r="M60" s="134" t="e">
        <f>INDEX(Table3[RefrigChargePoundsPerNormUnit],MATCH(Table2[[#This Row],[Pre tech lookup (not required for "NR" measure application types)]],DropdownRefrigTech,0))</f>
        <v>#N/A</v>
      </c>
      <c r="N60" s="134" t="e">
        <f>INDEX(Table3[RefrigChargePoundsPerNormUnit],MATCH(Table2[[#This Row],[Std tech lookup (not required for "AR" measure application types)]],DropdownRefrigTech,0))</f>
        <v>#N/A</v>
      </c>
      <c r="O60" s="149" t="e">
        <f>INDEX(Table3[RefrigChargePoundsPerNormUnit],MATCH(Table2[[#This Row],[Msr tech lookup]],DropdownRefrigTech,0))</f>
        <v>#N/A</v>
      </c>
      <c r="P60" s="163" t="e">
        <f>INDEX(Table3[AnnualLeakageRate],MATCH(Table2[[#This Row],[Pre tech lookup (not required for "NR" measure application types)]],DropdownRefrigTech,0))</f>
        <v>#N/A</v>
      </c>
      <c r="Q60" s="163" t="e">
        <f>INDEX(Table3[AnnualLeakageRate],MATCH(Table2[[#This Row],[Std tech lookup (not required for "AR" measure application types)]],DropdownRefrigTech,0))</f>
        <v>#N/A</v>
      </c>
      <c r="R60" s="163" t="e">
        <f>INDEX(Table3[AnnualLeakageRate],MATCH(Table2[[#This Row],[Msr tech lookup]],DropdownRefrigTech,0))</f>
        <v>#N/A</v>
      </c>
      <c r="S60" s="164" t="e">
        <f>INDEX(Table3[t_EOL],MATCH(Table2[[#This Row],[Pre tech lookup (not required for "NR" measure application types)]],DropdownRefrigTech,0))</f>
        <v>#N/A</v>
      </c>
      <c r="T60" s="164" t="e">
        <f>INDEX(Table3[t_EOL],MATCH(Table2[[#This Row],[Std tech lookup (not required for "AR" measure application types)]],DropdownRefrigTech,0))</f>
        <v>#N/A</v>
      </c>
      <c r="U60" s="164" t="e">
        <f>INDEX(Table3[t_EOL],MATCH(Table2[[#This Row],[Msr tech lookup]],DropdownRefrigTech,0))</f>
        <v>#N/A</v>
      </c>
      <c r="V60" s="163" t="e">
        <f>1-Table2[[#This Row],[Pre annual refrigerant leakage %]]*Table2[[#This Row],[Pre t_EOL]]</f>
        <v>#N/A</v>
      </c>
      <c r="W60" s="163" t="e">
        <f>1-Table2[[#This Row],[Std annual refrigerant leakage %]]*Table2[[#This Row],[Std t_EOL]]</f>
        <v>#N/A</v>
      </c>
      <c r="X60" s="163" t="e">
        <f>1-Table2[[#This Row],[Msr annual refrigerant leakage %]]*Table2[[#This Row],[Msr t_EOL]]</f>
        <v>#N/A</v>
      </c>
      <c r="Y60" s="163" t="e">
        <f>INDEX(Table3[q_EOL],MATCH(Table2[[#This Row],[Pre tech lookup (not required for "NR" measure application types)]],DropdownRefrigTech,0))</f>
        <v>#N/A</v>
      </c>
      <c r="Z60" s="163" t="e">
        <f>INDEX(Table3[q_EOL],MATCH(Table2[[#This Row],[Std tech lookup (not required for "AR" measure application types)]],DropdownRefrigTech,0))</f>
        <v>#N/A</v>
      </c>
      <c r="AA60" s="163" t="e">
        <f>INDEX(Table3[q_EOL],MATCH(Table2[[#This Row],[Msr tech lookup]],DropdownRefrigTech,0))</f>
        <v>#N/A</v>
      </c>
      <c r="AB60" s="163" t="e">
        <f>Table2[[#This Row],[Pre charging remaining (%)]]*Table2[[#This Row],[Pre gross EOL refrigerant leakage %]]</f>
        <v>#N/A</v>
      </c>
      <c r="AC60" s="163" t="e">
        <f>Table2[[#This Row],[Std charging remaining (%)]]*Table2[[#This Row],[Std gross EOL refrigerant leakage %]]</f>
        <v>#N/A</v>
      </c>
      <c r="AD60" s="163" t="e">
        <f>Table2[[#This Row],[Msr charging remaining (%)]]*Table2[[#This Row],[Msr gross EOL refrigerant leakage %]]</f>
        <v>#N/A</v>
      </c>
      <c r="AE60" s="164" t="e" cm="1">
        <f t="array" ref="AE60">INDEX(_xlfn.SWITCH($B$4,"20-yr",GWP_Values_20_year_AR4,"100-yr",GWP_Values_100_year_AR4),MATCH(Table2[[#This Row],[Pre Refrigerant Type]],RefrigDropdownList,0))</f>
        <v>#N/A</v>
      </c>
      <c r="AF60" s="164" t="e" cm="1">
        <f t="array" ref="AF60">INDEX(_xlfn.SWITCH($B$4,"20-yr",GWP_Values_20_year_AR4,"100-yr",GWP_Values_100_year_AR4),MATCH(Table2[[#This Row],[Std Refrigerant Type]],RefrigDropdownList,0))</f>
        <v>#N/A</v>
      </c>
      <c r="AG60" s="164" t="e" cm="1">
        <f t="array" ref="AG60">INDEX(_xlfn.SWITCH($B$4,"20-yr",GWP_Values_20_year_AR4,"100-yr",GWP_Values_100_year_AR4),MATCH(Table2[[#This Row],[Msr Refrigerant Type]],RefrigDropdownList,0))</f>
        <v>#N/A</v>
      </c>
      <c r="AH60" s="165" t="e">
        <f>(Table2[[#This Row],[Pre Refrigerant charge (lbs) per NormUnit]]/pounds_per_metric_ton)*Table2[[#This Row],[Pre annual refrigerant leakage %]]*Table2[[#This Row],[Pre GWP]]</f>
        <v>#N/A</v>
      </c>
      <c r="AI60" s="165" t="e">
        <f>(Table2[[#This Row],[Std Refrigerant charge (lbs)per NormUnit]]/pounds_per_metric_ton)*Table2[[#This Row],[Std annual refrigerant leakage %]]*Table2[[#This Row],[Std GWP]]</f>
        <v>#N/A</v>
      </c>
      <c r="AJ60" s="165" t="e">
        <f>(Table2[[#This Row],[Msr Refrigerant charge (lbs)per NormUnit]]/pounds_per_metric_ton)*Table2[[#This Row],[Msr annual refrigerant leakage %]]*Table2[[#This Row],[Msr GWP]]</f>
        <v>#N/A</v>
      </c>
      <c r="AK60" s="165" t="e">
        <f>(Table2[[#This Row],[Pre Refrigerant charge (lbs) per NormUnit]]/pounds_per_metric_ton)*Table2[[#This Row],[Pre net EOL refrigerant leakage (%)]]*Table2[[#This Row],[Pre GWP]]</f>
        <v>#N/A</v>
      </c>
      <c r="AL60" s="165" t="e">
        <f>(Table2[[#This Row],[Std Refrigerant charge (lbs)per NormUnit]]/pounds_per_metric_ton)*Table2[[#This Row],[Std net EOL refrigerant leakage (%)]]*Table2[[#This Row],[Std GWP]]</f>
        <v>#N/A</v>
      </c>
      <c r="AM60" s="165" t="e">
        <f>(Table2[[#This Row],[Msr Refrigerant charge (lbs)per NormUnit]]/pounds_per_metric_ton)*Table2[[#This Row],[Msr net EOL refrigerant leakage (%)]]*Table2[[#This Row],[Msr GWP]]</f>
        <v>#N/A</v>
      </c>
      <c r="AN60" s="174" cm="1">
        <f t="array" aca="1" ref="AN60" ca="1">IF(Table2[[#This Row],[MeasAppType]]="AR",Table2[[#This Row],[Pre Annual leakage tons CO2e]]*NPV(WACC,OFFSET(const_ones,0,0,1,Table2[[#This Row],[EUL]])*OFFSET(GHG_Adder_dollar_per_tonne,0,(Table2[[#This Row],[Device installation year]])-GHG_Adder_Yr1,1,Table2[[#This Row],[EUL]]))/(1+WACC)^(Table2[[#This Row],[Device installation year]]-DY),0)</f>
        <v>0</v>
      </c>
      <c r="AO60" s="174" t="e" cm="1">
        <f t="array" aca="1" ref="AO60"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60" s="174" t="e" cm="1">
        <f t="array" aca="1" ref="AP60" ca="1">Table2[[#This Row],[Msr Annual leakage tons CO2e]]*NPV(WACC,OFFSET(const_ones,0,0,1,Table2[[#This Row],[EUL]])*OFFSET(GHG_Adder_dollar_per_tonne,0,((Table2[[#This Row],[Device installation year]])-GHG_Adder_Yr1),1,Table2[[#This Row],[EUL]]))/(1+WACC)^(Table2[[#This Row],[Device installation year]]-DY)</f>
        <v>#N/A</v>
      </c>
      <c r="AQ60" s="260" cm="1">
        <f t="array" aca="1" ref="AQ60"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60" s="261" t="e" cm="1">
        <f t="array" aca="1" ref="AR60"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60" s="261" t="e" cm="1">
        <f t="array" aca="1" ref="AS60" ca="1">Table2[[#This Row],[Msr EOL leakage tons CO2e]]*NPV(WACC,OFFSET(const_repeat_after,Table2[[#This Row],[EUL]],0,1,Table2[[#This Row],[EUL]])*OFFSET(GHG_Adder_dollar_per_tonne,0,(Table2[[#This Row],[Device installation year]])-GHG_Adder_Yr1,1,Table2[[#This Row],[EUL]]))/(1+WACC)^(Table2[[#This Row],[Device installation year]]-DY)</f>
        <v>#N/A</v>
      </c>
      <c r="AT60" s="260">
        <f>0</f>
        <v>0</v>
      </c>
      <c r="AU60"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60" s="174" t="e">
        <f ca="1">Table2[[#This Row],[RefrigerantNPVCostsNet]]&gt;0</f>
        <v>#N/A</v>
      </c>
      <c r="AW60" s="174">
        <f>0</f>
        <v>0</v>
      </c>
      <c r="AX60" s="174">
        <f>0</f>
        <v>0</v>
      </c>
      <c r="AY60" s="174">
        <f>0</f>
        <v>0</v>
      </c>
      <c r="AZ60" s="174">
        <f ca="1">Table2[[#This Row],[Pre NPV Cost of Annual Leakage]]+Table2[[#This Row],[Pre NPV Cost of EOL Leakage]]</f>
        <v>0</v>
      </c>
      <c r="BA60" s="174" t="e">
        <f ca="1">Table2[[#This Row],[Std NPV Cost of Annual Leakage]]+Table2[[#This Row],[Std NPV Cost of EOL Leakage]]</f>
        <v>#N/A</v>
      </c>
      <c r="BB60" s="174" t="e">
        <f ca="1">Table2[[#This Row],[AR immediate NPV cost of leakage]]+Table2[[#This Row],[Msr NPV Cost of Annual Leakage]]+Table2[[#This Row],[Msr NPV Cost of EOL Leakage]]</f>
        <v>#N/A</v>
      </c>
      <c r="BC60" s="273" t="e">
        <f ca="1">IF(Table2[[#This Row],[Is Net Cost?]],Table2[[#This Row],[RefrigerantNPVCostsNet]],0)</f>
        <v>#N/A</v>
      </c>
      <c r="BD60" s="174" t="e">
        <f ca="1">IF(Table2[[#This Row],[Is Net Cost?]],0,-Table2[[#This Row],[RefrigerantNPVCostsNet]])</f>
        <v>#N/A</v>
      </c>
    </row>
    <row r="61" spans="1:56" x14ac:dyDescent="0.3">
      <c r="A61" s="173">
        <f t="shared" si="2"/>
        <v>2022</v>
      </c>
      <c r="B61" s="268"/>
      <c r="C61" s="212"/>
      <c r="D61" s="212"/>
      <c r="E61" s="216" t="str">
        <f>IF(Table2[[#This Row],[MeasAppType]]="NR","N/A","N/A")</f>
        <v>N/A</v>
      </c>
      <c r="F61" s="272"/>
      <c r="G61" s="218"/>
      <c r="H61" s="218"/>
      <c r="I61" s="218"/>
      <c r="J61" s="173" t="e">
        <f>INDEX(Table3[CommonRefrigerantType],MATCH(Table2[[#This Row],[Pre tech lookup (not required for "NR" measure application types)]],DropdownRefrigTech,0))</f>
        <v>#N/A</v>
      </c>
      <c r="K61" s="173" t="e">
        <f>INDEX(Table3[CommonRefrigerantType],MATCH(Table2[[#This Row],[Std tech lookup (not required for "AR" measure application types)]],DropdownRefrigTech,0))</f>
        <v>#N/A</v>
      </c>
      <c r="L61" s="173" t="e">
        <f>INDEX(Table3[CommonRefrigerantType],MATCH(Table2[[#This Row],[Msr tech lookup]],DropdownRefrigTech,0))</f>
        <v>#N/A</v>
      </c>
      <c r="M61" s="134" t="e">
        <f>INDEX(Table3[RefrigChargePoundsPerNormUnit],MATCH(Table2[[#This Row],[Pre tech lookup (not required for "NR" measure application types)]],DropdownRefrigTech,0))</f>
        <v>#N/A</v>
      </c>
      <c r="N61" s="134" t="e">
        <f>INDEX(Table3[RefrigChargePoundsPerNormUnit],MATCH(Table2[[#This Row],[Std tech lookup (not required for "AR" measure application types)]],DropdownRefrigTech,0))</f>
        <v>#N/A</v>
      </c>
      <c r="O61" s="149" t="e">
        <f>INDEX(Table3[RefrigChargePoundsPerNormUnit],MATCH(Table2[[#This Row],[Msr tech lookup]],DropdownRefrigTech,0))</f>
        <v>#N/A</v>
      </c>
      <c r="P61" s="163" t="e">
        <f>INDEX(Table3[AnnualLeakageRate],MATCH(Table2[[#This Row],[Pre tech lookup (not required for "NR" measure application types)]],DropdownRefrigTech,0))</f>
        <v>#N/A</v>
      </c>
      <c r="Q61" s="163" t="e">
        <f>INDEX(Table3[AnnualLeakageRate],MATCH(Table2[[#This Row],[Std tech lookup (not required for "AR" measure application types)]],DropdownRefrigTech,0))</f>
        <v>#N/A</v>
      </c>
      <c r="R61" s="163" t="e">
        <f>INDEX(Table3[AnnualLeakageRate],MATCH(Table2[[#This Row],[Msr tech lookup]],DropdownRefrigTech,0))</f>
        <v>#N/A</v>
      </c>
      <c r="S61" s="164" t="e">
        <f>INDEX(Table3[t_EOL],MATCH(Table2[[#This Row],[Pre tech lookup (not required for "NR" measure application types)]],DropdownRefrigTech,0))</f>
        <v>#N/A</v>
      </c>
      <c r="T61" s="164" t="e">
        <f>INDEX(Table3[t_EOL],MATCH(Table2[[#This Row],[Std tech lookup (not required for "AR" measure application types)]],DropdownRefrigTech,0))</f>
        <v>#N/A</v>
      </c>
      <c r="U61" s="164" t="e">
        <f>INDEX(Table3[t_EOL],MATCH(Table2[[#This Row],[Msr tech lookup]],DropdownRefrigTech,0))</f>
        <v>#N/A</v>
      </c>
      <c r="V61" s="163" t="e">
        <f>1-Table2[[#This Row],[Pre annual refrigerant leakage %]]*Table2[[#This Row],[Pre t_EOL]]</f>
        <v>#N/A</v>
      </c>
      <c r="W61" s="163" t="e">
        <f>1-Table2[[#This Row],[Std annual refrigerant leakage %]]*Table2[[#This Row],[Std t_EOL]]</f>
        <v>#N/A</v>
      </c>
      <c r="X61" s="163" t="e">
        <f>1-Table2[[#This Row],[Msr annual refrigerant leakage %]]*Table2[[#This Row],[Msr t_EOL]]</f>
        <v>#N/A</v>
      </c>
      <c r="Y61" s="163" t="e">
        <f>INDEX(Table3[q_EOL],MATCH(Table2[[#This Row],[Pre tech lookup (not required for "NR" measure application types)]],DropdownRefrigTech,0))</f>
        <v>#N/A</v>
      </c>
      <c r="Z61" s="163" t="e">
        <f>INDEX(Table3[q_EOL],MATCH(Table2[[#This Row],[Std tech lookup (not required for "AR" measure application types)]],DropdownRefrigTech,0))</f>
        <v>#N/A</v>
      </c>
      <c r="AA61" s="163" t="e">
        <f>INDEX(Table3[q_EOL],MATCH(Table2[[#This Row],[Msr tech lookup]],DropdownRefrigTech,0))</f>
        <v>#N/A</v>
      </c>
      <c r="AB61" s="163" t="e">
        <f>Table2[[#This Row],[Pre charging remaining (%)]]*Table2[[#This Row],[Pre gross EOL refrigerant leakage %]]</f>
        <v>#N/A</v>
      </c>
      <c r="AC61" s="163" t="e">
        <f>Table2[[#This Row],[Std charging remaining (%)]]*Table2[[#This Row],[Std gross EOL refrigerant leakage %]]</f>
        <v>#N/A</v>
      </c>
      <c r="AD61" s="163" t="e">
        <f>Table2[[#This Row],[Msr charging remaining (%)]]*Table2[[#This Row],[Msr gross EOL refrigerant leakage %]]</f>
        <v>#N/A</v>
      </c>
      <c r="AE61" s="164" t="e" cm="1">
        <f t="array" ref="AE61">INDEX(_xlfn.SWITCH($B$4,"20-yr",GWP_Values_20_year_AR4,"100-yr",GWP_Values_100_year_AR4),MATCH(Table2[[#This Row],[Pre Refrigerant Type]],RefrigDropdownList,0))</f>
        <v>#N/A</v>
      </c>
      <c r="AF61" s="164" t="e" cm="1">
        <f t="array" ref="AF61">INDEX(_xlfn.SWITCH($B$4,"20-yr",GWP_Values_20_year_AR4,"100-yr",GWP_Values_100_year_AR4),MATCH(Table2[[#This Row],[Std Refrigerant Type]],RefrigDropdownList,0))</f>
        <v>#N/A</v>
      </c>
      <c r="AG61" s="164" t="e" cm="1">
        <f t="array" ref="AG61">INDEX(_xlfn.SWITCH($B$4,"20-yr",GWP_Values_20_year_AR4,"100-yr",GWP_Values_100_year_AR4),MATCH(Table2[[#This Row],[Msr Refrigerant Type]],RefrigDropdownList,0))</f>
        <v>#N/A</v>
      </c>
      <c r="AH61" s="165" t="e">
        <f>(Table2[[#This Row],[Pre Refrigerant charge (lbs) per NormUnit]]/pounds_per_metric_ton)*Table2[[#This Row],[Pre annual refrigerant leakage %]]*Table2[[#This Row],[Pre GWP]]</f>
        <v>#N/A</v>
      </c>
      <c r="AI61" s="165" t="e">
        <f>(Table2[[#This Row],[Std Refrigerant charge (lbs)per NormUnit]]/pounds_per_metric_ton)*Table2[[#This Row],[Std annual refrigerant leakage %]]*Table2[[#This Row],[Std GWP]]</f>
        <v>#N/A</v>
      </c>
      <c r="AJ61" s="165" t="e">
        <f>(Table2[[#This Row],[Msr Refrigerant charge (lbs)per NormUnit]]/pounds_per_metric_ton)*Table2[[#This Row],[Msr annual refrigerant leakage %]]*Table2[[#This Row],[Msr GWP]]</f>
        <v>#N/A</v>
      </c>
      <c r="AK61" s="165" t="e">
        <f>(Table2[[#This Row],[Pre Refrigerant charge (lbs) per NormUnit]]/pounds_per_metric_ton)*Table2[[#This Row],[Pre net EOL refrigerant leakage (%)]]*Table2[[#This Row],[Pre GWP]]</f>
        <v>#N/A</v>
      </c>
      <c r="AL61" s="165" t="e">
        <f>(Table2[[#This Row],[Std Refrigerant charge (lbs)per NormUnit]]/pounds_per_metric_ton)*Table2[[#This Row],[Std net EOL refrigerant leakage (%)]]*Table2[[#This Row],[Std GWP]]</f>
        <v>#N/A</v>
      </c>
      <c r="AM61" s="165" t="e">
        <f>(Table2[[#This Row],[Msr Refrigerant charge (lbs)per NormUnit]]/pounds_per_metric_ton)*Table2[[#This Row],[Msr net EOL refrigerant leakage (%)]]*Table2[[#This Row],[Msr GWP]]</f>
        <v>#N/A</v>
      </c>
      <c r="AN61" s="174" cm="1">
        <f t="array" aca="1" ref="AN61" ca="1">IF(Table2[[#This Row],[MeasAppType]]="AR",Table2[[#This Row],[Pre Annual leakage tons CO2e]]*NPV(WACC,OFFSET(const_ones,0,0,1,Table2[[#This Row],[EUL]])*OFFSET(GHG_Adder_dollar_per_tonne,0,(Table2[[#This Row],[Device installation year]])-GHG_Adder_Yr1,1,Table2[[#This Row],[EUL]]))/(1+WACC)^(Table2[[#This Row],[Device installation year]]-DY),0)</f>
        <v>0</v>
      </c>
      <c r="AO61" s="174" t="e" cm="1">
        <f t="array" aca="1" ref="AO61"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61" s="174" t="e" cm="1">
        <f t="array" aca="1" ref="AP61" ca="1">Table2[[#This Row],[Msr Annual leakage tons CO2e]]*NPV(WACC,OFFSET(const_ones,0,0,1,Table2[[#This Row],[EUL]])*OFFSET(GHG_Adder_dollar_per_tonne,0,((Table2[[#This Row],[Device installation year]])-GHG_Adder_Yr1),1,Table2[[#This Row],[EUL]]))/(1+WACC)^(Table2[[#This Row],[Device installation year]]-DY)</f>
        <v>#N/A</v>
      </c>
      <c r="AQ61" s="260" cm="1">
        <f t="array" aca="1" ref="AQ61"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61" s="261" t="e" cm="1">
        <f t="array" aca="1" ref="AR61"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61" s="261" t="e" cm="1">
        <f t="array" aca="1" ref="AS61" ca="1">Table2[[#This Row],[Msr EOL leakage tons CO2e]]*NPV(WACC,OFFSET(const_repeat_after,Table2[[#This Row],[EUL]],0,1,Table2[[#This Row],[EUL]])*OFFSET(GHG_Adder_dollar_per_tonne,0,(Table2[[#This Row],[Device installation year]])-GHG_Adder_Yr1,1,Table2[[#This Row],[EUL]]))/(1+WACC)^(Table2[[#This Row],[Device installation year]]-DY)</f>
        <v>#N/A</v>
      </c>
      <c r="AT61" s="260">
        <f>0</f>
        <v>0</v>
      </c>
      <c r="AU61"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61" s="174" t="e">
        <f ca="1">Table2[[#This Row],[RefrigerantNPVCostsNet]]&gt;0</f>
        <v>#N/A</v>
      </c>
      <c r="AW61" s="174">
        <f>0</f>
        <v>0</v>
      </c>
      <c r="AX61" s="174">
        <f>0</f>
        <v>0</v>
      </c>
      <c r="AY61" s="174">
        <f>0</f>
        <v>0</v>
      </c>
      <c r="AZ61" s="174">
        <f ca="1">Table2[[#This Row],[Pre NPV Cost of Annual Leakage]]+Table2[[#This Row],[Pre NPV Cost of EOL Leakage]]</f>
        <v>0</v>
      </c>
      <c r="BA61" s="174" t="e">
        <f ca="1">Table2[[#This Row],[Std NPV Cost of Annual Leakage]]+Table2[[#This Row],[Std NPV Cost of EOL Leakage]]</f>
        <v>#N/A</v>
      </c>
      <c r="BB61" s="174" t="e">
        <f ca="1">Table2[[#This Row],[AR immediate NPV cost of leakage]]+Table2[[#This Row],[Msr NPV Cost of Annual Leakage]]+Table2[[#This Row],[Msr NPV Cost of EOL Leakage]]</f>
        <v>#N/A</v>
      </c>
      <c r="BC61" s="273" t="e">
        <f ca="1">IF(Table2[[#This Row],[Is Net Cost?]],Table2[[#This Row],[RefrigerantNPVCostsNet]],0)</f>
        <v>#N/A</v>
      </c>
      <c r="BD61" s="174" t="e">
        <f ca="1">IF(Table2[[#This Row],[Is Net Cost?]],0,-Table2[[#This Row],[RefrigerantNPVCostsNet]])</f>
        <v>#N/A</v>
      </c>
    </row>
    <row r="62" spans="1:56" x14ac:dyDescent="0.3">
      <c r="A62" s="173">
        <f t="shared" si="2"/>
        <v>2022</v>
      </c>
      <c r="B62" s="268"/>
      <c r="C62" s="212"/>
      <c r="D62" s="212"/>
      <c r="E62" s="216" t="str">
        <f>IF(Table2[[#This Row],[MeasAppType]]="NR","N/A","N/A")</f>
        <v>N/A</v>
      </c>
      <c r="F62" s="272"/>
      <c r="G62" s="218"/>
      <c r="H62" s="218"/>
      <c r="I62" s="218"/>
      <c r="J62" s="173" t="e">
        <f>INDEX(Table3[CommonRefrigerantType],MATCH(Table2[[#This Row],[Pre tech lookup (not required for "NR" measure application types)]],DropdownRefrigTech,0))</f>
        <v>#N/A</v>
      </c>
      <c r="K62" s="173" t="e">
        <f>INDEX(Table3[CommonRefrigerantType],MATCH(Table2[[#This Row],[Std tech lookup (not required for "AR" measure application types)]],DropdownRefrigTech,0))</f>
        <v>#N/A</v>
      </c>
      <c r="L62" s="173" t="e">
        <f>INDEX(Table3[CommonRefrigerantType],MATCH(Table2[[#This Row],[Msr tech lookup]],DropdownRefrigTech,0))</f>
        <v>#N/A</v>
      </c>
      <c r="M62" s="134" t="e">
        <f>INDEX(Table3[RefrigChargePoundsPerNormUnit],MATCH(Table2[[#This Row],[Pre tech lookup (not required for "NR" measure application types)]],DropdownRefrigTech,0))</f>
        <v>#N/A</v>
      </c>
      <c r="N62" s="134" t="e">
        <f>INDEX(Table3[RefrigChargePoundsPerNormUnit],MATCH(Table2[[#This Row],[Std tech lookup (not required for "AR" measure application types)]],DropdownRefrigTech,0))</f>
        <v>#N/A</v>
      </c>
      <c r="O62" s="149" t="e">
        <f>INDEX(Table3[RefrigChargePoundsPerNormUnit],MATCH(Table2[[#This Row],[Msr tech lookup]],DropdownRefrigTech,0))</f>
        <v>#N/A</v>
      </c>
      <c r="P62" s="163" t="e">
        <f>INDEX(Table3[AnnualLeakageRate],MATCH(Table2[[#This Row],[Pre tech lookup (not required for "NR" measure application types)]],DropdownRefrigTech,0))</f>
        <v>#N/A</v>
      </c>
      <c r="Q62" s="163" t="e">
        <f>INDEX(Table3[AnnualLeakageRate],MATCH(Table2[[#This Row],[Std tech lookup (not required for "AR" measure application types)]],DropdownRefrigTech,0))</f>
        <v>#N/A</v>
      </c>
      <c r="R62" s="163" t="e">
        <f>INDEX(Table3[AnnualLeakageRate],MATCH(Table2[[#This Row],[Msr tech lookup]],DropdownRefrigTech,0))</f>
        <v>#N/A</v>
      </c>
      <c r="S62" s="164" t="e">
        <f>INDEX(Table3[t_EOL],MATCH(Table2[[#This Row],[Pre tech lookup (not required for "NR" measure application types)]],DropdownRefrigTech,0))</f>
        <v>#N/A</v>
      </c>
      <c r="T62" s="164" t="e">
        <f>INDEX(Table3[t_EOL],MATCH(Table2[[#This Row],[Std tech lookup (not required for "AR" measure application types)]],DropdownRefrigTech,0))</f>
        <v>#N/A</v>
      </c>
      <c r="U62" s="164" t="e">
        <f>INDEX(Table3[t_EOL],MATCH(Table2[[#This Row],[Msr tech lookup]],DropdownRefrigTech,0))</f>
        <v>#N/A</v>
      </c>
      <c r="V62" s="163" t="e">
        <f>1-Table2[[#This Row],[Pre annual refrigerant leakage %]]*Table2[[#This Row],[Pre t_EOL]]</f>
        <v>#N/A</v>
      </c>
      <c r="W62" s="163" t="e">
        <f>1-Table2[[#This Row],[Std annual refrigerant leakage %]]*Table2[[#This Row],[Std t_EOL]]</f>
        <v>#N/A</v>
      </c>
      <c r="X62" s="163" t="e">
        <f>1-Table2[[#This Row],[Msr annual refrigerant leakage %]]*Table2[[#This Row],[Msr t_EOL]]</f>
        <v>#N/A</v>
      </c>
      <c r="Y62" s="163" t="e">
        <f>INDEX(Table3[q_EOL],MATCH(Table2[[#This Row],[Pre tech lookup (not required for "NR" measure application types)]],DropdownRefrigTech,0))</f>
        <v>#N/A</v>
      </c>
      <c r="Z62" s="163" t="e">
        <f>INDEX(Table3[q_EOL],MATCH(Table2[[#This Row],[Std tech lookup (not required for "AR" measure application types)]],DropdownRefrigTech,0))</f>
        <v>#N/A</v>
      </c>
      <c r="AA62" s="163" t="e">
        <f>INDEX(Table3[q_EOL],MATCH(Table2[[#This Row],[Msr tech lookup]],DropdownRefrigTech,0))</f>
        <v>#N/A</v>
      </c>
      <c r="AB62" s="163" t="e">
        <f>Table2[[#This Row],[Pre charging remaining (%)]]*Table2[[#This Row],[Pre gross EOL refrigerant leakage %]]</f>
        <v>#N/A</v>
      </c>
      <c r="AC62" s="163" t="e">
        <f>Table2[[#This Row],[Std charging remaining (%)]]*Table2[[#This Row],[Std gross EOL refrigerant leakage %]]</f>
        <v>#N/A</v>
      </c>
      <c r="AD62" s="163" t="e">
        <f>Table2[[#This Row],[Msr charging remaining (%)]]*Table2[[#This Row],[Msr gross EOL refrigerant leakage %]]</f>
        <v>#N/A</v>
      </c>
      <c r="AE62" s="164" t="e" cm="1">
        <f t="array" ref="AE62">INDEX(_xlfn.SWITCH($B$4,"20-yr",GWP_Values_20_year_AR4,"100-yr",GWP_Values_100_year_AR4),MATCH(Table2[[#This Row],[Pre Refrigerant Type]],RefrigDropdownList,0))</f>
        <v>#N/A</v>
      </c>
      <c r="AF62" s="164" t="e" cm="1">
        <f t="array" ref="AF62">INDEX(_xlfn.SWITCH($B$4,"20-yr",GWP_Values_20_year_AR4,"100-yr",GWP_Values_100_year_AR4),MATCH(Table2[[#This Row],[Std Refrigerant Type]],RefrigDropdownList,0))</f>
        <v>#N/A</v>
      </c>
      <c r="AG62" s="164" t="e" cm="1">
        <f t="array" ref="AG62">INDEX(_xlfn.SWITCH($B$4,"20-yr",GWP_Values_20_year_AR4,"100-yr",GWP_Values_100_year_AR4),MATCH(Table2[[#This Row],[Msr Refrigerant Type]],RefrigDropdownList,0))</f>
        <v>#N/A</v>
      </c>
      <c r="AH62" s="165" t="e">
        <f>(Table2[[#This Row],[Pre Refrigerant charge (lbs) per NormUnit]]/pounds_per_metric_ton)*Table2[[#This Row],[Pre annual refrigerant leakage %]]*Table2[[#This Row],[Pre GWP]]</f>
        <v>#N/A</v>
      </c>
      <c r="AI62" s="165" t="e">
        <f>(Table2[[#This Row],[Std Refrigerant charge (lbs)per NormUnit]]/pounds_per_metric_ton)*Table2[[#This Row],[Std annual refrigerant leakage %]]*Table2[[#This Row],[Std GWP]]</f>
        <v>#N/A</v>
      </c>
      <c r="AJ62" s="165" t="e">
        <f>(Table2[[#This Row],[Msr Refrigerant charge (lbs)per NormUnit]]/pounds_per_metric_ton)*Table2[[#This Row],[Msr annual refrigerant leakage %]]*Table2[[#This Row],[Msr GWP]]</f>
        <v>#N/A</v>
      </c>
      <c r="AK62" s="165" t="e">
        <f>(Table2[[#This Row],[Pre Refrigerant charge (lbs) per NormUnit]]/pounds_per_metric_ton)*Table2[[#This Row],[Pre net EOL refrigerant leakage (%)]]*Table2[[#This Row],[Pre GWP]]</f>
        <v>#N/A</v>
      </c>
      <c r="AL62" s="165" t="e">
        <f>(Table2[[#This Row],[Std Refrigerant charge (lbs)per NormUnit]]/pounds_per_metric_ton)*Table2[[#This Row],[Std net EOL refrigerant leakage (%)]]*Table2[[#This Row],[Std GWP]]</f>
        <v>#N/A</v>
      </c>
      <c r="AM62" s="165" t="e">
        <f>(Table2[[#This Row],[Msr Refrigerant charge (lbs)per NormUnit]]/pounds_per_metric_ton)*Table2[[#This Row],[Msr net EOL refrigerant leakage (%)]]*Table2[[#This Row],[Msr GWP]]</f>
        <v>#N/A</v>
      </c>
      <c r="AN62" s="174" cm="1">
        <f t="array" aca="1" ref="AN62" ca="1">IF(Table2[[#This Row],[MeasAppType]]="AR",Table2[[#This Row],[Pre Annual leakage tons CO2e]]*NPV(WACC,OFFSET(const_ones,0,0,1,Table2[[#This Row],[EUL]])*OFFSET(GHG_Adder_dollar_per_tonne,0,(Table2[[#This Row],[Device installation year]])-GHG_Adder_Yr1,1,Table2[[#This Row],[EUL]]))/(1+WACC)^(Table2[[#This Row],[Device installation year]]-DY),0)</f>
        <v>0</v>
      </c>
      <c r="AO62" s="174" t="e" cm="1">
        <f t="array" aca="1" ref="AO62"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62" s="174" t="e" cm="1">
        <f t="array" aca="1" ref="AP62" ca="1">Table2[[#This Row],[Msr Annual leakage tons CO2e]]*NPV(WACC,OFFSET(const_ones,0,0,1,Table2[[#This Row],[EUL]])*OFFSET(GHG_Adder_dollar_per_tonne,0,((Table2[[#This Row],[Device installation year]])-GHG_Adder_Yr1),1,Table2[[#This Row],[EUL]]))/(1+WACC)^(Table2[[#This Row],[Device installation year]]-DY)</f>
        <v>#N/A</v>
      </c>
      <c r="AQ62" s="260" cm="1">
        <f t="array" aca="1" ref="AQ62"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62" s="261" t="e" cm="1">
        <f t="array" aca="1" ref="AR62"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62" s="261" t="e" cm="1">
        <f t="array" aca="1" ref="AS62" ca="1">Table2[[#This Row],[Msr EOL leakage tons CO2e]]*NPV(WACC,OFFSET(const_repeat_after,Table2[[#This Row],[EUL]],0,1,Table2[[#This Row],[EUL]])*OFFSET(GHG_Adder_dollar_per_tonne,0,(Table2[[#This Row],[Device installation year]])-GHG_Adder_Yr1,1,Table2[[#This Row],[EUL]]))/(1+WACC)^(Table2[[#This Row],[Device installation year]]-DY)</f>
        <v>#N/A</v>
      </c>
      <c r="AT62" s="260">
        <f>0</f>
        <v>0</v>
      </c>
      <c r="AU62"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62" s="174" t="e">
        <f ca="1">Table2[[#This Row],[RefrigerantNPVCostsNet]]&gt;0</f>
        <v>#N/A</v>
      </c>
      <c r="AW62" s="174">
        <f>0</f>
        <v>0</v>
      </c>
      <c r="AX62" s="174">
        <f>0</f>
        <v>0</v>
      </c>
      <c r="AY62" s="174">
        <f>0</f>
        <v>0</v>
      </c>
      <c r="AZ62" s="174">
        <f ca="1">Table2[[#This Row],[Pre NPV Cost of Annual Leakage]]+Table2[[#This Row],[Pre NPV Cost of EOL Leakage]]</f>
        <v>0</v>
      </c>
      <c r="BA62" s="174" t="e">
        <f ca="1">Table2[[#This Row],[Std NPV Cost of Annual Leakage]]+Table2[[#This Row],[Std NPV Cost of EOL Leakage]]</f>
        <v>#N/A</v>
      </c>
      <c r="BB62" s="174" t="e">
        <f ca="1">Table2[[#This Row],[AR immediate NPV cost of leakage]]+Table2[[#This Row],[Msr NPV Cost of Annual Leakage]]+Table2[[#This Row],[Msr NPV Cost of EOL Leakage]]</f>
        <v>#N/A</v>
      </c>
      <c r="BC62" s="273" t="e">
        <f ca="1">IF(Table2[[#This Row],[Is Net Cost?]],Table2[[#This Row],[RefrigerantNPVCostsNet]],0)</f>
        <v>#N/A</v>
      </c>
      <c r="BD62" s="174" t="e">
        <f ca="1">IF(Table2[[#This Row],[Is Net Cost?]],0,-Table2[[#This Row],[RefrigerantNPVCostsNet]])</f>
        <v>#N/A</v>
      </c>
    </row>
    <row r="63" spans="1:56" x14ac:dyDescent="0.3">
      <c r="A63" s="173">
        <f t="shared" si="2"/>
        <v>2022</v>
      </c>
      <c r="B63" s="268"/>
      <c r="C63" s="212"/>
      <c r="D63" s="212"/>
      <c r="E63" s="216" t="str">
        <f>IF(Table2[[#This Row],[MeasAppType]]="NR","N/A","N/A")</f>
        <v>N/A</v>
      </c>
      <c r="F63" s="272"/>
      <c r="G63" s="218"/>
      <c r="H63" s="218"/>
      <c r="I63" s="218"/>
      <c r="J63" s="173" t="e">
        <f>INDEX(Table3[CommonRefrigerantType],MATCH(Table2[[#This Row],[Pre tech lookup (not required for "NR" measure application types)]],DropdownRefrigTech,0))</f>
        <v>#N/A</v>
      </c>
      <c r="K63" s="173" t="e">
        <f>INDEX(Table3[CommonRefrigerantType],MATCH(Table2[[#This Row],[Std tech lookup (not required for "AR" measure application types)]],DropdownRefrigTech,0))</f>
        <v>#N/A</v>
      </c>
      <c r="L63" s="173" t="e">
        <f>INDEX(Table3[CommonRefrigerantType],MATCH(Table2[[#This Row],[Msr tech lookup]],DropdownRefrigTech,0))</f>
        <v>#N/A</v>
      </c>
      <c r="M63" s="134" t="e">
        <f>INDEX(Table3[RefrigChargePoundsPerNormUnit],MATCH(Table2[[#This Row],[Pre tech lookup (not required for "NR" measure application types)]],DropdownRefrigTech,0))</f>
        <v>#N/A</v>
      </c>
      <c r="N63" s="134" t="e">
        <f>INDEX(Table3[RefrigChargePoundsPerNormUnit],MATCH(Table2[[#This Row],[Std tech lookup (not required for "AR" measure application types)]],DropdownRefrigTech,0))</f>
        <v>#N/A</v>
      </c>
      <c r="O63" s="149" t="e">
        <f>INDEX(Table3[RefrigChargePoundsPerNormUnit],MATCH(Table2[[#This Row],[Msr tech lookup]],DropdownRefrigTech,0))</f>
        <v>#N/A</v>
      </c>
      <c r="P63" s="163" t="e">
        <f>INDEX(Table3[AnnualLeakageRate],MATCH(Table2[[#This Row],[Pre tech lookup (not required for "NR" measure application types)]],DropdownRefrigTech,0))</f>
        <v>#N/A</v>
      </c>
      <c r="Q63" s="163" t="e">
        <f>INDEX(Table3[AnnualLeakageRate],MATCH(Table2[[#This Row],[Std tech lookup (not required for "AR" measure application types)]],DropdownRefrigTech,0))</f>
        <v>#N/A</v>
      </c>
      <c r="R63" s="163" t="e">
        <f>INDEX(Table3[AnnualLeakageRate],MATCH(Table2[[#This Row],[Msr tech lookup]],DropdownRefrigTech,0))</f>
        <v>#N/A</v>
      </c>
      <c r="S63" s="164" t="e">
        <f>INDEX(Table3[t_EOL],MATCH(Table2[[#This Row],[Pre tech lookup (not required for "NR" measure application types)]],DropdownRefrigTech,0))</f>
        <v>#N/A</v>
      </c>
      <c r="T63" s="164" t="e">
        <f>INDEX(Table3[t_EOL],MATCH(Table2[[#This Row],[Std tech lookup (not required for "AR" measure application types)]],DropdownRefrigTech,0))</f>
        <v>#N/A</v>
      </c>
      <c r="U63" s="164" t="e">
        <f>INDEX(Table3[t_EOL],MATCH(Table2[[#This Row],[Msr tech lookup]],DropdownRefrigTech,0))</f>
        <v>#N/A</v>
      </c>
      <c r="V63" s="163" t="e">
        <f>1-Table2[[#This Row],[Pre annual refrigerant leakage %]]*Table2[[#This Row],[Pre t_EOL]]</f>
        <v>#N/A</v>
      </c>
      <c r="W63" s="163" t="e">
        <f>1-Table2[[#This Row],[Std annual refrigerant leakage %]]*Table2[[#This Row],[Std t_EOL]]</f>
        <v>#N/A</v>
      </c>
      <c r="X63" s="163" t="e">
        <f>1-Table2[[#This Row],[Msr annual refrigerant leakage %]]*Table2[[#This Row],[Msr t_EOL]]</f>
        <v>#N/A</v>
      </c>
      <c r="Y63" s="163" t="e">
        <f>INDEX(Table3[q_EOL],MATCH(Table2[[#This Row],[Pre tech lookup (not required for "NR" measure application types)]],DropdownRefrigTech,0))</f>
        <v>#N/A</v>
      </c>
      <c r="Z63" s="163" t="e">
        <f>INDEX(Table3[q_EOL],MATCH(Table2[[#This Row],[Std tech lookup (not required for "AR" measure application types)]],DropdownRefrigTech,0))</f>
        <v>#N/A</v>
      </c>
      <c r="AA63" s="163" t="e">
        <f>INDEX(Table3[q_EOL],MATCH(Table2[[#This Row],[Msr tech lookup]],DropdownRefrigTech,0))</f>
        <v>#N/A</v>
      </c>
      <c r="AB63" s="163" t="e">
        <f>Table2[[#This Row],[Pre charging remaining (%)]]*Table2[[#This Row],[Pre gross EOL refrigerant leakage %]]</f>
        <v>#N/A</v>
      </c>
      <c r="AC63" s="163" t="e">
        <f>Table2[[#This Row],[Std charging remaining (%)]]*Table2[[#This Row],[Std gross EOL refrigerant leakage %]]</f>
        <v>#N/A</v>
      </c>
      <c r="AD63" s="163" t="e">
        <f>Table2[[#This Row],[Msr charging remaining (%)]]*Table2[[#This Row],[Msr gross EOL refrigerant leakage %]]</f>
        <v>#N/A</v>
      </c>
      <c r="AE63" s="164" t="e" cm="1">
        <f t="array" ref="AE63">INDEX(_xlfn.SWITCH($B$4,"20-yr",GWP_Values_20_year_AR4,"100-yr",GWP_Values_100_year_AR4),MATCH(Table2[[#This Row],[Pre Refrigerant Type]],RefrigDropdownList,0))</f>
        <v>#N/A</v>
      </c>
      <c r="AF63" s="164" t="e" cm="1">
        <f t="array" ref="AF63">INDEX(_xlfn.SWITCH($B$4,"20-yr",GWP_Values_20_year_AR4,"100-yr",GWP_Values_100_year_AR4),MATCH(Table2[[#This Row],[Std Refrigerant Type]],RefrigDropdownList,0))</f>
        <v>#N/A</v>
      </c>
      <c r="AG63" s="164" t="e" cm="1">
        <f t="array" ref="AG63">INDEX(_xlfn.SWITCH($B$4,"20-yr",GWP_Values_20_year_AR4,"100-yr",GWP_Values_100_year_AR4),MATCH(Table2[[#This Row],[Msr Refrigerant Type]],RefrigDropdownList,0))</f>
        <v>#N/A</v>
      </c>
      <c r="AH63" s="165" t="e">
        <f>(Table2[[#This Row],[Pre Refrigerant charge (lbs) per NormUnit]]/pounds_per_metric_ton)*Table2[[#This Row],[Pre annual refrigerant leakage %]]*Table2[[#This Row],[Pre GWP]]</f>
        <v>#N/A</v>
      </c>
      <c r="AI63" s="165" t="e">
        <f>(Table2[[#This Row],[Std Refrigerant charge (lbs)per NormUnit]]/pounds_per_metric_ton)*Table2[[#This Row],[Std annual refrigerant leakage %]]*Table2[[#This Row],[Std GWP]]</f>
        <v>#N/A</v>
      </c>
      <c r="AJ63" s="165" t="e">
        <f>(Table2[[#This Row],[Msr Refrigerant charge (lbs)per NormUnit]]/pounds_per_metric_ton)*Table2[[#This Row],[Msr annual refrigerant leakage %]]*Table2[[#This Row],[Msr GWP]]</f>
        <v>#N/A</v>
      </c>
      <c r="AK63" s="165" t="e">
        <f>(Table2[[#This Row],[Pre Refrigerant charge (lbs) per NormUnit]]/pounds_per_metric_ton)*Table2[[#This Row],[Pre net EOL refrigerant leakage (%)]]*Table2[[#This Row],[Pre GWP]]</f>
        <v>#N/A</v>
      </c>
      <c r="AL63" s="165" t="e">
        <f>(Table2[[#This Row],[Std Refrigerant charge (lbs)per NormUnit]]/pounds_per_metric_ton)*Table2[[#This Row],[Std net EOL refrigerant leakage (%)]]*Table2[[#This Row],[Std GWP]]</f>
        <v>#N/A</v>
      </c>
      <c r="AM63" s="165" t="e">
        <f>(Table2[[#This Row],[Msr Refrigerant charge (lbs)per NormUnit]]/pounds_per_metric_ton)*Table2[[#This Row],[Msr net EOL refrigerant leakage (%)]]*Table2[[#This Row],[Msr GWP]]</f>
        <v>#N/A</v>
      </c>
      <c r="AN63" s="174" cm="1">
        <f t="array" aca="1" ref="AN63" ca="1">IF(Table2[[#This Row],[MeasAppType]]="AR",Table2[[#This Row],[Pre Annual leakage tons CO2e]]*NPV(WACC,OFFSET(const_ones,0,0,1,Table2[[#This Row],[EUL]])*OFFSET(GHG_Adder_dollar_per_tonne,0,(Table2[[#This Row],[Device installation year]])-GHG_Adder_Yr1,1,Table2[[#This Row],[EUL]]))/(1+WACC)^(Table2[[#This Row],[Device installation year]]-DY),0)</f>
        <v>0</v>
      </c>
      <c r="AO63" s="174" t="e" cm="1">
        <f t="array" aca="1" ref="AO63"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63" s="174" t="e" cm="1">
        <f t="array" aca="1" ref="AP63" ca="1">Table2[[#This Row],[Msr Annual leakage tons CO2e]]*NPV(WACC,OFFSET(const_ones,0,0,1,Table2[[#This Row],[EUL]])*OFFSET(GHG_Adder_dollar_per_tonne,0,((Table2[[#This Row],[Device installation year]])-GHG_Adder_Yr1),1,Table2[[#This Row],[EUL]]))/(1+WACC)^(Table2[[#This Row],[Device installation year]]-DY)</f>
        <v>#N/A</v>
      </c>
      <c r="AQ63" s="260" cm="1">
        <f t="array" aca="1" ref="AQ63"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63" s="261" t="e" cm="1">
        <f t="array" aca="1" ref="AR63"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63" s="261" t="e" cm="1">
        <f t="array" aca="1" ref="AS63" ca="1">Table2[[#This Row],[Msr EOL leakage tons CO2e]]*NPV(WACC,OFFSET(const_repeat_after,Table2[[#This Row],[EUL]],0,1,Table2[[#This Row],[EUL]])*OFFSET(GHG_Adder_dollar_per_tonne,0,(Table2[[#This Row],[Device installation year]])-GHG_Adder_Yr1,1,Table2[[#This Row],[EUL]]))/(1+WACC)^(Table2[[#This Row],[Device installation year]]-DY)</f>
        <v>#N/A</v>
      </c>
      <c r="AT63" s="260">
        <f>0</f>
        <v>0</v>
      </c>
      <c r="AU63"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63" s="174" t="e">
        <f ca="1">Table2[[#This Row],[RefrigerantNPVCostsNet]]&gt;0</f>
        <v>#N/A</v>
      </c>
      <c r="AW63" s="174">
        <f>0</f>
        <v>0</v>
      </c>
      <c r="AX63" s="174">
        <f>0</f>
        <v>0</v>
      </c>
      <c r="AY63" s="174">
        <f>0</f>
        <v>0</v>
      </c>
      <c r="AZ63" s="174">
        <f ca="1">Table2[[#This Row],[Pre NPV Cost of Annual Leakage]]+Table2[[#This Row],[Pre NPV Cost of EOL Leakage]]</f>
        <v>0</v>
      </c>
      <c r="BA63" s="174" t="e">
        <f ca="1">Table2[[#This Row],[Std NPV Cost of Annual Leakage]]+Table2[[#This Row],[Std NPV Cost of EOL Leakage]]</f>
        <v>#N/A</v>
      </c>
      <c r="BB63" s="174" t="e">
        <f ca="1">Table2[[#This Row],[AR immediate NPV cost of leakage]]+Table2[[#This Row],[Msr NPV Cost of Annual Leakage]]+Table2[[#This Row],[Msr NPV Cost of EOL Leakage]]</f>
        <v>#N/A</v>
      </c>
      <c r="BC63" s="273" t="e">
        <f ca="1">IF(Table2[[#This Row],[Is Net Cost?]],Table2[[#This Row],[RefrigerantNPVCostsNet]],0)</f>
        <v>#N/A</v>
      </c>
      <c r="BD63" s="174" t="e">
        <f ca="1">IF(Table2[[#This Row],[Is Net Cost?]],0,-Table2[[#This Row],[RefrigerantNPVCostsNet]])</f>
        <v>#N/A</v>
      </c>
    </row>
    <row r="64" spans="1:56" x14ac:dyDescent="0.3">
      <c r="A64" s="173">
        <f t="shared" si="2"/>
        <v>2022</v>
      </c>
      <c r="B64" s="268"/>
      <c r="C64" s="212"/>
      <c r="D64" s="212"/>
      <c r="E64" s="216" t="str">
        <f>IF(Table2[[#This Row],[MeasAppType]]="NR","N/A","N/A")</f>
        <v>N/A</v>
      </c>
      <c r="F64" s="272"/>
      <c r="G64" s="218"/>
      <c r="H64" s="218"/>
      <c r="I64" s="218"/>
      <c r="J64" s="173" t="e">
        <f>INDEX(Table3[CommonRefrigerantType],MATCH(Table2[[#This Row],[Pre tech lookup (not required for "NR" measure application types)]],DropdownRefrigTech,0))</f>
        <v>#N/A</v>
      </c>
      <c r="K64" s="173" t="e">
        <f>INDEX(Table3[CommonRefrigerantType],MATCH(Table2[[#This Row],[Std tech lookup (not required for "AR" measure application types)]],DropdownRefrigTech,0))</f>
        <v>#N/A</v>
      </c>
      <c r="L64" s="173" t="e">
        <f>INDEX(Table3[CommonRefrigerantType],MATCH(Table2[[#This Row],[Msr tech lookup]],DropdownRefrigTech,0))</f>
        <v>#N/A</v>
      </c>
      <c r="M64" s="134" t="e">
        <f>INDEX(Table3[RefrigChargePoundsPerNormUnit],MATCH(Table2[[#This Row],[Pre tech lookup (not required for "NR" measure application types)]],DropdownRefrigTech,0))</f>
        <v>#N/A</v>
      </c>
      <c r="N64" s="134" t="e">
        <f>INDEX(Table3[RefrigChargePoundsPerNormUnit],MATCH(Table2[[#This Row],[Std tech lookup (not required for "AR" measure application types)]],DropdownRefrigTech,0))</f>
        <v>#N/A</v>
      </c>
      <c r="O64" s="149" t="e">
        <f>INDEX(Table3[RefrigChargePoundsPerNormUnit],MATCH(Table2[[#This Row],[Msr tech lookup]],DropdownRefrigTech,0))</f>
        <v>#N/A</v>
      </c>
      <c r="P64" s="163" t="e">
        <f>INDEX(Table3[AnnualLeakageRate],MATCH(Table2[[#This Row],[Pre tech lookup (not required for "NR" measure application types)]],DropdownRefrigTech,0))</f>
        <v>#N/A</v>
      </c>
      <c r="Q64" s="163" t="e">
        <f>INDEX(Table3[AnnualLeakageRate],MATCH(Table2[[#This Row],[Std tech lookup (not required for "AR" measure application types)]],DropdownRefrigTech,0))</f>
        <v>#N/A</v>
      </c>
      <c r="R64" s="163" t="e">
        <f>INDEX(Table3[AnnualLeakageRate],MATCH(Table2[[#This Row],[Msr tech lookup]],DropdownRefrigTech,0))</f>
        <v>#N/A</v>
      </c>
      <c r="S64" s="164" t="e">
        <f>INDEX(Table3[t_EOL],MATCH(Table2[[#This Row],[Pre tech lookup (not required for "NR" measure application types)]],DropdownRefrigTech,0))</f>
        <v>#N/A</v>
      </c>
      <c r="T64" s="164" t="e">
        <f>INDEX(Table3[t_EOL],MATCH(Table2[[#This Row],[Std tech lookup (not required for "AR" measure application types)]],DropdownRefrigTech,0))</f>
        <v>#N/A</v>
      </c>
      <c r="U64" s="164" t="e">
        <f>INDEX(Table3[t_EOL],MATCH(Table2[[#This Row],[Msr tech lookup]],DropdownRefrigTech,0))</f>
        <v>#N/A</v>
      </c>
      <c r="V64" s="163" t="e">
        <f>1-Table2[[#This Row],[Pre annual refrigerant leakage %]]*Table2[[#This Row],[Pre t_EOL]]</f>
        <v>#N/A</v>
      </c>
      <c r="W64" s="163" t="e">
        <f>1-Table2[[#This Row],[Std annual refrigerant leakage %]]*Table2[[#This Row],[Std t_EOL]]</f>
        <v>#N/A</v>
      </c>
      <c r="X64" s="163" t="e">
        <f>1-Table2[[#This Row],[Msr annual refrigerant leakage %]]*Table2[[#This Row],[Msr t_EOL]]</f>
        <v>#N/A</v>
      </c>
      <c r="Y64" s="163" t="e">
        <f>INDEX(Table3[q_EOL],MATCH(Table2[[#This Row],[Pre tech lookup (not required for "NR" measure application types)]],DropdownRefrigTech,0))</f>
        <v>#N/A</v>
      </c>
      <c r="Z64" s="163" t="e">
        <f>INDEX(Table3[q_EOL],MATCH(Table2[[#This Row],[Std tech lookup (not required for "AR" measure application types)]],DropdownRefrigTech,0))</f>
        <v>#N/A</v>
      </c>
      <c r="AA64" s="163" t="e">
        <f>INDEX(Table3[q_EOL],MATCH(Table2[[#This Row],[Msr tech lookup]],DropdownRefrigTech,0))</f>
        <v>#N/A</v>
      </c>
      <c r="AB64" s="163" t="e">
        <f>Table2[[#This Row],[Pre charging remaining (%)]]*Table2[[#This Row],[Pre gross EOL refrigerant leakage %]]</f>
        <v>#N/A</v>
      </c>
      <c r="AC64" s="163" t="e">
        <f>Table2[[#This Row],[Std charging remaining (%)]]*Table2[[#This Row],[Std gross EOL refrigerant leakage %]]</f>
        <v>#N/A</v>
      </c>
      <c r="AD64" s="163" t="e">
        <f>Table2[[#This Row],[Msr charging remaining (%)]]*Table2[[#This Row],[Msr gross EOL refrigerant leakage %]]</f>
        <v>#N/A</v>
      </c>
      <c r="AE64" s="164" t="e" cm="1">
        <f t="array" ref="AE64">INDEX(_xlfn.SWITCH($B$4,"20-yr",GWP_Values_20_year_AR4,"100-yr",GWP_Values_100_year_AR4),MATCH(Table2[[#This Row],[Pre Refrigerant Type]],RefrigDropdownList,0))</f>
        <v>#N/A</v>
      </c>
      <c r="AF64" s="164" t="e" cm="1">
        <f t="array" ref="AF64">INDEX(_xlfn.SWITCH($B$4,"20-yr",GWP_Values_20_year_AR4,"100-yr",GWP_Values_100_year_AR4),MATCH(Table2[[#This Row],[Std Refrigerant Type]],RefrigDropdownList,0))</f>
        <v>#N/A</v>
      </c>
      <c r="AG64" s="164" t="e" cm="1">
        <f t="array" ref="AG64">INDEX(_xlfn.SWITCH($B$4,"20-yr",GWP_Values_20_year_AR4,"100-yr",GWP_Values_100_year_AR4),MATCH(Table2[[#This Row],[Msr Refrigerant Type]],RefrigDropdownList,0))</f>
        <v>#N/A</v>
      </c>
      <c r="AH64" s="165" t="e">
        <f>(Table2[[#This Row],[Pre Refrigerant charge (lbs) per NormUnit]]/pounds_per_metric_ton)*Table2[[#This Row],[Pre annual refrigerant leakage %]]*Table2[[#This Row],[Pre GWP]]</f>
        <v>#N/A</v>
      </c>
      <c r="AI64" s="165" t="e">
        <f>(Table2[[#This Row],[Std Refrigerant charge (lbs)per NormUnit]]/pounds_per_metric_ton)*Table2[[#This Row],[Std annual refrigerant leakage %]]*Table2[[#This Row],[Std GWP]]</f>
        <v>#N/A</v>
      </c>
      <c r="AJ64" s="165" t="e">
        <f>(Table2[[#This Row],[Msr Refrigerant charge (lbs)per NormUnit]]/pounds_per_metric_ton)*Table2[[#This Row],[Msr annual refrigerant leakage %]]*Table2[[#This Row],[Msr GWP]]</f>
        <v>#N/A</v>
      </c>
      <c r="AK64" s="165" t="e">
        <f>(Table2[[#This Row],[Pre Refrigerant charge (lbs) per NormUnit]]/pounds_per_metric_ton)*Table2[[#This Row],[Pre net EOL refrigerant leakage (%)]]*Table2[[#This Row],[Pre GWP]]</f>
        <v>#N/A</v>
      </c>
      <c r="AL64" s="165" t="e">
        <f>(Table2[[#This Row],[Std Refrigerant charge (lbs)per NormUnit]]/pounds_per_metric_ton)*Table2[[#This Row],[Std net EOL refrigerant leakage (%)]]*Table2[[#This Row],[Std GWP]]</f>
        <v>#N/A</v>
      </c>
      <c r="AM64" s="165" t="e">
        <f>(Table2[[#This Row],[Msr Refrigerant charge (lbs)per NormUnit]]/pounds_per_metric_ton)*Table2[[#This Row],[Msr net EOL refrigerant leakage (%)]]*Table2[[#This Row],[Msr GWP]]</f>
        <v>#N/A</v>
      </c>
      <c r="AN64" s="174" cm="1">
        <f t="array" aca="1" ref="AN64" ca="1">IF(Table2[[#This Row],[MeasAppType]]="AR",Table2[[#This Row],[Pre Annual leakage tons CO2e]]*NPV(WACC,OFFSET(const_ones,0,0,1,Table2[[#This Row],[EUL]])*OFFSET(GHG_Adder_dollar_per_tonne,0,(Table2[[#This Row],[Device installation year]])-GHG_Adder_Yr1,1,Table2[[#This Row],[EUL]]))/(1+WACC)^(Table2[[#This Row],[Device installation year]]-DY),0)</f>
        <v>0</v>
      </c>
      <c r="AO64" s="174" t="e" cm="1">
        <f t="array" aca="1" ref="AO64"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64" s="174" t="e" cm="1">
        <f t="array" aca="1" ref="AP64" ca="1">Table2[[#This Row],[Msr Annual leakage tons CO2e]]*NPV(WACC,OFFSET(const_ones,0,0,1,Table2[[#This Row],[EUL]])*OFFSET(GHG_Adder_dollar_per_tonne,0,((Table2[[#This Row],[Device installation year]])-GHG_Adder_Yr1),1,Table2[[#This Row],[EUL]]))/(1+WACC)^(Table2[[#This Row],[Device installation year]]-DY)</f>
        <v>#N/A</v>
      </c>
      <c r="AQ64" s="260" cm="1">
        <f t="array" aca="1" ref="AQ64"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64" s="261" t="e" cm="1">
        <f t="array" aca="1" ref="AR64"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64" s="261" t="e" cm="1">
        <f t="array" aca="1" ref="AS64" ca="1">Table2[[#This Row],[Msr EOL leakage tons CO2e]]*NPV(WACC,OFFSET(const_repeat_after,Table2[[#This Row],[EUL]],0,1,Table2[[#This Row],[EUL]])*OFFSET(GHG_Adder_dollar_per_tonne,0,(Table2[[#This Row],[Device installation year]])-GHG_Adder_Yr1,1,Table2[[#This Row],[EUL]]))/(1+WACC)^(Table2[[#This Row],[Device installation year]]-DY)</f>
        <v>#N/A</v>
      </c>
      <c r="AT64" s="260">
        <f>0</f>
        <v>0</v>
      </c>
      <c r="AU64"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64" s="174" t="e">
        <f ca="1">Table2[[#This Row],[RefrigerantNPVCostsNet]]&gt;0</f>
        <v>#N/A</v>
      </c>
      <c r="AW64" s="174">
        <f>0</f>
        <v>0</v>
      </c>
      <c r="AX64" s="174">
        <f>0</f>
        <v>0</v>
      </c>
      <c r="AY64" s="174">
        <f>0</f>
        <v>0</v>
      </c>
      <c r="AZ64" s="174">
        <f ca="1">Table2[[#This Row],[Pre NPV Cost of Annual Leakage]]+Table2[[#This Row],[Pre NPV Cost of EOL Leakage]]</f>
        <v>0</v>
      </c>
      <c r="BA64" s="174" t="e">
        <f ca="1">Table2[[#This Row],[Std NPV Cost of Annual Leakage]]+Table2[[#This Row],[Std NPV Cost of EOL Leakage]]</f>
        <v>#N/A</v>
      </c>
      <c r="BB64" s="174" t="e">
        <f ca="1">Table2[[#This Row],[AR immediate NPV cost of leakage]]+Table2[[#This Row],[Msr NPV Cost of Annual Leakage]]+Table2[[#This Row],[Msr NPV Cost of EOL Leakage]]</f>
        <v>#N/A</v>
      </c>
      <c r="BC64" s="273" t="e">
        <f ca="1">IF(Table2[[#This Row],[Is Net Cost?]],Table2[[#This Row],[RefrigerantNPVCostsNet]],0)</f>
        <v>#N/A</v>
      </c>
      <c r="BD64" s="174" t="e">
        <f ca="1">IF(Table2[[#This Row],[Is Net Cost?]],0,-Table2[[#This Row],[RefrigerantNPVCostsNet]])</f>
        <v>#N/A</v>
      </c>
    </row>
    <row r="65" spans="1:56" x14ac:dyDescent="0.3">
      <c r="A65" s="173">
        <f t="shared" si="2"/>
        <v>2022</v>
      </c>
      <c r="B65" s="268"/>
      <c r="C65" s="212"/>
      <c r="D65" s="212"/>
      <c r="E65" s="216" t="str">
        <f>IF(Table2[[#This Row],[MeasAppType]]="NR","N/A","N/A")</f>
        <v>N/A</v>
      </c>
      <c r="F65" s="272"/>
      <c r="G65" s="218"/>
      <c r="H65" s="218"/>
      <c r="I65" s="218"/>
      <c r="J65" s="173" t="e">
        <f>INDEX(Table3[CommonRefrigerantType],MATCH(Table2[[#This Row],[Pre tech lookup (not required for "NR" measure application types)]],DropdownRefrigTech,0))</f>
        <v>#N/A</v>
      </c>
      <c r="K65" s="173" t="e">
        <f>INDEX(Table3[CommonRefrigerantType],MATCH(Table2[[#This Row],[Std tech lookup (not required for "AR" measure application types)]],DropdownRefrigTech,0))</f>
        <v>#N/A</v>
      </c>
      <c r="L65" s="173" t="e">
        <f>INDEX(Table3[CommonRefrigerantType],MATCH(Table2[[#This Row],[Msr tech lookup]],DropdownRefrigTech,0))</f>
        <v>#N/A</v>
      </c>
      <c r="M65" s="134" t="e">
        <f>INDEX(Table3[RefrigChargePoundsPerNormUnit],MATCH(Table2[[#This Row],[Pre tech lookup (not required for "NR" measure application types)]],DropdownRefrigTech,0))</f>
        <v>#N/A</v>
      </c>
      <c r="N65" s="134" t="e">
        <f>INDEX(Table3[RefrigChargePoundsPerNormUnit],MATCH(Table2[[#This Row],[Std tech lookup (not required for "AR" measure application types)]],DropdownRefrigTech,0))</f>
        <v>#N/A</v>
      </c>
      <c r="O65" s="149" t="e">
        <f>INDEX(Table3[RefrigChargePoundsPerNormUnit],MATCH(Table2[[#This Row],[Msr tech lookup]],DropdownRefrigTech,0))</f>
        <v>#N/A</v>
      </c>
      <c r="P65" s="163" t="e">
        <f>INDEX(Table3[AnnualLeakageRate],MATCH(Table2[[#This Row],[Pre tech lookup (not required for "NR" measure application types)]],DropdownRefrigTech,0))</f>
        <v>#N/A</v>
      </c>
      <c r="Q65" s="163" t="e">
        <f>INDEX(Table3[AnnualLeakageRate],MATCH(Table2[[#This Row],[Std tech lookup (not required for "AR" measure application types)]],DropdownRefrigTech,0))</f>
        <v>#N/A</v>
      </c>
      <c r="R65" s="163" t="e">
        <f>INDEX(Table3[AnnualLeakageRate],MATCH(Table2[[#This Row],[Msr tech lookup]],DropdownRefrigTech,0))</f>
        <v>#N/A</v>
      </c>
      <c r="S65" s="164" t="e">
        <f>INDEX(Table3[t_EOL],MATCH(Table2[[#This Row],[Pre tech lookup (not required for "NR" measure application types)]],DropdownRefrigTech,0))</f>
        <v>#N/A</v>
      </c>
      <c r="T65" s="164" t="e">
        <f>INDEX(Table3[t_EOL],MATCH(Table2[[#This Row],[Std tech lookup (not required for "AR" measure application types)]],DropdownRefrigTech,0))</f>
        <v>#N/A</v>
      </c>
      <c r="U65" s="164" t="e">
        <f>INDEX(Table3[t_EOL],MATCH(Table2[[#This Row],[Msr tech lookup]],DropdownRefrigTech,0))</f>
        <v>#N/A</v>
      </c>
      <c r="V65" s="163" t="e">
        <f>1-Table2[[#This Row],[Pre annual refrigerant leakage %]]*Table2[[#This Row],[Pre t_EOL]]</f>
        <v>#N/A</v>
      </c>
      <c r="W65" s="163" t="e">
        <f>1-Table2[[#This Row],[Std annual refrigerant leakage %]]*Table2[[#This Row],[Std t_EOL]]</f>
        <v>#N/A</v>
      </c>
      <c r="X65" s="163" t="e">
        <f>1-Table2[[#This Row],[Msr annual refrigerant leakage %]]*Table2[[#This Row],[Msr t_EOL]]</f>
        <v>#N/A</v>
      </c>
      <c r="Y65" s="163" t="e">
        <f>INDEX(Table3[q_EOL],MATCH(Table2[[#This Row],[Pre tech lookup (not required for "NR" measure application types)]],DropdownRefrigTech,0))</f>
        <v>#N/A</v>
      </c>
      <c r="Z65" s="163" t="e">
        <f>INDEX(Table3[q_EOL],MATCH(Table2[[#This Row],[Std tech lookup (not required for "AR" measure application types)]],DropdownRefrigTech,0))</f>
        <v>#N/A</v>
      </c>
      <c r="AA65" s="163" t="e">
        <f>INDEX(Table3[q_EOL],MATCH(Table2[[#This Row],[Msr tech lookup]],DropdownRefrigTech,0))</f>
        <v>#N/A</v>
      </c>
      <c r="AB65" s="163" t="e">
        <f>Table2[[#This Row],[Pre charging remaining (%)]]*Table2[[#This Row],[Pre gross EOL refrigerant leakage %]]</f>
        <v>#N/A</v>
      </c>
      <c r="AC65" s="163" t="e">
        <f>Table2[[#This Row],[Std charging remaining (%)]]*Table2[[#This Row],[Std gross EOL refrigerant leakage %]]</f>
        <v>#N/A</v>
      </c>
      <c r="AD65" s="163" t="e">
        <f>Table2[[#This Row],[Msr charging remaining (%)]]*Table2[[#This Row],[Msr gross EOL refrigerant leakage %]]</f>
        <v>#N/A</v>
      </c>
      <c r="AE65" s="164" t="e" cm="1">
        <f t="array" ref="AE65">INDEX(_xlfn.SWITCH($B$4,"20-yr",GWP_Values_20_year_AR4,"100-yr",GWP_Values_100_year_AR4),MATCH(Table2[[#This Row],[Pre Refrigerant Type]],RefrigDropdownList,0))</f>
        <v>#N/A</v>
      </c>
      <c r="AF65" s="164" t="e" cm="1">
        <f t="array" ref="AF65">INDEX(_xlfn.SWITCH($B$4,"20-yr",GWP_Values_20_year_AR4,"100-yr",GWP_Values_100_year_AR4),MATCH(Table2[[#This Row],[Std Refrigerant Type]],RefrigDropdownList,0))</f>
        <v>#N/A</v>
      </c>
      <c r="AG65" s="164" t="e" cm="1">
        <f t="array" ref="AG65">INDEX(_xlfn.SWITCH($B$4,"20-yr",GWP_Values_20_year_AR4,"100-yr",GWP_Values_100_year_AR4),MATCH(Table2[[#This Row],[Msr Refrigerant Type]],RefrigDropdownList,0))</f>
        <v>#N/A</v>
      </c>
      <c r="AH65" s="165" t="e">
        <f>(Table2[[#This Row],[Pre Refrigerant charge (lbs) per NormUnit]]/pounds_per_metric_ton)*Table2[[#This Row],[Pre annual refrigerant leakage %]]*Table2[[#This Row],[Pre GWP]]</f>
        <v>#N/A</v>
      </c>
      <c r="AI65" s="165" t="e">
        <f>(Table2[[#This Row],[Std Refrigerant charge (lbs)per NormUnit]]/pounds_per_metric_ton)*Table2[[#This Row],[Std annual refrigerant leakage %]]*Table2[[#This Row],[Std GWP]]</f>
        <v>#N/A</v>
      </c>
      <c r="AJ65" s="165" t="e">
        <f>(Table2[[#This Row],[Msr Refrigerant charge (lbs)per NormUnit]]/pounds_per_metric_ton)*Table2[[#This Row],[Msr annual refrigerant leakage %]]*Table2[[#This Row],[Msr GWP]]</f>
        <v>#N/A</v>
      </c>
      <c r="AK65" s="165" t="e">
        <f>(Table2[[#This Row],[Pre Refrigerant charge (lbs) per NormUnit]]/pounds_per_metric_ton)*Table2[[#This Row],[Pre net EOL refrigerant leakage (%)]]*Table2[[#This Row],[Pre GWP]]</f>
        <v>#N/A</v>
      </c>
      <c r="AL65" s="165" t="e">
        <f>(Table2[[#This Row],[Std Refrigerant charge (lbs)per NormUnit]]/pounds_per_metric_ton)*Table2[[#This Row],[Std net EOL refrigerant leakage (%)]]*Table2[[#This Row],[Std GWP]]</f>
        <v>#N/A</v>
      </c>
      <c r="AM65" s="165" t="e">
        <f>(Table2[[#This Row],[Msr Refrigerant charge (lbs)per NormUnit]]/pounds_per_metric_ton)*Table2[[#This Row],[Msr net EOL refrigerant leakage (%)]]*Table2[[#This Row],[Msr GWP]]</f>
        <v>#N/A</v>
      </c>
      <c r="AN65" s="174" cm="1">
        <f t="array" aca="1" ref="AN65" ca="1">IF(Table2[[#This Row],[MeasAppType]]="AR",Table2[[#This Row],[Pre Annual leakage tons CO2e]]*NPV(WACC,OFFSET(const_ones,0,0,1,Table2[[#This Row],[EUL]])*OFFSET(GHG_Adder_dollar_per_tonne,0,(Table2[[#This Row],[Device installation year]])-GHG_Adder_Yr1,1,Table2[[#This Row],[EUL]]))/(1+WACC)^(Table2[[#This Row],[Device installation year]]-DY),0)</f>
        <v>0</v>
      </c>
      <c r="AO65" s="174" t="e" cm="1">
        <f t="array" aca="1" ref="AO65"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65" s="174" t="e" cm="1">
        <f t="array" aca="1" ref="AP65" ca="1">Table2[[#This Row],[Msr Annual leakage tons CO2e]]*NPV(WACC,OFFSET(const_ones,0,0,1,Table2[[#This Row],[EUL]])*OFFSET(GHG_Adder_dollar_per_tonne,0,((Table2[[#This Row],[Device installation year]])-GHG_Adder_Yr1),1,Table2[[#This Row],[EUL]]))/(1+WACC)^(Table2[[#This Row],[Device installation year]]-DY)</f>
        <v>#N/A</v>
      </c>
      <c r="AQ65" s="260" cm="1">
        <f t="array" aca="1" ref="AQ65"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65" s="261" t="e" cm="1">
        <f t="array" aca="1" ref="AR65"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65" s="261" t="e" cm="1">
        <f t="array" aca="1" ref="AS65" ca="1">Table2[[#This Row],[Msr EOL leakage tons CO2e]]*NPV(WACC,OFFSET(const_repeat_after,Table2[[#This Row],[EUL]],0,1,Table2[[#This Row],[EUL]])*OFFSET(GHG_Adder_dollar_per_tonne,0,(Table2[[#This Row],[Device installation year]])-GHG_Adder_Yr1,1,Table2[[#This Row],[EUL]]))/(1+WACC)^(Table2[[#This Row],[Device installation year]]-DY)</f>
        <v>#N/A</v>
      </c>
      <c r="AT65" s="260">
        <f>0</f>
        <v>0</v>
      </c>
      <c r="AU65"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65" s="174" t="e">
        <f ca="1">Table2[[#This Row],[RefrigerantNPVCostsNet]]&gt;0</f>
        <v>#N/A</v>
      </c>
      <c r="AW65" s="174">
        <f>0</f>
        <v>0</v>
      </c>
      <c r="AX65" s="174">
        <f>0</f>
        <v>0</v>
      </c>
      <c r="AY65" s="174">
        <f>0</f>
        <v>0</v>
      </c>
      <c r="AZ65" s="174">
        <f ca="1">Table2[[#This Row],[Pre NPV Cost of Annual Leakage]]+Table2[[#This Row],[Pre NPV Cost of EOL Leakage]]</f>
        <v>0</v>
      </c>
      <c r="BA65" s="174" t="e">
        <f ca="1">Table2[[#This Row],[Std NPV Cost of Annual Leakage]]+Table2[[#This Row],[Std NPV Cost of EOL Leakage]]</f>
        <v>#N/A</v>
      </c>
      <c r="BB65" s="174" t="e">
        <f ca="1">Table2[[#This Row],[AR immediate NPV cost of leakage]]+Table2[[#This Row],[Msr NPV Cost of Annual Leakage]]+Table2[[#This Row],[Msr NPV Cost of EOL Leakage]]</f>
        <v>#N/A</v>
      </c>
      <c r="BC65" s="273" t="e">
        <f ca="1">IF(Table2[[#This Row],[Is Net Cost?]],Table2[[#This Row],[RefrigerantNPVCostsNet]],0)</f>
        <v>#N/A</v>
      </c>
      <c r="BD65" s="174" t="e">
        <f ca="1">IF(Table2[[#This Row],[Is Net Cost?]],0,-Table2[[#This Row],[RefrigerantNPVCostsNet]])</f>
        <v>#N/A</v>
      </c>
    </row>
    <row r="66" spans="1:56" x14ac:dyDescent="0.3">
      <c r="A66" s="173">
        <f t="shared" si="2"/>
        <v>2022</v>
      </c>
      <c r="B66" s="268"/>
      <c r="C66" s="212"/>
      <c r="D66" s="212"/>
      <c r="E66" s="216" t="str">
        <f>IF(Table2[[#This Row],[MeasAppType]]="NR","N/A","N/A")</f>
        <v>N/A</v>
      </c>
      <c r="F66" s="272"/>
      <c r="G66" s="218"/>
      <c r="H66" s="218"/>
      <c r="I66" s="218"/>
      <c r="J66" s="173" t="e">
        <f>INDEX(Table3[CommonRefrigerantType],MATCH(Table2[[#This Row],[Pre tech lookup (not required for "NR" measure application types)]],DropdownRefrigTech,0))</f>
        <v>#N/A</v>
      </c>
      <c r="K66" s="173" t="e">
        <f>INDEX(Table3[CommonRefrigerantType],MATCH(Table2[[#This Row],[Std tech lookup (not required for "AR" measure application types)]],DropdownRefrigTech,0))</f>
        <v>#N/A</v>
      </c>
      <c r="L66" s="173" t="e">
        <f>INDEX(Table3[CommonRefrigerantType],MATCH(Table2[[#This Row],[Msr tech lookup]],DropdownRefrigTech,0))</f>
        <v>#N/A</v>
      </c>
      <c r="M66" s="134" t="e">
        <f>INDEX(Table3[RefrigChargePoundsPerNormUnit],MATCH(Table2[[#This Row],[Pre tech lookup (not required for "NR" measure application types)]],DropdownRefrigTech,0))</f>
        <v>#N/A</v>
      </c>
      <c r="N66" s="134" t="e">
        <f>INDEX(Table3[RefrigChargePoundsPerNormUnit],MATCH(Table2[[#This Row],[Std tech lookup (not required for "AR" measure application types)]],DropdownRefrigTech,0))</f>
        <v>#N/A</v>
      </c>
      <c r="O66" s="149" t="e">
        <f>INDEX(Table3[RefrigChargePoundsPerNormUnit],MATCH(Table2[[#This Row],[Msr tech lookup]],DropdownRefrigTech,0))</f>
        <v>#N/A</v>
      </c>
      <c r="P66" s="163" t="e">
        <f>INDEX(Table3[AnnualLeakageRate],MATCH(Table2[[#This Row],[Pre tech lookup (not required for "NR" measure application types)]],DropdownRefrigTech,0))</f>
        <v>#N/A</v>
      </c>
      <c r="Q66" s="163" t="e">
        <f>INDEX(Table3[AnnualLeakageRate],MATCH(Table2[[#This Row],[Std tech lookup (not required for "AR" measure application types)]],DropdownRefrigTech,0))</f>
        <v>#N/A</v>
      </c>
      <c r="R66" s="163" t="e">
        <f>INDEX(Table3[AnnualLeakageRate],MATCH(Table2[[#This Row],[Msr tech lookup]],DropdownRefrigTech,0))</f>
        <v>#N/A</v>
      </c>
      <c r="S66" s="164" t="e">
        <f>INDEX(Table3[t_EOL],MATCH(Table2[[#This Row],[Pre tech lookup (not required for "NR" measure application types)]],DropdownRefrigTech,0))</f>
        <v>#N/A</v>
      </c>
      <c r="T66" s="164" t="e">
        <f>INDEX(Table3[t_EOL],MATCH(Table2[[#This Row],[Std tech lookup (not required for "AR" measure application types)]],DropdownRefrigTech,0))</f>
        <v>#N/A</v>
      </c>
      <c r="U66" s="164" t="e">
        <f>INDEX(Table3[t_EOL],MATCH(Table2[[#This Row],[Msr tech lookup]],DropdownRefrigTech,0))</f>
        <v>#N/A</v>
      </c>
      <c r="V66" s="163" t="e">
        <f>1-Table2[[#This Row],[Pre annual refrigerant leakage %]]*Table2[[#This Row],[Pre t_EOL]]</f>
        <v>#N/A</v>
      </c>
      <c r="W66" s="163" t="e">
        <f>1-Table2[[#This Row],[Std annual refrigerant leakage %]]*Table2[[#This Row],[Std t_EOL]]</f>
        <v>#N/A</v>
      </c>
      <c r="X66" s="163" t="e">
        <f>1-Table2[[#This Row],[Msr annual refrigerant leakage %]]*Table2[[#This Row],[Msr t_EOL]]</f>
        <v>#N/A</v>
      </c>
      <c r="Y66" s="163" t="e">
        <f>INDEX(Table3[q_EOL],MATCH(Table2[[#This Row],[Pre tech lookup (not required for "NR" measure application types)]],DropdownRefrigTech,0))</f>
        <v>#N/A</v>
      </c>
      <c r="Z66" s="163" t="e">
        <f>INDEX(Table3[q_EOL],MATCH(Table2[[#This Row],[Std tech lookup (not required for "AR" measure application types)]],DropdownRefrigTech,0))</f>
        <v>#N/A</v>
      </c>
      <c r="AA66" s="163" t="e">
        <f>INDEX(Table3[q_EOL],MATCH(Table2[[#This Row],[Msr tech lookup]],DropdownRefrigTech,0))</f>
        <v>#N/A</v>
      </c>
      <c r="AB66" s="163" t="e">
        <f>Table2[[#This Row],[Pre charging remaining (%)]]*Table2[[#This Row],[Pre gross EOL refrigerant leakage %]]</f>
        <v>#N/A</v>
      </c>
      <c r="AC66" s="163" t="e">
        <f>Table2[[#This Row],[Std charging remaining (%)]]*Table2[[#This Row],[Std gross EOL refrigerant leakage %]]</f>
        <v>#N/A</v>
      </c>
      <c r="AD66" s="163" t="e">
        <f>Table2[[#This Row],[Msr charging remaining (%)]]*Table2[[#This Row],[Msr gross EOL refrigerant leakage %]]</f>
        <v>#N/A</v>
      </c>
      <c r="AE66" s="164" t="e" cm="1">
        <f t="array" ref="AE66">INDEX(_xlfn.SWITCH($B$4,"20-yr",GWP_Values_20_year_AR4,"100-yr",GWP_Values_100_year_AR4),MATCH(Table2[[#This Row],[Pre Refrigerant Type]],RefrigDropdownList,0))</f>
        <v>#N/A</v>
      </c>
      <c r="AF66" s="164" t="e" cm="1">
        <f t="array" ref="AF66">INDEX(_xlfn.SWITCH($B$4,"20-yr",GWP_Values_20_year_AR4,"100-yr",GWP_Values_100_year_AR4),MATCH(Table2[[#This Row],[Std Refrigerant Type]],RefrigDropdownList,0))</f>
        <v>#N/A</v>
      </c>
      <c r="AG66" s="164" t="e" cm="1">
        <f t="array" ref="AG66">INDEX(_xlfn.SWITCH($B$4,"20-yr",GWP_Values_20_year_AR4,"100-yr",GWP_Values_100_year_AR4),MATCH(Table2[[#This Row],[Msr Refrigerant Type]],RefrigDropdownList,0))</f>
        <v>#N/A</v>
      </c>
      <c r="AH66" s="165" t="e">
        <f>(Table2[[#This Row],[Pre Refrigerant charge (lbs) per NormUnit]]/pounds_per_metric_ton)*Table2[[#This Row],[Pre annual refrigerant leakage %]]*Table2[[#This Row],[Pre GWP]]</f>
        <v>#N/A</v>
      </c>
      <c r="AI66" s="165" t="e">
        <f>(Table2[[#This Row],[Std Refrigerant charge (lbs)per NormUnit]]/pounds_per_metric_ton)*Table2[[#This Row],[Std annual refrigerant leakage %]]*Table2[[#This Row],[Std GWP]]</f>
        <v>#N/A</v>
      </c>
      <c r="AJ66" s="165" t="e">
        <f>(Table2[[#This Row],[Msr Refrigerant charge (lbs)per NormUnit]]/pounds_per_metric_ton)*Table2[[#This Row],[Msr annual refrigerant leakage %]]*Table2[[#This Row],[Msr GWP]]</f>
        <v>#N/A</v>
      </c>
      <c r="AK66" s="165" t="e">
        <f>(Table2[[#This Row],[Pre Refrigerant charge (lbs) per NormUnit]]/pounds_per_metric_ton)*Table2[[#This Row],[Pre net EOL refrigerant leakage (%)]]*Table2[[#This Row],[Pre GWP]]</f>
        <v>#N/A</v>
      </c>
      <c r="AL66" s="165" t="e">
        <f>(Table2[[#This Row],[Std Refrigerant charge (lbs)per NormUnit]]/pounds_per_metric_ton)*Table2[[#This Row],[Std net EOL refrigerant leakage (%)]]*Table2[[#This Row],[Std GWP]]</f>
        <v>#N/A</v>
      </c>
      <c r="AM66" s="165" t="e">
        <f>(Table2[[#This Row],[Msr Refrigerant charge (lbs)per NormUnit]]/pounds_per_metric_ton)*Table2[[#This Row],[Msr net EOL refrigerant leakage (%)]]*Table2[[#This Row],[Msr GWP]]</f>
        <v>#N/A</v>
      </c>
      <c r="AN66" s="174" cm="1">
        <f t="array" aca="1" ref="AN66" ca="1">IF(Table2[[#This Row],[MeasAppType]]="AR",Table2[[#This Row],[Pre Annual leakage tons CO2e]]*NPV(WACC,OFFSET(const_ones,0,0,1,Table2[[#This Row],[EUL]])*OFFSET(GHG_Adder_dollar_per_tonne,0,(Table2[[#This Row],[Device installation year]])-GHG_Adder_Yr1,1,Table2[[#This Row],[EUL]]))/(1+WACC)^(Table2[[#This Row],[Device installation year]]-DY),0)</f>
        <v>0</v>
      </c>
      <c r="AO66" s="174" t="e" cm="1">
        <f t="array" aca="1" ref="AO66"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66" s="174" t="e" cm="1">
        <f t="array" aca="1" ref="AP66" ca="1">Table2[[#This Row],[Msr Annual leakage tons CO2e]]*NPV(WACC,OFFSET(const_ones,0,0,1,Table2[[#This Row],[EUL]])*OFFSET(GHG_Adder_dollar_per_tonne,0,((Table2[[#This Row],[Device installation year]])-GHG_Adder_Yr1),1,Table2[[#This Row],[EUL]]))/(1+WACC)^(Table2[[#This Row],[Device installation year]]-DY)</f>
        <v>#N/A</v>
      </c>
      <c r="AQ66" s="260" cm="1">
        <f t="array" aca="1" ref="AQ66"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66" s="261" t="e" cm="1">
        <f t="array" aca="1" ref="AR66"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66" s="261" t="e" cm="1">
        <f t="array" aca="1" ref="AS66" ca="1">Table2[[#This Row],[Msr EOL leakage tons CO2e]]*NPV(WACC,OFFSET(const_repeat_after,Table2[[#This Row],[EUL]],0,1,Table2[[#This Row],[EUL]])*OFFSET(GHG_Adder_dollar_per_tonne,0,(Table2[[#This Row],[Device installation year]])-GHG_Adder_Yr1,1,Table2[[#This Row],[EUL]]))/(1+WACC)^(Table2[[#This Row],[Device installation year]]-DY)</f>
        <v>#N/A</v>
      </c>
      <c r="AT66" s="260">
        <f>0</f>
        <v>0</v>
      </c>
      <c r="AU66"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66" s="174" t="e">
        <f ca="1">Table2[[#This Row],[RefrigerantNPVCostsNet]]&gt;0</f>
        <v>#N/A</v>
      </c>
      <c r="AW66" s="174">
        <f>0</f>
        <v>0</v>
      </c>
      <c r="AX66" s="174">
        <f>0</f>
        <v>0</v>
      </c>
      <c r="AY66" s="174">
        <f>0</f>
        <v>0</v>
      </c>
      <c r="AZ66" s="174">
        <f ca="1">Table2[[#This Row],[Pre NPV Cost of Annual Leakage]]+Table2[[#This Row],[Pre NPV Cost of EOL Leakage]]</f>
        <v>0</v>
      </c>
      <c r="BA66" s="174" t="e">
        <f ca="1">Table2[[#This Row],[Std NPV Cost of Annual Leakage]]+Table2[[#This Row],[Std NPV Cost of EOL Leakage]]</f>
        <v>#N/A</v>
      </c>
      <c r="BB66" s="174" t="e">
        <f ca="1">Table2[[#This Row],[AR immediate NPV cost of leakage]]+Table2[[#This Row],[Msr NPV Cost of Annual Leakage]]+Table2[[#This Row],[Msr NPV Cost of EOL Leakage]]</f>
        <v>#N/A</v>
      </c>
      <c r="BC66" s="273" t="e">
        <f ca="1">IF(Table2[[#This Row],[Is Net Cost?]],Table2[[#This Row],[RefrigerantNPVCostsNet]],0)</f>
        <v>#N/A</v>
      </c>
      <c r="BD66" s="174" t="e">
        <f ca="1">IF(Table2[[#This Row],[Is Net Cost?]],0,-Table2[[#This Row],[RefrigerantNPVCostsNet]])</f>
        <v>#N/A</v>
      </c>
    </row>
    <row r="67" spans="1:56" x14ac:dyDescent="0.3">
      <c r="A67" s="173">
        <f t="shared" si="2"/>
        <v>2022</v>
      </c>
      <c r="B67" s="268"/>
      <c r="C67" s="212"/>
      <c r="D67" s="212"/>
      <c r="E67" s="216" t="str">
        <f>IF(Table2[[#This Row],[MeasAppType]]="NR","N/A","N/A")</f>
        <v>N/A</v>
      </c>
      <c r="F67" s="272"/>
      <c r="G67" s="218"/>
      <c r="H67" s="218"/>
      <c r="I67" s="218"/>
      <c r="J67" s="173" t="e">
        <f>INDEX(Table3[CommonRefrigerantType],MATCH(Table2[[#This Row],[Pre tech lookup (not required for "NR" measure application types)]],DropdownRefrigTech,0))</f>
        <v>#N/A</v>
      </c>
      <c r="K67" s="173" t="e">
        <f>INDEX(Table3[CommonRefrigerantType],MATCH(Table2[[#This Row],[Std tech lookup (not required for "AR" measure application types)]],DropdownRefrigTech,0))</f>
        <v>#N/A</v>
      </c>
      <c r="L67" s="173" t="e">
        <f>INDEX(Table3[CommonRefrigerantType],MATCH(Table2[[#This Row],[Msr tech lookup]],DropdownRefrigTech,0))</f>
        <v>#N/A</v>
      </c>
      <c r="M67" s="134" t="e">
        <f>INDEX(Table3[RefrigChargePoundsPerNormUnit],MATCH(Table2[[#This Row],[Pre tech lookup (not required for "NR" measure application types)]],DropdownRefrigTech,0))</f>
        <v>#N/A</v>
      </c>
      <c r="N67" s="134" t="e">
        <f>INDEX(Table3[RefrigChargePoundsPerNormUnit],MATCH(Table2[[#This Row],[Std tech lookup (not required for "AR" measure application types)]],DropdownRefrigTech,0))</f>
        <v>#N/A</v>
      </c>
      <c r="O67" s="149" t="e">
        <f>INDEX(Table3[RefrigChargePoundsPerNormUnit],MATCH(Table2[[#This Row],[Msr tech lookup]],DropdownRefrigTech,0))</f>
        <v>#N/A</v>
      </c>
      <c r="P67" s="163" t="e">
        <f>INDEX(Table3[AnnualLeakageRate],MATCH(Table2[[#This Row],[Pre tech lookup (not required for "NR" measure application types)]],DropdownRefrigTech,0))</f>
        <v>#N/A</v>
      </c>
      <c r="Q67" s="163" t="e">
        <f>INDEX(Table3[AnnualLeakageRate],MATCH(Table2[[#This Row],[Std tech lookup (not required for "AR" measure application types)]],DropdownRefrigTech,0))</f>
        <v>#N/A</v>
      </c>
      <c r="R67" s="163" t="e">
        <f>INDEX(Table3[AnnualLeakageRate],MATCH(Table2[[#This Row],[Msr tech lookup]],DropdownRefrigTech,0))</f>
        <v>#N/A</v>
      </c>
      <c r="S67" s="164" t="e">
        <f>INDEX(Table3[t_EOL],MATCH(Table2[[#This Row],[Pre tech lookup (not required for "NR" measure application types)]],DropdownRefrigTech,0))</f>
        <v>#N/A</v>
      </c>
      <c r="T67" s="164" t="e">
        <f>INDEX(Table3[t_EOL],MATCH(Table2[[#This Row],[Std tech lookup (not required for "AR" measure application types)]],DropdownRefrigTech,0))</f>
        <v>#N/A</v>
      </c>
      <c r="U67" s="164" t="e">
        <f>INDEX(Table3[t_EOL],MATCH(Table2[[#This Row],[Msr tech lookup]],DropdownRefrigTech,0))</f>
        <v>#N/A</v>
      </c>
      <c r="V67" s="163" t="e">
        <f>1-Table2[[#This Row],[Pre annual refrigerant leakage %]]*Table2[[#This Row],[Pre t_EOL]]</f>
        <v>#N/A</v>
      </c>
      <c r="W67" s="163" t="e">
        <f>1-Table2[[#This Row],[Std annual refrigerant leakage %]]*Table2[[#This Row],[Std t_EOL]]</f>
        <v>#N/A</v>
      </c>
      <c r="X67" s="163" t="e">
        <f>1-Table2[[#This Row],[Msr annual refrigerant leakage %]]*Table2[[#This Row],[Msr t_EOL]]</f>
        <v>#N/A</v>
      </c>
      <c r="Y67" s="163" t="e">
        <f>INDEX(Table3[q_EOL],MATCH(Table2[[#This Row],[Pre tech lookup (not required for "NR" measure application types)]],DropdownRefrigTech,0))</f>
        <v>#N/A</v>
      </c>
      <c r="Z67" s="163" t="e">
        <f>INDEX(Table3[q_EOL],MATCH(Table2[[#This Row],[Std tech lookup (not required for "AR" measure application types)]],DropdownRefrigTech,0))</f>
        <v>#N/A</v>
      </c>
      <c r="AA67" s="163" t="e">
        <f>INDEX(Table3[q_EOL],MATCH(Table2[[#This Row],[Msr tech lookup]],DropdownRefrigTech,0))</f>
        <v>#N/A</v>
      </c>
      <c r="AB67" s="163" t="e">
        <f>Table2[[#This Row],[Pre charging remaining (%)]]*Table2[[#This Row],[Pre gross EOL refrigerant leakage %]]</f>
        <v>#N/A</v>
      </c>
      <c r="AC67" s="163" t="e">
        <f>Table2[[#This Row],[Std charging remaining (%)]]*Table2[[#This Row],[Std gross EOL refrigerant leakage %]]</f>
        <v>#N/A</v>
      </c>
      <c r="AD67" s="163" t="e">
        <f>Table2[[#This Row],[Msr charging remaining (%)]]*Table2[[#This Row],[Msr gross EOL refrigerant leakage %]]</f>
        <v>#N/A</v>
      </c>
      <c r="AE67" s="164" t="e" cm="1">
        <f t="array" ref="AE67">INDEX(_xlfn.SWITCH($B$4,"20-yr",GWP_Values_20_year_AR4,"100-yr",GWP_Values_100_year_AR4),MATCH(Table2[[#This Row],[Pre Refrigerant Type]],RefrigDropdownList,0))</f>
        <v>#N/A</v>
      </c>
      <c r="AF67" s="164" t="e" cm="1">
        <f t="array" ref="AF67">INDEX(_xlfn.SWITCH($B$4,"20-yr",GWP_Values_20_year_AR4,"100-yr",GWP_Values_100_year_AR4),MATCH(Table2[[#This Row],[Std Refrigerant Type]],RefrigDropdownList,0))</f>
        <v>#N/A</v>
      </c>
      <c r="AG67" s="164" t="e" cm="1">
        <f t="array" ref="AG67">INDEX(_xlfn.SWITCH($B$4,"20-yr",GWP_Values_20_year_AR4,"100-yr",GWP_Values_100_year_AR4),MATCH(Table2[[#This Row],[Msr Refrigerant Type]],RefrigDropdownList,0))</f>
        <v>#N/A</v>
      </c>
      <c r="AH67" s="165" t="e">
        <f>(Table2[[#This Row],[Pre Refrigerant charge (lbs) per NormUnit]]/pounds_per_metric_ton)*Table2[[#This Row],[Pre annual refrigerant leakage %]]*Table2[[#This Row],[Pre GWP]]</f>
        <v>#N/A</v>
      </c>
      <c r="AI67" s="165" t="e">
        <f>(Table2[[#This Row],[Std Refrigerant charge (lbs)per NormUnit]]/pounds_per_metric_ton)*Table2[[#This Row],[Std annual refrigerant leakage %]]*Table2[[#This Row],[Std GWP]]</f>
        <v>#N/A</v>
      </c>
      <c r="AJ67" s="165" t="e">
        <f>(Table2[[#This Row],[Msr Refrigerant charge (lbs)per NormUnit]]/pounds_per_metric_ton)*Table2[[#This Row],[Msr annual refrigerant leakage %]]*Table2[[#This Row],[Msr GWP]]</f>
        <v>#N/A</v>
      </c>
      <c r="AK67" s="165" t="e">
        <f>(Table2[[#This Row],[Pre Refrigerant charge (lbs) per NormUnit]]/pounds_per_metric_ton)*Table2[[#This Row],[Pre net EOL refrigerant leakage (%)]]*Table2[[#This Row],[Pre GWP]]</f>
        <v>#N/A</v>
      </c>
      <c r="AL67" s="165" t="e">
        <f>(Table2[[#This Row],[Std Refrigerant charge (lbs)per NormUnit]]/pounds_per_metric_ton)*Table2[[#This Row],[Std net EOL refrigerant leakage (%)]]*Table2[[#This Row],[Std GWP]]</f>
        <v>#N/A</v>
      </c>
      <c r="AM67" s="165" t="e">
        <f>(Table2[[#This Row],[Msr Refrigerant charge (lbs)per NormUnit]]/pounds_per_metric_ton)*Table2[[#This Row],[Msr net EOL refrigerant leakage (%)]]*Table2[[#This Row],[Msr GWP]]</f>
        <v>#N/A</v>
      </c>
      <c r="AN67" s="174" cm="1">
        <f t="array" aca="1" ref="AN67" ca="1">IF(Table2[[#This Row],[MeasAppType]]="AR",Table2[[#This Row],[Pre Annual leakage tons CO2e]]*NPV(WACC,OFFSET(const_ones,0,0,1,Table2[[#This Row],[EUL]])*OFFSET(GHG_Adder_dollar_per_tonne,0,(Table2[[#This Row],[Device installation year]])-GHG_Adder_Yr1,1,Table2[[#This Row],[EUL]]))/(1+WACC)^(Table2[[#This Row],[Device installation year]]-DY),0)</f>
        <v>0</v>
      </c>
      <c r="AO67" s="174" t="e" cm="1">
        <f t="array" aca="1" ref="AO67"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67" s="174" t="e" cm="1">
        <f t="array" aca="1" ref="AP67" ca="1">Table2[[#This Row],[Msr Annual leakage tons CO2e]]*NPV(WACC,OFFSET(const_ones,0,0,1,Table2[[#This Row],[EUL]])*OFFSET(GHG_Adder_dollar_per_tonne,0,((Table2[[#This Row],[Device installation year]])-GHG_Adder_Yr1),1,Table2[[#This Row],[EUL]]))/(1+WACC)^(Table2[[#This Row],[Device installation year]]-DY)</f>
        <v>#N/A</v>
      </c>
      <c r="AQ67" s="260" cm="1">
        <f t="array" aca="1" ref="AQ67"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67" s="261" t="e" cm="1">
        <f t="array" aca="1" ref="AR67"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67" s="261" t="e" cm="1">
        <f t="array" aca="1" ref="AS67" ca="1">Table2[[#This Row],[Msr EOL leakage tons CO2e]]*NPV(WACC,OFFSET(const_repeat_after,Table2[[#This Row],[EUL]],0,1,Table2[[#This Row],[EUL]])*OFFSET(GHG_Adder_dollar_per_tonne,0,(Table2[[#This Row],[Device installation year]])-GHG_Adder_Yr1,1,Table2[[#This Row],[EUL]]))/(1+WACC)^(Table2[[#This Row],[Device installation year]]-DY)</f>
        <v>#N/A</v>
      </c>
      <c r="AT67" s="260">
        <f>0</f>
        <v>0</v>
      </c>
      <c r="AU67"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67" s="174" t="e">
        <f ca="1">Table2[[#This Row],[RefrigerantNPVCostsNet]]&gt;0</f>
        <v>#N/A</v>
      </c>
      <c r="AW67" s="174">
        <f>0</f>
        <v>0</v>
      </c>
      <c r="AX67" s="174">
        <f>0</f>
        <v>0</v>
      </c>
      <c r="AY67" s="174">
        <f>0</f>
        <v>0</v>
      </c>
      <c r="AZ67" s="174">
        <f ca="1">Table2[[#This Row],[Pre NPV Cost of Annual Leakage]]+Table2[[#This Row],[Pre NPV Cost of EOL Leakage]]</f>
        <v>0</v>
      </c>
      <c r="BA67" s="174" t="e">
        <f ca="1">Table2[[#This Row],[Std NPV Cost of Annual Leakage]]+Table2[[#This Row],[Std NPV Cost of EOL Leakage]]</f>
        <v>#N/A</v>
      </c>
      <c r="BB67" s="174" t="e">
        <f ca="1">Table2[[#This Row],[AR immediate NPV cost of leakage]]+Table2[[#This Row],[Msr NPV Cost of Annual Leakage]]+Table2[[#This Row],[Msr NPV Cost of EOL Leakage]]</f>
        <v>#N/A</v>
      </c>
      <c r="BC67" s="273" t="e">
        <f ca="1">IF(Table2[[#This Row],[Is Net Cost?]],Table2[[#This Row],[RefrigerantNPVCostsNet]],0)</f>
        <v>#N/A</v>
      </c>
      <c r="BD67" s="174" t="e">
        <f ca="1">IF(Table2[[#This Row],[Is Net Cost?]],0,-Table2[[#This Row],[RefrigerantNPVCostsNet]])</f>
        <v>#N/A</v>
      </c>
    </row>
    <row r="68" spans="1:56" x14ac:dyDescent="0.3">
      <c r="A68" s="173">
        <f t="shared" si="2"/>
        <v>2022</v>
      </c>
      <c r="B68" s="268"/>
      <c r="C68" s="212"/>
      <c r="D68" s="212"/>
      <c r="E68" s="216" t="str">
        <f>IF(Table2[[#This Row],[MeasAppType]]="NR","N/A","N/A")</f>
        <v>N/A</v>
      </c>
      <c r="F68" s="272"/>
      <c r="G68" s="218"/>
      <c r="H68" s="218"/>
      <c r="I68" s="218"/>
      <c r="J68" s="173" t="e">
        <f>INDEX(Table3[CommonRefrigerantType],MATCH(Table2[[#This Row],[Pre tech lookup (not required for "NR" measure application types)]],DropdownRefrigTech,0))</f>
        <v>#N/A</v>
      </c>
      <c r="K68" s="173" t="e">
        <f>INDEX(Table3[CommonRefrigerantType],MATCH(Table2[[#This Row],[Std tech lookup (not required for "AR" measure application types)]],DropdownRefrigTech,0))</f>
        <v>#N/A</v>
      </c>
      <c r="L68" s="173" t="e">
        <f>INDEX(Table3[CommonRefrigerantType],MATCH(Table2[[#This Row],[Msr tech lookup]],DropdownRefrigTech,0))</f>
        <v>#N/A</v>
      </c>
      <c r="M68" s="134" t="e">
        <f>INDEX(Table3[RefrigChargePoundsPerNormUnit],MATCH(Table2[[#This Row],[Pre tech lookup (not required for "NR" measure application types)]],DropdownRefrigTech,0))</f>
        <v>#N/A</v>
      </c>
      <c r="N68" s="134" t="e">
        <f>INDEX(Table3[RefrigChargePoundsPerNormUnit],MATCH(Table2[[#This Row],[Std tech lookup (not required for "AR" measure application types)]],DropdownRefrigTech,0))</f>
        <v>#N/A</v>
      </c>
      <c r="O68" s="149" t="e">
        <f>INDEX(Table3[RefrigChargePoundsPerNormUnit],MATCH(Table2[[#This Row],[Msr tech lookup]],DropdownRefrigTech,0))</f>
        <v>#N/A</v>
      </c>
      <c r="P68" s="163" t="e">
        <f>INDEX(Table3[AnnualLeakageRate],MATCH(Table2[[#This Row],[Pre tech lookup (not required for "NR" measure application types)]],DropdownRefrigTech,0))</f>
        <v>#N/A</v>
      </c>
      <c r="Q68" s="163" t="e">
        <f>INDEX(Table3[AnnualLeakageRate],MATCH(Table2[[#This Row],[Std tech lookup (not required for "AR" measure application types)]],DropdownRefrigTech,0))</f>
        <v>#N/A</v>
      </c>
      <c r="R68" s="163" t="e">
        <f>INDEX(Table3[AnnualLeakageRate],MATCH(Table2[[#This Row],[Msr tech lookup]],DropdownRefrigTech,0))</f>
        <v>#N/A</v>
      </c>
      <c r="S68" s="164" t="e">
        <f>INDEX(Table3[t_EOL],MATCH(Table2[[#This Row],[Pre tech lookup (not required for "NR" measure application types)]],DropdownRefrigTech,0))</f>
        <v>#N/A</v>
      </c>
      <c r="T68" s="164" t="e">
        <f>INDEX(Table3[t_EOL],MATCH(Table2[[#This Row],[Std tech lookup (not required for "AR" measure application types)]],DropdownRefrigTech,0))</f>
        <v>#N/A</v>
      </c>
      <c r="U68" s="164" t="e">
        <f>INDEX(Table3[t_EOL],MATCH(Table2[[#This Row],[Msr tech lookup]],DropdownRefrigTech,0))</f>
        <v>#N/A</v>
      </c>
      <c r="V68" s="163" t="e">
        <f>1-Table2[[#This Row],[Pre annual refrigerant leakage %]]*Table2[[#This Row],[Pre t_EOL]]</f>
        <v>#N/A</v>
      </c>
      <c r="W68" s="163" t="e">
        <f>1-Table2[[#This Row],[Std annual refrigerant leakage %]]*Table2[[#This Row],[Std t_EOL]]</f>
        <v>#N/A</v>
      </c>
      <c r="X68" s="163" t="e">
        <f>1-Table2[[#This Row],[Msr annual refrigerant leakage %]]*Table2[[#This Row],[Msr t_EOL]]</f>
        <v>#N/A</v>
      </c>
      <c r="Y68" s="163" t="e">
        <f>INDEX(Table3[q_EOL],MATCH(Table2[[#This Row],[Pre tech lookup (not required for "NR" measure application types)]],DropdownRefrigTech,0))</f>
        <v>#N/A</v>
      </c>
      <c r="Z68" s="163" t="e">
        <f>INDEX(Table3[q_EOL],MATCH(Table2[[#This Row],[Std tech lookup (not required for "AR" measure application types)]],DropdownRefrigTech,0))</f>
        <v>#N/A</v>
      </c>
      <c r="AA68" s="163" t="e">
        <f>INDEX(Table3[q_EOL],MATCH(Table2[[#This Row],[Msr tech lookup]],DropdownRefrigTech,0))</f>
        <v>#N/A</v>
      </c>
      <c r="AB68" s="163" t="e">
        <f>Table2[[#This Row],[Pre charging remaining (%)]]*Table2[[#This Row],[Pre gross EOL refrigerant leakage %]]</f>
        <v>#N/A</v>
      </c>
      <c r="AC68" s="163" t="e">
        <f>Table2[[#This Row],[Std charging remaining (%)]]*Table2[[#This Row],[Std gross EOL refrigerant leakage %]]</f>
        <v>#N/A</v>
      </c>
      <c r="AD68" s="163" t="e">
        <f>Table2[[#This Row],[Msr charging remaining (%)]]*Table2[[#This Row],[Msr gross EOL refrigerant leakage %]]</f>
        <v>#N/A</v>
      </c>
      <c r="AE68" s="164" t="e" cm="1">
        <f t="array" ref="AE68">INDEX(_xlfn.SWITCH($B$4,"20-yr",GWP_Values_20_year_AR4,"100-yr",GWP_Values_100_year_AR4),MATCH(Table2[[#This Row],[Pre Refrigerant Type]],RefrigDropdownList,0))</f>
        <v>#N/A</v>
      </c>
      <c r="AF68" s="164" t="e" cm="1">
        <f t="array" ref="AF68">INDEX(_xlfn.SWITCH($B$4,"20-yr",GWP_Values_20_year_AR4,"100-yr",GWP_Values_100_year_AR4),MATCH(Table2[[#This Row],[Std Refrigerant Type]],RefrigDropdownList,0))</f>
        <v>#N/A</v>
      </c>
      <c r="AG68" s="164" t="e" cm="1">
        <f t="array" ref="AG68">INDEX(_xlfn.SWITCH($B$4,"20-yr",GWP_Values_20_year_AR4,"100-yr",GWP_Values_100_year_AR4),MATCH(Table2[[#This Row],[Msr Refrigerant Type]],RefrigDropdownList,0))</f>
        <v>#N/A</v>
      </c>
      <c r="AH68" s="165" t="e">
        <f>(Table2[[#This Row],[Pre Refrigerant charge (lbs) per NormUnit]]/pounds_per_metric_ton)*Table2[[#This Row],[Pre annual refrigerant leakage %]]*Table2[[#This Row],[Pre GWP]]</f>
        <v>#N/A</v>
      </c>
      <c r="AI68" s="165" t="e">
        <f>(Table2[[#This Row],[Std Refrigerant charge (lbs)per NormUnit]]/pounds_per_metric_ton)*Table2[[#This Row],[Std annual refrigerant leakage %]]*Table2[[#This Row],[Std GWP]]</f>
        <v>#N/A</v>
      </c>
      <c r="AJ68" s="165" t="e">
        <f>(Table2[[#This Row],[Msr Refrigerant charge (lbs)per NormUnit]]/pounds_per_metric_ton)*Table2[[#This Row],[Msr annual refrigerant leakage %]]*Table2[[#This Row],[Msr GWP]]</f>
        <v>#N/A</v>
      </c>
      <c r="AK68" s="165" t="e">
        <f>(Table2[[#This Row],[Pre Refrigerant charge (lbs) per NormUnit]]/pounds_per_metric_ton)*Table2[[#This Row],[Pre net EOL refrigerant leakage (%)]]*Table2[[#This Row],[Pre GWP]]</f>
        <v>#N/A</v>
      </c>
      <c r="AL68" s="165" t="e">
        <f>(Table2[[#This Row],[Std Refrigerant charge (lbs)per NormUnit]]/pounds_per_metric_ton)*Table2[[#This Row],[Std net EOL refrigerant leakage (%)]]*Table2[[#This Row],[Std GWP]]</f>
        <v>#N/A</v>
      </c>
      <c r="AM68" s="165" t="e">
        <f>(Table2[[#This Row],[Msr Refrigerant charge (lbs)per NormUnit]]/pounds_per_metric_ton)*Table2[[#This Row],[Msr net EOL refrigerant leakage (%)]]*Table2[[#This Row],[Msr GWP]]</f>
        <v>#N/A</v>
      </c>
      <c r="AN68" s="174" cm="1">
        <f t="array" aca="1" ref="AN68" ca="1">IF(Table2[[#This Row],[MeasAppType]]="AR",Table2[[#This Row],[Pre Annual leakage tons CO2e]]*NPV(WACC,OFFSET(const_ones,0,0,1,Table2[[#This Row],[EUL]])*OFFSET(GHG_Adder_dollar_per_tonne,0,(Table2[[#This Row],[Device installation year]])-GHG_Adder_Yr1,1,Table2[[#This Row],[EUL]]))/(1+WACC)^(Table2[[#This Row],[Device installation year]]-DY),0)</f>
        <v>0</v>
      </c>
      <c r="AO68" s="174" t="e" cm="1">
        <f t="array" aca="1" ref="AO68"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68" s="174" t="e" cm="1">
        <f t="array" aca="1" ref="AP68" ca="1">Table2[[#This Row],[Msr Annual leakage tons CO2e]]*NPV(WACC,OFFSET(const_ones,0,0,1,Table2[[#This Row],[EUL]])*OFFSET(GHG_Adder_dollar_per_tonne,0,((Table2[[#This Row],[Device installation year]])-GHG_Adder_Yr1),1,Table2[[#This Row],[EUL]]))/(1+WACC)^(Table2[[#This Row],[Device installation year]]-DY)</f>
        <v>#N/A</v>
      </c>
      <c r="AQ68" s="260" cm="1">
        <f t="array" aca="1" ref="AQ68"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68" s="261" t="e" cm="1">
        <f t="array" aca="1" ref="AR68"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68" s="261" t="e" cm="1">
        <f t="array" aca="1" ref="AS68" ca="1">Table2[[#This Row],[Msr EOL leakage tons CO2e]]*NPV(WACC,OFFSET(const_repeat_after,Table2[[#This Row],[EUL]],0,1,Table2[[#This Row],[EUL]])*OFFSET(GHG_Adder_dollar_per_tonne,0,(Table2[[#This Row],[Device installation year]])-GHG_Adder_Yr1,1,Table2[[#This Row],[EUL]]))/(1+WACC)^(Table2[[#This Row],[Device installation year]]-DY)</f>
        <v>#N/A</v>
      </c>
      <c r="AT68" s="260">
        <f>0</f>
        <v>0</v>
      </c>
      <c r="AU68"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68" s="174" t="e">
        <f ca="1">Table2[[#This Row],[RefrigerantNPVCostsNet]]&gt;0</f>
        <v>#N/A</v>
      </c>
      <c r="AW68" s="174">
        <f>0</f>
        <v>0</v>
      </c>
      <c r="AX68" s="174">
        <f>0</f>
        <v>0</v>
      </c>
      <c r="AY68" s="174">
        <f>0</f>
        <v>0</v>
      </c>
      <c r="AZ68" s="174">
        <f ca="1">Table2[[#This Row],[Pre NPV Cost of Annual Leakage]]+Table2[[#This Row],[Pre NPV Cost of EOL Leakage]]</f>
        <v>0</v>
      </c>
      <c r="BA68" s="174" t="e">
        <f ca="1">Table2[[#This Row],[Std NPV Cost of Annual Leakage]]+Table2[[#This Row],[Std NPV Cost of EOL Leakage]]</f>
        <v>#N/A</v>
      </c>
      <c r="BB68" s="174" t="e">
        <f ca="1">Table2[[#This Row],[AR immediate NPV cost of leakage]]+Table2[[#This Row],[Msr NPV Cost of Annual Leakage]]+Table2[[#This Row],[Msr NPV Cost of EOL Leakage]]</f>
        <v>#N/A</v>
      </c>
      <c r="BC68" s="273" t="e">
        <f ca="1">IF(Table2[[#This Row],[Is Net Cost?]],Table2[[#This Row],[RefrigerantNPVCostsNet]],0)</f>
        <v>#N/A</v>
      </c>
      <c r="BD68" s="174" t="e">
        <f ca="1">IF(Table2[[#This Row],[Is Net Cost?]],0,-Table2[[#This Row],[RefrigerantNPVCostsNet]])</f>
        <v>#N/A</v>
      </c>
    </row>
    <row r="69" spans="1:56" x14ac:dyDescent="0.3">
      <c r="A69" s="173">
        <f t="shared" si="2"/>
        <v>2022</v>
      </c>
      <c r="B69" s="268"/>
      <c r="C69" s="212"/>
      <c r="D69" s="212"/>
      <c r="E69" s="216" t="str">
        <f>IF(Table2[[#This Row],[MeasAppType]]="NR","N/A","N/A")</f>
        <v>N/A</v>
      </c>
      <c r="F69" s="272"/>
      <c r="G69" s="218"/>
      <c r="H69" s="218"/>
      <c r="I69" s="218"/>
      <c r="J69" s="173" t="e">
        <f>INDEX(Table3[CommonRefrigerantType],MATCH(Table2[[#This Row],[Pre tech lookup (not required for "NR" measure application types)]],DropdownRefrigTech,0))</f>
        <v>#N/A</v>
      </c>
      <c r="K69" s="173" t="e">
        <f>INDEX(Table3[CommonRefrigerantType],MATCH(Table2[[#This Row],[Std tech lookup (not required for "AR" measure application types)]],DropdownRefrigTech,0))</f>
        <v>#N/A</v>
      </c>
      <c r="L69" s="173" t="e">
        <f>INDEX(Table3[CommonRefrigerantType],MATCH(Table2[[#This Row],[Msr tech lookup]],DropdownRefrigTech,0))</f>
        <v>#N/A</v>
      </c>
      <c r="M69" s="134" t="e">
        <f>INDEX(Table3[RefrigChargePoundsPerNormUnit],MATCH(Table2[[#This Row],[Pre tech lookup (not required for "NR" measure application types)]],DropdownRefrigTech,0))</f>
        <v>#N/A</v>
      </c>
      <c r="N69" s="134" t="e">
        <f>INDEX(Table3[RefrigChargePoundsPerNormUnit],MATCH(Table2[[#This Row],[Std tech lookup (not required for "AR" measure application types)]],DropdownRefrigTech,0))</f>
        <v>#N/A</v>
      </c>
      <c r="O69" s="149" t="e">
        <f>INDEX(Table3[RefrigChargePoundsPerNormUnit],MATCH(Table2[[#This Row],[Msr tech lookup]],DropdownRefrigTech,0))</f>
        <v>#N/A</v>
      </c>
      <c r="P69" s="163" t="e">
        <f>INDEX(Table3[AnnualLeakageRate],MATCH(Table2[[#This Row],[Pre tech lookup (not required for "NR" measure application types)]],DropdownRefrigTech,0))</f>
        <v>#N/A</v>
      </c>
      <c r="Q69" s="163" t="e">
        <f>INDEX(Table3[AnnualLeakageRate],MATCH(Table2[[#This Row],[Std tech lookup (not required for "AR" measure application types)]],DropdownRefrigTech,0))</f>
        <v>#N/A</v>
      </c>
      <c r="R69" s="163" t="e">
        <f>INDEX(Table3[AnnualLeakageRate],MATCH(Table2[[#This Row],[Msr tech lookup]],DropdownRefrigTech,0))</f>
        <v>#N/A</v>
      </c>
      <c r="S69" s="164" t="e">
        <f>INDEX(Table3[t_EOL],MATCH(Table2[[#This Row],[Pre tech lookup (not required for "NR" measure application types)]],DropdownRefrigTech,0))</f>
        <v>#N/A</v>
      </c>
      <c r="T69" s="164" t="e">
        <f>INDEX(Table3[t_EOL],MATCH(Table2[[#This Row],[Std tech lookup (not required for "AR" measure application types)]],DropdownRefrigTech,0))</f>
        <v>#N/A</v>
      </c>
      <c r="U69" s="164" t="e">
        <f>INDEX(Table3[t_EOL],MATCH(Table2[[#This Row],[Msr tech lookup]],DropdownRefrigTech,0))</f>
        <v>#N/A</v>
      </c>
      <c r="V69" s="163" t="e">
        <f>1-Table2[[#This Row],[Pre annual refrigerant leakage %]]*Table2[[#This Row],[Pre t_EOL]]</f>
        <v>#N/A</v>
      </c>
      <c r="W69" s="163" t="e">
        <f>1-Table2[[#This Row],[Std annual refrigerant leakage %]]*Table2[[#This Row],[Std t_EOL]]</f>
        <v>#N/A</v>
      </c>
      <c r="X69" s="163" t="e">
        <f>1-Table2[[#This Row],[Msr annual refrigerant leakage %]]*Table2[[#This Row],[Msr t_EOL]]</f>
        <v>#N/A</v>
      </c>
      <c r="Y69" s="163" t="e">
        <f>INDEX(Table3[q_EOL],MATCH(Table2[[#This Row],[Pre tech lookup (not required for "NR" measure application types)]],DropdownRefrigTech,0))</f>
        <v>#N/A</v>
      </c>
      <c r="Z69" s="163" t="e">
        <f>INDEX(Table3[q_EOL],MATCH(Table2[[#This Row],[Std tech lookup (not required for "AR" measure application types)]],DropdownRefrigTech,0))</f>
        <v>#N/A</v>
      </c>
      <c r="AA69" s="163" t="e">
        <f>INDEX(Table3[q_EOL],MATCH(Table2[[#This Row],[Msr tech lookup]],DropdownRefrigTech,0))</f>
        <v>#N/A</v>
      </c>
      <c r="AB69" s="163" t="e">
        <f>Table2[[#This Row],[Pre charging remaining (%)]]*Table2[[#This Row],[Pre gross EOL refrigerant leakage %]]</f>
        <v>#N/A</v>
      </c>
      <c r="AC69" s="163" t="e">
        <f>Table2[[#This Row],[Std charging remaining (%)]]*Table2[[#This Row],[Std gross EOL refrigerant leakage %]]</f>
        <v>#N/A</v>
      </c>
      <c r="AD69" s="163" t="e">
        <f>Table2[[#This Row],[Msr charging remaining (%)]]*Table2[[#This Row],[Msr gross EOL refrigerant leakage %]]</f>
        <v>#N/A</v>
      </c>
      <c r="AE69" s="164" t="e" cm="1">
        <f t="array" ref="AE69">INDEX(_xlfn.SWITCH($B$4,"20-yr",GWP_Values_20_year_AR4,"100-yr",GWP_Values_100_year_AR4),MATCH(Table2[[#This Row],[Pre Refrigerant Type]],RefrigDropdownList,0))</f>
        <v>#N/A</v>
      </c>
      <c r="AF69" s="164" t="e" cm="1">
        <f t="array" ref="AF69">INDEX(_xlfn.SWITCH($B$4,"20-yr",GWP_Values_20_year_AR4,"100-yr",GWP_Values_100_year_AR4),MATCH(Table2[[#This Row],[Std Refrigerant Type]],RefrigDropdownList,0))</f>
        <v>#N/A</v>
      </c>
      <c r="AG69" s="164" t="e" cm="1">
        <f t="array" ref="AG69">INDEX(_xlfn.SWITCH($B$4,"20-yr",GWP_Values_20_year_AR4,"100-yr",GWP_Values_100_year_AR4),MATCH(Table2[[#This Row],[Msr Refrigerant Type]],RefrigDropdownList,0))</f>
        <v>#N/A</v>
      </c>
      <c r="AH69" s="165" t="e">
        <f>(Table2[[#This Row],[Pre Refrigerant charge (lbs) per NormUnit]]/pounds_per_metric_ton)*Table2[[#This Row],[Pre annual refrigerant leakage %]]*Table2[[#This Row],[Pre GWP]]</f>
        <v>#N/A</v>
      </c>
      <c r="AI69" s="165" t="e">
        <f>(Table2[[#This Row],[Std Refrigerant charge (lbs)per NormUnit]]/pounds_per_metric_ton)*Table2[[#This Row],[Std annual refrigerant leakage %]]*Table2[[#This Row],[Std GWP]]</f>
        <v>#N/A</v>
      </c>
      <c r="AJ69" s="165" t="e">
        <f>(Table2[[#This Row],[Msr Refrigerant charge (lbs)per NormUnit]]/pounds_per_metric_ton)*Table2[[#This Row],[Msr annual refrigerant leakage %]]*Table2[[#This Row],[Msr GWP]]</f>
        <v>#N/A</v>
      </c>
      <c r="AK69" s="165" t="e">
        <f>(Table2[[#This Row],[Pre Refrigerant charge (lbs) per NormUnit]]/pounds_per_metric_ton)*Table2[[#This Row],[Pre net EOL refrigerant leakage (%)]]*Table2[[#This Row],[Pre GWP]]</f>
        <v>#N/A</v>
      </c>
      <c r="AL69" s="165" t="e">
        <f>(Table2[[#This Row],[Std Refrigerant charge (lbs)per NormUnit]]/pounds_per_metric_ton)*Table2[[#This Row],[Std net EOL refrigerant leakage (%)]]*Table2[[#This Row],[Std GWP]]</f>
        <v>#N/A</v>
      </c>
      <c r="AM69" s="165" t="e">
        <f>(Table2[[#This Row],[Msr Refrigerant charge (lbs)per NormUnit]]/pounds_per_metric_ton)*Table2[[#This Row],[Msr net EOL refrigerant leakage (%)]]*Table2[[#This Row],[Msr GWP]]</f>
        <v>#N/A</v>
      </c>
      <c r="AN69" s="174" cm="1">
        <f t="array" aca="1" ref="AN69" ca="1">IF(Table2[[#This Row],[MeasAppType]]="AR",Table2[[#This Row],[Pre Annual leakage tons CO2e]]*NPV(WACC,OFFSET(const_ones,0,0,1,Table2[[#This Row],[EUL]])*OFFSET(GHG_Adder_dollar_per_tonne,0,(Table2[[#This Row],[Device installation year]])-GHG_Adder_Yr1,1,Table2[[#This Row],[EUL]]))/(1+WACC)^(Table2[[#This Row],[Device installation year]]-DY),0)</f>
        <v>0</v>
      </c>
      <c r="AO69" s="174" t="e" cm="1">
        <f t="array" aca="1" ref="AO69"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69" s="174" t="e" cm="1">
        <f t="array" aca="1" ref="AP69" ca="1">Table2[[#This Row],[Msr Annual leakage tons CO2e]]*NPV(WACC,OFFSET(const_ones,0,0,1,Table2[[#This Row],[EUL]])*OFFSET(GHG_Adder_dollar_per_tonne,0,((Table2[[#This Row],[Device installation year]])-GHG_Adder_Yr1),1,Table2[[#This Row],[EUL]]))/(1+WACC)^(Table2[[#This Row],[Device installation year]]-DY)</f>
        <v>#N/A</v>
      </c>
      <c r="AQ69" s="260" cm="1">
        <f t="array" aca="1" ref="AQ69"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69" s="261" t="e" cm="1">
        <f t="array" aca="1" ref="AR69"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69" s="261" t="e" cm="1">
        <f t="array" aca="1" ref="AS69" ca="1">Table2[[#This Row],[Msr EOL leakage tons CO2e]]*NPV(WACC,OFFSET(const_repeat_after,Table2[[#This Row],[EUL]],0,1,Table2[[#This Row],[EUL]])*OFFSET(GHG_Adder_dollar_per_tonne,0,(Table2[[#This Row],[Device installation year]])-GHG_Adder_Yr1,1,Table2[[#This Row],[EUL]]))/(1+WACC)^(Table2[[#This Row],[Device installation year]]-DY)</f>
        <v>#N/A</v>
      </c>
      <c r="AT69" s="260">
        <f>0</f>
        <v>0</v>
      </c>
      <c r="AU69"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69" s="174" t="e">
        <f ca="1">Table2[[#This Row],[RefrigerantNPVCostsNet]]&gt;0</f>
        <v>#N/A</v>
      </c>
      <c r="AW69" s="174">
        <f>0</f>
        <v>0</v>
      </c>
      <c r="AX69" s="174">
        <f>0</f>
        <v>0</v>
      </c>
      <c r="AY69" s="174">
        <f>0</f>
        <v>0</v>
      </c>
      <c r="AZ69" s="174">
        <f ca="1">Table2[[#This Row],[Pre NPV Cost of Annual Leakage]]+Table2[[#This Row],[Pre NPV Cost of EOL Leakage]]</f>
        <v>0</v>
      </c>
      <c r="BA69" s="174" t="e">
        <f ca="1">Table2[[#This Row],[Std NPV Cost of Annual Leakage]]+Table2[[#This Row],[Std NPV Cost of EOL Leakage]]</f>
        <v>#N/A</v>
      </c>
      <c r="BB69" s="174" t="e">
        <f ca="1">Table2[[#This Row],[AR immediate NPV cost of leakage]]+Table2[[#This Row],[Msr NPV Cost of Annual Leakage]]+Table2[[#This Row],[Msr NPV Cost of EOL Leakage]]</f>
        <v>#N/A</v>
      </c>
      <c r="BC69" s="273" t="e">
        <f ca="1">IF(Table2[[#This Row],[Is Net Cost?]],Table2[[#This Row],[RefrigerantNPVCostsNet]],0)</f>
        <v>#N/A</v>
      </c>
      <c r="BD69" s="174" t="e">
        <f ca="1">IF(Table2[[#This Row],[Is Net Cost?]],0,-Table2[[#This Row],[RefrigerantNPVCostsNet]])</f>
        <v>#N/A</v>
      </c>
    </row>
    <row r="70" spans="1:56" x14ac:dyDescent="0.3">
      <c r="A70" s="173">
        <f t="shared" si="2"/>
        <v>2022</v>
      </c>
      <c r="B70" s="268"/>
      <c r="C70" s="212"/>
      <c r="D70" s="212"/>
      <c r="E70" s="216" t="str">
        <f>IF(Table2[[#This Row],[MeasAppType]]="NR","N/A","N/A")</f>
        <v>N/A</v>
      </c>
      <c r="F70" s="272"/>
      <c r="G70" s="218"/>
      <c r="H70" s="218"/>
      <c r="I70" s="218"/>
      <c r="J70" s="173" t="e">
        <f>INDEX(Table3[CommonRefrigerantType],MATCH(Table2[[#This Row],[Pre tech lookup (not required for "NR" measure application types)]],DropdownRefrigTech,0))</f>
        <v>#N/A</v>
      </c>
      <c r="K70" s="173" t="e">
        <f>INDEX(Table3[CommonRefrigerantType],MATCH(Table2[[#This Row],[Std tech lookup (not required for "AR" measure application types)]],DropdownRefrigTech,0))</f>
        <v>#N/A</v>
      </c>
      <c r="L70" s="173" t="e">
        <f>INDEX(Table3[CommonRefrigerantType],MATCH(Table2[[#This Row],[Msr tech lookup]],DropdownRefrigTech,0))</f>
        <v>#N/A</v>
      </c>
      <c r="M70" s="134" t="e">
        <f>INDEX(Table3[RefrigChargePoundsPerNormUnit],MATCH(Table2[[#This Row],[Pre tech lookup (not required for "NR" measure application types)]],DropdownRefrigTech,0))</f>
        <v>#N/A</v>
      </c>
      <c r="N70" s="134" t="e">
        <f>INDEX(Table3[RefrigChargePoundsPerNormUnit],MATCH(Table2[[#This Row],[Std tech lookup (not required for "AR" measure application types)]],DropdownRefrigTech,0))</f>
        <v>#N/A</v>
      </c>
      <c r="O70" s="149" t="e">
        <f>INDEX(Table3[RefrigChargePoundsPerNormUnit],MATCH(Table2[[#This Row],[Msr tech lookup]],DropdownRefrigTech,0))</f>
        <v>#N/A</v>
      </c>
      <c r="P70" s="163" t="e">
        <f>INDEX(Table3[AnnualLeakageRate],MATCH(Table2[[#This Row],[Pre tech lookup (not required for "NR" measure application types)]],DropdownRefrigTech,0))</f>
        <v>#N/A</v>
      </c>
      <c r="Q70" s="163" t="e">
        <f>INDEX(Table3[AnnualLeakageRate],MATCH(Table2[[#This Row],[Std tech lookup (not required for "AR" measure application types)]],DropdownRefrigTech,0))</f>
        <v>#N/A</v>
      </c>
      <c r="R70" s="163" t="e">
        <f>INDEX(Table3[AnnualLeakageRate],MATCH(Table2[[#This Row],[Msr tech lookup]],DropdownRefrigTech,0))</f>
        <v>#N/A</v>
      </c>
      <c r="S70" s="164" t="e">
        <f>INDEX(Table3[t_EOL],MATCH(Table2[[#This Row],[Pre tech lookup (not required for "NR" measure application types)]],DropdownRefrigTech,0))</f>
        <v>#N/A</v>
      </c>
      <c r="T70" s="164" t="e">
        <f>INDEX(Table3[t_EOL],MATCH(Table2[[#This Row],[Std tech lookup (not required for "AR" measure application types)]],DropdownRefrigTech,0))</f>
        <v>#N/A</v>
      </c>
      <c r="U70" s="164" t="e">
        <f>INDEX(Table3[t_EOL],MATCH(Table2[[#This Row],[Msr tech lookup]],DropdownRefrigTech,0))</f>
        <v>#N/A</v>
      </c>
      <c r="V70" s="163" t="e">
        <f>1-Table2[[#This Row],[Pre annual refrigerant leakage %]]*Table2[[#This Row],[Pre t_EOL]]</f>
        <v>#N/A</v>
      </c>
      <c r="W70" s="163" t="e">
        <f>1-Table2[[#This Row],[Std annual refrigerant leakage %]]*Table2[[#This Row],[Std t_EOL]]</f>
        <v>#N/A</v>
      </c>
      <c r="X70" s="163" t="e">
        <f>1-Table2[[#This Row],[Msr annual refrigerant leakage %]]*Table2[[#This Row],[Msr t_EOL]]</f>
        <v>#N/A</v>
      </c>
      <c r="Y70" s="163" t="e">
        <f>INDEX(Table3[q_EOL],MATCH(Table2[[#This Row],[Pre tech lookup (not required for "NR" measure application types)]],DropdownRefrigTech,0))</f>
        <v>#N/A</v>
      </c>
      <c r="Z70" s="163" t="e">
        <f>INDEX(Table3[q_EOL],MATCH(Table2[[#This Row],[Std tech lookup (not required for "AR" measure application types)]],DropdownRefrigTech,0))</f>
        <v>#N/A</v>
      </c>
      <c r="AA70" s="163" t="e">
        <f>INDEX(Table3[q_EOL],MATCH(Table2[[#This Row],[Msr tech lookup]],DropdownRefrigTech,0))</f>
        <v>#N/A</v>
      </c>
      <c r="AB70" s="163" t="e">
        <f>Table2[[#This Row],[Pre charging remaining (%)]]*Table2[[#This Row],[Pre gross EOL refrigerant leakage %]]</f>
        <v>#N/A</v>
      </c>
      <c r="AC70" s="163" t="e">
        <f>Table2[[#This Row],[Std charging remaining (%)]]*Table2[[#This Row],[Std gross EOL refrigerant leakage %]]</f>
        <v>#N/A</v>
      </c>
      <c r="AD70" s="163" t="e">
        <f>Table2[[#This Row],[Msr charging remaining (%)]]*Table2[[#This Row],[Msr gross EOL refrigerant leakage %]]</f>
        <v>#N/A</v>
      </c>
      <c r="AE70" s="164" t="e" cm="1">
        <f t="array" ref="AE70">INDEX(_xlfn.SWITCH($B$4,"20-yr",GWP_Values_20_year_AR4,"100-yr",GWP_Values_100_year_AR4),MATCH(Table2[[#This Row],[Pre Refrigerant Type]],RefrigDropdownList,0))</f>
        <v>#N/A</v>
      </c>
      <c r="AF70" s="164" t="e" cm="1">
        <f t="array" ref="AF70">INDEX(_xlfn.SWITCH($B$4,"20-yr",GWP_Values_20_year_AR4,"100-yr",GWP_Values_100_year_AR4),MATCH(Table2[[#This Row],[Std Refrigerant Type]],RefrigDropdownList,0))</f>
        <v>#N/A</v>
      </c>
      <c r="AG70" s="164" t="e" cm="1">
        <f t="array" ref="AG70">INDEX(_xlfn.SWITCH($B$4,"20-yr",GWP_Values_20_year_AR4,"100-yr",GWP_Values_100_year_AR4),MATCH(Table2[[#This Row],[Msr Refrigerant Type]],RefrigDropdownList,0))</f>
        <v>#N/A</v>
      </c>
      <c r="AH70" s="165" t="e">
        <f>(Table2[[#This Row],[Pre Refrigerant charge (lbs) per NormUnit]]/pounds_per_metric_ton)*Table2[[#This Row],[Pre annual refrigerant leakage %]]*Table2[[#This Row],[Pre GWP]]</f>
        <v>#N/A</v>
      </c>
      <c r="AI70" s="165" t="e">
        <f>(Table2[[#This Row],[Std Refrigerant charge (lbs)per NormUnit]]/pounds_per_metric_ton)*Table2[[#This Row],[Std annual refrigerant leakage %]]*Table2[[#This Row],[Std GWP]]</f>
        <v>#N/A</v>
      </c>
      <c r="AJ70" s="165" t="e">
        <f>(Table2[[#This Row],[Msr Refrigerant charge (lbs)per NormUnit]]/pounds_per_metric_ton)*Table2[[#This Row],[Msr annual refrigerant leakage %]]*Table2[[#This Row],[Msr GWP]]</f>
        <v>#N/A</v>
      </c>
      <c r="AK70" s="165" t="e">
        <f>(Table2[[#This Row],[Pre Refrigerant charge (lbs) per NormUnit]]/pounds_per_metric_ton)*Table2[[#This Row],[Pre net EOL refrigerant leakage (%)]]*Table2[[#This Row],[Pre GWP]]</f>
        <v>#N/A</v>
      </c>
      <c r="AL70" s="165" t="e">
        <f>(Table2[[#This Row],[Std Refrigerant charge (lbs)per NormUnit]]/pounds_per_metric_ton)*Table2[[#This Row],[Std net EOL refrigerant leakage (%)]]*Table2[[#This Row],[Std GWP]]</f>
        <v>#N/A</v>
      </c>
      <c r="AM70" s="165" t="e">
        <f>(Table2[[#This Row],[Msr Refrigerant charge (lbs)per NormUnit]]/pounds_per_metric_ton)*Table2[[#This Row],[Msr net EOL refrigerant leakage (%)]]*Table2[[#This Row],[Msr GWP]]</f>
        <v>#N/A</v>
      </c>
      <c r="AN70" s="174" cm="1">
        <f t="array" aca="1" ref="AN70" ca="1">IF(Table2[[#This Row],[MeasAppType]]="AR",Table2[[#This Row],[Pre Annual leakage tons CO2e]]*NPV(WACC,OFFSET(const_ones,0,0,1,Table2[[#This Row],[EUL]])*OFFSET(GHG_Adder_dollar_per_tonne,0,(Table2[[#This Row],[Device installation year]])-GHG_Adder_Yr1,1,Table2[[#This Row],[EUL]]))/(1+WACC)^(Table2[[#This Row],[Device installation year]]-DY),0)</f>
        <v>0</v>
      </c>
      <c r="AO70" s="174" t="e" cm="1">
        <f t="array" aca="1" ref="AO70"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70" s="174" t="e" cm="1">
        <f t="array" aca="1" ref="AP70" ca="1">Table2[[#This Row],[Msr Annual leakage tons CO2e]]*NPV(WACC,OFFSET(const_ones,0,0,1,Table2[[#This Row],[EUL]])*OFFSET(GHG_Adder_dollar_per_tonne,0,((Table2[[#This Row],[Device installation year]])-GHG_Adder_Yr1),1,Table2[[#This Row],[EUL]]))/(1+WACC)^(Table2[[#This Row],[Device installation year]]-DY)</f>
        <v>#N/A</v>
      </c>
      <c r="AQ70" s="260" cm="1">
        <f t="array" aca="1" ref="AQ70"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70" s="261" t="e" cm="1">
        <f t="array" aca="1" ref="AR70"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70" s="261" t="e" cm="1">
        <f t="array" aca="1" ref="AS70" ca="1">Table2[[#This Row],[Msr EOL leakage tons CO2e]]*NPV(WACC,OFFSET(const_repeat_after,Table2[[#This Row],[EUL]],0,1,Table2[[#This Row],[EUL]])*OFFSET(GHG_Adder_dollar_per_tonne,0,(Table2[[#This Row],[Device installation year]])-GHG_Adder_Yr1,1,Table2[[#This Row],[EUL]]))/(1+WACC)^(Table2[[#This Row],[Device installation year]]-DY)</f>
        <v>#N/A</v>
      </c>
      <c r="AT70" s="260">
        <f>0</f>
        <v>0</v>
      </c>
      <c r="AU70"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70" s="174" t="e">
        <f ca="1">Table2[[#This Row],[RefrigerantNPVCostsNet]]&gt;0</f>
        <v>#N/A</v>
      </c>
      <c r="AW70" s="174">
        <f>0</f>
        <v>0</v>
      </c>
      <c r="AX70" s="174">
        <f>0</f>
        <v>0</v>
      </c>
      <c r="AY70" s="174">
        <f>0</f>
        <v>0</v>
      </c>
      <c r="AZ70" s="174">
        <f ca="1">Table2[[#This Row],[Pre NPV Cost of Annual Leakage]]+Table2[[#This Row],[Pre NPV Cost of EOL Leakage]]</f>
        <v>0</v>
      </c>
      <c r="BA70" s="174" t="e">
        <f ca="1">Table2[[#This Row],[Std NPV Cost of Annual Leakage]]+Table2[[#This Row],[Std NPV Cost of EOL Leakage]]</f>
        <v>#N/A</v>
      </c>
      <c r="BB70" s="174" t="e">
        <f ca="1">Table2[[#This Row],[AR immediate NPV cost of leakage]]+Table2[[#This Row],[Msr NPV Cost of Annual Leakage]]+Table2[[#This Row],[Msr NPV Cost of EOL Leakage]]</f>
        <v>#N/A</v>
      </c>
      <c r="BC70" s="273" t="e">
        <f ca="1">IF(Table2[[#This Row],[Is Net Cost?]],Table2[[#This Row],[RefrigerantNPVCostsNet]],0)</f>
        <v>#N/A</v>
      </c>
      <c r="BD70" s="174" t="e">
        <f ca="1">IF(Table2[[#This Row],[Is Net Cost?]],0,-Table2[[#This Row],[RefrigerantNPVCostsNet]])</f>
        <v>#N/A</v>
      </c>
    </row>
    <row r="71" spans="1:56" x14ac:dyDescent="0.3">
      <c r="A71" s="173">
        <f t="shared" si="2"/>
        <v>2022</v>
      </c>
      <c r="B71" s="268"/>
      <c r="C71" s="212"/>
      <c r="D71" s="212"/>
      <c r="E71" s="216" t="str">
        <f>IF(Table2[[#This Row],[MeasAppType]]="NR","N/A","N/A")</f>
        <v>N/A</v>
      </c>
      <c r="F71" s="272"/>
      <c r="G71" s="218"/>
      <c r="H71" s="218"/>
      <c r="I71" s="218"/>
      <c r="J71" s="173" t="e">
        <f>INDEX(Table3[CommonRefrigerantType],MATCH(Table2[[#This Row],[Pre tech lookup (not required for "NR" measure application types)]],DropdownRefrigTech,0))</f>
        <v>#N/A</v>
      </c>
      <c r="K71" s="173" t="e">
        <f>INDEX(Table3[CommonRefrigerantType],MATCH(Table2[[#This Row],[Std tech lookup (not required for "AR" measure application types)]],DropdownRefrigTech,0))</f>
        <v>#N/A</v>
      </c>
      <c r="L71" s="173" t="e">
        <f>INDEX(Table3[CommonRefrigerantType],MATCH(Table2[[#This Row],[Msr tech lookup]],DropdownRefrigTech,0))</f>
        <v>#N/A</v>
      </c>
      <c r="M71" s="134" t="e">
        <f>INDEX(Table3[RefrigChargePoundsPerNormUnit],MATCH(Table2[[#This Row],[Pre tech lookup (not required for "NR" measure application types)]],DropdownRefrigTech,0))</f>
        <v>#N/A</v>
      </c>
      <c r="N71" s="134" t="e">
        <f>INDEX(Table3[RefrigChargePoundsPerNormUnit],MATCH(Table2[[#This Row],[Std tech lookup (not required for "AR" measure application types)]],DropdownRefrigTech,0))</f>
        <v>#N/A</v>
      </c>
      <c r="O71" s="149" t="e">
        <f>INDEX(Table3[RefrigChargePoundsPerNormUnit],MATCH(Table2[[#This Row],[Msr tech lookup]],DropdownRefrigTech,0))</f>
        <v>#N/A</v>
      </c>
      <c r="P71" s="163" t="e">
        <f>INDEX(Table3[AnnualLeakageRate],MATCH(Table2[[#This Row],[Pre tech lookup (not required for "NR" measure application types)]],DropdownRefrigTech,0))</f>
        <v>#N/A</v>
      </c>
      <c r="Q71" s="163" t="e">
        <f>INDEX(Table3[AnnualLeakageRate],MATCH(Table2[[#This Row],[Std tech lookup (not required for "AR" measure application types)]],DropdownRefrigTech,0))</f>
        <v>#N/A</v>
      </c>
      <c r="R71" s="163" t="e">
        <f>INDEX(Table3[AnnualLeakageRate],MATCH(Table2[[#This Row],[Msr tech lookup]],DropdownRefrigTech,0))</f>
        <v>#N/A</v>
      </c>
      <c r="S71" s="164" t="e">
        <f>INDEX(Table3[t_EOL],MATCH(Table2[[#This Row],[Pre tech lookup (not required for "NR" measure application types)]],DropdownRefrigTech,0))</f>
        <v>#N/A</v>
      </c>
      <c r="T71" s="164" t="e">
        <f>INDEX(Table3[t_EOL],MATCH(Table2[[#This Row],[Std tech lookup (not required for "AR" measure application types)]],DropdownRefrigTech,0))</f>
        <v>#N/A</v>
      </c>
      <c r="U71" s="164" t="e">
        <f>INDEX(Table3[t_EOL],MATCH(Table2[[#This Row],[Msr tech lookup]],DropdownRefrigTech,0))</f>
        <v>#N/A</v>
      </c>
      <c r="V71" s="163" t="e">
        <f>1-Table2[[#This Row],[Pre annual refrigerant leakage %]]*Table2[[#This Row],[Pre t_EOL]]</f>
        <v>#N/A</v>
      </c>
      <c r="W71" s="163" t="e">
        <f>1-Table2[[#This Row],[Std annual refrigerant leakage %]]*Table2[[#This Row],[Std t_EOL]]</f>
        <v>#N/A</v>
      </c>
      <c r="X71" s="163" t="e">
        <f>1-Table2[[#This Row],[Msr annual refrigerant leakage %]]*Table2[[#This Row],[Msr t_EOL]]</f>
        <v>#N/A</v>
      </c>
      <c r="Y71" s="163" t="e">
        <f>INDEX(Table3[q_EOL],MATCH(Table2[[#This Row],[Pre tech lookup (not required for "NR" measure application types)]],DropdownRefrigTech,0))</f>
        <v>#N/A</v>
      </c>
      <c r="Z71" s="163" t="e">
        <f>INDEX(Table3[q_EOL],MATCH(Table2[[#This Row],[Std tech lookup (not required for "AR" measure application types)]],DropdownRefrigTech,0))</f>
        <v>#N/A</v>
      </c>
      <c r="AA71" s="163" t="e">
        <f>INDEX(Table3[q_EOL],MATCH(Table2[[#This Row],[Msr tech lookup]],DropdownRefrigTech,0))</f>
        <v>#N/A</v>
      </c>
      <c r="AB71" s="163" t="e">
        <f>Table2[[#This Row],[Pre charging remaining (%)]]*Table2[[#This Row],[Pre gross EOL refrigerant leakage %]]</f>
        <v>#N/A</v>
      </c>
      <c r="AC71" s="163" t="e">
        <f>Table2[[#This Row],[Std charging remaining (%)]]*Table2[[#This Row],[Std gross EOL refrigerant leakage %]]</f>
        <v>#N/A</v>
      </c>
      <c r="AD71" s="163" t="e">
        <f>Table2[[#This Row],[Msr charging remaining (%)]]*Table2[[#This Row],[Msr gross EOL refrigerant leakage %]]</f>
        <v>#N/A</v>
      </c>
      <c r="AE71" s="164" t="e" cm="1">
        <f t="array" ref="AE71">INDEX(_xlfn.SWITCH($B$4,"20-yr",GWP_Values_20_year_AR4,"100-yr",GWP_Values_100_year_AR4),MATCH(Table2[[#This Row],[Pre Refrigerant Type]],RefrigDropdownList,0))</f>
        <v>#N/A</v>
      </c>
      <c r="AF71" s="164" t="e" cm="1">
        <f t="array" ref="AF71">INDEX(_xlfn.SWITCH($B$4,"20-yr",GWP_Values_20_year_AR4,"100-yr",GWP_Values_100_year_AR4),MATCH(Table2[[#This Row],[Std Refrigerant Type]],RefrigDropdownList,0))</f>
        <v>#N/A</v>
      </c>
      <c r="AG71" s="164" t="e" cm="1">
        <f t="array" ref="AG71">INDEX(_xlfn.SWITCH($B$4,"20-yr",GWP_Values_20_year_AR4,"100-yr",GWP_Values_100_year_AR4),MATCH(Table2[[#This Row],[Msr Refrigerant Type]],RefrigDropdownList,0))</f>
        <v>#N/A</v>
      </c>
      <c r="AH71" s="165" t="e">
        <f>(Table2[[#This Row],[Pre Refrigerant charge (lbs) per NormUnit]]/pounds_per_metric_ton)*Table2[[#This Row],[Pre annual refrigerant leakage %]]*Table2[[#This Row],[Pre GWP]]</f>
        <v>#N/A</v>
      </c>
      <c r="AI71" s="165" t="e">
        <f>(Table2[[#This Row],[Std Refrigerant charge (lbs)per NormUnit]]/pounds_per_metric_ton)*Table2[[#This Row],[Std annual refrigerant leakage %]]*Table2[[#This Row],[Std GWP]]</f>
        <v>#N/A</v>
      </c>
      <c r="AJ71" s="165" t="e">
        <f>(Table2[[#This Row],[Msr Refrigerant charge (lbs)per NormUnit]]/pounds_per_metric_ton)*Table2[[#This Row],[Msr annual refrigerant leakage %]]*Table2[[#This Row],[Msr GWP]]</f>
        <v>#N/A</v>
      </c>
      <c r="AK71" s="165" t="e">
        <f>(Table2[[#This Row],[Pre Refrigerant charge (lbs) per NormUnit]]/pounds_per_metric_ton)*Table2[[#This Row],[Pre net EOL refrigerant leakage (%)]]*Table2[[#This Row],[Pre GWP]]</f>
        <v>#N/A</v>
      </c>
      <c r="AL71" s="165" t="e">
        <f>(Table2[[#This Row],[Std Refrigerant charge (lbs)per NormUnit]]/pounds_per_metric_ton)*Table2[[#This Row],[Std net EOL refrigerant leakage (%)]]*Table2[[#This Row],[Std GWP]]</f>
        <v>#N/A</v>
      </c>
      <c r="AM71" s="165" t="e">
        <f>(Table2[[#This Row],[Msr Refrigerant charge (lbs)per NormUnit]]/pounds_per_metric_ton)*Table2[[#This Row],[Msr net EOL refrigerant leakage (%)]]*Table2[[#This Row],[Msr GWP]]</f>
        <v>#N/A</v>
      </c>
      <c r="AN71" s="174" cm="1">
        <f t="array" aca="1" ref="AN71" ca="1">IF(Table2[[#This Row],[MeasAppType]]="AR",Table2[[#This Row],[Pre Annual leakage tons CO2e]]*NPV(WACC,OFFSET(const_ones,0,0,1,Table2[[#This Row],[EUL]])*OFFSET(GHG_Adder_dollar_per_tonne,0,(Table2[[#This Row],[Device installation year]])-GHG_Adder_Yr1,1,Table2[[#This Row],[EUL]]))/(1+WACC)^(Table2[[#This Row],[Device installation year]]-DY),0)</f>
        <v>0</v>
      </c>
      <c r="AO71" s="174" t="e" cm="1">
        <f t="array" aca="1" ref="AO71"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71" s="174" t="e" cm="1">
        <f t="array" aca="1" ref="AP71" ca="1">Table2[[#This Row],[Msr Annual leakage tons CO2e]]*NPV(WACC,OFFSET(const_ones,0,0,1,Table2[[#This Row],[EUL]])*OFFSET(GHG_Adder_dollar_per_tonne,0,((Table2[[#This Row],[Device installation year]])-GHG_Adder_Yr1),1,Table2[[#This Row],[EUL]]))/(1+WACC)^(Table2[[#This Row],[Device installation year]]-DY)</f>
        <v>#N/A</v>
      </c>
      <c r="AQ71" s="260" cm="1">
        <f t="array" aca="1" ref="AQ71"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71" s="261" t="e" cm="1">
        <f t="array" aca="1" ref="AR71"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71" s="261" t="e" cm="1">
        <f t="array" aca="1" ref="AS71" ca="1">Table2[[#This Row],[Msr EOL leakage tons CO2e]]*NPV(WACC,OFFSET(const_repeat_after,Table2[[#This Row],[EUL]],0,1,Table2[[#This Row],[EUL]])*OFFSET(GHG_Adder_dollar_per_tonne,0,(Table2[[#This Row],[Device installation year]])-GHG_Adder_Yr1,1,Table2[[#This Row],[EUL]]))/(1+WACC)^(Table2[[#This Row],[Device installation year]]-DY)</f>
        <v>#N/A</v>
      </c>
      <c r="AT71" s="260">
        <f>0</f>
        <v>0</v>
      </c>
      <c r="AU71"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71" s="174" t="e">
        <f ca="1">Table2[[#This Row],[RefrigerantNPVCostsNet]]&gt;0</f>
        <v>#N/A</v>
      </c>
      <c r="AW71" s="174">
        <f>0</f>
        <v>0</v>
      </c>
      <c r="AX71" s="174">
        <f>0</f>
        <v>0</v>
      </c>
      <c r="AY71" s="174">
        <f>0</f>
        <v>0</v>
      </c>
      <c r="AZ71" s="174">
        <f ca="1">Table2[[#This Row],[Pre NPV Cost of Annual Leakage]]+Table2[[#This Row],[Pre NPV Cost of EOL Leakage]]</f>
        <v>0</v>
      </c>
      <c r="BA71" s="174" t="e">
        <f ca="1">Table2[[#This Row],[Std NPV Cost of Annual Leakage]]+Table2[[#This Row],[Std NPV Cost of EOL Leakage]]</f>
        <v>#N/A</v>
      </c>
      <c r="BB71" s="174" t="e">
        <f ca="1">Table2[[#This Row],[AR immediate NPV cost of leakage]]+Table2[[#This Row],[Msr NPV Cost of Annual Leakage]]+Table2[[#This Row],[Msr NPV Cost of EOL Leakage]]</f>
        <v>#N/A</v>
      </c>
      <c r="BC71" s="273" t="e">
        <f ca="1">IF(Table2[[#This Row],[Is Net Cost?]],Table2[[#This Row],[RefrigerantNPVCostsNet]],0)</f>
        <v>#N/A</v>
      </c>
      <c r="BD71" s="174" t="e">
        <f ca="1">IF(Table2[[#This Row],[Is Net Cost?]],0,-Table2[[#This Row],[RefrigerantNPVCostsNet]])</f>
        <v>#N/A</v>
      </c>
    </row>
    <row r="72" spans="1:56" x14ac:dyDescent="0.3">
      <c r="A72" s="173">
        <f t="shared" si="2"/>
        <v>2022</v>
      </c>
      <c r="B72" s="268"/>
      <c r="C72" s="212"/>
      <c r="D72" s="212"/>
      <c r="E72" s="216" t="str">
        <f>IF(Table2[[#This Row],[MeasAppType]]="NR","N/A","N/A")</f>
        <v>N/A</v>
      </c>
      <c r="F72" s="272"/>
      <c r="G72" s="218"/>
      <c r="H72" s="218"/>
      <c r="I72" s="218"/>
      <c r="J72" s="173" t="e">
        <f>INDEX(Table3[CommonRefrigerantType],MATCH(Table2[[#This Row],[Pre tech lookup (not required for "NR" measure application types)]],DropdownRefrigTech,0))</f>
        <v>#N/A</v>
      </c>
      <c r="K72" s="173" t="e">
        <f>INDEX(Table3[CommonRefrigerantType],MATCH(Table2[[#This Row],[Std tech lookup (not required for "AR" measure application types)]],DropdownRefrigTech,0))</f>
        <v>#N/A</v>
      </c>
      <c r="L72" s="173" t="e">
        <f>INDEX(Table3[CommonRefrigerantType],MATCH(Table2[[#This Row],[Msr tech lookup]],DropdownRefrigTech,0))</f>
        <v>#N/A</v>
      </c>
      <c r="M72" s="134" t="e">
        <f>INDEX(Table3[RefrigChargePoundsPerNormUnit],MATCH(Table2[[#This Row],[Pre tech lookup (not required for "NR" measure application types)]],DropdownRefrigTech,0))</f>
        <v>#N/A</v>
      </c>
      <c r="N72" s="134" t="e">
        <f>INDEX(Table3[RefrigChargePoundsPerNormUnit],MATCH(Table2[[#This Row],[Std tech lookup (not required for "AR" measure application types)]],DropdownRefrigTech,0))</f>
        <v>#N/A</v>
      </c>
      <c r="O72" s="149" t="e">
        <f>INDEX(Table3[RefrigChargePoundsPerNormUnit],MATCH(Table2[[#This Row],[Msr tech lookup]],DropdownRefrigTech,0))</f>
        <v>#N/A</v>
      </c>
      <c r="P72" s="163" t="e">
        <f>INDEX(Table3[AnnualLeakageRate],MATCH(Table2[[#This Row],[Pre tech lookup (not required for "NR" measure application types)]],DropdownRefrigTech,0))</f>
        <v>#N/A</v>
      </c>
      <c r="Q72" s="163" t="e">
        <f>INDEX(Table3[AnnualLeakageRate],MATCH(Table2[[#This Row],[Std tech lookup (not required for "AR" measure application types)]],DropdownRefrigTech,0))</f>
        <v>#N/A</v>
      </c>
      <c r="R72" s="163" t="e">
        <f>INDEX(Table3[AnnualLeakageRate],MATCH(Table2[[#This Row],[Msr tech lookup]],DropdownRefrigTech,0))</f>
        <v>#N/A</v>
      </c>
      <c r="S72" s="164" t="e">
        <f>INDEX(Table3[t_EOL],MATCH(Table2[[#This Row],[Pre tech lookup (not required for "NR" measure application types)]],DropdownRefrigTech,0))</f>
        <v>#N/A</v>
      </c>
      <c r="T72" s="164" t="e">
        <f>INDEX(Table3[t_EOL],MATCH(Table2[[#This Row],[Std tech lookup (not required for "AR" measure application types)]],DropdownRefrigTech,0))</f>
        <v>#N/A</v>
      </c>
      <c r="U72" s="164" t="e">
        <f>INDEX(Table3[t_EOL],MATCH(Table2[[#This Row],[Msr tech lookup]],DropdownRefrigTech,0))</f>
        <v>#N/A</v>
      </c>
      <c r="V72" s="163" t="e">
        <f>1-Table2[[#This Row],[Pre annual refrigerant leakage %]]*Table2[[#This Row],[Pre t_EOL]]</f>
        <v>#N/A</v>
      </c>
      <c r="W72" s="163" t="e">
        <f>1-Table2[[#This Row],[Std annual refrigerant leakage %]]*Table2[[#This Row],[Std t_EOL]]</f>
        <v>#N/A</v>
      </c>
      <c r="X72" s="163" t="e">
        <f>1-Table2[[#This Row],[Msr annual refrigerant leakage %]]*Table2[[#This Row],[Msr t_EOL]]</f>
        <v>#N/A</v>
      </c>
      <c r="Y72" s="163" t="e">
        <f>INDEX(Table3[q_EOL],MATCH(Table2[[#This Row],[Pre tech lookup (not required for "NR" measure application types)]],DropdownRefrigTech,0))</f>
        <v>#N/A</v>
      </c>
      <c r="Z72" s="163" t="e">
        <f>INDEX(Table3[q_EOL],MATCH(Table2[[#This Row],[Std tech lookup (not required for "AR" measure application types)]],DropdownRefrigTech,0))</f>
        <v>#N/A</v>
      </c>
      <c r="AA72" s="163" t="e">
        <f>INDEX(Table3[q_EOL],MATCH(Table2[[#This Row],[Msr tech lookup]],DropdownRefrigTech,0))</f>
        <v>#N/A</v>
      </c>
      <c r="AB72" s="163" t="e">
        <f>Table2[[#This Row],[Pre charging remaining (%)]]*Table2[[#This Row],[Pre gross EOL refrigerant leakage %]]</f>
        <v>#N/A</v>
      </c>
      <c r="AC72" s="163" t="e">
        <f>Table2[[#This Row],[Std charging remaining (%)]]*Table2[[#This Row],[Std gross EOL refrigerant leakage %]]</f>
        <v>#N/A</v>
      </c>
      <c r="AD72" s="163" t="e">
        <f>Table2[[#This Row],[Msr charging remaining (%)]]*Table2[[#This Row],[Msr gross EOL refrigerant leakage %]]</f>
        <v>#N/A</v>
      </c>
      <c r="AE72" s="164" t="e" cm="1">
        <f t="array" ref="AE72">INDEX(_xlfn.SWITCH($B$4,"20-yr",GWP_Values_20_year_AR4,"100-yr",GWP_Values_100_year_AR4),MATCH(Table2[[#This Row],[Pre Refrigerant Type]],RefrigDropdownList,0))</f>
        <v>#N/A</v>
      </c>
      <c r="AF72" s="164" t="e" cm="1">
        <f t="array" ref="AF72">INDEX(_xlfn.SWITCH($B$4,"20-yr",GWP_Values_20_year_AR4,"100-yr",GWP_Values_100_year_AR4),MATCH(Table2[[#This Row],[Std Refrigerant Type]],RefrigDropdownList,0))</f>
        <v>#N/A</v>
      </c>
      <c r="AG72" s="164" t="e" cm="1">
        <f t="array" ref="AG72">INDEX(_xlfn.SWITCH($B$4,"20-yr",GWP_Values_20_year_AR4,"100-yr",GWP_Values_100_year_AR4),MATCH(Table2[[#This Row],[Msr Refrigerant Type]],RefrigDropdownList,0))</f>
        <v>#N/A</v>
      </c>
      <c r="AH72" s="165" t="e">
        <f>(Table2[[#This Row],[Pre Refrigerant charge (lbs) per NormUnit]]/pounds_per_metric_ton)*Table2[[#This Row],[Pre annual refrigerant leakage %]]*Table2[[#This Row],[Pre GWP]]</f>
        <v>#N/A</v>
      </c>
      <c r="AI72" s="165" t="e">
        <f>(Table2[[#This Row],[Std Refrigerant charge (lbs)per NormUnit]]/pounds_per_metric_ton)*Table2[[#This Row],[Std annual refrigerant leakage %]]*Table2[[#This Row],[Std GWP]]</f>
        <v>#N/A</v>
      </c>
      <c r="AJ72" s="165" t="e">
        <f>(Table2[[#This Row],[Msr Refrigerant charge (lbs)per NormUnit]]/pounds_per_metric_ton)*Table2[[#This Row],[Msr annual refrigerant leakage %]]*Table2[[#This Row],[Msr GWP]]</f>
        <v>#N/A</v>
      </c>
      <c r="AK72" s="165" t="e">
        <f>(Table2[[#This Row],[Pre Refrigerant charge (lbs) per NormUnit]]/pounds_per_metric_ton)*Table2[[#This Row],[Pre net EOL refrigerant leakage (%)]]*Table2[[#This Row],[Pre GWP]]</f>
        <v>#N/A</v>
      </c>
      <c r="AL72" s="165" t="e">
        <f>(Table2[[#This Row],[Std Refrigerant charge (lbs)per NormUnit]]/pounds_per_metric_ton)*Table2[[#This Row],[Std net EOL refrigerant leakage (%)]]*Table2[[#This Row],[Std GWP]]</f>
        <v>#N/A</v>
      </c>
      <c r="AM72" s="165" t="e">
        <f>(Table2[[#This Row],[Msr Refrigerant charge (lbs)per NormUnit]]/pounds_per_metric_ton)*Table2[[#This Row],[Msr net EOL refrigerant leakage (%)]]*Table2[[#This Row],[Msr GWP]]</f>
        <v>#N/A</v>
      </c>
      <c r="AN72" s="174" cm="1">
        <f t="array" aca="1" ref="AN72" ca="1">IF(Table2[[#This Row],[MeasAppType]]="AR",Table2[[#This Row],[Pre Annual leakage tons CO2e]]*NPV(WACC,OFFSET(const_ones,0,0,1,Table2[[#This Row],[EUL]])*OFFSET(GHG_Adder_dollar_per_tonne,0,(Table2[[#This Row],[Device installation year]])-GHG_Adder_Yr1,1,Table2[[#This Row],[EUL]]))/(1+WACC)^(Table2[[#This Row],[Device installation year]]-DY),0)</f>
        <v>0</v>
      </c>
      <c r="AO72" s="174" t="e" cm="1">
        <f t="array" aca="1" ref="AO72"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72" s="174" t="e" cm="1">
        <f t="array" aca="1" ref="AP72" ca="1">Table2[[#This Row],[Msr Annual leakage tons CO2e]]*NPV(WACC,OFFSET(const_ones,0,0,1,Table2[[#This Row],[EUL]])*OFFSET(GHG_Adder_dollar_per_tonne,0,((Table2[[#This Row],[Device installation year]])-GHG_Adder_Yr1),1,Table2[[#This Row],[EUL]]))/(1+WACC)^(Table2[[#This Row],[Device installation year]]-DY)</f>
        <v>#N/A</v>
      </c>
      <c r="AQ72" s="260" cm="1">
        <f t="array" aca="1" ref="AQ72"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72" s="261" t="e" cm="1">
        <f t="array" aca="1" ref="AR72"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72" s="261" t="e" cm="1">
        <f t="array" aca="1" ref="AS72" ca="1">Table2[[#This Row],[Msr EOL leakage tons CO2e]]*NPV(WACC,OFFSET(const_repeat_after,Table2[[#This Row],[EUL]],0,1,Table2[[#This Row],[EUL]])*OFFSET(GHG_Adder_dollar_per_tonne,0,(Table2[[#This Row],[Device installation year]])-GHG_Adder_Yr1,1,Table2[[#This Row],[EUL]]))/(1+WACC)^(Table2[[#This Row],[Device installation year]]-DY)</f>
        <v>#N/A</v>
      </c>
      <c r="AT72" s="260">
        <f>0</f>
        <v>0</v>
      </c>
      <c r="AU72"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72" s="174" t="e">
        <f ca="1">Table2[[#This Row],[RefrigerantNPVCostsNet]]&gt;0</f>
        <v>#N/A</v>
      </c>
      <c r="AW72" s="174">
        <f>0</f>
        <v>0</v>
      </c>
      <c r="AX72" s="174">
        <f>0</f>
        <v>0</v>
      </c>
      <c r="AY72" s="174">
        <f>0</f>
        <v>0</v>
      </c>
      <c r="AZ72" s="174">
        <f ca="1">Table2[[#This Row],[Pre NPV Cost of Annual Leakage]]+Table2[[#This Row],[Pre NPV Cost of EOL Leakage]]</f>
        <v>0</v>
      </c>
      <c r="BA72" s="174" t="e">
        <f ca="1">Table2[[#This Row],[Std NPV Cost of Annual Leakage]]+Table2[[#This Row],[Std NPV Cost of EOL Leakage]]</f>
        <v>#N/A</v>
      </c>
      <c r="BB72" s="174" t="e">
        <f ca="1">Table2[[#This Row],[AR immediate NPV cost of leakage]]+Table2[[#This Row],[Msr NPV Cost of Annual Leakage]]+Table2[[#This Row],[Msr NPV Cost of EOL Leakage]]</f>
        <v>#N/A</v>
      </c>
      <c r="BC72" s="273" t="e">
        <f ca="1">IF(Table2[[#This Row],[Is Net Cost?]],Table2[[#This Row],[RefrigerantNPVCostsNet]],0)</f>
        <v>#N/A</v>
      </c>
      <c r="BD72" s="174" t="e">
        <f ca="1">IF(Table2[[#This Row],[Is Net Cost?]],0,-Table2[[#This Row],[RefrigerantNPVCostsNet]])</f>
        <v>#N/A</v>
      </c>
    </row>
    <row r="73" spans="1:56" x14ac:dyDescent="0.3">
      <c r="A73" s="173">
        <f t="shared" si="2"/>
        <v>2022</v>
      </c>
      <c r="B73" s="268"/>
      <c r="C73" s="212"/>
      <c r="D73" s="212"/>
      <c r="E73" s="216" t="str">
        <f>IF(Table2[[#This Row],[MeasAppType]]="NR","N/A","N/A")</f>
        <v>N/A</v>
      </c>
      <c r="F73" s="272"/>
      <c r="G73" s="218"/>
      <c r="H73" s="218"/>
      <c r="I73" s="218"/>
      <c r="J73" s="173" t="e">
        <f>INDEX(Table3[CommonRefrigerantType],MATCH(Table2[[#This Row],[Pre tech lookup (not required for "NR" measure application types)]],DropdownRefrigTech,0))</f>
        <v>#N/A</v>
      </c>
      <c r="K73" s="173" t="e">
        <f>INDEX(Table3[CommonRefrigerantType],MATCH(Table2[[#This Row],[Std tech lookup (not required for "AR" measure application types)]],DropdownRefrigTech,0))</f>
        <v>#N/A</v>
      </c>
      <c r="L73" s="173" t="e">
        <f>INDEX(Table3[CommonRefrigerantType],MATCH(Table2[[#This Row],[Msr tech lookup]],DropdownRefrigTech,0))</f>
        <v>#N/A</v>
      </c>
      <c r="M73" s="134" t="e">
        <f>INDEX(Table3[RefrigChargePoundsPerNormUnit],MATCH(Table2[[#This Row],[Pre tech lookup (not required for "NR" measure application types)]],DropdownRefrigTech,0))</f>
        <v>#N/A</v>
      </c>
      <c r="N73" s="134" t="e">
        <f>INDEX(Table3[RefrigChargePoundsPerNormUnit],MATCH(Table2[[#This Row],[Std tech lookup (not required for "AR" measure application types)]],DropdownRefrigTech,0))</f>
        <v>#N/A</v>
      </c>
      <c r="O73" s="149" t="e">
        <f>INDEX(Table3[RefrigChargePoundsPerNormUnit],MATCH(Table2[[#This Row],[Msr tech lookup]],DropdownRefrigTech,0))</f>
        <v>#N/A</v>
      </c>
      <c r="P73" s="163" t="e">
        <f>INDEX(Table3[AnnualLeakageRate],MATCH(Table2[[#This Row],[Pre tech lookup (not required for "NR" measure application types)]],DropdownRefrigTech,0))</f>
        <v>#N/A</v>
      </c>
      <c r="Q73" s="163" t="e">
        <f>INDEX(Table3[AnnualLeakageRate],MATCH(Table2[[#This Row],[Std tech lookup (not required for "AR" measure application types)]],DropdownRefrigTech,0))</f>
        <v>#N/A</v>
      </c>
      <c r="R73" s="163" t="e">
        <f>INDEX(Table3[AnnualLeakageRate],MATCH(Table2[[#This Row],[Msr tech lookup]],DropdownRefrigTech,0))</f>
        <v>#N/A</v>
      </c>
      <c r="S73" s="164" t="e">
        <f>INDEX(Table3[t_EOL],MATCH(Table2[[#This Row],[Pre tech lookup (not required for "NR" measure application types)]],DropdownRefrigTech,0))</f>
        <v>#N/A</v>
      </c>
      <c r="T73" s="164" t="e">
        <f>INDEX(Table3[t_EOL],MATCH(Table2[[#This Row],[Std tech lookup (not required for "AR" measure application types)]],DropdownRefrigTech,0))</f>
        <v>#N/A</v>
      </c>
      <c r="U73" s="164" t="e">
        <f>INDEX(Table3[t_EOL],MATCH(Table2[[#This Row],[Msr tech lookup]],DropdownRefrigTech,0))</f>
        <v>#N/A</v>
      </c>
      <c r="V73" s="163" t="e">
        <f>1-Table2[[#This Row],[Pre annual refrigerant leakage %]]*Table2[[#This Row],[Pre t_EOL]]</f>
        <v>#N/A</v>
      </c>
      <c r="W73" s="163" t="e">
        <f>1-Table2[[#This Row],[Std annual refrigerant leakage %]]*Table2[[#This Row],[Std t_EOL]]</f>
        <v>#N/A</v>
      </c>
      <c r="X73" s="163" t="e">
        <f>1-Table2[[#This Row],[Msr annual refrigerant leakage %]]*Table2[[#This Row],[Msr t_EOL]]</f>
        <v>#N/A</v>
      </c>
      <c r="Y73" s="163" t="e">
        <f>INDEX(Table3[q_EOL],MATCH(Table2[[#This Row],[Pre tech lookup (not required for "NR" measure application types)]],DropdownRefrigTech,0))</f>
        <v>#N/A</v>
      </c>
      <c r="Z73" s="163" t="e">
        <f>INDEX(Table3[q_EOL],MATCH(Table2[[#This Row],[Std tech lookup (not required for "AR" measure application types)]],DropdownRefrigTech,0))</f>
        <v>#N/A</v>
      </c>
      <c r="AA73" s="163" t="e">
        <f>INDEX(Table3[q_EOL],MATCH(Table2[[#This Row],[Msr tech lookup]],DropdownRefrigTech,0))</f>
        <v>#N/A</v>
      </c>
      <c r="AB73" s="163" t="e">
        <f>Table2[[#This Row],[Pre charging remaining (%)]]*Table2[[#This Row],[Pre gross EOL refrigerant leakage %]]</f>
        <v>#N/A</v>
      </c>
      <c r="AC73" s="163" t="e">
        <f>Table2[[#This Row],[Std charging remaining (%)]]*Table2[[#This Row],[Std gross EOL refrigerant leakage %]]</f>
        <v>#N/A</v>
      </c>
      <c r="AD73" s="163" t="e">
        <f>Table2[[#This Row],[Msr charging remaining (%)]]*Table2[[#This Row],[Msr gross EOL refrigerant leakage %]]</f>
        <v>#N/A</v>
      </c>
      <c r="AE73" s="164" t="e" cm="1">
        <f t="array" ref="AE73">INDEX(_xlfn.SWITCH($B$4,"20-yr",GWP_Values_20_year_AR4,"100-yr",GWP_Values_100_year_AR4),MATCH(Table2[[#This Row],[Pre Refrigerant Type]],RefrigDropdownList,0))</f>
        <v>#N/A</v>
      </c>
      <c r="AF73" s="164" t="e" cm="1">
        <f t="array" ref="AF73">INDEX(_xlfn.SWITCH($B$4,"20-yr",GWP_Values_20_year_AR4,"100-yr",GWP_Values_100_year_AR4),MATCH(Table2[[#This Row],[Std Refrigerant Type]],RefrigDropdownList,0))</f>
        <v>#N/A</v>
      </c>
      <c r="AG73" s="164" t="e" cm="1">
        <f t="array" ref="AG73">INDEX(_xlfn.SWITCH($B$4,"20-yr",GWP_Values_20_year_AR4,"100-yr",GWP_Values_100_year_AR4),MATCH(Table2[[#This Row],[Msr Refrigerant Type]],RefrigDropdownList,0))</f>
        <v>#N/A</v>
      </c>
      <c r="AH73" s="165" t="e">
        <f>(Table2[[#This Row],[Pre Refrigerant charge (lbs) per NormUnit]]/pounds_per_metric_ton)*Table2[[#This Row],[Pre annual refrigerant leakage %]]*Table2[[#This Row],[Pre GWP]]</f>
        <v>#N/A</v>
      </c>
      <c r="AI73" s="165" t="e">
        <f>(Table2[[#This Row],[Std Refrigerant charge (lbs)per NormUnit]]/pounds_per_metric_ton)*Table2[[#This Row],[Std annual refrigerant leakage %]]*Table2[[#This Row],[Std GWP]]</f>
        <v>#N/A</v>
      </c>
      <c r="AJ73" s="165" t="e">
        <f>(Table2[[#This Row],[Msr Refrigerant charge (lbs)per NormUnit]]/pounds_per_metric_ton)*Table2[[#This Row],[Msr annual refrigerant leakage %]]*Table2[[#This Row],[Msr GWP]]</f>
        <v>#N/A</v>
      </c>
      <c r="AK73" s="165" t="e">
        <f>(Table2[[#This Row],[Pre Refrigerant charge (lbs) per NormUnit]]/pounds_per_metric_ton)*Table2[[#This Row],[Pre net EOL refrigerant leakage (%)]]*Table2[[#This Row],[Pre GWP]]</f>
        <v>#N/A</v>
      </c>
      <c r="AL73" s="165" t="e">
        <f>(Table2[[#This Row],[Std Refrigerant charge (lbs)per NormUnit]]/pounds_per_metric_ton)*Table2[[#This Row],[Std net EOL refrigerant leakage (%)]]*Table2[[#This Row],[Std GWP]]</f>
        <v>#N/A</v>
      </c>
      <c r="AM73" s="165" t="e">
        <f>(Table2[[#This Row],[Msr Refrigerant charge (lbs)per NormUnit]]/pounds_per_metric_ton)*Table2[[#This Row],[Msr net EOL refrigerant leakage (%)]]*Table2[[#This Row],[Msr GWP]]</f>
        <v>#N/A</v>
      </c>
      <c r="AN73" s="174" cm="1">
        <f t="array" aca="1" ref="AN73" ca="1">IF(Table2[[#This Row],[MeasAppType]]="AR",Table2[[#This Row],[Pre Annual leakage tons CO2e]]*NPV(WACC,OFFSET(const_ones,0,0,1,Table2[[#This Row],[EUL]])*OFFSET(GHG_Adder_dollar_per_tonne,0,(Table2[[#This Row],[Device installation year]])-GHG_Adder_Yr1,1,Table2[[#This Row],[EUL]]))/(1+WACC)^(Table2[[#This Row],[Device installation year]]-DY),0)</f>
        <v>0</v>
      </c>
      <c r="AO73" s="174" t="e" cm="1">
        <f t="array" aca="1" ref="AO73"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73" s="174" t="e" cm="1">
        <f t="array" aca="1" ref="AP73" ca="1">Table2[[#This Row],[Msr Annual leakage tons CO2e]]*NPV(WACC,OFFSET(const_ones,0,0,1,Table2[[#This Row],[EUL]])*OFFSET(GHG_Adder_dollar_per_tonne,0,((Table2[[#This Row],[Device installation year]])-GHG_Adder_Yr1),1,Table2[[#This Row],[EUL]]))/(1+WACC)^(Table2[[#This Row],[Device installation year]]-DY)</f>
        <v>#N/A</v>
      </c>
      <c r="AQ73" s="260" cm="1">
        <f t="array" aca="1" ref="AQ73"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73" s="261" t="e" cm="1">
        <f t="array" aca="1" ref="AR73"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73" s="261" t="e" cm="1">
        <f t="array" aca="1" ref="AS73" ca="1">Table2[[#This Row],[Msr EOL leakage tons CO2e]]*NPV(WACC,OFFSET(const_repeat_after,Table2[[#This Row],[EUL]],0,1,Table2[[#This Row],[EUL]])*OFFSET(GHG_Adder_dollar_per_tonne,0,(Table2[[#This Row],[Device installation year]])-GHG_Adder_Yr1,1,Table2[[#This Row],[EUL]]))/(1+WACC)^(Table2[[#This Row],[Device installation year]]-DY)</f>
        <v>#N/A</v>
      </c>
      <c r="AT73" s="260">
        <f>0</f>
        <v>0</v>
      </c>
      <c r="AU73"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73" s="174" t="e">
        <f ca="1">Table2[[#This Row],[RefrigerantNPVCostsNet]]&gt;0</f>
        <v>#N/A</v>
      </c>
      <c r="AW73" s="174">
        <f>0</f>
        <v>0</v>
      </c>
      <c r="AX73" s="174">
        <f>0</f>
        <v>0</v>
      </c>
      <c r="AY73" s="174">
        <f>0</f>
        <v>0</v>
      </c>
      <c r="AZ73" s="174">
        <f ca="1">Table2[[#This Row],[Pre NPV Cost of Annual Leakage]]+Table2[[#This Row],[Pre NPV Cost of EOL Leakage]]</f>
        <v>0</v>
      </c>
      <c r="BA73" s="174" t="e">
        <f ca="1">Table2[[#This Row],[Std NPV Cost of Annual Leakage]]+Table2[[#This Row],[Std NPV Cost of EOL Leakage]]</f>
        <v>#N/A</v>
      </c>
      <c r="BB73" s="174" t="e">
        <f ca="1">Table2[[#This Row],[AR immediate NPV cost of leakage]]+Table2[[#This Row],[Msr NPV Cost of Annual Leakage]]+Table2[[#This Row],[Msr NPV Cost of EOL Leakage]]</f>
        <v>#N/A</v>
      </c>
      <c r="BC73" s="273" t="e">
        <f ca="1">IF(Table2[[#This Row],[Is Net Cost?]],Table2[[#This Row],[RefrigerantNPVCostsNet]],0)</f>
        <v>#N/A</v>
      </c>
      <c r="BD73" s="174" t="e">
        <f ca="1">IF(Table2[[#This Row],[Is Net Cost?]],0,-Table2[[#This Row],[RefrigerantNPVCostsNet]])</f>
        <v>#N/A</v>
      </c>
    </row>
    <row r="74" spans="1:56" x14ac:dyDescent="0.3">
      <c r="A74" s="173">
        <f t="shared" si="2"/>
        <v>2022</v>
      </c>
      <c r="B74" s="268"/>
      <c r="C74" s="212"/>
      <c r="D74" s="212"/>
      <c r="E74" s="216" t="str">
        <f>IF(Table2[[#This Row],[MeasAppType]]="NR","N/A","N/A")</f>
        <v>N/A</v>
      </c>
      <c r="F74" s="272"/>
      <c r="G74" s="218"/>
      <c r="H74" s="218"/>
      <c r="I74" s="218"/>
      <c r="J74" s="173" t="e">
        <f>INDEX(Table3[CommonRefrigerantType],MATCH(Table2[[#This Row],[Pre tech lookup (not required for "NR" measure application types)]],DropdownRefrigTech,0))</f>
        <v>#N/A</v>
      </c>
      <c r="K74" s="173" t="e">
        <f>INDEX(Table3[CommonRefrigerantType],MATCH(Table2[[#This Row],[Std tech lookup (not required for "AR" measure application types)]],DropdownRefrigTech,0))</f>
        <v>#N/A</v>
      </c>
      <c r="L74" s="173" t="e">
        <f>INDEX(Table3[CommonRefrigerantType],MATCH(Table2[[#This Row],[Msr tech lookup]],DropdownRefrigTech,0))</f>
        <v>#N/A</v>
      </c>
      <c r="M74" s="134" t="e">
        <f>INDEX(Table3[RefrigChargePoundsPerNormUnit],MATCH(Table2[[#This Row],[Pre tech lookup (not required for "NR" measure application types)]],DropdownRefrigTech,0))</f>
        <v>#N/A</v>
      </c>
      <c r="N74" s="134" t="e">
        <f>INDEX(Table3[RefrigChargePoundsPerNormUnit],MATCH(Table2[[#This Row],[Std tech lookup (not required for "AR" measure application types)]],DropdownRefrigTech,0))</f>
        <v>#N/A</v>
      </c>
      <c r="O74" s="149" t="e">
        <f>INDEX(Table3[RefrigChargePoundsPerNormUnit],MATCH(Table2[[#This Row],[Msr tech lookup]],DropdownRefrigTech,0))</f>
        <v>#N/A</v>
      </c>
      <c r="P74" s="163" t="e">
        <f>INDEX(Table3[AnnualLeakageRate],MATCH(Table2[[#This Row],[Pre tech lookup (not required for "NR" measure application types)]],DropdownRefrigTech,0))</f>
        <v>#N/A</v>
      </c>
      <c r="Q74" s="163" t="e">
        <f>INDEX(Table3[AnnualLeakageRate],MATCH(Table2[[#This Row],[Std tech lookup (not required for "AR" measure application types)]],DropdownRefrigTech,0))</f>
        <v>#N/A</v>
      </c>
      <c r="R74" s="163" t="e">
        <f>INDEX(Table3[AnnualLeakageRate],MATCH(Table2[[#This Row],[Msr tech lookup]],DropdownRefrigTech,0))</f>
        <v>#N/A</v>
      </c>
      <c r="S74" s="164" t="e">
        <f>INDEX(Table3[t_EOL],MATCH(Table2[[#This Row],[Pre tech lookup (not required for "NR" measure application types)]],DropdownRefrigTech,0))</f>
        <v>#N/A</v>
      </c>
      <c r="T74" s="164" t="e">
        <f>INDEX(Table3[t_EOL],MATCH(Table2[[#This Row],[Std tech lookup (not required for "AR" measure application types)]],DropdownRefrigTech,0))</f>
        <v>#N/A</v>
      </c>
      <c r="U74" s="164" t="e">
        <f>INDEX(Table3[t_EOL],MATCH(Table2[[#This Row],[Msr tech lookup]],DropdownRefrigTech,0))</f>
        <v>#N/A</v>
      </c>
      <c r="V74" s="163" t="e">
        <f>1-Table2[[#This Row],[Pre annual refrigerant leakage %]]*Table2[[#This Row],[Pre t_EOL]]</f>
        <v>#N/A</v>
      </c>
      <c r="W74" s="163" t="e">
        <f>1-Table2[[#This Row],[Std annual refrigerant leakage %]]*Table2[[#This Row],[Std t_EOL]]</f>
        <v>#N/A</v>
      </c>
      <c r="X74" s="163" t="e">
        <f>1-Table2[[#This Row],[Msr annual refrigerant leakage %]]*Table2[[#This Row],[Msr t_EOL]]</f>
        <v>#N/A</v>
      </c>
      <c r="Y74" s="163" t="e">
        <f>INDEX(Table3[q_EOL],MATCH(Table2[[#This Row],[Pre tech lookup (not required for "NR" measure application types)]],DropdownRefrigTech,0))</f>
        <v>#N/A</v>
      </c>
      <c r="Z74" s="163" t="e">
        <f>INDEX(Table3[q_EOL],MATCH(Table2[[#This Row],[Std tech lookup (not required for "AR" measure application types)]],DropdownRefrigTech,0))</f>
        <v>#N/A</v>
      </c>
      <c r="AA74" s="163" t="e">
        <f>INDEX(Table3[q_EOL],MATCH(Table2[[#This Row],[Msr tech lookup]],DropdownRefrigTech,0))</f>
        <v>#N/A</v>
      </c>
      <c r="AB74" s="163" t="e">
        <f>Table2[[#This Row],[Pre charging remaining (%)]]*Table2[[#This Row],[Pre gross EOL refrigerant leakage %]]</f>
        <v>#N/A</v>
      </c>
      <c r="AC74" s="163" t="e">
        <f>Table2[[#This Row],[Std charging remaining (%)]]*Table2[[#This Row],[Std gross EOL refrigerant leakage %]]</f>
        <v>#N/A</v>
      </c>
      <c r="AD74" s="163" t="e">
        <f>Table2[[#This Row],[Msr charging remaining (%)]]*Table2[[#This Row],[Msr gross EOL refrigerant leakage %]]</f>
        <v>#N/A</v>
      </c>
      <c r="AE74" s="164" t="e" cm="1">
        <f t="array" ref="AE74">INDEX(_xlfn.SWITCH($B$4,"20-yr",GWP_Values_20_year_AR4,"100-yr",GWP_Values_100_year_AR4),MATCH(Table2[[#This Row],[Pre Refrigerant Type]],RefrigDropdownList,0))</f>
        <v>#N/A</v>
      </c>
      <c r="AF74" s="164" t="e" cm="1">
        <f t="array" ref="AF74">INDEX(_xlfn.SWITCH($B$4,"20-yr",GWP_Values_20_year_AR4,"100-yr",GWP_Values_100_year_AR4),MATCH(Table2[[#This Row],[Std Refrigerant Type]],RefrigDropdownList,0))</f>
        <v>#N/A</v>
      </c>
      <c r="AG74" s="164" t="e" cm="1">
        <f t="array" ref="AG74">INDEX(_xlfn.SWITCH($B$4,"20-yr",GWP_Values_20_year_AR4,"100-yr",GWP_Values_100_year_AR4),MATCH(Table2[[#This Row],[Msr Refrigerant Type]],RefrigDropdownList,0))</f>
        <v>#N/A</v>
      </c>
      <c r="AH74" s="165" t="e">
        <f>(Table2[[#This Row],[Pre Refrigerant charge (lbs) per NormUnit]]/pounds_per_metric_ton)*Table2[[#This Row],[Pre annual refrigerant leakage %]]*Table2[[#This Row],[Pre GWP]]</f>
        <v>#N/A</v>
      </c>
      <c r="AI74" s="165" t="e">
        <f>(Table2[[#This Row],[Std Refrigerant charge (lbs)per NormUnit]]/pounds_per_metric_ton)*Table2[[#This Row],[Std annual refrigerant leakage %]]*Table2[[#This Row],[Std GWP]]</f>
        <v>#N/A</v>
      </c>
      <c r="AJ74" s="165" t="e">
        <f>(Table2[[#This Row],[Msr Refrigerant charge (lbs)per NormUnit]]/pounds_per_metric_ton)*Table2[[#This Row],[Msr annual refrigerant leakage %]]*Table2[[#This Row],[Msr GWP]]</f>
        <v>#N/A</v>
      </c>
      <c r="AK74" s="165" t="e">
        <f>(Table2[[#This Row],[Pre Refrigerant charge (lbs) per NormUnit]]/pounds_per_metric_ton)*Table2[[#This Row],[Pre net EOL refrigerant leakage (%)]]*Table2[[#This Row],[Pre GWP]]</f>
        <v>#N/A</v>
      </c>
      <c r="AL74" s="165" t="e">
        <f>(Table2[[#This Row],[Std Refrigerant charge (lbs)per NormUnit]]/pounds_per_metric_ton)*Table2[[#This Row],[Std net EOL refrigerant leakage (%)]]*Table2[[#This Row],[Std GWP]]</f>
        <v>#N/A</v>
      </c>
      <c r="AM74" s="165" t="e">
        <f>(Table2[[#This Row],[Msr Refrigerant charge (lbs)per NormUnit]]/pounds_per_metric_ton)*Table2[[#This Row],[Msr net EOL refrigerant leakage (%)]]*Table2[[#This Row],[Msr GWP]]</f>
        <v>#N/A</v>
      </c>
      <c r="AN74" s="174" cm="1">
        <f t="array" aca="1" ref="AN74" ca="1">IF(Table2[[#This Row],[MeasAppType]]="AR",Table2[[#This Row],[Pre Annual leakage tons CO2e]]*NPV(WACC,OFFSET(const_ones,0,0,1,Table2[[#This Row],[EUL]])*OFFSET(GHG_Adder_dollar_per_tonne,0,(Table2[[#This Row],[Device installation year]])-GHG_Adder_Yr1,1,Table2[[#This Row],[EUL]]))/(1+WACC)^(Table2[[#This Row],[Device installation year]]-DY),0)</f>
        <v>0</v>
      </c>
      <c r="AO74" s="174" t="e" cm="1">
        <f t="array" aca="1" ref="AO74"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74" s="174" t="e" cm="1">
        <f t="array" aca="1" ref="AP74" ca="1">Table2[[#This Row],[Msr Annual leakage tons CO2e]]*NPV(WACC,OFFSET(const_ones,0,0,1,Table2[[#This Row],[EUL]])*OFFSET(GHG_Adder_dollar_per_tonne,0,((Table2[[#This Row],[Device installation year]])-GHG_Adder_Yr1),1,Table2[[#This Row],[EUL]]))/(1+WACC)^(Table2[[#This Row],[Device installation year]]-DY)</f>
        <v>#N/A</v>
      </c>
      <c r="AQ74" s="260" cm="1">
        <f t="array" aca="1" ref="AQ74"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74" s="261" t="e" cm="1">
        <f t="array" aca="1" ref="AR74"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74" s="261" t="e" cm="1">
        <f t="array" aca="1" ref="AS74" ca="1">Table2[[#This Row],[Msr EOL leakage tons CO2e]]*NPV(WACC,OFFSET(const_repeat_after,Table2[[#This Row],[EUL]],0,1,Table2[[#This Row],[EUL]])*OFFSET(GHG_Adder_dollar_per_tonne,0,(Table2[[#This Row],[Device installation year]])-GHG_Adder_Yr1,1,Table2[[#This Row],[EUL]]))/(1+WACC)^(Table2[[#This Row],[Device installation year]]-DY)</f>
        <v>#N/A</v>
      </c>
      <c r="AT74" s="260">
        <f>0</f>
        <v>0</v>
      </c>
      <c r="AU74"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74" s="174" t="e">
        <f ca="1">Table2[[#This Row],[RefrigerantNPVCostsNet]]&gt;0</f>
        <v>#N/A</v>
      </c>
      <c r="AW74" s="174">
        <f>0</f>
        <v>0</v>
      </c>
      <c r="AX74" s="174">
        <f>0</f>
        <v>0</v>
      </c>
      <c r="AY74" s="174">
        <f>0</f>
        <v>0</v>
      </c>
      <c r="AZ74" s="174">
        <f ca="1">Table2[[#This Row],[Pre NPV Cost of Annual Leakage]]+Table2[[#This Row],[Pre NPV Cost of EOL Leakage]]</f>
        <v>0</v>
      </c>
      <c r="BA74" s="174" t="e">
        <f ca="1">Table2[[#This Row],[Std NPV Cost of Annual Leakage]]+Table2[[#This Row],[Std NPV Cost of EOL Leakage]]</f>
        <v>#N/A</v>
      </c>
      <c r="BB74" s="174" t="e">
        <f ca="1">Table2[[#This Row],[AR immediate NPV cost of leakage]]+Table2[[#This Row],[Msr NPV Cost of Annual Leakage]]+Table2[[#This Row],[Msr NPV Cost of EOL Leakage]]</f>
        <v>#N/A</v>
      </c>
      <c r="BC74" s="273" t="e">
        <f ca="1">IF(Table2[[#This Row],[Is Net Cost?]],Table2[[#This Row],[RefrigerantNPVCostsNet]],0)</f>
        <v>#N/A</v>
      </c>
      <c r="BD74" s="174" t="e">
        <f ca="1">IF(Table2[[#This Row],[Is Net Cost?]],0,-Table2[[#This Row],[RefrigerantNPVCostsNet]])</f>
        <v>#N/A</v>
      </c>
    </row>
    <row r="75" spans="1:56" x14ac:dyDescent="0.3">
      <c r="A75" s="173">
        <f t="shared" si="2"/>
        <v>2022</v>
      </c>
      <c r="B75" s="268"/>
      <c r="C75" s="212"/>
      <c r="D75" s="212"/>
      <c r="E75" s="216" t="str">
        <f>IF(Table2[[#This Row],[MeasAppType]]="NR","N/A","N/A")</f>
        <v>N/A</v>
      </c>
      <c r="F75" s="272"/>
      <c r="G75" s="218"/>
      <c r="H75" s="218"/>
      <c r="I75" s="218"/>
      <c r="J75" s="173" t="e">
        <f>INDEX(Table3[CommonRefrigerantType],MATCH(Table2[[#This Row],[Pre tech lookup (not required for "NR" measure application types)]],DropdownRefrigTech,0))</f>
        <v>#N/A</v>
      </c>
      <c r="K75" s="173" t="e">
        <f>INDEX(Table3[CommonRefrigerantType],MATCH(Table2[[#This Row],[Std tech lookup (not required for "AR" measure application types)]],DropdownRefrigTech,0))</f>
        <v>#N/A</v>
      </c>
      <c r="L75" s="173" t="e">
        <f>INDEX(Table3[CommonRefrigerantType],MATCH(Table2[[#This Row],[Msr tech lookup]],DropdownRefrigTech,0))</f>
        <v>#N/A</v>
      </c>
      <c r="M75" s="134" t="e">
        <f>INDEX(Table3[RefrigChargePoundsPerNormUnit],MATCH(Table2[[#This Row],[Pre tech lookup (not required for "NR" measure application types)]],DropdownRefrigTech,0))</f>
        <v>#N/A</v>
      </c>
      <c r="N75" s="134" t="e">
        <f>INDEX(Table3[RefrigChargePoundsPerNormUnit],MATCH(Table2[[#This Row],[Std tech lookup (not required for "AR" measure application types)]],DropdownRefrigTech,0))</f>
        <v>#N/A</v>
      </c>
      <c r="O75" s="149" t="e">
        <f>INDEX(Table3[RefrigChargePoundsPerNormUnit],MATCH(Table2[[#This Row],[Msr tech lookup]],DropdownRefrigTech,0))</f>
        <v>#N/A</v>
      </c>
      <c r="P75" s="163" t="e">
        <f>INDEX(Table3[AnnualLeakageRate],MATCH(Table2[[#This Row],[Pre tech lookup (not required for "NR" measure application types)]],DropdownRefrigTech,0))</f>
        <v>#N/A</v>
      </c>
      <c r="Q75" s="163" t="e">
        <f>INDEX(Table3[AnnualLeakageRate],MATCH(Table2[[#This Row],[Std tech lookup (not required for "AR" measure application types)]],DropdownRefrigTech,0))</f>
        <v>#N/A</v>
      </c>
      <c r="R75" s="163" t="e">
        <f>INDEX(Table3[AnnualLeakageRate],MATCH(Table2[[#This Row],[Msr tech lookup]],DropdownRefrigTech,0))</f>
        <v>#N/A</v>
      </c>
      <c r="S75" s="164" t="e">
        <f>INDEX(Table3[t_EOL],MATCH(Table2[[#This Row],[Pre tech lookup (not required for "NR" measure application types)]],DropdownRefrigTech,0))</f>
        <v>#N/A</v>
      </c>
      <c r="T75" s="164" t="e">
        <f>INDEX(Table3[t_EOL],MATCH(Table2[[#This Row],[Std tech lookup (not required for "AR" measure application types)]],DropdownRefrigTech,0))</f>
        <v>#N/A</v>
      </c>
      <c r="U75" s="164" t="e">
        <f>INDEX(Table3[t_EOL],MATCH(Table2[[#This Row],[Msr tech lookup]],DropdownRefrigTech,0))</f>
        <v>#N/A</v>
      </c>
      <c r="V75" s="163" t="e">
        <f>1-Table2[[#This Row],[Pre annual refrigerant leakage %]]*Table2[[#This Row],[Pre t_EOL]]</f>
        <v>#N/A</v>
      </c>
      <c r="W75" s="163" t="e">
        <f>1-Table2[[#This Row],[Std annual refrigerant leakage %]]*Table2[[#This Row],[Std t_EOL]]</f>
        <v>#N/A</v>
      </c>
      <c r="X75" s="163" t="e">
        <f>1-Table2[[#This Row],[Msr annual refrigerant leakage %]]*Table2[[#This Row],[Msr t_EOL]]</f>
        <v>#N/A</v>
      </c>
      <c r="Y75" s="163" t="e">
        <f>INDEX(Table3[q_EOL],MATCH(Table2[[#This Row],[Pre tech lookup (not required for "NR" measure application types)]],DropdownRefrigTech,0))</f>
        <v>#N/A</v>
      </c>
      <c r="Z75" s="163" t="e">
        <f>INDEX(Table3[q_EOL],MATCH(Table2[[#This Row],[Std tech lookup (not required for "AR" measure application types)]],DropdownRefrigTech,0))</f>
        <v>#N/A</v>
      </c>
      <c r="AA75" s="163" t="e">
        <f>INDEX(Table3[q_EOL],MATCH(Table2[[#This Row],[Msr tech lookup]],DropdownRefrigTech,0))</f>
        <v>#N/A</v>
      </c>
      <c r="AB75" s="163" t="e">
        <f>Table2[[#This Row],[Pre charging remaining (%)]]*Table2[[#This Row],[Pre gross EOL refrigerant leakage %]]</f>
        <v>#N/A</v>
      </c>
      <c r="AC75" s="163" t="e">
        <f>Table2[[#This Row],[Std charging remaining (%)]]*Table2[[#This Row],[Std gross EOL refrigerant leakage %]]</f>
        <v>#N/A</v>
      </c>
      <c r="AD75" s="163" t="e">
        <f>Table2[[#This Row],[Msr charging remaining (%)]]*Table2[[#This Row],[Msr gross EOL refrigerant leakage %]]</f>
        <v>#N/A</v>
      </c>
      <c r="AE75" s="164" t="e" cm="1">
        <f t="array" ref="AE75">INDEX(_xlfn.SWITCH($B$4,"20-yr",GWP_Values_20_year_AR4,"100-yr",GWP_Values_100_year_AR4),MATCH(Table2[[#This Row],[Pre Refrigerant Type]],RefrigDropdownList,0))</f>
        <v>#N/A</v>
      </c>
      <c r="AF75" s="164" t="e" cm="1">
        <f t="array" ref="AF75">INDEX(_xlfn.SWITCH($B$4,"20-yr",GWP_Values_20_year_AR4,"100-yr",GWP_Values_100_year_AR4),MATCH(Table2[[#This Row],[Std Refrigerant Type]],RefrigDropdownList,0))</f>
        <v>#N/A</v>
      </c>
      <c r="AG75" s="164" t="e" cm="1">
        <f t="array" ref="AG75">INDEX(_xlfn.SWITCH($B$4,"20-yr",GWP_Values_20_year_AR4,"100-yr",GWP_Values_100_year_AR4),MATCH(Table2[[#This Row],[Msr Refrigerant Type]],RefrigDropdownList,0))</f>
        <v>#N/A</v>
      </c>
      <c r="AH75" s="165" t="e">
        <f>(Table2[[#This Row],[Pre Refrigerant charge (lbs) per NormUnit]]/pounds_per_metric_ton)*Table2[[#This Row],[Pre annual refrigerant leakage %]]*Table2[[#This Row],[Pre GWP]]</f>
        <v>#N/A</v>
      </c>
      <c r="AI75" s="165" t="e">
        <f>(Table2[[#This Row],[Std Refrigerant charge (lbs)per NormUnit]]/pounds_per_metric_ton)*Table2[[#This Row],[Std annual refrigerant leakage %]]*Table2[[#This Row],[Std GWP]]</f>
        <v>#N/A</v>
      </c>
      <c r="AJ75" s="165" t="e">
        <f>(Table2[[#This Row],[Msr Refrigerant charge (lbs)per NormUnit]]/pounds_per_metric_ton)*Table2[[#This Row],[Msr annual refrigerant leakage %]]*Table2[[#This Row],[Msr GWP]]</f>
        <v>#N/A</v>
      </c>
      <c r="AK75" s="165" t="e">
        <f>(Table2[[#This Row],[Pre Refrigerant charge (lbs) per NormUnit]]/pounds_per_metric_ton)*Table2[[#This Row],[Pre net EOL refrigerant leakage (%)]]*Table2[[#This Row],[Pre GWP]]</f>
        <v>#N/A</v>
      </c>
      <c r="AL75" s="165" t="e">
        <f>(Table2[[#This Row],[Std Refrigerant charge (lbs)per NormUnit]]/pounds_per_metric_ton)*Table2[[#This Row],[Std net EOL refrigerant leakage (%)]]*Table2[[#This Row],[Std GWP]]</f>
        <v>#N/A</v>
      </c>
      <c r="AM75" s="165" t="e">
        <f>(Table2[[#This Row],[Msr Refrigerant charge (lbs)per NormUnit]]/pounds_per_metric_ton)*Table2[[#This Row],[Msr net EOL refrigerant leakage (%)]]*Table2[[#This Row],[Msr GWP]]</f>
        <v>#N/A</v>
      </c>
      <c r="AN75" s="174" cm="1">
        <f t="array" aca="1" ref="AN75" ca="1">IF(Table2[[#This Row],[MeasAppType]]="AR",Table2[[#This Row],[Pre Annual leakage tons CO2e]]*NPV(WACC,OFFSET(const_ones,0,0,1,Table2[[#This Row],[EUL]])*OFFSET(GHG_Adder_dollar_per_tonne,0,(Table2[[#This Row],[Device installation year]])-GHG_Adder_Yr1,1,Table2[[#This Row],[EUL]]))/(1+WACC)^(Table2[[#This Row],[Device installation year]]-DY),0)</f>
        <v>0</v>
      </c>
      <c r="AO75" s="174" t="e" cm="1">
        <f t="array" aca="1" ref="AO75"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75" s="174" t="e" cm="1">
        <f t="array" aca="1" ref="AP75" ca="1">Table2[[#This Row],[Msr Annual leakage tons CO2e]]*NPV(WACC,OFFSET(const_ones,0,0,1,Table2[[#This Row],[EUL]])*OFFSET(GHG_Adder_dollar_per_tonne,0,((Table2[[#This Row],[Device installation year]])-GHG_Adder_Yr1),1,Table2[[#This Row],[EUL]]))/(1+WACC)^(Table2[[#This Row],[Device installation year]]-DY)</f>
        <v>#N/A</v>
      </c>
      <c r="AQ75" s="260" cm="1">
        <f t="array" aca="1" ref="AQ75"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75" s="261" t="e" cm="1">
        <f t="array" aca="1" ref="AR75"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75" s="261" t="e" cm="1">
        <f t="array" aca="1" ref="AS75" ca="1">Table2[[#This Row],[Msr EOL leakage tons CO2e]]*NPV(WACC,OFFSET(const_repeat_after,Table2[[#This Row],[EUL]],0,1,Table2[[#This Row],[EUL]])*OFFSET(GHG_Adder_dollar_per_tonne,0,(Table2[[#This Row],[Device installation year]])-GHG_Adder_Yr1,1,Table2[[#This Row],[EUL]]))/(1+WACC)^(Table2[[#This Row],[Device installation year]]-DY)</f>
        <v>#N/A</v>
      </c>
      <c r="AT75" s="260">
        <f>0</f>
        <v>0</v>
      </c>
      <c r="AU75"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75" s="174" t="e">
        <f ca="1">Table2[[#This Row],[RefrigerantNPVCostsNet]]&gt;0</f>
        <v>#N/A</v>
      </c>
      <c r="AW75" s="174">
        <f>0</f>
        <v>0</v>
      </c>
      <c r="AX75" s="174">
        <f>0</f>
        <v>0</v>
      </c>
      <c r="AY75" s="174">
        <f>0</f>
        <v>0</v>
      </c>
      <c r="AZ75" s="174">
        <f ca="1">Table2[[#This Row],[Pre NPV Cost of Annual Leakage]]+Table2[[#This Row],[Pre NPV Cost of EOL Leakage]]</f>
        <v>0</v>
      </c>
      <c r="BA75" s="174" t="e">
        <f ca="1">Table2[[#This Row],[Std NPV Cost of Annual Leakage]]+Table2[[#This Row],[Std NPV Cost of EOL Leakage]]</f>
        <v>#N/A</v>
      </c>
      <c r="BB75" s="174" t="e">
        <f ca="1">Table2[[#This Row],[AR immediate NPV cost of leakage]]+Table2[[#This Row],[Msr NPV Cost of Annual Leakage]]+Table2[[#This Row],[Msr NPV Cost of EOL Leakage]]</f>
        <v>#N/A</v>
      </c>
      <c r="BC75" s="273" t="e">
        <f ca="1">IF(Table2[[#This Row],[Is Net Cost?]],Table2[[#This Row],[RefrigerantNPVCostsNet]],0)</f>
        <v>#N/A</v>
      </c>
      <c r="BD75" s="174" t="e">
        <f ca="1">IF(Table2[[#This Row],[Is Net Cost?]],0,-Table2[[#This Row],[RefrigerantNPVCostsNet]])</f>
        <v>#N/A</v>
      </c>
    </row>
    <row r="76" spans="1:56" x14ac:dyDescent="0.3">
      <c r="A76" s="173">
        <f t="shared" si="2"/>
        <v>2022</v>
      </c>
      <c r="B76" s="268"/>
      <c r="C76" s="212"/>
      <c r="D76" s="212"/>
      <c r="E76" s="216" t="str">
        <f>IF(Table2[[#This Row],[MeasAppType]]="NR","N/A","N/A")</f>
        <v>N/A</v>
      </c>
      <c r="F76" s="272"/>
      <c r="G76" s="218"/>
      <c r="H76" s="218"/>
      <c r="I76" s="218"/>
      <c r="J76" s="173" t="e">
        <f>INDEX(Table3[CommonRefrigerantType],MATCH(Table2[[#This Row],[Pre tech lookup (not required for "NR" measure application types)]],DropdownRefrigTech,0))</f>
        <v>#N/A</v>
      </c>
      <c r="K76" s="173" t="e">
        <f>INDEX(Table3[CommonRefrigerantType],MATCH(Table2[[#This Row],[Std tech lookup (not required for "AR" measure application types)]],DropdownRefrigTech,0))</f>
        <v>#N/A</v>
      </c>
      <c r="L76" s="173" t="e">
        <f>INDEX(Table3[CommonRefrigerantType],MATCH(Table2[[#This Row],[Msr tech lookup]],DropdownRefrigTech,0))</f>
        <v>#N/A</v>
      </c>
      <c r="M76" s="134" t="e">
        <f>INDEX(Table3[RefrigChargePoundsPerNormUnit],MATCH(Table2[[#This Row],[Pre tech lookup (not required for "NR" measure application types)]],DropdownRefrigTech,0))</f>
        <v>#N/A</v>
      </c>
      <c r="N76" s="134" t="e">
        <f>INDEX(Table3[RefrigChargePoundsPerNormUnit],MATCH(Table2[[#This Row],[Std tech lookup (not required for "AR" measure application types)]],DropdownRefrigTech,0))</f>
        <v>#N/A</v>
      </c>
      <c r="O76" s="149" t="e">
        <f>INDEX(Table3[RefrigChargePoundsPerNormUnit],MATCH(Table2[[#This Row],[Msr tech lookup]],DropdownRefrigTech,0))</f>
        <v>#N/A</v>
      </c>
      <c r="P76" s="163" t="e">
        <f>INDEX(Table3[AnnualLeakageRate],MATCH(Table2[[#This Row],[Pre tech lookup (not required for "NR" measure application types)]],DropdownRefrigTech,0))</f>
        <v>#N/A</v>
      </c>
      <c r="Q76" s="163" t="e">
        <f>INDEX(Table3[AnnualLeakageRate],MATCH(Table2[[#This Row],[Std tech lookup (not required for "AR" measure application types)]],DropdownRefrigTech,0))</f>
        <v>#N/A</v>
      </c>
      <c r="R76" s="163" t="e">
        <f>INDEX(Table3[AnnualLeakageRate],MATCH(Table2[[#This Row],[Msr tech lookup]],DropdownRefrigTech,0))</f>
        <v>#N/A</v>
      </c>
      <c r="S76" s="164" t="e">
        <f>INDEX(Table3[t_EOL],MATCH(Table2[[#This Row],[Pre tech lookup (not required for "NR" measure application types)]],DropdownRefrigTech,0))</f>
        <v>#N/A</v>
      </c>
      <c r="T76" s="164" t="e">
        <f>INDEX(Table3[t_EOL],MATCH(Table2[[#This Row],[Std tech lookup (not required for "AR" measure application types)]],DropdownRefrigTech,0))</f>
        <v>#N/A</v>
      </c>
      <c r="U76" s="164" t="e">
        <f>INDEX(Table3[t_EOL],MATCH(Table2[[#This Row],[Msr tech lookup]],DropdownRefrigTech,0))</f>
        <v>#N/A</v>
      </c>
      <c r="V76" s="163" t="e">
        <f>1-Table2[[#This Row],[Pre annual refrigerant leakage %]]*Table2[[#This Row],[Pre t_EOL]]</f>
        <v>#N/A</v>
      </c>
      <c r="W76" s="163" t="e">
        <f>1-Table2[[#This Row],[Std annual refrigerant leakage %]]*Table2[[#This Row],[Std t_EOL]]</f>
        <v>#N/A</v>
      </c>
      <c r="X76" s="163" t="e">
        <f>1-Table2[[#This Row],[Msr annual refrigerant leakage %]]*Table2[[#This Row],[Msr t_EOL]]</f>
        <v>#N/A</v>
      </c>
      <c r="Y76" s="163" t="e">
        <f>INDEX(Table3[q_EOL],MATCH(Table2[[#This Row],[Pre tech lookup (not required for "NR" measure application types)]],DropdownRefrigTech,0))</f>
        <v>#N/A</v>
      </c>
      <c r="Z76" s="163" t="e">
        <f>INDEX(Table3[q_EOL],MATCH(Table2[[#This Row],[Std tech lookup (not required for "AR" measure application types)]],DropdownRefrigTech,0))</f>
        <v>#N/A</v>
      </c>
      <c r="AA76" s="163" t="e">
        <f>INDEX(Table3[q_EOL],MATCH(Table2[[#This Row],[Msr tech lookup]],DropdownRefrigTech,0))</f>
        <v>#N/A</v>
      </c>
      <c r="AB76" s="163" t="e">
        <f>Table2[[#This Row],[Pre charging remaining (%)]]*Table2[[#This Row],[Pre gross EOL refrigerant leakage %]]</f>
        <v>#N/A</v>
      </c>
      <c r="AC76" s="163" t="e">
        <f>Table2[[#This Row],[Std charging remaining (%)]]*Table2[[#This Row],[Std gross EOL refrigerant leakage %]]</f>
        <v>#N/A</v>
      </c>
      <c r="AD76" s="163" t="e">
        <f>Table2[[#This Row],[Msr charging remaining (%)]]*Table2[[#This Row],[Msr gross EOL refrigerant leakage %]]</f>
        <v>#N/A</v>
      </c>
      <c r="AE76" s="164" t="e" cm="1">
        <f t="array" ref="AE76">INDEX(_xlfn.SWITCH($B$4,"20-yr",GWP_Values_20_year_AR4,"100-yr",GWP_Values_100_year_AR4),MATCH(Table2[[#This Row],[Pre Refrigerant Type]],RefrigDropdownList,0))</f>
        <v>#N/A</v>
      </c>
      <c r="AF76" s="164" t="e" cm="1">
        <f t="array" ref="AF76">INDEX(_xlfn.SWITCH($B$4,"20-yr",GWP_Values_20_year_AR4,"100-yr",GWP_Values_100_year_AR4),MATCH(Table2[[#This Row],[Std Refrigerant Type]],RefrigDropdownList,0))</f>
        <v>#N/A</v>
      </c>
      <c r="AG76" s="164" t="e" cm="1">
        <f t="array" ref="AG76">INDEX(_xlfn.SWITCH($B$4,"20-yr",GWP_Values_20_year_AR4,"100-yr",GWP_Values_100_year_AR4),MATCH(Table2[[#This Row],[Msr Refrigerant Type]],RefrigDropdownList,0))</f>
        <v>#N/A</v>
      </c>
      <c r="AH76" s="165" t="e">
        <f>(Table2[[#This Row],[Pre Refrigerant charge (lbs) per NormUnit]]/pounds_per_metric_ton)*Table2[[#This Row],[Pre annual refrigerant leakage %]]*Table2[[#This Row],[Pre GWP]]</f>
        <v>#N/A</v>
      </c>
      <c r="AI76" s="165" t="e">
        <f>(Table2[[#This Row],[Std Refrigerant charge (lbs)per NormUnit]]/pounds_per_metric_ton)*Table2[[#This Row],[Std annual refrigerant leakage %]]*Table2[[#This Row],[Std GWP]]</f>
        <v>#N/A</v>
      </c>
      <c r="AJ76" s="165" t="e">
        <f>(Table2[[#This Row],[Msr Refrigerant charge (lbs)per NormUnit]]/pounds_per_metric_ton)*Table2[[#This Row],[Msr annual refrigerant leakage %]]*Table2[[#This Row],[Msr GWP]]</f>
        <v>#N/A</v>
      </c>
      <c r="AK76" s="165" t="e">
        <f>(Table2[[#This Row],[Pre Refrigerant charge (lbs) per NormUnit]]/pounds_per_metric_ton)*Table2[[#This Row],[Pre net EOL refrigerant leakage (%)]]*Table2[[#This Row],[Pre GWP]]</f>
        <v>#N/A</v>
      </c>
      <c r="AL76" s="165" t="e">
        <f>(Table2[[#This Row],[Std Refrigerant charge (lbs)per NormUnit]]/pounds_per_metric_ton)*Table2[[#This Row],[Std net EOL refrigerant leakage (%)]]*Table2[[#This Row],[Std GWP]]</f>
        <v>#N/A</v>
      </c>
      <c r="AM76" s="165" t="e">
        <f>(Table2[[#This Row],[Msr Refrigerant charge (lbs)per NormUnit]]/pounds_per_metric_ton)*Table2[[#This Row],[Msr net EOL refrigerant leakage (%)]]*Table2[[#This Row],[Msr GWP]]</f>
        <v>#N/A</v>
      </c>
      <c r="AN76" s="174" cm="1">
        <f t="array" aca="1" ref="AN76" ca="1">IF(Table2[[#This Row],[MeasAppType]]="AR",Table2[[#This Row],[Pre Annual leakage tons CO2e]]*NPV(WACC,OFFSET(const_ones,0,0,1,Table2[[#This Row],[EUL]])*OFFSET(GHG_Adder_dollar_per_tonne,0,(Table2[[#This Row],[Device installation year]])-GHG_Adder_Yr1,1,Table2[[#This Row],[EUL]]))/(1+WACC)^(Table2[[#This Row],[Device installation year]]-DY),0)</f>
        <v>0</v>
      </c>
      <c r="AO76" s="174" t="e" cm="1">
        <f t="array" aca="1" ref="AO76"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76" s="174" t="e" cm="1">
        <f t="array" aca="1" ref="AP76" ca="1">Table2[[#This Row],[Msr Annual leakage tons CO2e]]*NPV(WACC,OFFSET(const_ones,0,0,1,Table2[[#This Row],[EUL]])*OFFSET(GHG_Adder_dollar_per_tonne,0,((Table2[[#This Row],[Device installation year]])-GHG_Adder_Yr1),1,Table2[[#This Row],[EUL]]))/(1+WACC)^(Table2[[#This Row],[Device installation year]]-DY)</f>
        <v>#N/A</v>
      </c>
      <c r="AQ76" s="260" cm="1">
        <f t="array" aca="1" ref="AQ76"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76" s="261" t="e" cm="1">
        <f t="array" aca="1" ref="AR76"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76" s="261" t="e" cm="1">
        <f t="array" aca="1" ref="AS76" ca="1">Table2[[#This Row],[Msr EOL leakage tons CO2e]]*NPV(WACC,OFFSET(const_repeat_after,Table2[[#This Row],[EUL]],0,1,Table2[[#This Row],[EUL]])*OFFSET(GHG_Adder_dollar_per_tonne,0,(Table2[[#This Row],[Device installation year]])-GHG_Adder_Yr1,1,Table2[[#This Row],[EUL]]))/(1+WACC)^(Table2[[#This Row],[Device installation year]]-DY)</f>
        <v>#N/A</v>
      </c>
      <c r="AT76" s="260">
        <f>0</f>
        <v>0</v>
      </c>
      <c r="AU76"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76" s="174" t="e">
        <f ca="1">Table2[[#This Row],[RefrigerantNPVCostsNet]]&gt;0</f>
        <v>#N/A</v>
      </c>
      <c r="AW76" s="174">
        <f>0</f>
        <v>0</v>
      </c>
      <c r="AX76" s="174">
        <f>0</f>
        <v>0</v>
      </c>
      <c r="AY76" s="174">
        <f>0</f>
        <v>0</v>
      </c>
      <c r="AZ76" s="174">
        <f ca="1">Table2[[#This Row],[Pre NPV Cost of Annual Leakage]]+Table2[[#This Row],[Pre NPV Cost of EOL Leakage]]</f>
        <v>0</v>
      </c>
      <c r="BA76" s="174" t="e">
        <f ca="1">Table2[[#This Row],[Std NPV Cost of Annual Leakage]]+Table2[[#This Row],[Std NPV Cost of EOL Leakage]]</f>
        <v>#N/A</v>
      </c>
      <c r="BB76" s="174" t="e">
        <f ca="1">Table2[[#This Row],[AR immediate NPV cost of leakage]]+Table2[[#This Row],[Msr NPV Cost of Annual Leakage]]+Table2[[#This Row],[Msr NPV Cost of EOL Leakage]]</f>
        <v>#N/A</v>
      </c>
      <c r="BC76" s="273" t="e">
        <f ca="1">IF(Table2[[#This Row],[Is Net Cost?]],Table2[[#This Row],[RefrigerantNPVCostsNet]],0)</f>
        <v>#N/A</v>
      </c>
      <c r="BD76" s="174" t="e">
        <f ca="1">IF(Table2[[#This Row],[Is Net Cost?]],0,-Table2[[#This Row],[RefrigerantNPVCostsNet]])</f>
        <v>#N/A</v>
      </c>
    </row>
    <row r="77" spans="1:56" x14ac:dyDescent="0.3">
      <c r="A77" s="173">
        <f t="shared" si="2"/>
        <v>2022</v>
      </c>
      <c r="B77" s="268"/>
      <c r="C77" s="212"/>
      <c r="D77" s="212"/>
      <c r="E77" s="216" t="str">
        <f>IF(Table2[[#This Row],[MeasAppType]]="NR","N/A","N/A")</f>
        <v>N/A</v>
      </c>
      <c r="F77" s="272"/>
      <c r="G77" s="218"/>
      <c r="H77" s="218"/>
      <c r="I77" s="218"/>
      <c r="J77" s="173" t="e">
        <f>INDEX(Table3[CommonRefrigerantType],MATCH(Table2[[#This Row],[Pre tech lookup (not required for "NR" measure application types)]],DropdownRefrigTech,0))</f>
        <v>#N/A</v>
      </c>
      <c r="K77" s="173" t="e">
        <f>INDEX(Table3[CommonRefrigerantType],MATCH(Table2[[#This Row],[Std tech lookup (not required for "AR" measure application types)]],DropdownRefrigTech,0))</f>
        <v>#N/A</v>
      </c>
      <c r="L77" s="173" t="e">
        <f>INDEX(Table3[CommonRefrigerantType],MATCH(Table2[[#This Row],[Msr tech lookup]],DropdownRefrigTech,0))</f>
        <v>#N/A</v>
      </c>
      <c r="M77" s="134" t="e">
        <f>INDEX(Table3[RefrigChargePoundsPerNormUnit],MATCH(Table2[[#This Row],[Pre tech lookup (not required for "NR" measure application types)]],DropdownRefrigTech,0))</f>
        <v>#N/A</v>
      </c>
      <c r="N77" s="134" t="e">
        <f>INDEX(Table3[RefrigChargePoundsPerNormUnit],MATCH(Table2[[#This Row],[Std tech lookup (not required for "AR" measure application types)]],DropdownRefrigTech,0))</f>
        <v>#N/A</v>
      </c>
      <c r="O77" s="149" t="e">
        <f>INDEX(Table3[RefrigChargePoundsPerNormUnit],MATCH(Table2[[#This Row],[Msr tech lookup]],DropdownRefrigTech,0))</f>
        <v>#N/A</v>
      </c>
      <c r="P77" s="163" t="e">
        <f>INDEX(Table3[AnnualLeakageRate],MATCH(Table2[[#This Row],[Pre tech lookup (not required for "NR" measure application types)]],DropdownRefrigTech,0))</f>
        <v>#N/A</v>
      </c>
      <c r="Q77" s="163" t="e">
        <f>INDEX(Table3[AnnualLeakageRate],MATCH(Table2[[#This Row],[Std tech lookup (not required for "AR" measure application types)]],DropdownRefrigTech,0))</f>
        <v>#N/A</v>
      </c>
      <c r="R77" s="163" t="e">
        <f>INDEX(Table3[AnnualLeakageRate],MATCH(Table2[[#This Row],[Msr tech lookup]],DropdownRefrigTech,0))</f>
        <v>#N/A</v>
      </c>
      <c r="S77" s="164" t="e">
        <f>INDEX(Table3[t_EOL],MATCH(Table2[[#This Row],[Pre tech lookup (not required for "NR" measure application types)]],DropdownRefrigTech,0))</f>
        <v>#N/A</v>
      </c>
      <c r="T77" s="164" t="e">
        <f>INDEX(Table3[t_EOL],MATCH(Table2[[#This Row],[Std tech lookup (not required for "AR" measure application types)]],DropdownRefrigTech,0))</f>
        <v>#N/A</v>
      </c>
      <c r="U77" s="164" t="e">
        <f>INDEX(Table3[t_EOL],MATCH(Table2[[#This Row],[Msr tech lookup]],DropdownRefrigTech,0))</f>
        <v>#N/A</v>
      </c>
      <c r="V77" s="163" t="e">
        <f>1-Table2[[#This Row],[Pre annual refrigerant leakage %]]*Table2[[#This Row],[Pre t_EOL]]</f>
        <v>#N/A</v>
      </c>
      <c r="W77" s="163" t="e">
        <f>1-Table2[[#This Row],[Std annual refrigerant leakage %]]*Table2[[#This Row],[Std t_EOL]]</f>
        <v>#N/A</v>
      </c>
      <c r="X77" s="163" t="e">
        <f>1-Table2[[#This Row],[Msr annual refrigerant leakage %]]*Table2[[#This Row],[Msr t_EOL]]</f>
        <v>#N/A</v>
      </c>
      <c r="Y77" s="163" t="e">
        <f>INDEX(Table3[q_EOL],MATCH(Table2[[#This Row],[Pre tech lookup (not required for "NR" measure application types)]],DropdownRefrigTech,0))</f>
        <v>#N/A</v>
      </c>
      <c r="Z77" s="163" t="e">
        <f>INDEX(Table3[q_EOL],MATCH(Table2[[#This Row],[Std tech lookup (not required for "AR" measure application types)]],DropdownRefrigTech,0))</f>
        <v>#N/A</v>
      </c>
      <c r="AA77" s="163" t="e">
        <f>INDEX(Table3[q_EOL],MATCH(Table2[[#This Row],[Msr tech lookup]],DropdownRefrigTech,0))</f>
        <v>#N/A</v>
      </c>
      <c r="AB77" s="163" t="e">
        <f>Table2[[#This Row],[Pre charging remaining (%)]]*Table2[[#This Row],[Pre gross EOL refrigerant leakage %]]</f>
        <v>#N/A</v>
      </c>
      <c r="AC77" s="163" t="e">
        <f>Table2[[#This Row],[Std charging remaining (%)]]*Table2[[#This Row],[Std gross EOL refrigerant leakage %]]</f>
        <v>#N/A</v>
      </c>
      <c r="AD77" s="163" t="e">
        <f>Table2[[#This Row],[Msr charging remaining (%)]]*Table2[[#This Row],[Msr gross EOL refrigerant leakage %]]</f>
        <v>#N/A</v>
      </c>
      <c r="AE77" s="164" t="e" cm="1">
        <f t="array" ref="AE77">INDEX(_xlfn.SWITCH($B$4,"20-yr",GWP_Values_20_year_AR4,"100-yr",GWP_Values_100_year_AR4),MATCH(Table2[[#This Row],[Pre Refrigerant Type]],RefrigDropdownList,0))</f>
        <v>#N/A</v>
      </c>
      <c r="AF77" s="164" t="e" cm="1">
        <f t="array" ref="AF77">INDEX(_xlfn.SWITCH($B$4,"20-yr",GWP_Values_20_year_AR4,"100-yr",GWP_Values_100_year_AR4),MATCH(Table2[[#This Row],[Std Refrigerant Type]],RefrigDropdownList,0))</f>
        <v>#N/A</v>
      </c>
      <c r="AG77" s="164" t="e" cm="1">
        <f t="array" ref="AG77">INDEX(_xlfn.SWITCH($B$4,"20-yr",GWP_Values_20_year_AR4,"100-yr",GWP_Values_100_year_AR4),MATCH(Table2[[#This Row],[Msr Refrigerant Type]],RefrigDropdownList,0))</f>
        <v>#N/A</v>
      </c>
      <c r="AH77" s="165" t="e">
        <f>(Table2[[#This Row],[Pre Refrigerant charge (lbs) per NormUnit]]/pounds_per_metric_ton)*Table2[[#This Row],[Pre annual refrigerant leakage %]]*Table2[[#This Row],[Pre GWP]]</f>
        <v>#N/A</v>
      </c>
      <c r="AI77" s="165" t="e">
        <f>(Table2[[#This Row],[Std Refrigerant charge (lbs)per NormUnit]]/pounds_per_metric_ton)*Table2[[#This Row],[Std annual refrigerant leakage %]]*Table2[[#This Row],[Std GWP]]</f>
        <v>#N/A</v>
      </c>
      <c r="AJ77" s="165" t="e">
        <f>(Table2[[#This Row],[Msr Refrigerant charge (lbs)per NormUnit]]/pounds_per_metric_ton)*Table2[[#This Row],[Msr annual refrigerant leakage %]]*Table2[[#This Row],[Msr GWP]]</f>
        <v>#N/A</v>
      </c>
      <c r="AK77" s="165" t="e">
        <f>(Table2[[#This Row],[Pre Refrigerant charge (lbs) per NormUnit]]/pounds_per_metric_ton)*Table2[[#This Row],[Pre net EOL refrigerant leakage (%)]]*Table2[[#This Row],[Pre GWP]]</f>
        <v>#N/A</v>
      </c>
      <c r="AL77" s="165" t="e">
        <f>(Table2[[#This Row],[Std Refrigerant charge (lbs)per NormUnit]]/pounds_per_metric_ton)*Table2[[#This Row],[Std net EOL refrigerant leakage (%)]]*Table2[[#This Row],[Std GWP]]</f>
        <v>#N/A</v>
      </c>
      <c r="AM77" s="165" t="e">
        <f>(Table2[[#This Row],[Msr Refrigerant charge (lbs)per NormUnit]]/pounds_per_metric_ton)*Table2[[#This Row],[Msr net EOL refrigerant leakage (%)]]*Table2[[#This Row],[Msr GWP]]</f>
        <v>#N/A</v>
      </c>
      <c r="AN77" s="174" cm="1">
        <f t="array" aca="1" ref="AN77" ca="1">IF(Table2[[#This Row],[MeasAppType]]="AR",Table2[[#This Row],[Pre Annual leakage tons CO2e]]*NPV(WACC,OFFSET(const_ones,0,0,1,Table2[[#This Row],[EUL]])*OFFSET(GHG_Adder_dollar_per_tonne,0,(Table2[[#This Row],[Device installation year]])-GHG_Adder_Yr1,1,Table2[[#This Row],[EUL]]))/(1+WACC)^(Table2[[#This Row],[Device installation year]]-DY),0)</f>
        <v>0</v>
      </c>
      <c r="AO77" s="174" t="e" cm="1">
        <f t="array" aca="1" ref="AO77"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77" s="174" t="e" cm="1">
        <f t="array" aca="1" ref="AP77" ca="1">Table2[[#This Row],[Msr Annual leakage tons CO2e]]*NPV(WACC,OFFSET(const_ones,0,0,1,Table2[[#This Row],[EUL]])*OFFSET(GHG_Adder_dollar_per_tonne,0,((Table2[[#This Row],[Device installation year]])-GHG_Adder_Yr1),1,Table2[[#This Row],[EUL]]))/(1+WACC)^(Table2[[#This Row],[Device installation year]]-DY)</f>
        <v>#N/A</v>
      </c>
      <c r="AQ77" s="260" cm="1">
        <f t="array" aca="1" ref="AQ77"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77" s="261" t="e" cm="1">
        <f t="array" aca="1" ref="AR77"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77" s="261" t="e" cm="1">
        <f t="array" aca="1" ref="AS77" ca="1">Table2[[#This Row],[Msr EOL leakage tons CO2e]]*NPV(WACC,OFFSET(const_repeat_after,Table2[[#This Row],[EUL]],0,1,Table2[[#This Row],[EUL]])*OFFSET(GHG_Adder_dollar_per_tonne,0,(Table2[[#This Row],[Device installation year]])-GHG_Adder_Yr1,1,Table2[[#This Row],[EUL]]))/(1+WACC)^(Table2[[#This Row],[Device installation year]]-DY)</f>
        <v>#N/A</v>
      </c>
      <c r="AT77" s="260">
        <f>0</f>
        <v>0</v>
      </c>
      <c r="AU77"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77" s="174" t="e">
        <f ca="1">Table2[[#This Row],[RefrigerantNPVCostsNet]]&gt;0</f>
        <v>#N/A</v>
      </c>
      <c r="AW77" s="174">
        <f>0</f>
        <v>0</v>
      </c>
      <c r="AX77" s="174">
        <f>0</f>
        <v>0</v>
      </c>
      <c r="AY77" s="174">
        <f>0</f>
        <v>0</v>
      </c>
      <c r="AZ77" s="174">
        <f ca="1">Table2[[#This Row],[Pre NPV Cost of Annual Leakage]]+Table2[[#This Row],[Pre NPV Cost of EOL Leakage]]</f>
        <v>0</v>
      </c>
      <c r="BA77" s="174" t="e">
        <f ca="1">Table2[[#This Row],[Std NPV Cost of Annual Leakage]]+Table2[[#This Row],[Std NPV Cost of EOL Leakage]]</f>
        <v>#N/A</v>
      </c>
      <c r="BB77" s="174" t="e">
        <f ca="1">Table2[[#This Row],[AR immediate NPV cost of leakage]]+Table2[[#This Row],[Msr NPV Cost of Annual Leakage]]+Table2[[#This Row],[Msr NPV Cost of EOL Leakage]]</f>
        <v>#N/A</v>
      </c>
      <c r="BC77" s="273" t="e">
        <f ca="1">IF(Table2[[#This Row],[Is Net Cost?]],Table2[[#This Row],[RefrigerantNPVCostsNet]],0)</f>
        <v>#N/A</v>
      </c>
      <c r="BD77" s="174" t="e">
        <f ca="1">IF(Table2[[#This Row],[Is Net Cost?]],0,-Table2[[#This Row],[RefrigerantNPVCostsNet]])</f>
        <v>#N/A</v>
      </c>
    </row>
    <row r="78" spans="1:56" x14ac:dyDescent="0.3">
      <c r="A78" s="173">
        <f t="shared" si="2"/>
        <v>2022</v>
      </c>
      <c r="B78" s="268"/>
      <c r="C78" s="212"/>
      <c r="D78" s="212"/>
      <c r="E78" s="216" t="str">
        <f>IF(Table2[[#This Row],[MeasAppType]]="NR","N/A","N/A")</f>
        <v>N/A</v>
      </c>
      <c r="F78" s="272"/>
      <c r="G78" s="218"/>
      <c r="H78" s="218"/>
      <c r="I78" s="218"/>
      <c r="J78" s="173" t="e">
        <f>INDEX(Table3[CommonRefrigerantType],MATCH(Table2[[#This Row],[Pre tech lookup (not required for "NR" measure application types)]],DropdownRefrigTech,0))</f>
        <v>#N/A</v>
      </c>
      <c r="K78" s="173" t="e">
        <f>INDEX(Table3[CommonRefrigerantType],MATCH(Table2[[#This Row],[Std tech lookup (not required for "AR" measure application types)]],DropdownRefrigTech,0))</f>
        <v>#N/A</v>
      </c>
      <c r="L78" s="173" t="e">
        <f>INDEX(Table3[CommonRefrigerantType],MATCH(Table2[[#This Row],[Msr tech lookup]],DropdownRefrigTech,0))</f>
        <v>#N/A</v>
      </c>
      <c r="M78" s="134" t="e">
        <f>INDEX(Table3[RefrigChargePoundsPerNormUnit],MATCH(Table2[[#This Row],[Pre tech lookup (not required for "NR" measure application types)]],DropdownRefrigTech,0))</f>
        <v>#N/A</v>
      </c>
      <c r="N78" s="134" t="e">
        <f>INDEX(Table3[RefrigChargePoundsPerNormUnit],MATCH(Table2[[#This Row],[Std tech lookup (not required for "AR" measure application types)]],DropdownRefrigTech,0))</f>
        <v>#N/A</v>
      </c>
      <c r="O78" s="149" t="e">
        <f>INDEX(Table3[RefrigChargePoundsPerNormUnit],MATCH(Table2[[#This Row],[Msr tech lookup]],DropdownRefrigTech,0))</f>
        <v>#N/A</v>
      </c>
      <c r="P78" s="163" t="e">
        <f>INDEX(Table3[AnnualLeakageRate],MATCH(Table2[[#This Row],[Pre tech lookup (not required for "NR" measure application types)]],DropdownRefrigTech,0))</f>
        <v>#N/A</v>
      </c>
      <c r="Q78" s="163" t="e">
        <f>INDEX(Table3[AnnualLeakageRate],MATCH(Table2[[#This Row],[Std tech lookup (not required for "AR" measure application types)]],DropdownRefrigTech,0))</f>
        <v>#N/A</v>
      </c>
      <c r="R78" s="163" t="e">
        <f>INDEX(Table3[AnnualLeakageRate],MATCH(Table2[[#This Row],[Msr tech lookup]],DropdownRefrigTech,0))</f>
        <v>#N/A</v>
      </c>
      <c r="S78" s="164" t="e">
        <f>INDEX(Table3[t_EOL],MATCH(Table2[[#This Row],[Pre tech lookup (not required for "NR" measure application types)]],DropdownRefrigTech,0))</f>
        <v>#N/A</v>
      </c>
      <c r="T78" s="164" t="e">
        <f>INDEX(Table3[t_EOL],MATCH(Table2[[#This Row],[Std tech lookup (not required for "AR" measure application types)]],DropdownRefrigTech,0))</f>
        <v>#N/A</v>
      </c>
      <c r="U78" s="164" t="e">
        <f>INDEX(Table3[t_EOL],MATCH(Table2[[#This Row],[Msr tech lookup]],DropdownRefrigTech,0))</f>
        <v>#N/A</v>
      </c>
      <c r="V78" s="163" t="e">
        <f>1-Table2[[#This Row],[Pre annual refrigerant leakage %]]*Table2[[#This Row],[Pre t_EOL]]</f>
        <v>#N/A</v>
      </c>
      <c r="W78" s="163" t="e">
        <f>1-Table2[[#This Row],[Std annual refrigerant leakage %]]*Table2[[#This Row],[Std t_EOL]]</f>
        <v>#N/A</v>
      </c>
      <c r="X78" s="163" t="e">
        <f>1-Table2[[#This Row],[Msr annual refrigerant leakage %]]*Table2[[#This Row],[Msr t_EOL]]</f>
        <v>#N/A</v>
      </c>
      <c r="Y78" s="163" t="e">
        <f>INDEX(Table3[q_EOL],MATCH(Table2[[#This Row],[Pre tech lookup (not required for "NR" measure application types)]],DropdownRefrigTech,0))</f>
        <v>#N/A</v>
      </c>
      <c r="Z78" s="163" t="e">
        <f>INDEX(Table3[q_EOL],MATCH(Table2[[#This Row],[Std tech lookup (not required for "AR" measure application types)]],DropdownRefrigTech,0))</f>
        <v>#N/A</v>
      </c>
      <c r="AA78" s="163" t="e">
        <f>INDEX(Table3[q_EOL],MATCH(Table2[[#This Row],[Msr tech lookup]],DropdownRefrigTech,0))</f>
        <v>#N/A</v>
      </c>
      <c r="AB78" s="163" t="e">
        <f>Table2[[#This Row],[Pre charging remaining (%)]]*Table2[[#This Row],[Pre gross EOL refrigerant leakage %]]</f>
        <v>#N/A</v>
      </c>
      <c r="AC78" s="163" t="e">
        <f>Table2[[#This Row],[Std charging remaining (%)]]*Table2[[#This Row],[Std gross EOL refrigerant leakage %]]</f>
        <v>#N/A</v>
      </c>
      <c r="AD78" s="163" t="e">
        <f>Table2[[#This Row],[Msr charging remaining (%)]]*Table2[[#This Row],[Msr gross EOL refrigerant leakage %]]</f>
        <v>#N/A</v>
      </c>
      <c r="AE78" s="164" t="e" cm="1">
        <f t="array" ref="AE78">INDEX(_xlfn.SWITCH($B$4,"20-yr",GWP_Values_20_year_AR4,"100-yr",GWP_Values_100_year_AR4),MATCH(Table2[[#This Row],[Pre Refrigerant Type]],RefrigDropdownList,0))</f>
        <v>#N/A</v>
      </c>
      <c r="AF78" s="164" t="e" cm="1">
        <f t="array" ref="AF78">INDEX(_xlfn.SWITCH($B$4,"20-yr",GWP_Values_20_year_AR4,"100-yr",GWP_Values_100_year_AR4),MATCH(Table2[[#This Row],[Std Refrigerant Type]],RefrigDropdownList,0))</f>
        <v>#N/A</v>
      </c>
      <c r="AG78" s="164" t="e" cm="1">
        <f t="array" ref="AG78">INDEX(_xlfn.SWITCH($B$4,"20-yr",GWP_Values_20_year_AR4,"100-yr",GWP_Values_100_year_AR4),MATCH(Table2[[#This Row],[Msr Refrigerant Type]],RefrigDropdownList,0))</f>
        <v>#N/A</v>
      </c>
      <c r="AH78" s="165" t="e">
        <f>(Table2[[#This Row],[Pre Refrigerant charge (lbs) per NormUnit]]/pounds_per_metric_ton)*Table2[[#This Row],[Pre annual refrigerant leakage %]]*Table2[[#This Row],[Pre GWP]]</f>
        <v>#N/A</v>
      </c>
      <c r="AI78" s="165" t="e">
        <f>(Table2[[#This Row],[Std Refrigerant charge (lbs)per NormUnit]]/pounds_per_metric_ton)*Table2[[#This Row],[Std annual refrigerant leakage %]]*Table2[[#This Row],[Std GWP]]</f>
        <v>#N/A</v>
      </c>
      <c r="AJ78" s="165" t="e">
        <f>(Table2[[#This Row],[Msr Refrigerant charge (lbs)per NormUnit]]/pounds_per_metric_ton)*Table2[[#This Row],[Msr annual refrigerant leakage %]]*Table2[[#This Row],[Msr GWP]]</f>
        <v>#N/A</v>
      </c>
      <c r="AK78" s="165" t="e">
        <f>(Table2[[#This Row],[Pre Refrigerant charge (lbs) per NormUnit]]/pounds_per_metric_ton)*Table2[[#This Row],[Pre net EOL refrigerant leakage (%)]]*Table2[[#This Row],[Pre GWP]]</f>
        <v>#N/A</v>
      </c>
      <c r="AL78" s="165" t="e">
        <f>(Table2[[#This Row],[Std Refrigerant charge (lbs)per NormUnit]]/pounds_per_metric_ton)*Table2[[#This Row],[Std net EOL refrigerant leakage (%)]]*Table2[[#This Row],[Std GWP]]</f>
        <v>#N/A</v>
      </c>
      <c r="AM78" s="165" t="e">
        <f>(Table2[[#This Row],[Msr Refrigerant charge (lbs)per NormUnit]]/pounds_per_metric_ton)*Table2[[#This Row],[Msr net EOL refrigerant leakage (%)]]*Table2[[#This Row],[Msr GWP]]</f>
        <v>#N/A</v>
      </c>
      <c r="AN78" s="174" cm="1">
        <f t="array" aca="1" ref="AN78" ca="1">IF(Table2[[#This Row],[MeasAppType]]="AR",Table2[[#This Row],[Pre Annual leakage tons CO2e]]*NPV(WACC,OFFSET(const_ones,0,0,1,Table2[[#This Row],[EUL]])*OFFSET(GHG_Adder_dollar_per_tonne,0,(Table2[[#This Row],[Device installation year]])-GHG_Adder_Yr1,1,Table2[[#This Row],[EUL]]))/(1+WACC)^(Table2[[#This Row],[Device installation year]]-DY),0)</f>
        <v>0</v>
      </c>
      <c r="AO78" s="174" t="e" cm="1">
        <f t="array" aca="1" ref="AO78"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78" s="174" t="e" cm="1">
        <f t="array" aca="1" ref="AP78" ca="1">Table2[[#This Row],[Msr Annual leakage tons CO2e]]*NPV(WACC,OFFSET(const_ones,0,0,1,Table2[[#This Row],[EUL]])*OFFSET(GHG_Adder_dollar_per_tonne,0,((Table2[[#This Row],[Device installation year]])-GHG_Adder_Yr1),1,Table2[[#This Row],[EUL]]))/(1+WACC)^(Table2[[#This Row],[Device installation year]]-DY)</f>
        <v>#N/A</v>
      </c>
      <c r="AQ78" s="260" cm="1">
        <f t="array" aca="1" ref="AQ78"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78" s="261" t="e" cm="1">
        <f t="array" aca="1" ref="AR78"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78" s="261" t="e" cm="1">
        <f t="array" aca="1" ref="AS78" ca="1">Table2[[#This Row],[Msr EOL leakage tons CO2e]]*NPV(WACC,OFFSET(const_repeat_after,Table2[[#This Row],[EUL]],0,1,Table2[[#This Row],[EUL]])*OFFSET(GHG_Adder_dollar_per_tonne,0,(Table2[[#This Row],[Device installation year]])-GHG_Adder_Yr1,1,Table2[[#This Row],[EUL]]))/(1+WACC)^(Table2[[#This Row],[Device installation year]]-DY)</f>
        <v>#N/A</v>
      </c>
      <c r="AT78" s="260">
        <f>0</f>
        <v>0</v>
      </c>
      <c r="AU78"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78" s="174" t="e">
        <f ca="1">Table2[[#This Row],[RefrigerantNPVCostsNet]]&gt;0</f>
        <v>#N/A</v>
      </c>
      <c r="AW78" s="174">
        <f>0</f>
        <v>0</v>
      </c>
      <c r="AX78" s="174">
        <f>0</f>
        <v>0</v>
      </c>
      <c r="AY78" s="174">
        <f>0</f>
        <v>0</v>
      </c>
      <c r="AZ78" s="174">
        <f ca="1">Table2[[#This Row],[Pre NPV Cost of Annual Leakage]]+Table2[[#This Row],[Pre NPV Cost of EOL Leakage]]</f>
        <v>0</v>
      </c>
      <c r="BA78" s="174" t="e">
        <f ca="1">Table2[[#This Row],[Std NPV Cost of Annual Leakage]]+Table2[[#This Row],[Std NPV Cost of EOL Leakage]]</f>
        <v>#N/A</v>
      </c>
      <c r="BB78" s="174" t="e">
        <f ca="1">Table2[[#This Row],[AR immediate NPV cost of leakage]]+Table2[[#This Row],[Msr NPV Cost of Annual Leakage]]+Table2[[#This Row],[Msr NPV Cost of EOL Leakage]]</f>
        <v>#N/A</v>
      </c>
      <c r="BC78" s="273" t="e">
        <f ca="1">IF(Table2[[#This Row],[Is Net Cost?]],Table2[[#This Row],[RefrigerantNPVCostsNet]],0)</f>
        <v>#N/A</v>
      </c>
      <c r="BD78" s="174" t="e">
        <f ca="1">IF(Table2[[#This Row],[Is Net Cost?]],0,-Table2[[#This Row],[RefrigerantNPVCostsNet]])</f>
        <v>#N/A</v>
      </c>
    </row>
    <row r="79" spans="1:56" x14ac:dyDescent="0.3">
      <c r="A79" s="173">
        <f t="shared" si="2"/>
        <v>2022</v>
      </c>
      <c r="B79" s="268"/>
      <c r="C79" s="212"/>
      <c r="D79" s="212"/>
      <c r="E79" s="216" t="str">
        <f>IF(Table2[[#This Row],[MeasAppType]]="NR","N/A","N/A")</f>
        <v>N/A</v>
      </c>
      <c r="F79" s="272"/>
      <c r="G79" s="218"/>
      <c r="H79" s="218"/>
      <c r="I79" s="218"/>
      <c r="J79" s="173" t="e">
        <f>INDEX(Table3[CommonRefrigerantType],MATCH(Table2[[#This Row],[Pre tech lookup (not required for "NR" measure application types)]],DropdownRefrigTech,0))</f>
        <v>#N/A</v>
      </c>
      <c r="K79" s="173" t="e">
        <f>INDEX(Table3[CommonRefrigerantType],MATCH(Table2[[#This Row],[Std tech lookup (not required for "AR" measure application types)]],DropdownRefrigTech,0))</f>
        <v>#N/A</v>
      </c>
      <c r="L79" s="173" t="e">
        <f>INDEX(Table3[CommonRefrigerantType],MATCH(Table2[[#This Row],[Msr tech lookup]],DropdownRefrigTech,0))</f>
        <v>#N/A</v>
      </c>
      <c r="M79" s="134" t="e">
        <f>INDEX(Table3[RefrigChargePoundsPerNormUnit],MATCH(Table2[[#This Row],[Pre tech lookup (not required for "NR" measure application types)]],DropdownRefrigTech,0))</f>
        <v>#N/A</v>
      </c>
      <c r="N79" s="134" t="e">
        <f>INDEX(Table3[RefrigChargePoundsPerNormUnit],MATCH(Table2[[#This Row],[Std tech lookup (not required for "AR" measure application types)]],DropdownRefrigTech,0))</f>
        <v>#N/A</v>
      </c>
      <c r="O79" s="149" t="e">
        <f>INDEX(Table3[RefrigChargePoundsPerNormUnit],MATCH(Table2[[#This Row],[Msr tech lookup]],DropdownRefrigTech,0))</f>
        <v>#N/A</v>
      </c>
      <c r="P79" s="163" t="e">
        <f>INDEX(Table3[AnnualLeakageRate],MATCH(Table2[[#This Row],[Pre tech lookup (not required for "NR" measure application types)]],DropdownRefrigTech,0))</f>
        <v>#N/A</v>
      </c>
      <c r="Q79" s="163" t="e">
        <f>INDEX(Table3[AnnualLeakageRate],MATCH(Table2[[#This Row],[Std tech lookup (not required for "AR" measure application types)]],DropdownRefrigTech,0))</f>
        <v>#N/A</v>
      </c>
      <c r="R79" s="163" t="e">
        <f>INDEX(Table3[AnnualLeakageRate],MATCH(Table2[[#This Row],[Msr tech lookup]],DropdownRefrigTech,0))</f>
        <v>#N/A</v>
      </c>
      <c r="S79" s="164" t="e">
        <f>INDEX(Table3[t_EOL],MATCH(Table2[[#This Row],[Pre tech lookup (not required for "NR" measure application types)]],DropdownRefrigTech,0))</f>
        <v>#N/A</v>
      </c>
      <c r="T79" s="164" t="e">
        <f>INDEX(Table3[t_EOL],MATCH(Table2[[#This Row],[Std tech lookup (not required for "AR" measure application types)]],DropdownRefrigTech,0))</f>
        <v>#N/A</v>
      </c>
      <c r="U79" s="164" t="e">
        <f>INDEX(Table3[t_EOL],MATCH(Table2[[#This Row],[Msr tech lookup]],DropdownRefrigTech,0))</f>
        <v>#N/A</v>
      </c>
      <c r="V79" s="163" t="e">
        <f>1-Table2[[#This Row],[Pre annual refrigerant leakage %]]*Table2[[#This Row],[Pre t_EOL]]</f>
        <v>#N/A</v>
      </c>
      <c r="W79" s="163" t="e">
        <f>1-Table2[[#This Row],[Std annual refrigerant leakage %]]*Table2[[#This Row],[Std t_EOL]]</f>
        <v>#N/A</v>
      </c>
      <c r="X79" s="163" t="e">
        <f>1-Table2[[#This Row],[Msr annual refrigerant leakage %]]*Table2[[#This Row],[Msr t_EOL]]</f>
        <v>#N/A</v>
      </c>
      <c r="Y79" s="163" t="e">
        <f>INDEX(Table3[q_EOL],MATCH(Table2[[#This Row],[Pre tech lookup (not required for "NR" measure application types)]],DropdownRefrigTech,0))</f>
        <v>#N/A</v>
      </c>
      <c r="Z79" s="163" t="e">
        <f>INDEX(Table3[q_EOL],MATCH(Table2[[#This Row],[Std tech lookup (not required for "AR" measure application types)]],DropdownRefrigTech,0))</f>
        <v>#N/A</v>
      </c>
      <c r="AA79" s="163" t="e">
        <f>INDEX(Table3[q_EOL],MATCH(Table2[[#This Row],[Msr tech lookup]],DropdownRefrigTech,0))</f>
        <v>#N/A</v>
      </c>
      <c r="AB79" s="163" t="e">
        <f>Table2[[#This Row],[Pre charging remaining (%)]]*Table2[[#This Row],[Pre gross EOL refrigerant leakage %]]</f>
        <v>#N/A</v>
      </c>
      <c r="AC79" s="163" t="e">
        <f>Table2[[#This Row],[Std charging remaining (%)]]*Table2[[#This Row],[Std gross EOL refrigerant leakage %]]</f>
        <v>#N/A</v>
      </c>
      <c r="AD79" s="163" t="e">
        <f>Table2[[#This Row],[Msr charging remaining (%)]]*Table2[[#This Row],[Msr gross EOL refrigerant leakage %]]</f>
        <v>#N/A</v>
      </c>
      <c r="AE79" s="164" t="e" cm="1">
        <f t="array" ref="AE79">INDEX(_xlfn.SWITCH($B$4,"20-yr",GWP_Values_20_year_AR4,"100-yr",GWP_Values_100_year_AR4),MATCH(Table2[[#This Row],[Pre Refrigerant Type]],RefrigDropdownList,0))</f>
        <v>#N/A</v>
      </c>
      <c r="AF79" s="164" t="e" cm="1">
        <f t="array" ref="AF79">INDEX(_xlfn.SWITCH($B$4,"20-yr",GWP_Values_20_year_AR4,"100-yr",GWP_Values_100_year_AR4),MATCH(Table2[[#This Row],[Std Refrigerant Type]],RefrigDropdownList,0))</f>
        <v>#N/A</v>
      </c>
      <c r="AG79" s="164" t="e" cm="1">
        <f t="array" ref="AG79">INDEX(_xlfn.SWITCH($B$4,"20-yr",GWP_Values_20_year_AR4,"100-yr",GWP_Values_100_year_AR4),MATCH(Table2[[#This Row],[Msr Refrigerant Type]],RefrigDropdownList,0))</f>
        <v>#N/A</v>
      </c>
      <c r="AH79" s="165" t="e">
        <f>(Table2[[#This Row],[Pre Refrigerant charge (lbs) per NormUnit]]/pounds_per_metric_ton)*Table2[[#This Row],[Pre annual refrigerant leakage %]]*Table2[[#This Row],[Pre GWP]]</f>
        <v>#N/A</v>
      </c>
      <c r="AI79" s="165" t="e">
        <f>(Table2[[#This Row],[Std Refrigerant charge (lbs)per NormUnit]]/pounds_per_metric_ton)*Table2[[#This Row],[Std annual refrigerant leakage %]]*Table2[[#This Row],[Std GWP]]</f>
        <v>#N/A</v>
      </c>
      <c r="AJ79" s="165" t="e">
        <f>(Table2[[#This Row],[Msr Refrigerant charge (lbs)per NormUnit]]/pounds_per_metric_ton)*Table2[[#This Row],[Msr annual refrigerant leakage %]]*Table2[[#This Row],[Msr GWP]]</f>
        <v>#N/A</v>
      </c>
      <c r="AK79" s="165" t="e">
        <f>(Table2[[#This Row],[Pre Refrigerant charge (lbs) per NormUnit]]/pounds_per_metric_ton)*Table2[[#This Row],[Pre net EOL refrigerant leakage (%)]]*Table2[[#This Row],[Pre GWP]]</f>
        <v>#N/A</v>
      </c>
      <c r="AL79" s="165" t="e">
        <f>(Table2[[#This Row],[Std Refrigerant charge (lbs)per NormUnit]]/pounds_per_metric_ton)*Table2[[#This Row],[Std net EOL refrigerant leakage (%)]]*Table2[[#This Row],[Std GWP]]</f>
        <v>#N/A</v>
      </c>
      <c r="AM79" s="165" t="e">
        <f>(Table2[[#This Row],[Msr Refrigerant charge (lbs)per NormUnit]]/pounds_per_metric_ton)*Table2[[#This Row],[Msr net EOL refrigerant leakage (%)]]*Table2[[#This Row],[Msr GWP]]</f>
        <v>#N/A</v>
      </c>
      <c r="AN79" s="174" cm="1">
        <f t="array" aca="1" ref="AN79" ca="1">IF(Table2[[#This Row],[MeasAppType]]="AR",Table2[[#This Row],[Pre Annual leakage tons CO2e]]*NPV(WACC,OFFSET(const_ones,0,0,1,Table2[[#This Row],[EUL]])*OFFSET(GHG_Adder_dollar_per_tonne,0,(Table2[[#This Row],[Device installation year]])-GHG_Adder_Yr1,1,Table2[[#This Row],[EUL]]))/(1+WACC)^(Table2[[#This Row],[Device installation year]]-DY),0)</f>
        <v>0</v>
      </c>
      <c r="AO79" s="174" t="e" cm="1">
        <f t="array" aca="1" ref="AO79"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79" s="174" t="e" cm="1">
        <f t="array" aca="1" ref="AP79" ca="1">Table2[[#This Row],[Msr Annual leakage tons CO2e]]*NPV(WACC,OFFSET(const_ones,0,0,1,Table2[[#This Row],[EUL]])*OFFSET(GHG_Adder_dollar_per_tonne,0,((Table2[[#This Row],[Device installation year]])-GHG_Adder_Yr1),1,Table2[[#This Row],[EUL]]))/(1+WACC)^(Table2[[#This Row],[Device installation year]]-DY)</f>
        <v>#N/A</v>
      </c>
      <c r="AQ79" s="260" cm="1">
        <f t="array" aca="1" ref="AQ79"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79" s="261" t="e" cm="1">
        <f t="array" aca="1" ref="AR79"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79" s="261" t="e" cm="1">
        <f t="array" aca="1" ref="AS79" ca="1">Table2[[#This Row],[Msr EOL leakage tons CO2e]]*NPV(WACC,OFFSET(const_repeat_after,Table2[[#This Row],[EUL]],0,1,Table2[[#This Row],[EUL]])*OFFSET(GHG_Adder_dollar_per_tonne,0,(Table2[[#This Row],[Device installation year]])-GHG_Adder_Yr1,1,Table2[[#This Row],[EUL]]))/(1+WACC)^(Table2[[#This Row],[Device installation year]]-DY)</f>
        <v>#N/A</v>
      </c>
      <c r="AT79" s="260">
        <f>0</f>
        <v>0</v>
      </c>
      <c r="AU79"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79" s="174" t="e">
        <f ca="1">Table2[[#This Row],[RefrigerantNPVCostsNet]]&gt;0</f>
        <v>#N/A</v>
      </c>
      <c r="AW79" s="174">
        <f>0</f>
        <v>0</v>
      </c>
      <c r="AX79" s="174">
        <f>0</f>
        <v>0</v>
      </c>
      <c r="AY79" s="174">
        <f>0</f>
        <v>0</v>
      </c>
      <c r="AZ79" s="174">
        <f ca="1">Table2[[#This Row],[Pre NPV Cost of Annual Leakage]]+Table2[[#This Row],[Pre NPV Cost of EOL Leakage]]</f>
        <v>0</v>
      </c>
      <c r="BA79" s="174" t="e">
        <f ca="1">Table2[[#This Row],[Std NPV Cost of Annual Leakage]]+Table2[[#This Row],[Std NPV Cost of EOL Leakage]]</f>
        <v>#N/A</v>
      </c>
      <c r="BB79" s="174" t="e">
        <f ca="1">Table2[[#This Row],[AR immediate NPV cost of leakage]]+Table2[[#This Row],[Msr NPV Cost of Annual Leakage]]+Table2[[#This Row],[Msr NPV Cost of EOL Leakage]]</f>
        <v>#N/A</v>
      </c>
      <c r="BC79" s="273" t="e">
        <f ca="1">IF(Table2[[#This Row],[Is Net Cost?]],Table2[[#This Row],[RefrigerantNPVCostsNet]],0)</f>
        <v>#N/A</v>
      </c>
      <c r="BD79" s="174" t="e">
        <f ca="1">IF(Table2[[#This Row],[Is Net Cost?]],0,-Table2[[#This Row],[RefrigerantNPVCostsNet]])</f>
        <v>#N/A</v>
      </c>
    </row>
    <row r="80" spans="1:56" x14ac:dyDescent="0.3">
      <c r="A80" s="173">
        <f t="shared" si="2"/>
        <v>2022</v>
      </c>
      <c r="B80" s="268"/>
      <c r="C80" s="212"/>
      <c r="D80" s="212"/>
      <c r="E80" s="216" t="str">
        <f>IF(Table2[[#This Row],[MeasAppType]]="NR","N/A","N/A")</f>
        <v>N/A</v>
      </c>
      <c r="F80" s="272"/>
      <c r="G80" s="218"/>
      <c r="H80" s="218"/>
      <c r="I80" s="218"/>
      <c r="J80" s="173" t="e">
        <f>INDEX(Table3[CommonRefrigerantType],MATCH(Table2[[#This Row],[Pre tech lookup (not required for "NR" measure application types)]],DropdownRefrigTech,0))</f>
        <v>#N/A</v>
      </c>
      <c r="K80" s="173" t="e">
        <f>INDEX(Table3[CommonRefrigerantType],MATCH(Table2[[#This Row],[Std tech lookup (not required for "AR" measure application types)]],DropdownRefrigTech,0))</f>
        <v>#N/A</v>
      </c>
      <c r="L80" s="173" t="e">
        <f>INDEX(Table3[CommonRefrigerantType],MATCH(Table2[[#This Row],[Msr tech lookup]],DropdownRefrigTech,0))</f>
        <v>#N/A</v>
      </c>
      <c r="M80" s="134" t="e">
        <f>INDEX(Table3[RefrigChargePoundsPerNormUnit],MATCH(Table2[[#This Row],[Pre tech lookup (not required for "NR" measure application types)]],DropdownRefrigTech,0))</f>
        <v>#N/A</v>
      </c>
      <c r="N80" s="134" t="e">
        <f>INDEX(Table3[RefrigChargePoundsPerNormUnit],MATCH(Table2[[#This Row],[Std tech lookup (not required for "AR" measure application types)]],DropdownRefrigTech,0))</f>
        <v>#N/A</v>
      </c>
      <c r="O80" s="149" t="e">
        <f>INDEX(Table3[RefrigChargePoundsPerNormUnit],MATCH(Table2[[#This Row],[Msr tech lookup]],DropdownRefrigTech,0))</f>
        <v>#N/A</v>
      </c>
      <c r="P80" s="163" t="e">
        <f>INDEX(Table3[AnnualLeakageRate],MATCH(Table2[[#This Row],[Pre tech lookup (not required for "NR" measure application types)]],DropdownRefrigTech,0))</f>
        <v>#N/A</v>
      </c>
      <c r="Q80" s="163" t="e">
        <f>INDEX(Table3[AnnualLeakageRate],MATCH(Table2[[#This Row],[Std tech lookup (not required for "AR" measure application types)]],DropdownRefrigTech,0))</f>
        <v>#N/A</v>
      </c>
      <c r="R80" s="163" t="e">
        <f>INDEX(Table3[AnnualLeakageRate],MATCH(Table2[[#This Row],[Msr tech lookup]],DropdownRefrigTech,0))</f>
        <v>#N/A</v>
      </c>
      <c r="S80" s="164" t="e">
        <f>INDEX(Table3[t_EOL],MATCH(Table2[[#This Row],[Pre tech lookup (not required for "NR" measure application types)]],DropdownRefrigTech,0))</f>
        <v>#N/A</v>
      </c>
      <c r="T80" s="164" t="e">
        <f>INDEX(Table3[t_EOL],MATCH(Table2[[#This Row],[Std tech lookup (not required for "AR" measure application types)]],DropdownRefrigTech,0))</f>
        <v>#N/A</v>
      </c>
      <c r="U80" s="164" t="e">
        <f>INDEX(Table3[t_EOL],MATCH(Table2[[#This Row],[Msr tech lookup]],DropdownRefrigTech,0))</f>
        <v>#N/A</v>
      </c>
      <c r="V80" s="163" t="e">
        <f>1-Table2[[#This Row],[Pre annual refrigerant leakage %]]*Table2[[#This Row],[Pre t_EOL]]</f>
        <v>#N/A</v>
      </c>
      <c r="W80" s="163" t="e">
        <f>1-Table2[[#This Row],[Std annual refrigerant leakage %]]*Table2[[#This Row],[Std t_EOL]]</f>
        <v>#N/A</v>
      </c>
      <c r="X80" s="163" t="e">
        <f>1-Table2[[#This Row],[Msr annual refrigerant leakage %]]*Table2[[#This Row],[Msr t_EOL]]</f>
        <v>#N/A</v>
      </c>
      <c r="Y80" s="163" t="e">
        <f>INDEX(Table3[q_EOL],MATCH(Table2[[#This Row],[Pre tech lookup (not required for "NR" measure application types)]],DropdownRefrigTech,0))</f>
        <v>#N/A</v>
      </c>
      <c r="Z80" s="163" t="e">
        <f>INDEX(Table3[q_EOL],MATCH(Table2[[#This Row],[Std tech lookup (not required for "AR" measure application types)]],DropdownRefrigTech,0))</f>
        <v>#N/A</v>
      </c>
      <c r="AA80" s="163" t="e">
        <f>INDEX(Table3[q_EOL],MATCH(Table2[[#This Row],[Msr tech lookup]],DropdownRefrigTech,0))</f>
        <v>#N/A</v>
      </c>
      <c r="AB80" s="163" t="e">
        <f>Table2[[#This Row],[Pre charging remaining (%)]]*Table2[[#This Row],[Pre gross EOL refrigerant leakage %]]</f>
        <v>#N/A</v>
      </c>
      <c r="AC80" s="163" t="e">
        <f>Table2[[#This Row],[Std charging remaining (%)]]*Table2[[#This Row],[Std gross EOL refrigerant leakage %]]</f>
        <v>#N/A</v>
      </c>
      <c r="AD80" s="163" t="e">
        <f>Table2[[#This Row],[Msr charging remaining (%)]]*Table2[[#This Row],[Msr gross EOL refrigerant leakage %]]</f>
        <v>#N/A</v>
      </c>
      <c r="AE80" s="164" t="e" cm="1">
        <f t="array" ref="AE80">INDEX(_xlfn.SWITCH($B$4,"20-yr",GWP_Values_20_year_AR4,"100-yr",GWP_Values_100_year_AR4),MATCH(Table2[[#This Row],[Pre Refrigerant Type]],RefrigDropdownList,0))</f>
        <v>#N/A</v>
      </c>
      <c r="AF80" s="164" t="e" cm="1">
        <f t="array" ref="AF80">INDEX(_xlfn.SWITCH($B$4,"20-yr",GWP_Values_20_year_AR4,"100-yr",GWP_Values_100_year_AR4),MATCH(Table2[[#This Row],[Std Refrigerant Type]],RefrigDropdownList,0))</f>
        <v>#N/A</v>
      </c>
      <c r="AG80" s="164" t="e" cm="1">
        <f t="array" ref="AG80">INDEX(_xlfn.SWITCH($B$4,"20-yr",GWP_Values_20_year_AR4,"100-yr",GWP_Values_100_year_AR4),MATCH(Table2[[#This Row],[Msr Refrigerant Type]],RefrigDropdownList,0))</f>
        <v>#N/A</v>
      </c>
      <c r="AH80" s="165" t="e">
        <f>(Table2[[#This Row],[Pre Refrigerant charge (lbs) per NormUnit]]/pounds_per_metric_ton)*Table2[[#This Row],[Pre annual refrigerant leakage %]]*Table2[[#This Row],[Pre GWP]]</f>
        <v>#N/A</v>
      </c>
      <c r="AI80" s="165" t="e">
        <f>(Table2[[#This Row],[Std Refrigerant charge (lbs)per NormUnit]]/pounds_per_metric_ton)*Table2[[#This Row],[Std annual refrigerant leakage %]]*Table2[[#This Row],[Std GWP]]</f>
        <v>#N/A</v>
      </c>
      <c r="AJ80" s="165" t="e">
        <f>(Table2[[#This Row],[Msr Refrigerant charge (lbs)per NormUnit]]/pounds_per_metric_ton)*Table2[[#This Row],[Msr annual refrigerant leakage %]]*Table2[[#This Row],[Msr GWP]]</f>
        <v>#N/A</v>
      </c>
      <c r="AK80" s="165" t="e">
        <f>(Table2[[#This Row],[Pre Refrigerant charge (lbs) per NormUnit]]/pounds_per_metric_ton)*Table2[[#This Row],[Pre net EOL refrigerant leakage (%)]]*Table2[[#This Row],[Pre GWP]]</f>
        <v>#N/A</v>
      </c>
      <c r="AL80" s="165" t="e">
        <f>(Table2[[#This Row],[Std Refrigerant charge (lbs)per NormUnit]]/pounds_per_metric_ton)*Table2[[#This Row],[Std net EOL refrigerant leakage (%)]]*Table2[[#This Row],[Std GWP]]</f>
        <v>#N/A</v>
      </c>
      <c r="AM80" s="165" t="e">
        <f>(Table2[[#This Row],[Msr Refrigerant charge (lbs)per NormUnit]]/pounds_per_metric_ton)*Table2[[#This Row],[Msr net EOL refrigerant leakage (%)]]*Table2[[#This Row],[Msr GWP]]</f>
        <v>#N/A</v>
      </c>
      <c r="AN80" s="174" cm="1">
        <f t="array" aca="1" ref="AN80" ca="1">IF(Table2[[#This Row],[MeasAppType]]="AR",Table2[[#This Row],[Pre Annual leakage tons CO2e]]*NPV(WACC,OFFSET(const_ones,0,0,1,Table2[[#This Row],[EUL]])*OFFSET(GHG_Adder_dollar_per_tonne,0,(Table2[[#This Row],[Device installation year]])-GHG_Adder_Yr1,1,Table2[[#This Row],[EUL]]))/(1+WACC)^(Table2[[#This Row],[Device installation year]]-DY),0)</f>
        <v>0</v>
      </c>
      <c r="AO80" s="174" t="e" cm="1">
        <f t="array" aca="1" ref="AO80"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80" s="174" t="e" cm="1">
        <f t="array" aca="1" ref="AP80" ca="1">Table2[[#This Row],[Msr Annual leakage tons CO2e]]*NPV(WACC,OFFSET(const_ones,0,0,1,Table2[[#This Row],[EUL]])*OFFSET(GHG_Adder_dollar_per_tonne,0,((Table2[[#This Row],[Device installation year]])-GHG_Adder_Yr1),1,Table2[[#This Row],[EUL]]))/(1+WACC)^(Table2[[#This Row],[Device installation year]]-DY)</f>
        <v>#N/A</v>
      </c>
      <c r="AQ80" s="260" cm="1">
        <f t="array" aca="1" ref="AQ80"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80" s="261" t="e" cm="1">
        <f t="array" aca="1" ref="AR80"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80" s="261" t="e" cm="1">
        <f t="array" aca="1" ref="AS80" ca="1">Table2[[#This Row],[Msr EOL leakage tons CO2e]]*NPV(WACC,OFFSET(const_repeat_after,Table2[[#This Row],[EUL]],0,1,Table2[[#This Row],[EUL]])*OFFSET(GHG_Adder_dollar_per_tonne,0,(Table2[[#This Row],[Device installation year]])-GHG_Adder_Yr1,1,Table2[[#This Row],[EUL]]))/(1+WACC)^(Table2[[#This Row],[Device installation year]]-DY)</f>
        <v>#N/A</v>
      </c>
      <c r="AT80" s="260">
        <f>0</f>
        <v>0</v>
      </c>
      <c r="AU80"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80" s="174" t="e">
        <f ca="1">Table2[[#This Row],[RefrigerantNPVCostsNet]]&gt;0</f>
        <v>#N/A</v>
      </c>
      <c r="AW80" s="174">
        <f>0</f>
        <v>0</v>
      </c>
      <c r="AX80" s="174">
        <f>0</f>
        <v>0</v>
      </c>
      <c r="AY80" s="174">
        <f>0</f>
        <v>0</v>
      </c>
      <c r="AZ80" s="174">
        <f ca="1">Table2[[#This Row],[Pre NPV Cost of Annual Leakage]]+Table2[[#This Row],[Pre NPV Cost of EOL Leakage]]</f>
        <v>0</v>
      </c>
      <c r="BA80" s="174" t="e">
        <f ca="1">Table2[[#This Row],[Std NPV Cost of Annual Leakage]]+Table2[[#This Row],[Std NPV Cost of EOL Leakage]]</f>
        <v>#N/A</v>
      </c>
      <c r="BB80" s="174" t="e">
        <f ca="1">Table2[[#This Row],[AR immediate NPV cost of leakage]]+Table2[[#This Row],[Msr NPV Cost of Annual Leakage]]+Table2[[#This Row],[Msr NPV Cost of EOL Leakage]]</f>
        <v>#N/A</v>
      </c>
      <c r="BC80" s="273" t="e">
        <f ca="1">IF(Table2[[#This Row],[Is Net Cost?]],Table2[[#This Row],[RefrigerantNPVCostsNet]],0)</f>
        <v>#N/A</v>
      </c>
      <c r="BD80" s="174" t="e">
        <f ca="1">IF(Table2[[#This Row],[Is Net Cost?]],0,-Table2[[#This Row],[RefrigerantNPVCostsNet]])</f>
        <v>#N/A</v>
      </c>
    </row>
    <row r="81" spans="1:56" x14ac:dyDescent="0.3">
      <c r="A81" s="173">
        <f t="shared" ref="A81:A109" si="3">$B$2</f>
        <v>2022</v>
      </c>
      <c r="B81" s="268"/>
      <c r="C81" s="212"/>
      <c r="D81" s="212"/>
      <c r="E81" s="216" t="str">
        <f>IF(Table2[[#This Row],[MeasAppType]]="NR","N/A","N/A")</f>
        <v>N/A</v>
      </c>
      <c r="F81" s="272"/>
      <c r="G81" s="218"/>
      <c r="H81" s="218"/>
      <c r="I81" s="218"/>
      <c r="J81" s="173" t="e">
        <f>INDEX(Table3[CommonRefrigerantType],MATCH(Table2[[#This Row],[Pre tech lookup (not required for "NR" measure application types)]],DropdownRefrigTech,0))</f>
        <v>#N/A</v>
      </c>
      <c r="K81" s="173" t="e">
        <f>INDEX(Table3[CommonRefrigerantType],MATCH(Table2[[#This Row],[Std tech lookup (not required for "AR" measure application types)]],DropdownRefrigTech,0))</f>
        <v>#N/A</v>
      </c>
      <c r="L81" s="173" t="e">
        <f>INDEX(Table3[CommonRefrigerantType],MATCH(Table2[[#This Row],[Msr tech lookup]],DropdownRefrigTech,0))</f>
        <v>#N/A</v>
      </c>
      <c r="M81" s="134" t="e">
        <f>INDEX(Table3[RefrigChargePoundsPerNormUnit],MATCH(Table2[[#This Row],[Pre tech lookup (not required for "NR" measure application types)]],DropdownRefrigTech,0))</f>
        <v>#N/A</v>
      </c>
      <c r="N81" s="134" t="e">
        <f>INDEX(Table3[RefrigChargePoundsPerNormUnit],MATCH(Table2[[#This Row],[Std tech lookup (not required for "AR" measure application types)]],DropdownRefrigTech,0))</f>
        <v>#N/A</v>
      </c>
      <c r="O81" s="149" t="e">
        <f>INDEX(Table3[RefrigChargePoundsPerNormUnit],MATCH(Table2[[#This Row],[Msr tech lookup]],DropdownRefrigTech,0))</f>
        <v>#N/A</v>
      </c>
      <c r="P81" s="163" t="e">
        <f>INDEX(Table3[AnnualLeakageRate],MATCH(Table2[[#This Row],[Pre tech lookup (not required for "NR" measure application types)]],DropdownRefrigTech,0))</f>
        <v>#N/A</v>
      </c>
      <c r="Q81" s="163" t="e">
        <f>INDEX(Table3[AnnualLeakageRate],MATCH(Table2[[#This Row],[Std tech lookup (not required for "AR" measure application types)]],DropdownRefrigTech,0))</f>
        <v>#N/A</v>
      </c>
      <c r="R81" s="163" t="e">
        <f>INDEX(Table3[AnnualLeakageRate],MATCH(Table2[[#This Row],[Msr tech lookup]],DropdownRefrigTech,0))</f>
        <v>#N/A</v>
      </c>
      <c r="S81" s="164" t="e">
        <f>INDEX(Table3[t_EOL],MATCH(Table2[[#This Row],[Pre tech lookup (not required for "NR" measure application types)]],DropdownRefrigTech,0))</f>
        <v>#N/A</v>
      </c>
      <c r="T81" s="164" t="e">
        <f>INDEX(Table3[t_EOL],MATCH(Table2[[#This Row],[Std tech lookup (not required for "AR" measure application types)]],DropdownRefrigTech,0))</f>
        <v>#N/A</v>
      </c>
      <c r="U81" s="164" t="e">
        <f>INDEX(Table3[t_EOL],MATCH(Table2[[#This Row],[Msr tech lookup]],DropdownRefrigTech,0))</f>
        <v>#N/A</v>
      </c>
      <c r="V81" s="163" t="e">
        <f>1-Table2[[#This Row],[Pre annual refrigerant leakage %]]*Table2[[#This Row],[Pre t_EOL]]</f>
        <v>#N/A</v>
      </c>
      <c r="W81" s="163" t="e">
        <f>1-Table2[[#This Row],[Std annual refrigerant leakage %]]*Table2[[#This Row],[Std t_EOL]]</f>
        <v>#N/A</v>
      </c>
      <c r="X81" s="163" t="e">
        <f>1-Table2[[#This Row],[Msr annual refrigerant leakage %]]*Table2[[#This Row],[Msr t_EOL]]</f>
        <v>#N/A</v>
      </c>
      <c r="Y81" s="163" t="e">
        <f>INDEX(Table3[q_EOL],MATCH(Table2[[#This Row],[Pre tech lookup (not required for "NR" measure application types)]],DropdownRefrigTech,0))</f>
        <v>#N/A</v>
      </c>
      <c r="Z81" s="163" t="e">
        <f>INDEX(Table3[q_EOL],MATCH(Table2[[#This Row],[Std tech lookup (not required for "AR" measure application types)]],DropdownRefrigTech,0))</f>
        <v>#N/A</v>
      </c>
      <c r="AA81" s="163" t="e">
        <f>INDEX(Table3[q_EOL],MATCH(Table2[[#This Row],[Msr tech lookup]],DropdownRefrigTech,0))</f>
        <v>#N/A</v>
      </c>
      <c r="AB81" s="163" t="e">
        <f>Table2[[#This Row],[Pre charging remaining (%)]]*Table2[[#This Row],[Pre gross EOL refrigerant leakage %]]</f>
        <v>#N/A</v>
      </c>
      <c r="AC81" s="163" t="e">
        <f>Table2[[#This Row],[Std charging remaining (%)]]*Table2[[#This Row],[Std gross EOL refrigerant leakage %]]</f>
        <v>#N/A</v>
      </c>
      <c r="AD81" s="163" t="e">
        <f>Table2[[#This Row],[Msr charging remaining (%)]]*Table2[[#This Row],[Msr gross EOL refrigerant leakage %]]</f>
        <v>#N/A</v>
      </c>
      <c r="AE81" s="164" t="e" cm="1">
        <f t="array" ref="AE81">INDEX(_xlfn.SWITCH($B$4,"20-yr",GWP_Values_20_year_AR4,"100-yr",GWP_Values_100_year_AR4),MATCH(Table2[[#This Row],[Pre Refrigerant Type]],RefrigDropdownList,0))</f>
        <v>#N/A</v>
      </c>
      <c r="AF81" s="164" t="e" cm="1">
        <f t="array" ref="AF81">INDEX(_xlfn.SWITCH($B$4,"20-yr",GWP_Values_20_year_AR4,"100-yr",GWP_Values_100_year_AR4),MATCH(Table2[[#This Row],[Std Refrigerant Type]],RefrigDropdownList,0))</f>
        <v>#N/A</v>
      </c>
      <c r="AG81" s="164" t="e" cm="1">
        <f t="array" ref="AG81">INDEX(_xlfn.SWITCH($B$4,"20-yr",GWP_Values_20_year_AR4,"100-yr",GWP_Values_100_year_AR4),MATCH(Table2[[#This Row],[Msr Refrigerant Type]],RefrigDropdownList,0))</f>
        <v>#N/A</v>
      </c>
      <c r="AH81" s="165" t="e">
        <f>(Table2[[#This Row],[Pre Refrigerant charge (lbs) per NormUnit]]/pounds_per_metric_ton)*Table2[[#This Row],[Pre annual refrigerant leakage %]]*Table2[[#This Row],[Pre GWP]]</f>
        <v>#N/A</v>
      </c>
      <c r="AI81" s="165" t="e">
        <f>(Table2[[#This Row],[Std Refrigerant charge (lbs)per NormUnit]]/pounds_per_metric_ton)*Table2[[#This Row],[Std annual refrigerant leakage %]]*Table2[[#This Row],[Std GWP]]</f>
        <v>#N/A</v>
      </c>
      <c r="AJ81" s="165" t="e">
        <f>(Table2[[#This Row],[Msr Refrigerant charge (lbs)per NormUnit]]/pounds_per_metric_ton)*Table2[[#This Row],[Msr annual refrigerant leakage %]]*Table2[[#This Row],[Msr GWP]]</f>
        <v>#N/A</v>
      </c>
      <c r="AK81" s="165" t="e">
        <f>(Table2[[#This Row],[Pre Refrigerant charge (lbs) per NormUnit]]/pounds_per_metric_ton)*Table2[[#This Row],[Pre net EOL refrigerant leakage (%)]]*Table2[[#This Row],[Pre GWP]]</f>
        <v>#N/A</v>
      </c>
      <c r="AL81" s="165" t="e">
        <f>(Table2[[#This Row],[Std Refrigerant charge (lbs)per NormUnit]]/pounds_per_metric_ton)*Table2[[#This Row],[Std net EOL refrigerant leakage (%)]]*Table2[[#This Row],[Std GWP]]</f>
        <v>#N/A</v>
      </c>
      <c r="AM81" s="165" t="e">
        <f>(Table2[[#This Row],[Msr Refrigerant charge (lbs)per NormUnit]]/pounds_per_metric_ton)*Table2[[#This Row],[Msr net EOL refrigerant leakage (%)]]*Table2[[#This Row],[Msr GWP]]</f>
        <v>#N/A</v>
      </c>
      <c r="AN81" s="174" cm="1">
        <f t="array" aca="1" ref="AN81" ca="1">IF(Table2[[#This Row],[MeasAppType]]="AR",Table2[[#This Row],[Pre Annual leakage tons CO2e]]*NPV(WACC,OFFSET(const_ones,0,0,1,Table2[[#This Row],[EUL]])*OFFSET(GHG_Adder_dollar_per_tonne,0,(Table2[[#This Row],[Device installation year]])-GHG_Adder_Yr1,1,Table2[[#This Row],[EUL]]))/(1+WACC)^(Table2[[#This Row],[Device installation year]]-DY),0)</f>
        <v>0</v>
      </c>
      <c r="AO81" s="174" t="e" cm="1">
        <f t="array" aca="1" ref="AO81"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81" s="174" t="e" cm="1">
        <f t="array" aca="1" ref="AP81" ca="1">Table2[[#This Row],[Msr Annual leakage tons CO2e]]*NPV(WACC,OFFSET(const_ones,0,0,1,Table2[[#This Row],[EUL]])*OFFSET(GHG_Adder_dollar_per_tonne,0,((Table2[[#This Row],[Device installation year]])-GHG_Adder_Yr1),1,Table2[[#This Row],[EUL]]))/(1+WACC)^(Table2[[#This Row],[Device installation year]]-DY)</f>
        <v>#N/A</v>
      </c>
      <c r="AQ81" s="260" cm="1">
        <f t="array" aca="1" ref="AQ81"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81" s="261" t="e" cm="1">
        <f t="array" aca="1" ref="AR81"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81" s="261" t="e" cm="1">
        <f t="array" aca="1" ref="AS81" ca="1">Table2[[#This Row],[Msr EOL leakage tons CO2e]]*NPV(WACC,OFFSET(const_repeat_after,Table2[[#This Row],[EUL]],0,1,Table2[[#This Row],[EUL]])*OFFSET(GHG_Adder_dollar_per_tonne,0,(Table2[[#This Row],[Device installation year]])-GHG_Adder_Yr1,1,Table2[[#This Row],[EUL]]))/(1+WACC)^(Table2[[#This Row],[Device installation year]]-DY)</f>
        <v>#N/A</v>
      </c>
      <c r="AT81" s="260">
        <f>0</f>
        <v>0</v>
      </c>
      <c r="AU81"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81" s="174" t="e">
        <f ca="1">Table2[[#This Row],[RefrigerantNPVCostsNet]]&gt;0</f>
        <v>#N/A</v>
      </c>
      <c r="AW81" s="174">
        <f>0</f>
        <v>0</v>
      </c>
      <c r="AX81" s="174">
        <f>0</f>
        <v>0</v>
      </c>
      <c r="AY81" s="174">
        <f>0</f>
        <v>0</v>
      </c>
      <c r="AZ81" s="174">
        <f ca="1">Table2[[#This Row],[Pre NPV Cost of Annual Leakage]]+Table2[[#This Row],[Pre NPV Cost of EOL Leakage]]</f>
        <v>0</v>
      </c>
      <c r="BA81" s="174" t="e">
        <f ca="1">Table2[[#This Row],[Std NPV Cost of Annual Leakage]]+Table2[[#This Row],[Std NPV Cost of EOL Leakage]]</f>
        <v>#N/A</v>
      </c>
      <c r="BB81" s="174" t="e">
        <f ca="1">Table2[[#This Row],[AR immediate NPV cost of leakage]]+Table2[[#This Row],[Msr NPV Cost of Annual Leakage]]+Table2[[#This Row],[Msr NPV Cost of EOL Leakage]]</f>
        <v>#N/A</v>
      </c>
      <c r="BC81" s="273" t="e">
        <f ca="1">IF(Table2[[#This Row],[Is Net Cost?]],Table2[[#This Row],[RefrigerantNPVCostsNet]],0)</f>
        <v>#N/A</v>
      </c>
      <c r="BD81" s="174" t="e">
        <f ca="1">IF(Table2[[#This Row],[Is Net Cost?]],0,-Table2[[#This Row],[RefrigerantNPVCostsNet]])</f>
        <v>#N/A</v>
      </c>
    </row>
    <row r="82" spans="1:56" x14ac:dyDescent="0.3">
      <c r="A82" s="173">
        <f t="shared" si="3"/>
        <v>2022</v>
      </c>
      <c r="B82" s="268"/>
      <c r="C82" s="212"/>
      <c r="D82" s="212"/>
      <c r="E82" s="216" t="str">
        <f>IF(Table2[[#This Row],[MeasAppType]]="NR","N/A","N/A")</f>
        <v>N/A</v>
      </c>
      <c r="F82" s="272"/>
      <c r="G82" s="218"/>
      <c r="H82" s="218"/>
      <c r="I82" s="218"/>
      <c r="J82" s="173" t="e">
        <f>INDEX(Table3[CommonRefrigerantType],MATCH(Table2[[#This Row],[Pre tech lookup (not required for "NR" measure application types)]],DropdownRefrigTech,0))</f>
        <v>#N/A</v>
      </c>
      <c r="K82" s="173" t="e">
        <f>INDEX(Table3[CommonRefrigerantType],MATCH(Table2[[#This Row],[Std tech lookup (not required for "AR" measure application types)]],DropdownRefrigTech,0))</f>
        <v>#N/A</v>
      </c>
      <c r="L82" s="173" t="e">
        <f>INDEX(Table3[CommonRefrigerantType],MATCH(Table2[[#This Row],[Msr tech lookup]],DropdownRefrigTech,0))</f>
        <v>#N/A</v>
      </c>
      <c r="M82" s="134" t="e">
        <f>INDEX(Table3[RefrigChargePoundsPerNormUnit],MATCH(Table2[[#This Row],[Pre tech lookup (not required for "NR" measure application types)]],DropdownRefrigTech,0))</f>
        <v>#N/A</v>
      </c>
      <c r="N82" s="134" t="e">
        <f>INDEX(Table3[RefrigChargePoundsPerNormUnit],MATCH(Table2[[#This Row],[Std tech lookup (not required for "AR" measure application types)]],DropdownRefrigTech,0))</f>
        <v>#N/A</v>
      </c>
      <c r="O82" s="149" t="e">
        <f>INDEX(Table3[RefrigChargePoundsPerNormUnit],MATCH(Table2[[#This Row],[Msr tech lookup]],DropdownRefrigTech,0))</f>
        <v>#N/A</v>
      </c>
      <c r="P82" s="163" t="e">
        <f>INDEX(Table3[AnnualLeakageRate],MATCH(Table2[[#This Row],[Pre tech lookup (not required for "NR" measure application types)]],DropdownRefrigTech,0))</f>
        <v>#N/A</v>
      </c>
      <c r="Q82" s="163" t="e">
        <f>INDEX(Table3[AnnualLeakageRate],MATCH(Table2[[#This Row],[Std tech lookup (not required for "AR" measure application types)]],DropdownRefrigTech,0))</f>
        <v>#N/A</v>
      </c>
      <c r="R82" s="163" t="e">
        <f>INDEX(Table3[AnnualLeakageRate],MATCH(Table2[[#This Row],[Msr tech lookup]],DropdownRefrigTech,0))</f>
        <v>#N/A</v>
      </c>
      <c r="S82" s="164" t="e">
        <f>INDEX(Table3[t_EOL],MATCH(Table2[[#This Row],[Pre tech lookup (not required for "NR" measure application types)]],DropdownRefrigTech,0))</f>
        <v>#N/A</v>
      </c>
      <c r="T82" s="164" t="e">
        <f>INDEX(Table3[t_EOL],MATCH(Table2[[#This Row],[Std tech lookup (not required for "AR" measure application types)]],DropdownRefrigTech,0))</f>
        <v>#N/A</v>
      </c>
      <c r="U82" s="164" t="e">
        <f>INDEX(Table3[t_EOL],MATCH(Table2[[#This Row],[Msr tech lookup]],DropdownRefrigTech,0))</f>
        <v>#N/A</v>
      </c>
      <c r="V82" s="163" t="e">
        <f>1-Table2[[#This Row],[Pre annual refrigerant leakage %]]*Table2[[#This Row],[Pre t_EOL]]</f>
        <v>#N/A</v>
      </c>
      <c r="W82" s="163" t="e">
        <f>1-Table2[[#This Row],[Std annual refrigerant leakage %]]*Table2[[#This Row],[Std t_EOL]]</f>
        <v>#N/A</v>
      </c>
      <c r="X82" s="163" t="e">
        <f>1-Table2[[#This Row],[Msr annual refrigerant leakage %]]*Table2[[#This Row],[Msr t_EOL]]</f>
        <v>#N/A</v>
      </c>
      <c r="Y82" s="163" t="e">
        <f>INDEX(Table3[q_EOL],MATCH(Table2[[#This Row],[Pre tech lookup (not required for "NR" measure application types)]],DropdownRefrigTech,0))</f>
        <v>#N/A</v>
      </c>
      <c r="Z82" s="163" t="e">
        <f>INDEX(Table3[q_EOL],MATCH(Table2[[#This Row],[Std tech lookup (not required for "AR" measure application types)]],DropdownRefrigTech,0))</f>
        <v>#N/A</v>
      </c>
      <c r="AA82" s="163" t="e">
        <f>INDEX(Table3[q_EOL],MATCH(Table2[[#This Row],[Msr tech lookup]],DropdownRefrigTech,0))</f>
        <v>#N/A</v>
      </c>
      <c r="AB82" s="163" t="e">
        <f>Table2[[#This Row],[Pre charging remaining (%)]]*Table2[[#This Row],[Pre gross EOL refrigerant leakage %]]</f>
        <v>#N/A</v>
      </c>
      <c r="AC82" s="163" t="e">
        <f>Table2[[#This Row],[Std charging remaining (%)]]*Table2[[#This Row],[Std gross EOL refrigerant leakage %]]</f>
        <v>#N/A</v>
      </c>
      <c r="AD82" s="163" t="e">
        <f>Table2[[#This Row],[Msr charging remaining (%)]]*Table2[[#This Row],[Msr gross EOL refrigerant leakage %]]</f>
        <v>#N/A</v>
      </c>
      <c r="AE82" s="164" t="e" cm="1">
        <f t="array" ref="AE82">INDEX(_xlfn.SWITCH($B$4,"20-yr",GWP_Values_20_year_AR4,"100-yr",GWP_Values_100_year_AR4),MATCH(Table2[[#This Row],[Pre Refrigerant Type]],RefrigDropdownList,0))</f>
        <v>#N/A</v>
      </c>
      <c r="AF82" s="164" t="e" cm="1">
        <f t="array" ref="AF82">INDEX(_xlfn.SWITCH($B$4,"20-yr",GWP_Values_20_year_AR4,"100-yr",GWP_Values_100_year_AR4),MATCH(Table2[[#This Row],[Std Refrigerant Type]],RefrigDropdownList,0))</f>
        <v>#N/A</v>
      </c>
      <c r="AG82" s="164" t="e" cm="1">
        <f t="array" ref="AG82">INDEX(_xlfn.SWITCH($B$4,"20-yr",GWP_Values_20_year_AR4,"100-yr",GWP_Values_100_year_AR4),MATCH(Table2[[#This Row],[Msr Refrigerant Type]],RefrigDropdownList,0))</f>
        <v>#N/A</v>
      </c>
      <c r="AH82" s="165" t="e">
        <f>(Table2[[#This Row],[Pre Refrigerant charge (lbs) per NormUnit]]/pounds_per_metric_ton)*Table2[[#This Row],[Pre annual refrigerant leakage %]]*Table2[[#This Row],[Pre GWP]]</f>
        <v>#N/A</v>
      </c>
      <c r="AI82" s="165" t="e">
        <f>(Table2[[#This Row],[Std Refrigerant charge (lbs)per NormUnit]]/pounds_per_metric_ton)*Table2[[#This Row],[Std annual refrigerant leakage %]]*Table2[[#This Row],[Std GWP]]</f>
        <v>#N/A</v>
      </c>
      <c r="AJ82" s="165" t="e">
        <f>(Table2[[#This Row],[Msr Refrigerant charge (lbs)per NormUnit]]/pounds_per_metric_ton)*Table2[[#This Row],[Msr annual refrigerant leakage %]]*Table2[[#This Row],[Msr GWP]]</f>
        <v>#N/A</v>
      </c>
      <c r="AK82" s="165" t="e">
        <f>(Table2[[#This Row],[Pre Refrigerant charge (lbs) per NormUnit]]/pounds_per_metric_ton)*Table2[[#This Row],[Pre net EOL refrigerant leakage (%)]]*Table2[[#This Row],[Pre GWP]]</f>
        <v>#N/A</v>
      </c>
      <c r="AL82" s="165" t="e">
        <f>(Table2[[#This Row],[Std Refrigerant charge (lbs)per NormUnit]]/pounds_per_metric_ton)*Table2[[#This Row],[Std net EOL refrigerant leakage (%)]]*Table2[[#This Row],[Std GWP]]</f>
        <v>#N/A</v>
      </c>
      <c r="AM82" s="165" t="e">
        <f>(Table2[[#This Row],[Msr Refrigerant charge (lbs)per NormUnit]]/pounds_per_metric_ton)*Table2[[#This Row],[Msr net EOL refrigerant leakage (%)]]*Table2[[#This Row],[Msr GWP]]</f>
        <v>#N/A</v>
      </c>
      <c r="AN82" s="174" cm="1">
        <f t="array" aca="1" ref="AN82" ca="1">IF(Table2[[#This Row],[MeasAppType]]="AR",Table2[[#This Row],[Pre Annual leakage tons CO2e]]*NPV(WACC,OFFSET(const_ones,0,0,1,Table2[[#This Row],[EUL]])*OFFSET(GHG_Adder_dollar_per_tonne,0,(Table2[[#This Row],[Device installation year]])-GHG_Adder_Yr1,1,Table2[[#This Row],[EUL]]))/(1+WACC)^(Table2[[#This Row],[Device installation year]]-DY),0)</f>
        <v>0</v>
      </c>
      <c r="AO82" s="174" t="e" cm="1">
        <f t="array" aca="1" ref="AO82"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82" s="174" t="e" cm="1">
        <f t="array" aca="1" ref="AP82" ca="1">Table2[[#This Row],[Msr Annual leakage tons CO2e]]*NPV(WACC,OFFSET(const_ones,0,0,1,Table2[[#This Row],[EUL]])*OFFSET(GHG_Adder_dollar_per_tonne,0,((Table2[[#This Row],[Device installation year]])-GHG_Adder_Yr1),1,Table2[[#This Row],[EUL]]))/(1+WACC)^(Table2[[#This Row],[Device installation year]]-DY)</f>
        <v>#N/A</v>
      </c>
      <c r="AQ82" s="260" cm="1">
        <f t="array" aca="1" ref="AQ82"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82" s="261" t="e" cm="1">
        <f t="array" aca="1" ref="AR82"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82" s="261" t="e" cm="1">
        <f t="array" aca="1" ref="AS82" ca="1">Table2[[#This Row],[Msr EOL leakage tons CO2e]]*NPV(WACC,OFFSET(const_repeat_after,Table2[[#This Row],[EUL]],0,1,Table2[[#This Row],[EUL]])*OFFSET(GHG_Adder_dollar_per_tonne,0,(Table2[[#This Row],[Device installation year]])-GHG_Adder_Yr1,1,Table2[[#This Row],[EUL]]))/(1+WACC)^(Table2[[#This Row],[Device installation year]]-DY)</f>
        <v>#N/A</v>
      </c>
      <c r="AT82" s="260">
        <f>0</f>
        <v>0</v>
      </c>
      <c r="AU82"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82" s="174" t="e">
        <f ca="1">Table2[[#This Row],[RefrigerantNPVCostsNet]]&gt;0</f>
        <v>#N/A</v>
      </c>
      <c r="AW82" s="174">
        <f>0</f>
        <v>0</v>
      </c>
      <c r="AX82" s="174">
        <f>0</f>
        <v>0</v>
      </c>
      <c r="AY82" s="174">
        <f>0</f>
        <v>0</v>
      </c>
      <c r="AZ82" s="174">
        <f ca="1">Table2[[#This Row],[Pre NPV Cost of Annual Leakage]]+Table2[[#This Row],[Pre NPV Cost of EOL Leakage]]</f>
        <v>0</v>
      </c>
      <c r="BA82" s="174" t="e">
        <f ca="1">Table2[[#This Row],[Std NPV Cost of Annual Leakage]]+Table2[[#This Row],[Std NPV Cost of EOL Leakage]]</f>
        <v>#N/A</v>
      </c>
      <c r="BB82" s="174" t="e">
        <f ca="1">Table2[[#This Row],[AR immediate NPV cost of leakage]]+Table2[[#This Row],[Msr NPV Cost of Annual Leakage]]+Table2[[#This Row],[Msr NPV Cost of EOL Leakage]]</f>
        <v>#N/A</v>
      </c>
      <c r="BC82" s="273" t="e">
        <f ca="1">IF(Table2[[#This Row],[Is Net Cost?]],Table2[[#This Row],[RefrigerantNPVCostsNet]],0)</f>
        <v>#N/A</v>
      </c>
      <c r="BD82" s="174" t="e">
        <f ca="1">IF(Table2[[#This Row],[Is Net Cost?]],0,-Table2[[#This Row],[RefrigerantNPVCostsNet]])</f>
        <v>#N/A</v>
      </c>
    </row>
    <row r="83" spans="1:56" x14ac:dyDescent="0.3">
      <c r="A83" s="173">
        <f t="shared" si="3"/>
        <v>2022</v>
      </c>
      <c r="B83" s="268"/>
      <c r="C83" s="212"/>
      <c r="D83" s="212"/>
      <c r="E83" s="216" t="str">
        <f>IF(Table2[[#This Row],[MeasAppType]]="NR","N/A","N/A")</f>
        <v>N/A</v>
      </c>
      <c r="F83" s="272"/>
      <c r="G83" s="218"/>
      <c r="H83" s="218"/>
      <c r="I83" s="218"/>
      <c r="J83" s="173" t="e">
        <f>INDEX(Table3[CommonRefrigerantType],MATCH(Table2[[#This Row],[Pre tech lookup (not required for "NR" measure application types)]],DropdownRefrigTech,0))</f>
        <v>#N/A</v>
      </c>
      <c r="K83" s="173" t="e">
        <f>INDEX(Table3[CommonRefrigerantType],MATCH(Table2[[#This Row],[Std tech lookup (not required for "AR" measure application types)]],DropdownRefrigTech,0))</f>
        <v>#N/A</v>
      </c>
      <c r="L83" s="173" t="e">
        <f>INDEX(Table3[CommonRefrigerantType],MATCH(Table2[[#This Row],[Msr tech lookup]],DropdownRefrigTech,0))</f>
        <v>#N/A</v>
      </c>
      <c r="M83" s="134" t="e">
        <f>INDEX(Table3[RefrigChargePoundsPerNormUnit],MATCH(Table2[[#This Row],[Pre tech lookup (not required for "NR" measure application types)]],DropdownRefrigTech,0))</f>
        <v>#N/A</v>
      </c>
      <c r="N83" s="134" t="e">
        <f>INDEX(Table3[RefrigChargePoundsPerNormUnit],MATCH(Table2[[#This Row],[Std tech lookup (not required for "AR" measure application types)]],DropdownRefrigTech,0))</f>
        <v>#N/A</v>
      </c>
      <c r="O83" s="149" t="e">
        <f>INDEX(Table3[RefrigChargePoundsPerNormUnit],MATCH(Table2[[#This Row],[Msr tech lookup]],DropdownRefrigTech,0))</f>
        <v>#N/A</v>
      </c>
      <c r="P83" s="163" t="e">
        <f>INDEX(Table3[AnnualLeakageRate],MATCH(Table2[[#This Row],[Pre tech lookup (not required for "NR" measure application types)]],DropdownRefrigTech,0))</f>
        <v>#N/A</v>
      </c>
      <c r="Q83" s="163" t="e">
        <f>INDEX(Table3[AnnualLeakageRate],MATCH(Table2[[#This Row],[Std tech lookup (not required for "AR" measure application types)]],DropdownRefrigTech,0))</f>
        <v>#N/A</v>
      </c>
      <c r="R83" s="163" t="e">
        <f>INDEX(Table3[AnnualLeakageRate],MATCH(Table2[[#This Row],[Msr tech lookup]],DropdownRefrigTech,0))</f>
        <v>#N/A</v>
      </c>
      <c r="S83" s="164" t="e">
        <f>INDEX(Table3[t_EOL],MATCH(Table2[[#This Row],[Pre tech lookup (not required for "NR" measure application types)]],DropdownRefrigTech,0))</f>
        <v>#N/A</v>
      </c>
      <c r="T83" s="164" t="e">
        <f>INDEX(Table3[t_EOL],MATCH(Table2[[#This Row],[Std tech lookup (not required for "AR" measure application types)]],DropdownRefrigTech,0))</f>
        <v>#N/A</v>
      </c>
      <c r="U83" s="164" t="e">
        <f>INDEX(Table3[t_EOL],MATCH(Table2[[#This Row],[Msr tech lookup]],DropdownRefrigTech,0))</f>
        <v>#N/A</v>
      </c>
      <c r="V83" s="163" t="e">
        <f>1-Table2[[#This Row],[Pre annual refrigerant leakage %]]*Table2[[#This Row],[Pre t_EOL]]</f>
        <v>#N/A</v>
      </c>
      <c r="W83" s="163" t="e">
        <f>1-Table2[[#This Row],[Std annual refrigerant leakage %]]*Table2[[#This Row],[Std t_EOL]]</f>
        <v>#N/A</v>
      </c>
      <c r="X83" s="163" t="e">
        <f>1-Table2[[#This Row],[Msr annual refrigerant leakage %]]*Table2[[#This Row],[Msr t_EOL]]</f>
        <v>#N/A</v>
      </c>
      <c r="Y83" s="163" t="e">
        <f>INDEX(Table3[q_EOL],MATCH(Table2[[#This Row],[Pre tech lookup (not required for "NR" measure application types)]],DropdownRefrigTech,0))</f>
        <v>#N/A</v>
      </c>
      <c r="Z83" s="163" t="e">
        <f>INDEX(Table3[q_EOL],MATCH(Table2[[#This Row],[Std tech lookup (not required for "AR" measure application types)]],DropdownRefrigTech,0))</f>
        <v>#N/A</v>
      </c>
      <c r="AA83" s="163" t="e">
        <f>INDEX(Table3[q_EOL],MATCH(Table2[[#This Row],[Msr tech lookup]],DropdownRefrigTech,0))</f>
        <v>#N/A</v>
      </c>
      <c r="AB83" s="163" t="e">
        <f>Table2[[#This Row],[Pre charging remaining (%)]]*Table2[[#This Row],[Pre gross EOL refrigerant leakage %]]</f>
        <v>#N/A</v>
      </c>
      <c r="AC83" s="163" t="e">
        <f>Table2[[#This Row],[Std charging remaining (%)]]*Table2[[#This Row],[Std gross EOL refrigerant leakage %]]</f>
        <v>#N/A</v>
      </c>
      <c r="AD83" s="163" t="e">
        <f>Table2[[#This Row],[Msr charging remaining (%)]]*Table2[[#This Row],[Msr gross EOL refrigerant leakage %]]</f>
        <v>#N/A</v>
      </c>
      <c r="AE83" s="164" t="e" cm="1">
        <f t="array" ref="AE83">INDEX(_xlfn.SWITCH($B$4,"20-yr",GWP_Values_20_year_AR4,"100-yr",GWP_Values_100_year_AR4),MATCH(Table2[[#This Row],[Pre Refrigerant Type]],RefrigDropdownList,0))</f>
        <v>#N/A</v>
      </c>
      <c r="AF83" s="164" t="e" cm="1">
        <f t="array" ref="AF83">INDEX(_xlfn.SWITCH($B$4,"20-yr",GWP_Values_20_year_AR4,"100-yr",GWP_Values_100_year_AR4),MATCH(Table2[[#This Row],[Std Refrigerant Type]],RefrigDropdownList,0))</f>
        <v>#N/A</v>
      </c>
      <c r="AG83" s="164" t="e" cm="1">
        <f t="array" ref="AG83">INDEX(_xlfn.SWITCH($B$4,"20-yr",GWP_Values_20_year_AR4,"100-yr",GWP_Values_100_year_AR4),MATCH(Table2[[#This Row],[Msr Refrigerant Type]],RefrigDropdownList,0))</f>
        <v>#N/A</v>
      </c>
      <c r="AH83" s="165" t="e">
        <f>(Table2[[#This Row],[Pre Refrigerant charge (lbs) per NormUnit]]/pounds_per_metric_ton)*Table2[[#This Row],[Pre annual refrigerant leakage %]]*Table2[[#This Row],[Pre GWP]]</f>
        <v>#N/A</v>
      </c>
      <c r="AI83" s="165" t="e">
        <f>(Table2[[#This Row],[Std Refrigerant charge (lbs)per NormUnit]]/pounds_per_metric_ton)*Table2[[#This Row],[Std annual refrigerant leakage %]]*Table2[[#This Row],[Std GWP]]</f>
        <v>#N/A</v>
      </c>
      <c r="AJ83" s="165" t="e">
        <f>(Table2[[#This Row],[Msr Refrigerant charge (lbs)per NormUnit]]/pounds_per_metric_ton)*Table2[[#This Row],[Msr annual refrigerant leakage %]]*Table2[[#This Row],[Msr GWP]]</f>
        <v>#N/A</v>
      </c>
      <c r="AK83" s="165" t="e">
        <f>(Table2[[#This Row],[Pre Refrigerant charge (lbs) per NormUnit]]/pounds_per_metric_ton)*Table2[[#This Row],[Pre net EOL refrigerant leakage (%)]]*Table2[[#This Row],[Pre GWP]]</f>
        <v>#N/A</v>
      </c>
      <c r="AL83" s="165" t="e">
        <f>(Table2[[#This Row],[Std Refrigerant charge (lbs)per NormUnit]]/pounds_per_metric_ton)*Table2[[#This Row],[Std net EOL refrigerant leakage (%)]]*Table2[[#This Row],[Std GWP]]</f>
        <v>#N/A</v>
      </c>
      <c r="AM83" s="165" t="e">
        <f>(Table2[[#This Row],[Msr Refrigerant charge (lbs)per NormUnit]]/pounds_per_metric_ton)*Table2[[#This Row],[Msr net EOL refrigerant leakage (%)]]*Table2[[#This Row],[Msr GWP]]</f>
        <v>#N/A</v>
      </c>
      <c r="AN83" s="174" cm="1">
        <f t="array" aca="1" ref="AN83" ca="1">IF(Table2[[#This Row],[MeasAppType]]="AR",Table2[[#This Row],[Pre Annual leakage tons CO2e]]*NPV(WACC,OFFSET(const_ones,0,0,1,Table2[[#This Row],[EUL]])*OFFSET(GHG_Adder_dollar_per_tonne,0,(Table2[[#This Row],[Device installation year]])-GHG_Adder_Yr1,1,Table2[[#This Row],[EUL]]))/(1+WACC)^(Table2[[#This Row],[Device installation year]]-DY),0)</f>
        <v>0</v>
      </c>
      <c r="AO83" s="174" t="e" cm="1">
        <f t="array" aca="1" ref="AO83"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83" s="174" t="e" cm="1">
        <f t="array" aca="1" ref="AP83" ca="1">Table2[[#This Row],[Msr Annual leakage tons CO2e]]*NPV(WACC,OFFSET(const_ones,0,0,1,Table2[[#This Row],[EUL]])*OFFSET(GHG_Adder_dollar_per_tonne,0,((Table2[[#This Row],[Device installation year]])-GHG_Adder_Yr1),1,Table2[[#This Row],[EUL]]))/(1+WACC)^(Table2[[#This Row],[Device installation year]]-DY)</f>
        <v>#N/A</v>
      </c>
      <c r="AQ83" s="260" cm="1">
        <f t="array" aca="1" ref="AQ83"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83" s="261" t="e" cm="1">
        <f t="array" aca="1" ref="AR83"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83" s="261" t="e" cm="1">
        <f t="array" aca="1" ref="AS83" ca="1">Table2[[#This Row],[Msr EOL leakage tons CO2e]]*NPV(WACC,OFFSET(const_repeat_after,Table2[[#This Row],[EUL]],0,1,Table2[[#This Row],[EUL]])*OFFSET(GHG_Adder_dollar_per_tonne,0,(Table2[[#This Row],[Device installation year]])-GHG_Adder_Yr1,1,Table2[[#This Row],[EUL]]))/(1+WACC)^(Table2[[#This Row],[Device installation year]]-DY)</f>
        <v>#N/A</v>
      </c>
      <c r="AT83" s="260">
        <f>0</f>
        <v>0</v>
      </c>
      <c r="AU83"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83" s="174" t="e">
        <f ca="1">Table2[[#This Row],[RefrigerantNPVCostsNet]]&gt;0</f>
        <v>#N/A</v>
      </c>
      <c r="AW83" s="174">
        <f>0</f>
        <v>0</v>
      </c>
      <c r="AX83" s="174">
        <f>0</f>
        <v>0</v>
      </c>
      <c r="AY83" s="174">
        <f>0</f>
        <v>0</v>
      </c>
      <c r="AZ83" s="174">
        <f ca="1">Table2[[#This Row],[Pre NPV Cost of Annual Leakage]]+Table2[[#This Row],[Pre NPV Cost of EOL Leakage]]</f>
        <v>0</v>
      </c>
      <c r="BA83" s="174" t="e">
        <f ca="1">Table2[[#This Row],[Std NPV Cost of Annual Leakage]]+Table2[[#This Row],[Std NPV Cost of EOL Leakage]]</f>
        <v>#N/A</v>
      </c>
      <c r="BB83" s="174" t="e">
        <f ca="1">Table2[[#This Row],[AR immediate NPV cost of leakage]]+Table2[[#This Row],[Msr NPV Cost of Annual Leakage]]+Table2[[#This Row],[Msr NPV Cost of EOL Leakage]]</f>
        <v>#N/A</v>
      </c>
      <c r="BC83" s="273" t="e">
        <f ca="1">IF(Table2[[#This Row],[Is Net Cost?]],Table2[[#This Row],[RefrigerantNPVCostsNet]],0)</f>
        <v>#N/A</v>
      </c>
      <c r="BD83" s="174" t="e">
        <f ca="1">IF(Table2[[#This Row],[Is Net Cost?]],0,-Table2[[#This Row],[RefrigerantNPVCostsNet]])</f>
        <v>#N/A</v>
      </c>
    </row>
    <row r="84" spans="1:56" x14ac:dyDescent="0.3">
      <c r="A84" s="173">
        <f t="shared" si="3"/>
        <v>2022</v>
      </c>
      <c r="B84" s="268"/>
      <c r="C84" s="212"/>
      <c r="D84" s="212"/>
      <c r="E84" s="216" t="str">
        <f>IF(Table2[[#This Row],[MeasAppType]]="NR","N/A","N/A")</f>
        <v>N/A</v>
      </c>
      <c r="F84" s="272"/>
      <c r="G84" s="218"/>
      <c r="H84" s="218"/>
      <c r="I84" s="218"/>
      <c r="J84" s="173" t="e">
        <f>INDEX(Table3[CommonRefrigerantType],MATCH(Table2[[#This Row],[Pre tech lookup (not required for "NR" measure application types)]],DropdownRefrigTech,0))</f>
        <v>#N/A</v>
      </c>
      <c r="K84" s="173" t="e">
        <f>INDEX(Table3[CommonRefrigerantType],MATCH(Table2[[#This Row],[Std tech lookup (not required for "AR" measure application types)]],DropdownRefrigTech,0))</f>
        <v>#N/A</v>
      </c>
      <c r="L84" s="173" t="e">
        <f>INDEX(Table3[CommonRefrigerantType],MATCH(Table2[[#This Row],[Msr tech lookup]],DropdownRefrigTech,0))</f>
        <v>#N/A</v>
      </c>
      <c r="M84" s="134" t="e">
        <f>INDEX(Table3[RefrigChargePoundsPerNormUnit],MATCH(Table2[[#This Row],[Pre tech lookup (not required for "NR" measure application types)]],DropdownRefrigTech,0))</f>
        <v>#N/A</v>
      </c>
      <c r="N84" s="134" t="e">
        <f>INDEX(Table3[RefrigChargePoundsPerNormUnit],MATCH(Table2[[#This Row],[Std tech lookup (not required for "AR" measure application types)]],DropdownRefrigTech,0))</f>
        <v>#N/A</v>
      </c>
      <c r="O84" s="149" t="e">
        <f>INDEX(Table3[RefrigChargePoundsPerNormUnit],MATCH(Table2[[#This Row],[Msr tech lookup]],DropdownRefrigTech,0))</f>
        <v>#N/A</v>
      </c>
      <c r="P84" s="163" t="e">
        <f>INDEX(Table3[AnnualLeakageRate],MATCH(Table2[[#This Row],[Pre tech lookup (not required for "NR" measure application types)]],DropdownRefrigTech,0))</f>
        <v>#N/A</v>
      </c>
      <c r="Q84" s="163" t="e">
        <f>INDEX(Table3[AnnualLeakageRate],MATCH(Table2[[#This Row],[Std tech lookup (not required for "AR" measure application types)]],DropdownRefrigTech,0))</f>
        <v>#N/A</v>
      </c>
      <c r="R84" s="163" t="e">
        <f>INDEX(Table3[AnnualLeakageRate],MATCH(Table2[[#This Row],[Msr tech lookup]],DropdownRefrigTech,0))</f>
        <v>#N/A</v>
      </c>
      <c r="S84" s="164" t="e">
        <f>INDEX(Table3[t_EOL],MATCH(Table2[[#This Row],[Pre tech lookup (not required for "NR" measure application types)]],DropdownRefrigTech,0))</f>
        <v>#N/A</v>
      </c>
      <c r="T84" s="164" t="e">
        <f>INDEX(Table3[t_EOL],MATCH(Table2[[#This Row],[Std tech lookup (not required for "AR" measure application types)]],DropdownRefrigTech,0))</f>
        <v>#N/A</v>
      </c>
      <c r="U84" s="164" t="e">
        <f>INDEX(Table3[t_EOL],MATCH(Table2[[#This Row],[Msr tech lookup]],DropdownRefrigTech,0))</f>
        <v>#N/A</v>
      </c>
      <c r="V84" s="163" t="e">
        <f>1-Table2[[#This Row],[Pre annual refrigerant leakage %]]*Table2[[#This Row],[Pre t_EOL]]</f>
        <v>#N/A</v>
      </c>
      <c r="W84" s="163" t="e">
        <f>1-Table2[[#This Row],[Std annual refrigerant leakage %]]*Table2[[#This Row],[Std t_EOL]]</f>
        <v>#N/A</v>
      </c>
      <c r="X84" s="163" t="e">
        <f>1-Table2[[#This Row],[Msr annual refrigerant leakage %]]*Table2[[#This Row],[Msr t_EOL]]</f>
        <v>#N/A</v>
      </c>
      <c r="Y84" s="163" t="e">
        <f>INDEX(Table3[q_EOL],MATCH(Table2[[#This Row],[Pre tech lookup (not required for "NR" measure application types)]],DropdownRefrigTech,0))</f>
        <v>#N/A</v>
      </c>
      <c r="Z84" s="163" t="e">
        <f>INDEX(Table3[q_EOL],MATCH(Table2[[#This Row],[Std tech lookup (not required for "AR" measure application types)]],DropdownRefrigTech,0))</f>
        <v>#N/A</v>
      </c>
      <c r="AA84" s="163" t="e">
        <f>INDEX(Table3[q_EOL],MATCH(Table2[[#This Row],[Msr tech lookup]],DropdownRefrigTech,0))</f>
        <v>#N/A</v>
      </c>
      <c r="AB84" s="163" t="e">
        <f>Table2[[#This Row],[Pre charging remaining (%)]]*Table2[[#This Row],[Pre gross EOL refrigerant leakage %]]</f>
        <v>#N/A</v>
      </c>
      <c r="AC84" s="163" t="e">
        <f>Table2[[#This Row],[Std charging remaining (%)]]*Table2[[#This Row],[Std gross EOL refrigerant leakage %]]</f>
        <v>#N/A</v>
      </c>
      <c r="AD84" s="163" t="e">
        <f>Table2[[#This Row],[Msr charging remaining (%)]]*Table2[[#This Row],[Msr gross EOL refrigerant leakage %]]</f>
        <v>#N/A</v>
      </c>
      <c r="AE84" s="164" t="e" cm="1">
        <f t="array" ref="AE84">INDEX(_xlfn.SWITCH($B$4,"20-yr",GWP_Values_20_year_AR4,"100-yr",GWP_Values_100_year_AR4),MATCH(Table2[[#This Row],[Pre Refrigerant Type]],RefrigDropdownList,0))</f>
        <v>#N/A</v>
      </c>
      <c r="AF84" s="164" t="e" cm="1">
        <f t="array" ref="AF84">INDEX(_xlfn.SWITCH($B$4,"20-yr",GWP_Values_20_year_AR4,"100-yr",GWP_Values_100_year_AR4),MATCH(Table2[[#This Row],[Std Refrigerant Type]],RefrigDropdownList,0))</f>
        <v>#N/A</v>
      </c>
      <c r="AG84" s="164" t="e" cm="1">
        <f t="array" ref="AG84">INDEX(_xlfn.SWITCH($B$4,"20-yr",GWP_Values_20_year_AR4,"100-yr",GWP_Values_100_year_AR4),MATCH(Table2[[#This Row],[Msr Refrigerant Type]],RefrigDropdownList,0))</f>
        <v>#N/A</v>
      </c>
      <c r="AH84" s="165" t="e">
        <f>(Table2[[#This Row],[Pre Refrigerant charge (lbs) per NormUnit]]/pounds_per_metric_ton)*Table2[[#This Row],[Pre annual refrigerant leakage %]]*Table2[[#This Row],[Pre GWP]]</f>
        <v>#N/A</v>
      </c>
      <c r="AI84" s="165" t="e">
        <f>(Table2[[#This Row],[Std Refrigerant charge (lbs)per NormUnit]]/pounds_per_metric_ton)*Table2[[#This Row],[Std annual refrigerant leakage %]]*Table2[[#This Row],[Std GWP]]</f>
        <v>#N/A</v>
      </c>
      <c r="AJ84" s="165" t="e">
        <f>(Table2[[#This Row],[Msr Refrigerant charge (lbs)per NormUnit]]/pounds_per_metric_ton)*Table2[[#This Row],[Msr annual refrigerant leakage %]]*Table2[[#This Row],[Msr GWP]]</f>
        <v>#N/A</v>
      </c>
      <c r="AK84" s="165" t="e">
        <f>(Table2[[#This Row],[Pre Refrigerant charge (lbs) per NormUnit]]/pounds_per_metric_ton)*Table2[[#This Row],[Pre net EOL refrigerant leakage (%)]]*Table2[[#This Row],[Pre GWP]]</f>
        <v>#N/A</v>
      </c>
      <c r="AL84" s="165" t="e">
        <f>(Table2[[#This Row],[Std Refrigerant charge (lbs)per NormUnit]]/pounds_per_metric_ton)*Table2[[#This Row],[Std net EOL refrigerant leakage (%)]]*Table2[[#This Row],[Std GWP]]</f>
        <v>#N/A</v>
      </c>
      <c r="AM84" s="165" t="e">
        <f>(Table2[[#This Row],[Msr Refrigerant charge (lbs)per NormUnit]]/pounds_per_metric_ton)*Table2[[#This Row],[Msr net EOL refrigerant leakage (%)]]*Table2[[#This Row],[Msr GWP]]</f>
        <v>#N/A</v>
      </c>
      <c r="AN84" s="174" cm="1">
        <f t="array" aca="1" ref="AN84" ca="1">IF(Table2[[#This Row],[MeasAppType]]="AR",Table2[[#This Row],[Pre Annual leakage tons CO2e]]*NPV(WACC,OFFSET(const_ones,0,0,1,Table2[[#This Row],[EUL]])*OFFSET(GHG_Adder_dollar_per_tonne,0,(Table2[[#This Row],[Device installation year]])-GHG_Adder_Yr1,1,Table2[[#This Row],[EUL]]))/(1+WACC)^(Table2[[#This Row],[Device installation year]]-DY),0)</f>
        <v>0</v>
      </c>
      <c r="AO84" s="174" t="e" cm="1">
        <f t="array" aca="1" ref="AO84"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84" s="174" t="e" cm="1">
        <f t="array" aca="1" ref="AP84" ca="1">Table2[[#This Row],[Msr Annual leakage tons CO2e]]*NPV(WACC,OFFSET(const_ones,0,0,1,Table2[[#This Row],[EUL]])*OFFSET(GHG_Adder_dollar_per_tonne,0,((Table2[[#This Row],[Device installation year]])-GHG_Adder_Yr1),1,Table2[[#This Row],[EUL]]))/(1+WACC)^(Table2[[#This Row],[Device installation year]]-DY)</f>
        <v>#N/A</v>
      </c>
      <c r="AQ84" s="260" cm="1">
        <f t="array" aca="1" ref="AQ84"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84" s="261" t="e" cm="1">
        <f t="array" aca="1" ref="AR84"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84" s="261" t="e" cm="1">
        <f t="array" aca="1" ref="AS84" ca="1">Table2[[#This Row],[Msr EOL leakage tons CO2e]]*NPV(WACC,OFFSET(const_repeat_after,Table2[[#This Row],[EUL]],0,1,Table2[[#This Row],[EUL]])*OFFSET(GHG_Adder_dollar_per_tonne,0,(Table2[[#This Row],[Device installation year]])-GHG_Adder_Yr1,1,Table2[[#This Row],[EUL]]))/(1+WACC)^(Table2[[#This Row],[Device installation year]]-DY)</f>
        <v>#N/A</v>
      </c>
      <c r="AT84" s="260">
        <f>0</f>
        <v>0</v>
      </c>
      <c r="AU84"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84" s="174" t="e">
        <f ca="1">Table2[[#This Row],[RefrigerantNPVCostsNet]]&gt;0</f>
        <v>#N/A</v>
      </c>
      <c r="AW84" s="174">
        <f>0</f>
        <v>0</v>
      </c>
      <c r="AX84" s="174">
        <f>0</f>
        <v>0</v>
      </c>
      <c r="AY84" s="174">
        <f>0</f>
        <v>0</v>
      </c>
      <c r="AZ84" s="174">
        <f ca="1">Table2[[#This Row],[Pre NPV Cost of Annual Leakage]]+Table2[[#This Row],[Pre NPV Cost of EOL Leakage]]</f>
        <v>0</v>
      </c>
      <c r="BA84" s="174" t="e">
        <f ca="1">Table2[[#This Row],[Std NPV Cost of Annual Leakage]]+Table2[[#This Row],[Std NPV Cost of EOL Leakage]]</f>
        <v>#N/A</v>
      </c>
      <c r="BB84" s="174" t="e">
        <f ca="1">Table2[[#This Row],[AR immediate NPV cost of leakage]]+Table2[[#This Row],[Msr NPV Cost of Annual Leakage]]+Table2[[#This Row],[Msr NPV Cost of EOL Leakage]]</f>
        <v>#N/A</v>
      </c>
      <c r="BC84" s="273" t="e">
        <f ca="1">IF(Table2[[#This Row],[Is Net Cost?]],Table2[[#This Row],[RefrigerantNPVCostsNet]],0)</f>
        <v>#N/A</v>
      </c>
      <c r="BD84" s="174" t="e">
        <f ca="1">IF(Table2[[#This Row],[Is Net Cost?]],0,-Table2[[#This Row],[RefrigerantNPVCostsNet]])</f>
        <v>#N/A</v>
      </c>
    </row>
    <row r="85" spans="1:56" x14ac:dyDescent="0.3">
      <c r="A85" s="173">
        <f t="shared" si="3"/>
        <v>2022</v>
      </c>
      <c r="B85" s="268"/>
      <c r="C85" s="212"/>
      <c r="D85" s="212"/>
      <c r="E85" s="216" t="str">
        <f>IF(Table2[[#This Row],[MeasAppType]]="NR","N/A","N/A")</f>
        <v>N/A</v>
      </c>
      <c r="F85" s="272"/>
      <c r="G85" s="218"/>
      <c r="H85" s="218"/>
      <c r="I85" s="218"/>
      <c r="J85" s="173" t="e">
        <f>INDEX(Table3[CommonRefrigerantType],MATCH(Table2[[#This Row],[Pre tech lookup (not required for "NR" measure application types)]],DropdownRefrigTech,0))</f>
        <v>#N/A</v>
      </c>
      <c r="K85" s="173" t="e">
        <f>INDEX(Table3[CommonRefrigerantType],MATCH(Table2[[#This Row],[Std tech lookup (not required for "AR" measure application types)]],DropdownRefrigTech,0))</f>
        <v>#N/A</v>
      </c>
      <c r="L85" s="173" t="e">
        <f>INDEX(Table3[CommonRefrigerantType],MATCH(Table2[[#This Row],[Msr tech lookup]],DropdownRefrigTech,0))</f>
        <v>#N/A</v>
      </c>
      <c r="M85" s="134" t="e">
        <f>INDEX(Table3[RefrigChargePoundsPerNormUnit],MATCH(Table2[[#This Row],[Pre tech lookup (not required for "NR" measure application types)]],DropdownRefrigTech,0))</f>
        <v>#N/A</v>
      </c>
      <c r="N85" s="134" t="e">
        <f>INDEX(Table3[RefrigChargePoundsPerNormUnit],MATCH(Table2[[#This Row],[Std tech lookup (not required for "AR" measure application types)]],DropdownRefrigTech,0))</f>
        <v>#N/A</v>
      </c>
      <c r="O85" s="149" t="e">
        <f>INDEX(Table3[RefrigChargePoundsPerNormUnit],MATCH(Table2[[#This Row],[Msr tech lookup]],DropdownRefrigTech,0))</f>
        <v>#N/A</v>
      </c>
      <c r="P85" s="163" t="e">
        <f>INDEX(Table3[AnnualLeakageRate],MATCH(Table2[[#This Row],[Pre tech lookup (not required for "NR" measure application types)]],DropdownRefrigTech,0))</f>
        <v>#N/A</v>
      </c>
      <c r="Q85" s="163" t="e">
        <f>INDEX(Table3[AnnualLeakageRate],MATCH(Table2[[#This Row],[Std tech lookup (not required for "AR" measure application types)]],DropdownRefrigTech,0))</f>
        <v>#N/A</v>
      </c>
      <c r="R85" s="163" t="e">
        <f>INDEX(Table3[AnnualLeakageRate],MATCH(Table2[[#This Row],[Msr tech lookup]],DropdownRefrigTech,0))</f>
        <v>#N/A</v>
      </c>
      <c r="S85" s="164" t="e">
        <f>INDEX(Table3[t_EOL],MATCH(Table2[[#This Row],[Pre tech lookup (not required for "NR" measure application types)]],DropdownRefrigTech,0))</f>
        <v>#N/A</v>
      </c>
      <c r="T85" s="164" t="e">
        <f>INDEX(Table3[t_EOL],MATCH(Table2[[#This Row],[Std tech lookup (not required for "AR" measure application types)]],DropdownRefrigTech,0))</f>
        <v>#N/A</v>
      </c>
      <c r="U85" s="164" t="e">
        <f>INDEX(Table3[t_EOL],MATCH(Table2[[#This Row],[Msr tech lookup]],DropdownRefrigTech,0))</f>
        <v>#N/A</v>
      </c>
      <c r="V85" s="163" t="e">
        <f>1-Table2[[#This Row],[Pre annual refrigerant leakage %]]*Table2[[#This Row],[Pre t_EOL]]</f>
        <v>#N/A</v>
      </c>
      <c r="W85" s="163" t="e">
        <f>1-Table2[[#This Row],[Std annual refrigerant leakage %]]*Table2[[#This Row],[Std t_EOL]]</f>
        <v>#N/A</v>
      </c>
      <c r="X85" s="163" t="e">
        <f>1-Table2[[#This Row],[Msr annual refrigerant leakage %]]*Table2[[#This Row],[Msr t_EOL]]</f>
        <v>#N/A</v>
      </c>
      <c r="Y85" s="163" t="e">
        <f>INDEX(Table3[q_EOL],MATCH(Table2[[#This Row],[Pre tech lookup (not required for "NR" measure application types)]],DropdownRefrigTech,0))</f>
        <v>#N/A</v>
      </c>
      <c r="Z85" s="163" t="e">
        <f>INDEX(Table3[q_EOL],MATCH(Table2[[#This Row],[Std tech lookup (not required for "AR" measure application types)]],DropdownRefrigTech,0))</f>
        <v>#N/A</v>
      </c>
      <c r="AA85" s="163" t="e">
        <f>INDEX(Table3[q_EOL],MATCH(Table2[[#This Row],[Msr tech lookup]],DropdownRefrigTech,0))</f>
        <v>#N/A</v>
      </c>
      <c r="AB85" s="163" t="e">
        <f>Table2[[#This Row],[Pre charging remaining (%)]]*Table2[[#This Row],[Pre gross EOL refrigerant leakage %]]</f>
        <v>#N/A</v>
      </c>
      <c r="AC85" s="163" t="e">
        <f>Table2[[#This Row],[Std charging remaining (%)]]*Table2[[#This Row],[Std gross EOL refrigerant leakage %]]</f>
        <v>#N/A</v>
      </c>
      <c r="AD85" s="163" t="e">
        <f>Table2[[#This Row],[Msr charging remaining (%)]]*Table2[[#This Row],[Msr gross EOL refrigerant leakage %]]</f>
        <v>#N/A</v>
      </c>
      <c r="AE85" s="164" t="e" cm="1">
        <f t="array" ref="AE85">INDEX(_xlfn.SWITCH($B$4,"20-yr",GWP_Values_20_year_AR4,"100-yr",GWP_Values_100_year_AR4),MATCH(Table2[[#This Row],[Pre Refrigerant Type]],RefrigDropdownList,0))</f>
        <v>#N/A</v>
      </c>
      <c r="AF85" s="164" t="e" cm="1">
        <f t="array" ref="AF85">INDEX(_xlfn.SWITCH($B$4,"20-yr",GWP_Values_20_year_AR4,"100-yr",GWP_Values_100_year_AR4),MATCH(Table2[[#This Row],[Std Refrigerant Type]],RefrigDropdownList,0))</f>
        <v>#N/A</v>
      </c>
      <c r="AG85" s="164" t="e" cm="1">
        <f t="array" ref="AG85">INDEX(_xlfn.SWITCH($B$4,"20-yr",GWP_Values_20_year_AR4,"100-yr",GWP_Values_100_year_AR4),MATCH(Table2[[#This Row],[Msr Refrigerant Type]],RefrigDropdownList,0))</f>
        <v>#N/A</v>
      </c>
      <c r="AH85" s="165" t="e">
        <f>(Table2[[#This Row],[Pre Refrigerant charge (lbs) per NormUnit]]/pounds_per_metric_ton)*Table2[[#This Row],[Pre annual refrigerant leakage %]]*Table2[[#This Row],[Pre GWP]]</f>
        <v>#N/A</v>
      </c>
      <c r="AI85" s="165" t="e">
        <f>(Table2[[#This Row],[Std Refrigerant charge (lbs)per NormUnit]]/pounds_per_metric_ton)*Table2[[#This Row],[Std annual refrigerant leakage %]]*Table2[[#This Row],[Std GWP]]</f>
        <v>#N/A</v>
      </c>
      <c r="AJ85" s="165" t="e">
        <f>(Table2[[#This Row],[Msr Refrigerant charge (lbs)per NormUnit]]/pounds_per_metric_ton)*Table2[[#This Row],[Msr annual refrigerant leakage %]]*Table2[[#This Row],[Msr GWP]]</f>
        <v>#N/A</v>
      </c>
      <c r="AK85" s="165" t="e">
        <f>(Table2[[#This Row],[Pre Refrigerant charge (lbs) per NormUnit]]/pounds_per_metric_ton)*Table2[[#This Row],[Pre net EOL refrigerant leakage (%)]]*Table2[[#This Row],[Pre GWP]]</f>
        <v>#N/A</v>
      </c>
      <c r="AL85" s="165" t="e">
        <f>(Table2[[#This Row],[Std Refrigerant charge (lbs)per NormUnit]]/pounds_per_metric_ton)*Table2[[#This Row],[Std net EOL refrigerant leakage (%)]]*Table2[[#This Row],[Std GWP]]</f>
        <v>#N/A</v>
      </c>
      <c r="AM85" s="165" t="e">
        <f>(Table2[[#This Row],[Msr Refrigerant charge (lbs)per NormUnit]]/pounds_per_metric_ton)*Table2[[#This Row],[Msr net EOL refrigerant leakage (%)]]*Table2[[#This Row],[Msr GWP]]</f>
        <v>#N/A</v>
      </c>
      <c r="AN85" s="174" cm="1">
        <f t="array" aca="1" ref="AN85" ca="1">IF(Table2[[#This Row],[MeasAppType]]="AR",Table2[[#This Row],[Pre Annual leakage tons CO2e]]*NPV(WACC,OFFSET(const_ones,0,0,1,Table2[[#This Row],[EUL]])*OFFSET(GHG_Adder_dollar_per_tonne,0,(Table2[[#This Row],[Device installation year]])-GHG_Adder_Yr1,1,Table2[[#This Row],[EUL]]))/(1+WACC)^(Table2[[#This Row],[Device installation year]]-DY),0)</f>
        <v>0</v>
      </c>
      <c r="AO85" s="174" t="e" cm="1">
        <f t="array" aca="1" ref="AO85"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85" s="174" t="e" cm="1">
        <f t="array" aca="1" ref="AP85" ca="1">Table2[[#This Row],[Msr Annual leakage tons CO2e]]*NPV(WACC,OFFSET(const_ones,0,0,1,Table2[[#This Row],[EUL]])*OFFSET(GHG_Adder_dollar_per_tonne,0,((Table2[[#This Row],[Device installation year]])-GHG_Adder_Yr1),1,Table2[[#This Row],[EUL]]))/(1+WACC)^(Table2[[#This Row],[Device installation year]]-DY)</f>
        <v>#N/A</v>
      </c>
      <c r="AQ85" s="260" cm="1">
        <f t="array" aca="1" ref="AQ85"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85" s="261" t="e" cm="1">
        <f t="array" aca="1" ref="AR85"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85" s="261" t="e" cm="1">
        <f t="array" aca="1" ref="AS85" ca="1">Table2[[#This Row],[Msr EOL leakage tons CO2e]]*NPV(WACC,OFFSET(const_repeat_after,Table2[[#This Row],[EUL]],0,1,Table2[[#This Row],[EUL]])*OFFSET(GHG_Adder_dollar_per_tonne,0,(Table2[[#This Row],[Device installation year]])-GHG_Adder_Yr1,1,Table2[[#This Row],[EUL]]))/(1+WACC)^(Table2[[#This Row],[Device installation year]]-DY)</f>
        <v>#N/A</v>
      </c>
      <c r="AT85" s="260">
        <f>0</f>
        <v>0</v>
      </c>
      <c r="AU85"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85" s="174" t="e">
        <f ca="1">Table2[[#This Row],[RefrigerantNPVCostsNet]]&gt;0</f>
        <v>#N/A</v>
      </c>
      <c r="AW85" s="174">
        <f>0</f>
        <v>0</v>
      </c>
      <c r="AX85" s="174">
        <f>0</f>
        <v>0</v>
      </c>
      <c r="AY85" s="174">
        <f>0</f>
        <v>0</v>
      </c>
      <c r="AZ85" s="174">
        <f ca="1">Table2[[#This Row],[Pre NPV Cost of Annual Leakage]]+Table2[[#This Row],[Pre NPV Cost of EOL Leakage]]</f>
        <v>0</v>
      </c>
      <c r="BA85" s="174" t="e">
        <f ca="1">Table2[[#This Row],[Std NPV Cost of Annual Leakage]]+Table2[[#This Row],[Std NPV Cost of EOL Leakage]]</f>
        <v>#N/A</v>
      </c>
      <c r="BB85" s="174" t="e">
        <f ca="1">Table2[[#This Row],[AR immediate NPV cost of leakage]]+Table2[[#This Row],[Msr NPV Cost of Annual Leakage]]+Table2[[#This Row],[Msr NPV Cost of EOL Leakage]]</f>
        <v>#N/A</v>
      </c>
      <c r="BC85" s="273" t="e">
        <f ca="1">IF(Table2[[#This Row],[Is Net Cost?]],Table2[[#This Row],[RefrigerantNPVCostsNet]],0)</f>
        <v>#N/A</v>
      </c>
      <c r="BD85" s="174" t="e">
        <f ca="1">IF(Table2[[#This Row],[Is Net Cost?]],0,-Table2[[#This Row],[RefrigerantNPVCostsNet]])</f>
        <v>#N/A</v>
      </c>
    </row>
    <row r="86" spans="1:56" x14ac:dyDescent="0.3">
      <c r="A86" s="173">
        <f t="shared" si="3"/>
        <v>2022</v>
      </c>
      <c r="B86" s="268"/>
      <c r="C86" s="212"/>
      <c r="D86" s="212"/>
      <c r="E86" s="216" t="str">
        <f>IF(Table2[[#This Row],[MeasAppType]]="NR","N/A","N/A")</f>
        <v>N/A</v>
      </c>
      <c r="F86" s="272"/>
      <c r="G86" s="218"/>
      <c r="H86" s="218"/>
      <c r="I86" s="218"/>
      <c r="J86" s="173" t="e">
        <f>INDEX(Table3[CommonRefrigerantType],MATCH(Table2[[#This Row],[Pre tech lookup (not required for "NR" measure application types)]],DropdownRefrigTech,0))</f>
        <v>#N/A</v>
      </c>
      <c r="K86" s="173" t="e">
        <f>INDEX(Table3[CommonRefrigerantType],MATCH(Table2[[#This Row],[Std tech lookup (not required for "AR" measure application types)]],DropdownRefrigTech,0))</f>
        <v>#N/A</v>
      </c>
      <c r="L86" s="173" t="e">
        <f>INDEX(Table3[CommonRefrigerantType],MATCH(Table2[[#This Row],[Msr tech lookup]],DropdownRefrigTech,0))</f>
        <v>#N/A</v>
      </c>
      <c r="M86" s="134" t="e">
        <f>INDEX(Table3[RefrigChargePoundsPerNormUnit],MATCH(Table2[[#This Row],[Pre tech lookup (not required for "NR" measure application types)]],DropdownRefrigTech,0))</f>
        <v>#N/A</v>
      </c>
      <c r="N86" s="134" t="e">
        <f>INDEX(Table3[RefrigChargePoundsPerNormUnit],MATCH(Table2[[#This Row],[Std tech lookup (not required for "AR" measure application types)]],DropdownRefrigTech,0))</f>
        <v>#N/A</v>
      </c>
      <c r="O86" s="149" t="e">
        <f>INDEX(Table3[RefrigChargePoundsPerNormUnit],MATCH(Table2[[#This Row],[Msr tech lookup]],DropdownRefrigTech,0))</f>
        <v>#N/A</v>
      </c>
      <c r="P86" s="163" t="e">
        <f>INDEX(Table3[AnnualLeakageRate],MATCH(Table2[[#This Row],[Pre tech lookup (not required for "NR" measure application types)]],DropdownRefrigTech,0))</f>
        <v>#N/A</v>
      </c>
      <c r="Q86" s="163" t="e">
        <f>INDEX(Table3[AnnualLeakageRate],MATCH(Table2[[#This Row],[Std tech lookup (not required for "AR" measure application types)]],DropdownRefrigTech,0))</f>
        <v>#N/A</v>
      </c>
      <c r="R86" s="163" t="e">
        <f>INDEX(Table3[AnnualLeakageRate],MATCH(Table2[[#This Row],[Msr tech lookup]],DropdownRefrigTech,0))</f>
        <v>#N/A</v>
      </c>
      <c r="S86" s="164" t="e">
        <f>INDEX(Table3[t_EOL],MATCH(Table2[[#This Row],[Pre tech lookup (not required for "NR" measure application types)]],DropdownRefrigTech,0))</f>
        <v>#N/A</v>
      </c>
      <c r="T86" s="164" t="e">
        <f>INDEX(Table3[t_EOL],MATCH(Table2[[#This Row],[Std tech lookup (not required for "AR" measure application types)]],DropdownRefrigTech,0))</f>
        <v>#N/A</v>
      </c>
      <c r="U86" s="164" t="e">
        <f>INDEX(Table3[t_EOL],MATCH(Table2[[#This Row],[Msr tech lookup]],DropdownRefrigTech,0))</f>
        <v>#N/A</v>
      </c>
      <c r="V86" s="163" t="e">
        <f>1-Table2[[#This Row],[Pre annual refrigerant leakage %]]*Table2[[#This Row],[Pre t_EOL]]</f>
        <v>#N/A</v>
      </c>
      <c r="W86" s="163" t="e">
        <f>1-Table2[[#This Row],[Std annual refrigerant leakage %]]*Table2[[#This Row],[Std t_EOL]]</f>
        <v>#N/A</v>
      </c>
      <c r="X86" s="163" t="e">
        <f>1-Table2[[#This Row],[Msr annual refrigerant leakage %]]*Table2[[#This Row],[Msr t_EOL]]</f>
        <v>#N/A</v>
      </c>
      <c r="Y86" s="163" t="e">
        <f>INDEX(Table3[q_EOL],MATCH(Table2[[#This Row],[Pre tech lookup (not required for "NR" measure application types)]],DropdownRefrigTech,0))</f>
        <v>#N/A</v>
      </c>
      <c r="Z86" s="163" t="e">
        <f>INDEX(Table3[q_EOL],MATCH(Table2[[#This Row],[Std tech lookup (not required for "AR" measure application types)]],DropdownRefrigTech,0))</f>
        <v>#N/A</v>
      </c>
      <c r="AA86" s="163" t="e">
        <f>INDEX(Table3[q_EOL],MATCH(Table2[[#This Row],[Msr tech lookup]],DropdownRefrigTech,0))</f>
        <v>#N/A</v>
      </c>
      <c r="AB86" s="163" t="e">
        <f>Table2[[#This Row],[Pre charging remaining (%)]]*Table2[[#This Row],[Pre gross EOL refrigerant leakage %]]</f>
        <v>#N/A</v>
      </c>
      <c r="AC86" s="163" t="e">
        <f>Table2[[#This Row],[Std charging remaining (%)]]*Table2[[#This Row],[Std gross EOL refrigerant leakage %]]</f>
        <v>#N/A</v>
      </c>
      <c r="AD86" s="163" t="e">
        <f>Table2[[#This Row],[Msr charging remaining (%)]]*Table2[[#This Row],[Msr gross EOL refrigerant leakage %]]</f>
        <v>#N/A</v>
      </c>
      <c r="AE86" s="164" t="e" cm="1">
        <f t="array" ref="AE86">INDEX(_xlfn.SWITCH($B$4,"20-yr",GWP_Values_20_year_AR4,"100-yr",GWP_Values_100_year_AR4),MATCH(Table2[[#This Row],[Pre Refrigerant Type]],RefrigDropdownList,0))</f>
        <v>#N/A</v>
      </c>
      <c r="AF86" s="164" t="e" cm="1">
        <f t="array" ref="AF86">INDEX(_xlfn.SWITCH($B$4,"20-yr",GWP_Values_20_year_AR4,"100-yr",GWP_Values_100_year_AR4),MATCH(Table2[[#This Row],[Std Refrigerant Type]],RefrigDropdownList,0))</f>
        <v>#N/A</v>
      </c>
      <c r="AG86" s="164" t="e" cm="1">
        <f t="array" ref="AG86">INDEX(_xlfn.SWITCH($B$4,"20-yr",GWP_Values_20_year_AR4,"100-yr",GWP_Values_100_year_AR4),MATCH(Table2[[#This Row],[Msr Refrigerant Type]],RefrigDropdownList,0))</f>
        <v>#N/A</v>
      </c>
      <c r="AH86" s="165" t="e">
        <f>(Table2[[#This Row],[Pre Refrigerant charge (lbs) per NormUnit]]/pounds_per_metric_ton)*Table2[[#This Row],[Pre annual refrigerant leakage %]]*Table2[[#This Row],[Pre GWP]]</f>
        <v>#N/A</v>
      </c>
      <c r="AI86" s="165" t="e">
        <f>(Table2[[#This Row],[Std Refrigerant charge (lbs)per NormUnit]]/pounds_per_metric_ton)*Table2[[#This Row],[Std annual refrigerant leakage %]]*Table2[[#This Row],[Std GWP]]</f>
        <v>#N/A</v>
      </c>
      <c r="AJ86" s="165" t="e">
        <f>(Table2[[#This Row],[Msr Refrigerant charge (lbs)per NormUnit]]/pounds_per_metric_ton)*Table2[[#This Row],[Msr annual refrigerant leakage %]]*Table2[[#This Row],[Msr GWP]]</f>
        <v>#N/A</v>
      </c>
      <c r="AK86" s="165" t="e">
        <f>(Table2[[#This Row],[Pre Refrigerant charge (lbs) per NormUnit]]/pounds_per_metric_ton)*Table2[[#This Row],[Pre net EOL refrigerant leakage (%)]]*Table2[[#This Row],[Pre GWP]]</f>
        <v>#N/A</v>
      </c>
      <c r="AL86" s="165" t="e">
        <f>(Table2[[#This Row],[Std Refrigerant charge (lbs)per NormUnit]]/pounds_per_metric_ton)*Table2[[#This Row],[Std net EOL refrigerant leakage (%)]]*Table2[[#This Row],[Std GWP]]</f>
        <v>#N/A</v>
      </c>
      <c r="AM86" s="165" t="e">
        <f>(Table2[[#This Row],[Msr Refrigerant charge (lbs)per NormUnit]]/pounds_per_metric_ton)*Table2[[#This Row],[Msr net EOL refrigerant leakage (%)]]*Table2[[#This Row],[Msr GWP]]</f>
        <v>#N/A</v>
      </c>
      <c r="AN86" s="174" cm="1">
        <f t="array" aca="1" ref="AN86" ca="1">IF(Table2[[#This Row],[MeasAppType]]="AR",Table2[[#This Row],[Pre Annual leakage tons CO2e]]*NPV(WACC,OFFSET(const_ones,0,0,1,Table2[[#This Row],[EUL]])*OFFSET(GHG_Adder_dollar_per_tonne,0,(Table2[[#This Row],[Device installation year]])-GHG_Adder_Yr1,1,Table2[[#This Row],[EUL]]))/(1+WACC)^(Table2[[#This Row],[Device installation year]]-DY),0)</f>
        <v>0</v>
      </c>
      <c r="AO86" s="174" t="e" cm="1">
        <f t="array" aca="1" ref="AO86"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86" s="174" t="e" cm="1">
        <f t="array" aca="1" ref="AP86" ca="1">Table2[[#This Row],[Msr Annual leakage tons CO2e]]*NPV(WACC,OFFSET(const_ones,0,0,1,Table2[[#This Row],[EUL]])*OFFSET(GHG_Adder_dollar_per_tonne,0,((Table2[[#This Row],[Device installation year]])-GHG_Adder_Yr1),1,Table2[[#This Row],[EUL]]))/(1+WACC)^(Table2[[#This Row],[Device installation year]]-DY)</f>
        <v>#N/A</v>
      </c>
      <c r="AQ86" s="260" cm="1">
        <f t="array" aca="1" ref="AQ86"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86" s="261" t="e" cm="1">
        <f t="array" aca="1" ref="AR86"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86" s="261" t="e" cm="1">
        <f t="array" aca="1" ref="AS86" ca="1">Table2[[#This Row],[Msr EOL leakage tons CO2e]]*NPV(WACC,OFFSET(const_repeat_after,Table2[[#This Row],[EUL]],0,1,Table2[[#This Row],[EUL]])*OFFSET(GHG_Adder_dollar_per_tonne,0,(Table2[[#This Row],[Device installation year]])-GHG_Adder_Yr1,1,Table2[[#This Row],[EUL]]))/(1+WACC)^(Table2[[#This Row],[Device installation year]]-DY)</f>
        <v>#N/A</v>
      </c>
      <c r="AT86" s="260">
        <f>0</f>
        <v>0</v>
      </c>
      <c r="AU86"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86" s="174" t="e">
        <f ca="1">Table2[[#This Row],[RefrigerantNPVCostsNet]]&gt;0</f>
        <v>#N/A</v>
      </c>
      <c r="AW86" s="174">
        <f>0</f>
        <v>0</v>
      </c>
      <c r="AX86" s="174">
        <f>0</f>
        <v>0</v>
      </c>
      <c r="AY86" s="174">
        <f>0</f>
        <v>0</v>
      </c>
      <c r="AZ86" s="174">
        <f ca="1">Table2[[#This Row],[Pre NPV Cost of Annual Leakage]]+Table2[[#This Row],[Pre NPV Cost of EOL Leakage]]</f>
        <v>0</v>
      </c>
      <c r="BA86" s="174" t="e">
        <f ca="1">Table2[[#This Row],[Std NPV Cost of Annual Leakage]]+Table2[[#This Row],[Std NPV Cost of EOL Leakage]]</f>
        <v>#N/A</v>
      </c>
      <c r="BB86" s="174" t="e">
        <f ca="1">Table2[[#This Row],[AR immediate NPV cost of leakage]]+Table2[[#This Row],[Msr NPV Cost of Annual Leakage]]+Table2[[#This Row],[Msr NPV Cost of EOL Leakage]]</f>
        <v>#N/A</v>
      </c>
      <c r="BC86" s="273" t="e">
        <f ca="1">IF(Table2[[#This Row],[Is Net Cost?]],Table2[[#This Row],[RefrigerantNPVCostsNet]],0)</f>
        <v>#N/A</v>
      </c>
      <c r="BD86" s="174" t="e">
        <f ca="1">IF(Table2[[#This Row],[Is Net Cost?]],0,-Table2[[#This Row],[RefrigerantNPVCostsNet]])</f>
        <v>#N/A</v>
      </c>
    </row>
    <row r="87" spans="1:56" x14ac:dyDescent="0.3">
      <c r="A87" s="173">
        <f t="shared" si="3"/>
        <v>2022</v>
      </c>
      <c r="B87" s="268"/>
      <c r="C87" s="212"/>
      <c r="D87" s="212"/>
      <c r="E87" s="216" t="str">
        <f>IF(Table2[[#This Row],[MeasAppType]]="NR","N/A","N/A")</f>
        <v>N/A</v>
      </c>
      <c r="F87" s="272"/>
      <c r="G87" s="218"/>
      <c r="H87" s="218"/>
      <c r="I87" s="218"/>
      <c r="J87" s="173" t="e">
        <f>INDEX(Table3[CommonRefrigerantType],MATCH(Table2[[#This Row],[Pre tech lookup (not required for "NR" measure application types)]],DropdownRefrigTech,0))</f>
        <v>#N/A</v>
      </c>
      <c r="K87" s="173" t="e">
        <f>INDEX(Table3[CommonRefrigerantType],MATCH(Table2[[#This Row],[Std tech lookup (not required for "AR" measure application types)]],DropdownRefrigTech,0))</f>
        <v>#N/A</v>
      </c>
      <c r="L87" s="173" t="e">
        <f>INDEX(Table3[CommonRefrigerantType],MATCH(Table2[[#This Row],[Msr tech lookup]],DropdownRefrigTech,0))</f>
        <v>#N/A</v>
      </c>
      <c r="M87" s="134" t="e">
        <f>INDEX(Table3[RefrigChargePoundsPerNormUnit],MATCH(Table2[[#This Row],[Pre tech lookup (not required for "NR" measure application types)]],DropdownRefrigTech,0))</f>
        <v>#N/A</v>
      </c>
      <c r="N87" s="134" t="e">
        <f>INDEX(Table3[RefrigChargePoundsPerNormUnit],MATCH(Table2[[#This Row],[Std tech lookup (not required for "AR" measure application types)]],DropdownRefrigTech,0))</f>
        <v>#N/A</v>
      </c>
      <c r="O87" s="149" t="e">
        <f>INDEX(Table3[RefrigChargePoundsPerNormUnit],MATCH(Table2[[#This Row],[Msr tech lookup]],DropdownRefrigTech,0))</f>
        <v>#N/A</v>
      </c>
      <c r="P87" s="163" t="e">
        <f>INDEX(Table3[AnnualLeakageRate],MATCH(Table2[[#This Row],[Pre tech lookup (not required for "NR" measure application types)]],DropdownRefrigTech,0))</f>
        <v>#N/A</v>
      </c>
      <c r="Q87" s="163" t="e">
        <f>INDEX(Table3[AnnualLeakageRate],MATCH(Table2[[#This Row],[Std tech lookup (not required for "AR" measure application types)]],DropdownRefrigTech,0))</f>
        <v>#N/A</v>
      </c>
      <c r="R87" s="163" t="e">
        <f>INDEX(Table3[AnnualLeakageRate],MATCH(Table2[[#This Row],[Msr tech lookup]],DropdownRefrigTech,0))</f>
        <v>#N/A</v>
      </c>
      <c r="S87" s="164" t="e">
        <f>INDEX(Table3[t_EOL],MATCH(Table2[[#This Row],[Pre tech lookup (not required for "NR" measure application types)]],DropdownRefrigTech,0))</f>
        <v>#N/A</v>
      </c>
      <c r="T87" s="164" t="e">
        <f>INDEX(Table3[t_EOL],MATCH(Table2[[#This Row],[Std tech lookup (not required for "AR" measure application types)]],DropdownRefrigTech,0))</f>
        <v>#N/A</v>
      </c>
      <c r="U87" s="164" t="e">
        <f>INDEX(Table3[t_EOL],MATCH(Table2[[#This Row],[Msr tech lookup]],DropdownRefrigTech,0))</f>
        <v>#N/A</v>
      </c>
      <c r="V87" s="163" t="e">
        <f>1-Table2[[#This Row],[Pre annual refrigerant leakage %]]*Table2[[#This Row],[Pre t_EOL]]</f>
        <v>#N/A</v>
      </c>
      <c r="W87" s="163" t="e">
        <f>1-Table2[[#This Row],[Std annual refrigerant leakage %]]*Table2[[#This Row],[Std t_EOL]]</f>
        <v>#N/A</v>
      </c>
      <c r="X87" s="163" t="e">
        <f>1-Table2[[#This Row],[Msr annual refrigerant leakage %]]*Table2[[#This Row],[Msr t_EOL]]</f>
        <v>#N/A</v>
      </c>
      <c r="Y87" s="163" t="e">
        <f>INDEX(Table3[q_EOL],MATCH(Table2[[#This Row],[Pre tech lookup (not required for "NR" measure application types)]],DropdownRefrigTech,0))</f>
        <v>#N/A</v>
      </c>
      <c r="Z87" s="163" t="e">
        <f>INDEX(Table3[q_EOL],MATCH(Table2[[#This Row],[Std tech lookup (not required for "AR" measure application types)]],DropdownRefrigTech,0))</f>
        <v>#N/A</v>
      </c>
      <c r="AA87" s="163" t="e">
        <f>INDEX(Table3[q_EOL],MATCH(Table2[[#This Row],[Msr tech lookup]],DropdownRefrigTech,0))</f>
        <v>#N/A</v>
      </c>
      <c r="AB87" s="163" t="e">
        <f>Table2[[#This Row],[Pre charging remaining (%)]]*Table2[[#This Row],[Pre gross EOL refrigerant leakage %]]</f>
        <v>#N/A</v>
      </c>
      <c r="AC87" s="163" t="e">
        <f>Table2[[#This Row],[Std charging remaining (%)]]*Table2[[#This Row],[Std gross EOL refrigerant leakage %]]</f>
        <v>#N/A</v>
      </c>
      <c r="AD87" s="163" t="e">
        <f>Table2[[#This Row],[Msr charging remaining (%)]]*Table2[[#This Row],[Msr gross EOL refrigerant leakage %]]</f>
        <v>#N/A</v>
      </c>
      <c r="AE87" s="164" t="e" cm="1">
        <f t="array" ref="AE87">INDEX(_xlfn.SWITCH($B$4,"20-yr",GWP_Values_20_year_AR4,"100-yr",GWP_Values_100_year_AR4),MATCH(Table2[[#This Row],[Pre Refrigerant Type]],RefrigDropdownList,0))</f>
        <v>#N/A</v>
      </c>
      <c r="AF87" s="164" t="e" cm="1">
        <f t="array" ref="AF87">INDEX(_xlfn.SWITCH($B$4,"20-yr",GWP_Values_20_year_AR4,"100-yr",GWP_Values_100_year_AR4),MATCH(Table2[[#This Row],[Std Refrigerant Type]],RefrigDropdownList,0))</f>
        <v>#N/A</v>
      </c>
      <c r="AG87" s="164" t="e" cm="1">
        <f t="array" ref="AG87">INDEX(_xlfn.SWITCH($B$4,"20-yr",GWP_Values_20_year_AR4,"100-yr",GWP_Values_100_year_AR4),MATCH(Table2[[#This Row],[Msr Refrigerant Type]],RefrigDropdownList,0))</f>
        <v>#N/A</v>
      </c>
      <c r="AH87" s="165" t="e">
        <f>(Table2[[#This Row],[Pre Refrigerant charge (lbs) per NormUnit]]/pounds_per_metric_ton)*Table2[[#This Row],[Pre annual refrigerant leakage %]]*Table2[[#This Row],[Pre GWP]]</f>
        <v>#N/A</v>
      </c>
      <c r="AI87" s="165" t="e">
        <f>(Table2[[#This Row],[Std Refrigerant charge (lbs)per NormUnit]]/pounds_per_metric_ton)*Table2[[#This Row],[Std annual refrigerant leakage %]]*Table2[[#This Row],[Std GWP]]</f>
        <v>#N/A</v>
      </c>
      <c r="AJ87" s="165" t="e">
        <f>(Table2[[#This Row],[Msr Refrigerant charge (lbs)per NormUnit]]/pounds_per_metric_ton)*Table2[[#This Row],[Msr annual refrigerant leakage %]]*Table2[[#This Row],[Msr GWP]]</f>
        <v>#N/A</v>
      </c>
      <c r="AK87" s="165" t="e">
        <f>(Table2[[#This Row],[Pre Refrigerant charge (lbs) per NormUnit]]/pounds_per_metric_ton)*Table2[[#This Row],[Pre net EOL refrigerant leakage (%)]]*Table2[[#This Row],[Pre GWP]]</f>
        <v>#N/A</v>
      </c>
      <c r="AL87" s="165" t="e">
        <f>(Table2[[#This Row],[Std Refrigerant charge (lbs)per NormUnit]]/pounds_per_metric_ton)*Table2[[#This Row],[Std net EOL refrigerant leakage (%)]]*Table2[[#This Row],[Std GWP]]</f>
        <v>#N/A</v>
      </c>
      <c r="AM87" s="165" t="e">
        <f>(Table2[[#This Row],[Msr Refrigerant charge (lbs)per NormUnit]]/pounds_per_metric_ton)*Table2[[#This Row],[Msr net EOL refrigerant leakage (%)]]*Table2[[#This Row],[Msr GWP]]</f>
        <v>#N/A</v>
      </c>
      <c r="AN87" s="174" cm="1">
        <f t="array" aca="1" ref="AN87" ca="1">IF(Table2[[#This Row],[MeasAppType]]="AR",Table2[[#This Row],[Pre Annual leakage tons CO2e]]*NPV(WACC,OFFSET(const_ones,0,0,1,Table2[[#This Row],[EUL]])*OFFSET(GHG_Adder_dollar_per_tonne,0,(Table2[[#This Row],[Device installation year]])-GHG_Adder_Yr1,1,Table2[[#This Row],[EUL]]))/(1+WACC)^(Table2[[#This Row],[Device installation year]]-DY),0)</f>
        <v>0</v>
      </c>
      <c r="AO87" s="174" t="e" cm="1">
        <f t="array" aca="1" ref="AO87"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87" s="174" t="e" cm="1">
        <f t="array" aca="1" ref="AP87" ca="1">Table2[[#This Row],[Msr Annual leakage tons CO2e]]*NPV(WACC,OFFSET(const_ones,0,0,1,Table2[[#This Row],[EUL]])*OFFSET(GHG_Adder_dollar_per_tonne,0,((Table2[[#This Row],[Device installation year]])-GHG_Adder_Yr1),1,Table2[[#This Row],[EUL]]))/(1+WACC)^(Table2[[#This Row],[Device installation year]]-DY)</f>
        <v>#N/A</v>
      </c>
      <c r="AQ87" s="260" cm="1">
        <f t="array" aca="1" ref="AQ87"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87" s="261" t="e" cm="1">
        <f t="array" aca="1" ref="AR87"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87" s="261" t="e" cm="1">
        <f t="array" aca="1" ref="AS87" ca="1">Table2[[#This Row],[Msr EOL leakage tons CO2e]]*NPV(WACC,OFFSET(const_repeat_after,Table2[[#This Row],[EUL]],0,1,Table2[[#This Row],[EUL]])*OFFSET(GHG_Adder_dollar_per_tonne,0,(Table2[[#This Row],[Device installation year]])-GHG_Adder_Yr1,1,Table2[[#This Row],[EUL]]))/(1+WACC)^(Table2[[#This Row],[Device installation year]]-DY)</f>
        <v>#N/A</v>
      </c>
      <c r="AT87" s="260">
        <f>0</f>
        <v>0</v>
      </c>
      <c r="AU87"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87" s="174" t="e">
        <f ca="1">Table2[[#This Row],[RefrigerantNPVCostsNet]]&gt;0</f>
        <v>#N/A</v>
      </c>
      <c r="AW87" s="174">
        <f>0</f>
        <v>0</v>
      </c>
      <c r="AX87" s="174">
        <f>0</f>
        <v>0</v>
      </c>
      <c r="AY87" s="174">
        <f>0</f>
        <v>0</v>
      </c>
      <c r="AZ87" s="174">
        <f ca="1">Table2[[#This Row],[Pre NPV Cost of Annual Leakage]]+Table2[[#This Row],[Pre NPV Cost of EOL Leakage]]</f>
        <v>0</v>
      </c>
      <c r="BA87" s="174" t="e">
        <f ca="1">Table2[[#This Row],[Std NPV Cost of Annual Leakage]]+Table2[[#This Row],[Std NPV Cost of EOL Leakage]]</f>
        <v>#N/A</v>
      </c>
      <c r="BB87" s="174" t="e">
        <f ca="1">Table2[[#This Row],[AR immediate NPV cost of leakage]]+Table2[[#This Row],[Msr NPV Cost of Annual Leakage]]+Table2[[#This Row],[Msr NPV Cost of EOL Leakage]]</f>
        <v>#N/A</v>
      </c>
      <c r="BC87" s="273" t="e">
        <f ca="1">IF(Table2[[#This Row],[Is Net Cost?]],Table2[[#This Row],[RefrigerantNPVCostsNet]],0)</f>
        <v>#N/A</v>
      </c>
      <c r="BD87" s="174" t="e">
        <f ca="1">IF(Table2[[#This Row],[Is Net Cost?]],0,-Table2[[#This Row],[RefrigerantNPVCostsNet]])</f>
        <v>#N/A</v>
      </c>
    </row>
    <row r="88" spans="1:56" x14ac:dyDescent="0.3">
      <c r="A88" s="173">
        <f t="shared" si="3"/>
        <v>2022</v>
      </c>
      <c r="B88" s="268"/>
      <c r="C88" s="212"/>
      <c r="D88" s="212"/>
      <c r="E88" s="216" t="str">
        <f>IF(Table2[[#This Row],[MeasAppType]]="NR","N/A","N/A")</f>
        <v>N/A</v>
      </c>
      <c r="F88" s="272"/>
      <c r="G88" s="218"/>
      <c r="H88" s="218"/>
      <c r="I88" s="218"/>
      <c r="J88" s="173" t="e">
        <f>INDEX(Table3[CommonRefrigerantType],MATCH(Table2[[#This Row],[Pre tech lookup (not required for "NR" measure application types)]],DropdownRefrigTech,0))</f>
        <v>#N/A</v>
      </c>
      <c r="K88" s="173" t="e">
        <f>INDEX(Table3[CommonRefrigerantType],MATCH(Table2[[#This Row],[Std tech lookup (not required for "AR" measure application types)]],DropdownRefrigTech,0))</f>
        <v>#N/A</v>
      </c>
      <c r="L88" s="173" t="e">
        <f>INDEX(Table3[CommonRefrigerantType],MATCH(Table2[[#This Row],[Msr tech lookup]],DropdownRefrigTech,0))</f>
        <v>#N/A</v>
      </c>
      <c r="M88" s="134" t="e">
        <f>INDEX(Table3[RefrigChargePoundsPerNormUnit],MATCH(Table2[[#This Row],[Pre tech lookup (not required for "NR" measure application types)]],DropdownRefrigTech,0))</f>
        <v>#N/A</v>
      </c>
      <c r="N88" s="134" t="e">
        <f>INDEX(Table3[RefrigChargePoundsPerNormUnit],MATCH(Table2[[#This Row],[Std tech lookup (not required for "AR" measure application types)]],DropdownRefrigTech,0))</f>
        <v>#N/A</v>
      </c>
      <c r="O88" s="149" t="e">
        <f>INDEX(Table3[RefrigChargePoundsPerNormUnit],MATCH(Table2[[#This Row],[Msr tech lookup]],DropdownRefrigTech,0))</f>
        <v>#N/A</v>
      </c>
      <c r="P88" s="163" t="e">
        <f>INDEX(Table3[AnnualLeakageRate],MATCH(Table2[[#This Row],[Pre tech lookup (not required for "NR" measure application types)]],DropdownRefrigTech,0))</f>
        <v>#N/A</v>
      </c>
      <c r="Q88" s="163" t="e">
        <f>INDEX(Table3[AnnualLeakageRate],MATCH(Table2[[#This Row],[Std tech lookup (not required for "AR" measure application types)]],DropdownRefrigTech,0))</f>
        <v>#N/A</v>
      </c>
      <c r="R88" s="163" t="e">
        <f>INDEX(Table3[AnnualLeakageRate],MATCH(Table2[[#This Row],[Msr tech lookup]],DropdownRefrigTech,0))</f>
        <v>#N/A</v>
      </c>
      <c r="S88" s="164" t="e">
        <f>INDEX(Table3[t_EOL],MATCH(Table2[[#This Row],[Pre tech lookup (not required for "NR" measure application types)]],DropdownRefrigTech,0))</f>
        <v>#N/A</v>
      </c>
      <c r="T88" s="164" t="e">
        <f>INDEX(Table3[t_EOL],MATCH(Table2[[#This Row],[Std tech lookup (not required for "AR" measure application types)]],DropdownRefrigTech,0))</f>
        <v>#N/A</v>
      </c>
      <c r="U88" s="164" t="e">
        <f>INDEX(Table3[t_EOL],MATCH(Table2[[#This Row],[Msr tech lookup]],DropdownRefrigTech,0))</f>
        <v>#N/A</v>
      </c>
      <c r="V88" s="163" t="e">
        <f>1-Table2[[#This Row],[Pre annual refrigerant leakage %]]*Table2[[#This Row],[Pre t_EOL]]</f>
        <v>#N/A</v>
      </c>
      <c r="W88" s="163" t="e">
        <f>1-Table2[[#This Row],[Std annual refrigerant leakage %]]*Table2[[#This Row],[Std t_EOL]]</f>
        <v>#N/A</v>
      </c>
      <c r="X88" s="163" t="e">
        <f>1-Table2[[#This Row],[Msr annual refrigerant leakage %]]*Table2[[#This Row],[Msr t_EOL]]</f>
        <v>#N/A</v>
      </c>
      <c r="Y88" s="163" t="e">
        <f>INDEX(Table3[q_EOL],MATCH(Table2[[#This Row],[Pre tech lookup (not required for "NR" measure application types)]],DropdownRefrigTech,0))</f>
        <v>#N/A</v>
      </c>
      <c r="Z88" s="163" t="e">
        <f>INDEX(Table3[q_EOL],MATCH(Table2[[#This Row],[Std tech lookup (not required for "AR" measure application types)]],DropdownRefrigTech,0))</f>
        <v>#N/A</v>
      </c>
      <c r="AA88" s="163" t="e">
        <f>INDEX(Table3[q_EOL],MATCH(Table2[[#This Row],[Msr tech lookup]],DropdownRefrigTech,0))</f>
        <v>#N/A</v>
      </c>
      <c r="AB88" s="163" t="e">
        <f>Table2[[#This Row],[Pre charging remaining (%)]]*Table2[[#This Row],[Pre gross EOL refrigerant leakage %]]</f>
        <v>#N/A</v>
      </c>
      <c r="AC88" s="163" t="e">
        <f>Table2[[#This Row],[Std charging remaining (%)]]*Table2[[#This Row],[Std gross EOL refrigerant leakage %]]</f>
        <v>#N/A</v>
      </c>
      <c r="AD88" s="163" t="e">
        <f>Table2[[#This Row],[Msr charging remaining (%)]]*Table2[[#This Row],[Msr gross EOL refrigerant leakage %]]</f>
        <v>#N/A</v>
      </c>
      <c r="AE88" s="164" t="e" cm="1">
        <f t="array" ref="AE88">INDEX(_xlfn.SWITCH($B$4,"20-yr",GWP_Values_20_year_AR4,"100-yr",GWP_Values_100_year_AR4),MATCH(Table2[[#This Row],[Pre Refrigerant Type]],RefrigDropdownList,0))</f>
        <v>#N/A</v>
      </c>
      <c r="AF88" s="164" t="e" cm="1">
        <f t="array" ref="AF88">INDEX(_xlfn.SWITCH($B$4,"20-yr",GWP_Values_20_year_AR4,"100-yr",GWP_Values_100_year_AR4),MATCH(Table2[[#This Row],[Std Refrigerant Type]],RefrigDropdownList,0))</f>
        <v>#N/A</v>
      </c>
      <c r="AG88" s="164" t="e" cm="1">
        <f t="array" ref="AG88">INDEX(_xlfn.SWITCH($B$4,"20-yr",GWP_Values_20_year_AR4,"100-yr",GWP_Values_100_year_AR4),MATCH(Table2[[#This Row],[Msr Refrigerant Type]],RefrigDropdownList,0))</f>
        <v>#N/A</v>
      </c>
      <c r="AH88" s="165" t="e">
        <f>(Table2[[#This Row],[Pre Refrigerant charge (lbs) per NormUnit]]/pounds_per_metric_ton)*Table2[[#This Row],[Pre annual refrigerant leakage %]]*Table2[[#This Row],[Pre GWP]]</f>
        <v>#N/A</v>
      </c>
      <c r="AI88" s="165" t="e">
        <f>(Table2[[#This Row],[Std Refrigerant charge (lbs)per NormUnit]]/pounds_per_metric_ton)*Table2[[#This Row],[Std annual refrigerant leakage %]]*Table2[[#This Row],[Std GWP]]</f>
        <v>#N/A</v>
      </c>
      <c r="AJ88" s="165" t="e">
        <f>(Table2[[#This Row],[Msr Refrigerant charge (lbs)per NormUnit]]/pounds_per_metric_ton)*Table2[[#This Row],[Msr annual refrigerant leakage %]]*Table2[[#This Row],[Msr GWP]]</f>
        <v>#N/A</v>
      </c>
      <c r="AK88" s="165" t="e">
        <f>(Table2[[#This Row],[Pre Refrigerant charge (lbs) per NormUnit]]/pounds_per_metric_ton)*Table2[[#This Row],[Pre net EOL refrigerant leakage (%)]]*Table2[[#This Row],[Pre GWP]]</f>
        <v>#N/A</v>
      </c>
      <c r="AL88" s="165" t="e">
        <f>(Table2[[#This Row],[Std Refrigerant charge (lbs)per NormUnit]]/pounds_per_metric_ton)*Table2[[#This Row],[Std net EOL refrigerant leakage (%)]]*Table2[[#This Row],[Std GWP]]</f>
        <v>#N/A</v>
      </c>
      <c r="AM88" s="165" t="e">
        <f>(Table2[[#This Row],[Msr Refrigerant charge (lbs)per NormUnit]]/pounds_per_metric_ton)*Table2[[#This Row],[Msr net EOL refrigerant leakage (%)]]*Table2[[#This Row],[Msr GWP]]</f>
        <v>#N/A</v>
      </c>
      <c r="AN88" s="174" cm="1">
        <f t="array" aca="1" ref="AN88" ca="1">IF(Table2[[#This Row],[MeasAppType]]="AR",Table2[[#This Row],[Pre Annual leakage tons CO2e]]*NPV(WACC,OFFSET(const_ones,0,0,1,Table2[[#This Row],[EUL]])*OFFSET(GHG_Adder_dollar_per_tonne,0,(Table2[[#This Row],[Device installation year]])-GHG_Adder_Yr1,1,Table2[[#This Row],[EUL]]))/(1+WACC)^(Table2[[#This Row],[Device installation year]]-DY),0)</f>
        <v>0</v>
      </c>
      <c r="AO88" s="174" t="e" cm="1">
        <f t="array" aca="1" ref="AO88"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88" s="174" t="e" cm="1">
        <f t="array" aca="1" ref="AP88" ca="1">Table2[[#This Row],[Msr Annual leakage tons CO2e]]*NPV(WACC,OFFSET(const_ones,0,0,1,Table2[[#This Row],[EUL]])*OFFSET(GHG_Adder_dollar_per_tonne,0,((Table2[[#This Row],[Device installation year]])-GHG_Adder_Yr1),1,Table2[[#This Row],[EUL]]))/(1+WACC)^(Table2[[#This Row],[Device installation year]]-DY)</f>
        <v>#N/A</v>
      </c>
      <c r="AQ88" s="260" cm="1">
        <f t="array" aca="1" ref="AQ88"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88" s="261" t="e" cm="1">
        <f t="array" aca="1" ref="AR88"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88" s="261" t="e" cm="1">
        <f t="array" aca="1" ref="AS88" ca="1">Table2[[#This Row],[Msr EOL leakage tons CO2e]]*NPV(WACC,OFFSET(const_repeat_after,Table2[[#This Row],[EUL]],0,1,Table2[[#This Row],[EUL]])*OFFSET(GHG_Adder_dollar_per_tonne,0,(Table2[[#This Row],[Device installation year]])-GHG_Adder_Yr1,1,Table2[[#This Row],[EUL]]))/(1+WACC)^(Table2[[#This Row],[Device installation year]]-DY)</f>
        <v>#N/A</v>
      </c>
      <c r="AT88" s="260">
        <f>0</f>
        <v>0</v>
      </c>
      <c r="AU88"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88" s="174" t="e">
        <f ca="1">Table2[[#This Row],[RefrigerantNPVCostsNet]]&gt;0</f>
        <v>#N/A</v>
      </c>
      <c r="AW88" s="174">
        <f>0</f>
        <v>0</v>
      </c>
      <c r="AX88" s="174">
        <f>0</f>
        <v>0</v>
      </c>
      <c r="AY88" s="174">
        <f>0</f>
        <v>0</v>
      </c>
      <c r="AZ88" s="174">
        <f ca="1">Table2[[#This Row],[Pre NPV Cost of Annual Leakage]]+Table2[[#This Row],[Pre NPV Cost of EOL Leakage]]</f>
        <v>0</v>
      </c>
      <c r="BA88" s="174" t="e">
        <f ca="1">Table2[[#This Row],[Std NPV Cost of Annual Leakage]]+Table2[[#This Row],[Std NPV Cost of EOL Leakage]]</f>
        <v>#N/A</v>
      </c>
      <c r="BB88" s="174" t="e">
        <f ca="1">Table2[[#This Row],[AR immediate NPV cost of leakage]]+Table2[[#This Row],[Msr NPV Cost of Annual Leakage]]+Table2[[#This Row],[Msr NPV Cost of EOL Leakage]]</f>
        <v>#N/A</v>
      </c>
      <c r="BC88" s="273" t="e">
        <f ca="1">IF(Table2[[#This Row],[Is Net Cost?]],Table2[[#This Row],[RefrigerantNPVCostsNet]],0)</f>
        <v>#N/A</v>
      </c>
      <c r="BD88" s="174" t="e">
        <f ca="1">IF(Table2[[#This Row],[Is Net Cost?]],0,-Table2[[#This Row],[RefrigerantNPVCostsNet]])</f>
        <v>#N/A</v>
      </c>
    </row>
    <row r="89" spans="1:56" x14ac:dyDescent="0.3">
      <c r="A89" s="173">
        <f t="shared" si="3"/>
        <v>2022</v>
      </c>
      <c r="B89" s="268"/>
      <c r="C89" s="212"/>
      <c r="D89" s="212"/>
      <c r="E89" s="216" t="str">
        <f>IF(Table2[[#This Row],[MeasAppType]]="NR","N/A","N/A")</f>
        <v>N/A</v>
      </c>
      <c r="F89" s="272"/>
      <c r="G89" s="218"/>
      <c r="H89" s="218"/>
      <c r="I89" s="218"/>
      <c r="J89" s="173" t="e">
        <f>INDEX(Table3[CommonRefrigerantType],MATCH(Table2[[#This Row],[Pre tech lookup (not required for "NR" measure application types)]],DropdownRefrigTech,0))</f>
        <v>#N/A</v>
      </c>
      <c r="K89" s="173" t="e">
        <f>INDEX(Table3[CommonRefrigerantType],MATCH(Table2[[#This Row],[Std tech lookup (not required for "AR" measure application types)]],DropdownRefrigTech,0))</f>
        <v>#N/A</v>
      </c>
      <c r="L89" s="173" t="e">
        <f>INDEX(Table3[CommonRefrigerantType],MATCH(Table2[[#This Row],[Msr tech lookup]],DropdownRefrigTech,0))</f>
        <v>#N/A</v>
      </c>
      <c r="M89" s="134" t="e">
        <f>INDEX(Table3[RefrigChargePoundsPerNormUnit],MATCH(Table2[[#This Row],[Pre tech lookup (not required for "NR" measure application types)]],DropdownRefrigTech,0))</f>
        <v>#N/A</v>
      </c>
      <c r="N89" s="134" t="e">
        <f>INDEX(Table3[RefrigChargePoundsPerNormUnit],MATCH(Table2[[#This Row],[Std tech lookup (not required for "AR" measure application types)]],DropdownRefrigTech,0))</f>
        <v>#N/A</v>
      </c>
      <c r="O89" s="149" t="e">
        <f>INDEX(Table3[RefrigChargePoundsPerNormUnit],MATCH(Table2[[#This Row],[Msr tech lookup]],DropdownRefrigTech,0))</f>
        <v>#N/A</v>
      </c>
      <c r="P89" s="163" t="e">
        <f>INDEX(Table3[AnnualLeakageRate],MATCH(Table2[[#This Row],[Pre tech lookup (not required for "NR" measure application types)]],DropdownRefrigTech,0))</f>
        <v>#N/A</v>
      </c>
      <c r="Q89" s="163" t="e">
        <f>INDEX(Table3[AnnualLeakageRate],MATCH(Table2[[#This Row],[Std tech lookup (not required for "AR" measure application types)]],DropdownRefrigTech,0))</f>
        <v>#N/A</v>
      </c>
      <c r="R89" s="163" t="e">
        <f>INDEX(Table3[AnnualLeakageRate],MATCH(Table2[[#This Row],[Msr tech lookup]],DropdownRefrigTech,0))</f>
        <v>#N/A</v>
      </c>
      <c r="S89" s="164" t="e">
        <f>INDEX(Table3[t_EOL],MATCH(Table2[[#This Row],[Pre tech lookup (not required for "NR" measure application types)]],DropdownRefrigTech,0))</f>
        <v>#N/A</v>
      </c>
      <c r="T89" s="164" t="e">
        <f>INDEX(Table3[t_EOL],MATCH(Table2[[#This Row],[Std tech lookup (not required for "AR" measure application types)]],DropdownRefrigTech,0))</f>
        <v>#N/A</v>
      </c>
      <c r="U89" s="164" t="e">
        <f>INDEX(Table3[t_EOL],MATCH(Table2[[#This Row],[Msr tech lookup]],DropdownRefrigTech,0))</f>
        <v>#N/A</v>
      </c>
      <c r="V89" s="163" t="e">
        <f>1-Table2[[#This Row],[Pre annual refrigerant leakage %]]*Table2[[#This Row],[Pre t_EOL]]</f>
        <v>#N/A</v>
      </c>
      <c r="W89" s="163" t="e">
        <f>1-Table2[[#This Row],[Std annual refrigerant leakage %]]*Table2[[#This Row],[Std t_EOL]]</f>
        <v>#N/A</v>
      </c>
      <c r="X89" s="163" t="e">
        <f>1-Table2[[#This Row],[Msr annual refrigerant leakage %]]*Table2[[#This Row],[Msr t_EOL]]</f>
        <v>#N/A</v>
      </c>
      <c r="Y89" s="163" t="e">
        <f>INDEX(Table3[q_EOL],MATCH(Table2[[#This Row],[Pre tech lookup (not required for "NR" measure application types)]],DropdownRefrigTech,0))</f>
        <v>#N/A</v>
      </c>
      <c r="Z89" s="163" t="e">
        <f>INDEX(Table3[q_EOL],MATCH(Table2[[#This Row],[Std tech lookup (not required for "AR" measure application types)]],DropdownRefrigTech,0))</f>
        <v>#N/A</v>
      </c>
      <c r="AA89" s="163" t="e">
        <f>INDEX(Table3[q_EOL],MATCH(Table2[[#This Row],[Msr tech lookup]],DropdownRefrigTech,0))</f>
        <v>#N/A</v>
      </c>
      <c r="AB89" s="163" t="e">
        <f>Table2[[#This Row],[Pre charging remaining (%)]]*Table2[[#This Row],[Pre gross EOL refrigerant leakage %]]</f>
        <v>#N/A</v>
      </c>
      <c r="AC89" s="163" t="e">
        <f>Table2[[#This Row],[Std charging remaining (%)]]*Table2[[#This Row],[Std gross EOL refrigerant leakage %]]</f>
        <v>#N/A</v>
      </c>
      <c r="AD89" s="163" t="e">
        <f>Table2[[#This Row],[Msr charging remaining (%)]]*Table2[[#This Row],[Msr gross EOL refrigerant leakage %]]</f>
        <v>#N/A</v>
      </c>
      <c r="AE89" s="164" t="e" cm="1">
        <f t="array" ref="AE89">INDEX(_xlfn.SWITCH($B$4,"20-yr",GWP_Values_20_year_AR4,"100-yr",GWP_Values_100_year_AR4),MATCH(Table2[[#This Row],[Pre Refrigerant Type]],RefrigDropdownList,0))</f>
        <v>#N/A</v>
      </c>
      <c r="AF89" s="164" t="e" cm="1">
        <f t="array" ref="AF89">INDEX(_xlfn.SWITCH($B$4,"20-yr",GWP_Values_20_year_AR4,"100-yr",GWP_Values_100_year_AR4),MATCH(Table2[[#This Row],[Std Refrigerant Type]],RefrigDropdownList,0))</f>
        <v>#N/A</v>
      </c>
      <c r="AG89" s="164" t="e" cm="1">
        <f t="array" ref="AG89">INDEX(_xlfn.SWITCH($B$4,"20-yr",GWP_Values_20_year_AR4,"100-yr",GWP_Values_100_year_AR4),MATCH(Table2[[#This Row],[Msr Refrigerant Type]],RefrigDropdownList,0))</f>
        <v>#N/A</v>
      </c>
      <c r="AH89" s="165" t="e">
        <f>(Table2[[#This Row],[Pre Refrigerant charge (lbs) per NormUnit]]/pounds_per_metric_ton)*Table2[[#This Row],[Pre annual refrigerant leakage %]]*Table2[[#This Row],[Pre GWP]]</f>
        <v>#N/A</v>
      </c>
      <c r="AI89" s="165" t="e">
        <f>(Table2[[#This Row],[Std Refrigerant charge (lbs)per NormUnit]]/pounds_per_metric_ton)*Table2[[#This Row],[Std annual refrigerant leakage %]]*Table2[[#This Row],[Std GWP]]</f>
        <v>#N/A</v>
      </c>
      <c r="AJ89" s="165" t="e">
        <f>(Table2[[#This Row],[Msr Refrigerant charge (lbs)per NormUnit]]/pounds_per_metric_ton)*Table2[[#This Row],[Msr annual refrigerant leakage %]]*Table2[[#This Row],[Msr GWP]]</f>
        <v>#N/A</v>
      </c>
      <c r="AK89" s="165" t="e">
        <f>(Table2[[#This Row],[Pre Refrigerant charge (lbs) per NormUnit]]/pounds_per_metric_ton)*Table2[[#This Row],[Pre net EOL refrigerant leakage (%)]]*Table2[[#This Row],[Pre GWP]]</f>
        <v>#N/A</v>
      </c>
      <c r="AL89" s="165" t="e">
        <f>(Table2[[#This Row],[Std Refrigerant charge (lbs)per NormUnit]]/pounds_per_metric_ton)*Table2[[#This Row],[Std net EOL refrigerant leakage (%)]]*Table2[[#This Row],[Std GWP]]</f>
        <v>#N/A</v>
      </c>
      <c r="AM89" s="165" t="e">
        <f>(Table2[[#This Row],[Msr Refrigerant charge (lbs)per NormUnit]]/pounds_per_metric_ton)*Table2[[#This Row],[Msr net EOL refrigerant leakage (%)]]*Table2[[#This Row],[Msr GWP]]</f>
        <v>#N/A</v>
      </c>
      <c r="AN89" s="174" cm="1">
        <f t="array" aca="1" ref="AN89" ca="1">IF(Table2[[#This Row],[MeasAppType]]="AR",Table2[[#This Row],[Pre Annual leakage tons CO2e]]*NPV(WACC,OFFSET(const_ones,0,0,1,Table2[[#This Row],[EUL]])*OFFSET(GHG_Adder_dollar_per_tonne,0,(Table2[[#This Row],[Device installation year]])-GHG_Adder_Yr1,1,Table2[[#This Row],[EUL]]))/(1+WACC)^(Table2[[#This Row],[Device installation year]]-DY),0)</f>
        <v>0</v>
      </c>
      <c r="AO89" s="174" t="e" cm="1">
        <f t="array" aca="1" ref="AO89"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89" s="174" t="e" cm="1">
        <f t="array" aca="1" ref="AP89" ca="1">Table2[[#This Row],[Msr Annual leakage tons CO2e]]*NPV(WACC,OFFSET(const_ones,0,0,1,Table2[[#This Row],[EUL]])*OFFSET(GHG_Adder_dollar_per_tonne,0,((Table2[[#This Row],[Device installation year]])-GHG_Adder_Yr1),1,Table2[[#This Row],[EUL]]))/(1+WACC)^(Table2[[#This Row],[Device installation year]]-DY)</f>
        <v>#N/A</v>
      </c>
      <c r="AQ89" s="260" cm="1">
        <f t="array" aca="1" ref="AQ89"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89" s="261" t="e" cm="1">
        <f t="array" aca="1" ref="AR89"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89" s="261" t="e" cm="1">
        <f t="array" aca="1" ref="AS89" ca="1">Table2[[#This Row],[Msr EOL leakage tons CO2e]]*NPV(WACC,OFFSET(const_repeat_after,Table2[[#This Row],[EUL]],0,1,Table2[[#This Row],[EUL]])*OFFSET(GHG_Adder_dollar_per_tonne,0,(Table2[[#This Row],[Device installation year]])-GHG_Adder_Yr1,1,Table2[[#This Row],[EUL]]))/(1+WACC)^(Table2[[#This Row],[Device installation year]]-DY)</f>
        <v>#N/A</v>
      </c>
      <c r="AT89" s="260">
        <f>0</f>
        <v>0</v>
      </c>
      <c r="AU89"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89" s="174" t="e">
        <f ca="1">Table2[[#This Row],[RefrigerantNPVCostsNet]]&gt;0</f>
        <v>#N/A</v>
      </c>
      <c r="AW89" s="174">
        <f>0</f>
        <v>0</v>
      </c>
      <c r="AX89" s="174">
        <f>0</f>
        <v>0</v>
      </c>
      <c r="AY89" s="174">
        <f>0</f>
        <v>0</v>
      </c>
      <c r="AZ89" s="174">
        <f ca="1">Table2[[#This Row],[Pre NPV Cost of Annual Leakage]]+Table2[[#This Row],[Pre NPV Cost of EOL Leakage]]</f>
        <v>0</v>
      </c>
      <c r="BA89" s="174" t="e">
        <f ca="1">Table2[[#This Row],[Std NPV Cost of Annual Leakage]]+Table2[[#This Row],[Std NPV Cost of EOL Leakage]]</f>
        <v>#N/A</v>
      </c>
      <c r="BB89" s="174" t="e">
        <f ca="1">Table2[[#This Row],[AR immediate NPV cost of leakage]]+Table2[[#This Row],[Msr NPV Cost of Annual Leakage]]+Table2[[#This Row],[Msr NPV Cost of EOL Leakage]]</f>
        <v>#N/A</v>
      </c>
      <c r="BC89" s="273" t="e">
        <f ca="1">IF(Table2[[#This Row],[Is Net Cost?]],Table2[[#This Row],[RefrigerantNPVCostsNet]],0)</f>
        <v>#N/A</v>
      </c>
      <c r="BD89" s="174" t="e">
        <f ca="1">IF(Table2[[#This Row],[Is Net Cost?]],0,-Table2[[#This Row],[RefrigerantNPVCostsNet]])</f>
        <v>#N/A</v>
      </c>
    </row>
    <row r="90" spans="1:56" x14ac:dyDescent="0.3">
      <c r="A90" s="173">
        <f t="shared" si="3"/>
        <v>2022</v>
      </c>
      <c r="B90" s="268"/>
      <c r="C90" s="212"/>
      <c r="D90" s="212"/>
      <c r="E90" s="216" t="str">
        <f>IF(Table2[[#This Row],[MeasAppType]]="NR","N/A","N/A")</f>
        <v>N/A</v>
      </c>
      <c r="F90" s="272"/>
      <c r="G90" s="218"/>
      <c r="H90" s="218"/>
      <c r="I90" s="218"/>
      <c r="J90" s="173" t="e">
        <f>INDEX(Table3[CommonRefrigerantType],MATCH(Table2[[#This Row],[Pre tech lookup (not required for "NR" measure application types)]],DropdownRefrigTech,0))</f>
        <v>#N/A</v>
      </c>
      <c r="K90" s="173" t="e">
        <f>INDEX(Table3[CommonRefrigerantType],MATCH(Table2[[#This Row],[Std tech lookup (not required for "AR" measure application types)]],DropdownRefrigTech,0))</f>
        <v>#N/A</v>
      </c>
      <c r="L90" s="173" t="e">
        <f>INDEX(Table3[CommonRefrigerantType],MATCH(Table2[[#This Row],[Msr tech lookup]],DropdownRefrigTech,0))</f>
        <v>#N/A</v>
      </c>
      <c r="M90" s="134" t="e">
        <f>INDEX(Table3[RefrigChargePoundsPerNormUnit],MATCH(Table2[[#This Row],[Pre tech lookup (not required for "NR" measure application types)]],DropdownRefrigTech,0))</f>
        <v>#N/A</v>
      </c>
      <c r="N90" s="134" t="e">
        <f>INDEX(Table3[RefrigChargePoundsPerNormUnit],MATCH(Table2[[#This Row],[Std tech lookup (not required for "AR" measure application types)]],DropdownRefrigTech,0))</f>
        <v>#N/A</v>
      </c>
      <c r="O90" s="149" t="e">
        <f>INDEX(Table3[RefrigChargePoundsPerNormUnit],MATCH(Table2[[#This Row],[Msr tech lookup]],DropdownRefrigTech,0))</f>
        <v>#N/A</v>
      </c>
      <c r="P90" s="163" t="e">
        <f>INDEX(Table3[AnnualLeakageRate],MATCH(Table2[[#This Row],[Pre tech lookup (not required for "NR" measure application types)]],DropdownRefrigTech,0))</f>
        <v>#N/A</v>
      </c>
      <c r="Q90" s="163" t="e">
        <f>INDEX(Table3[AnnualLeakageRate],MATCH(Table2[[#This Row],[Std tech lookup (not required for "AR" measure application types)]],DropdownRefrigTech,0))</f>
        <v>#N/A</v>
      </c>
      <c r="R90" s="163" t="e">
        <f>INDEX(Table3[AnnualLeakageRate],MATCH(Table2[[#This Row],[Msr tech lookup]],DropdownRefrigTech,0))</f>
        <v>#N/A</v>
      </c>
      <c r="S90" s="164" t="e">
        <f>INDEX(Table3[t_EOL],MATCH(Table2[[#This Row],[Pre tech lookup (not required for "NR" measure application types)]],DropdownRefrigTech,0))</f>
        <v>#N/A</v>
      </c>
      <c r="T90" s="164" t="e">
        <f>INDEX(Table3[t_EOL],MATCH(Table2[[#This Row],[Std tech lookup (not required for "AR" measure application types)]],DropdownRefrigTech,0))</f>
        <v>#N/A</v>
      </c>
      <c r="U90" s="164" t="e">
        <f>INDEX(Table3[t_EOL],MATCH(Table2[[#This Row],[Msr tech lookup]],DropdownRefrigTech,0))</f>
        <v>#N/A</v>
      </c>
      <c r="V90" s="163" t="e">
        <f>1-Table2[[#This Row],[Pre annual refrigerant leakage %]]*Table2[[#This Row],[Pre t_EOL]]</f>
        <v>#N/A</v>
      </c>
      <c r="W90" s="163" t="e">
        <f>1-Table2[[#This Row],[Std annual refrigerant leakage %]]*Table2[[#This Row],[Std t_EOL]]</f>
        <v>#N/A</v>
      </c>
      <c r="X90" s="163" t="e">
        <f>1-Table2[[#This Row],[Msr annual refrigerant leakage %]]*Table2[[#This Row],[Msr t_EOL]]</f>
        <v>#N/A</v>
      </c>
      <c r="Y90" s="163" t="e">
        <f>INDEX(Table3[q_EOL],MATCH(Table2[[#This Row],[Pre tech lookup (not required for "NR" measure application types)]],DropdownRefrigTech,0))</f>
        <v>#N/A</v>
      </c>
      <c r="Z90" s="163" t="e">
        <f>INDEX(Table3[q_EOL],MATCH(Table2[[#This Row],[Std tech lookup (not required for "AR" measure application types)]],DropdownRefrigTech,0))</f>
        <v>#N/A</v>
      </c>
      <c r="AA90" s="163" t="e">
        <f>INDEX(Table3[q_EOL],MATCH(Table2[[#This Row],[Msr tech lookup]],DropdownRefrigTech,0))</f>
        <v>#N/A</v>
      </c>
      <c r="AB90" s="163" t="e">
        <f>Table2[[#This Row],[Pre charging remaining (%)]]*Table2[[#This Row],[Pre gross EOL refrigerant leakage %]]</f>
        <v>#N/A</v>
      </c>
      <c r="AC90" s="163" t="e">
        <f>Table2[[#This Row],[Std charging remaining (%)]]*Table2[[#This Row],[Std gross EOL refrigerant leakage %]]</f>
        <v>#N/A</v>
      </c>
      <c r="AD90" s="163" t="e">
        <f>Table2[[#This Row],[Msr charging remaining (%)]]*Table2[[#This Row],[Msr gross EOL refrigerant leakage %]]</f>
        <v>#N/A</v>
      </c>
      <c r="AE90" s="164" t="e" cm="1">
        <f t="array" ref="AE90">INDEX(_xlfn.SWITCH($B$4,"20-yr",GWP_Values_20_year_AR4,"100-yr",GWP_Values_100_year_AR4),MATCH(Table2[[#This Row],[Pre Refrigerant Type]],RefrigDropdownList,0))</f>
        <v>#N/A</v>
      </c>
      <c r="AF90" s="164" t="e" cm="1">
        <f t="array" ref="AF90">INDEX(_xlfn.SWITCH($B$4,"20-yr",GWP_Values_20_year_AR4,"100-yr",GWP_Values_100_year_AR4),MATCH(Table2[[#This Row],[Std Refrigerant Type]],RefrigDropdownList,0))</f>
        <v>#N/A</v>
      </c>
      <c r="AG90" s="164" t="e" cm="1">
        <f t="array" ref="AG90">INDEX(_xlfn.SWITCH($B$4,"20-yr",GWP_Values_20_year_AR4,"100-yr",GWP_Values_100_year_AR4),MATCH(Table2[[#This Row],[Msr Refrigerant Type]],RefrigDropdownList,0))</f>
        <v>#N/A</v>
      </c>
      <c r="AH90" s="165" t="e">
        <f>(Table2[[#This Row],[Pre Refrigerant charge (lbs) per NormUnit]]/pounds_per_metric_ton)*Table2[[#This Row],[Pre annual refrigerant leakage %]]*Table2[[#This Row],[Pre GWP]]</f>
        <v>#N/A</v>
      </c>
      <c r="AI90" s="165" t="e">
        <f>(Table2[[#This Row],[Std Refrigerant charge (lbs)per NormUnit]]/pounds_per_metric_ton)*Table2[[#This Row],[Std annual refrigerant leakage %]]*Table2[[#This Row],[Std GWP]]</f>
        <v>#N/A</v>
      </c>
      <c r="AJ90" s="165" t="e">
        <f>(Table2[[#This Row],[Msr Refrigerant charge (lbs)per NormUnit]]/pounds_per_metric_ton)*Table2[[#This Row],[Msr annual refrigerant leakage %]]*Table2[[#This Row],[Msr GWP]]</f>
        <v>#N/A</v>
      </c>
      <c r="AK90" s="165" t="e">
        <f>(Table2[[#This Row],[Pre Refrigerant charge (lbs) per NormUnit]]/pounds_per_metric_ton)*Table2[[#This Row],[Pre net EOL refrigerant leakage (%)]]*Table2[[#This Row],[Pre GWP]]</f>
        <v>#N/A</v>
      </c>
      <c r="AL90" s="165" t="e">
        <f>(Table2[[#This Row],[Std Refrigerant charge (lbs)per NormUnit]]/pounds_per_metric_ton)*Table2[[#This Row],[Std net EOL refrigerant leakage (%)]]*Table2[[#This Row],[Std GWP]]</f>
        <v>#N/A</v>
      </c>
      <c r="AM90" s="165" t="e">
        <f>(Table2[[#This Row],[Msr Refrigerant charge (lbs)per NormUnit]]/pounds_per_metric_ton)*Table2[[#This Row],[Msr net EOL refrigerant leakage (%)]]*Table2[[#This Row],[Msr GWP]]</f>
        <v>#N/A</v>
      </c>
      <c r="AN90" s="174" cm="1">
        <f t="array" aca="1" ref="AN90" ca="1">IF(Table2[[#This Row],[MeasAppType]]="AR",Table2[[#This Row],[Pre Annual leakage tons CO2e]]*NPV(WACC,OFFSET(const_ones,0,0,1,Table2[[#This Row],[EUL]])*OFFSET(GHG_Adder_dollar_per_tonne,0,(Table2[[#This Row],[Device installation year]])-GHG_Adder_Yr1,1,Table2[[#This Row],[EUL]]))/(1+WACC)^(Table2[[#This Row],[Device installation year]]-DY),0)</f>
        <v>0</v>
      </c>
      <c r="AO90" s="174" t="e" cm="1">
        <f t="array" aca="1" ref="AO90"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90" s="174" t="e" cm="1">
        <f t="array" aca="1" ref="AP90" ca="1">Table2[[#This Row],[Msr Annual leakage tons CO2e]]*NPV(WACC,OFFSET(const_ones,0,0,1,Table2[[#This Row],[EUL]])*OFFSET(GHG_Adder_dollar_per_tonne,0,((Table2[[#This Row],[Device installation year]])-GHG_Adder_Yr1),1,Table2[[#This Row],[EUL]]))/(1+WACC)^(Table2[[#This Row],[Device installation year]]-DY)</f>
        <v>#N/A</v>
      </c>
      <c r="AQ90" s="260" cm="1">
        <f t="array" aca="1" ref="AQ90"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90" s="261" t="e" cm="1">
        <f t="array" aca="1" ref="AR90"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90" s="261" t="e" cm="1">
        <f t="array" aca="1" ref="AS90" ca="1">Table2[[#This Row],[Msr EOL leakage tons CO2e]]*NPV(WACC,OFFSET(const_repeat_after,Table2[[#This Row],[EUL]],0,1,Table2[[#This Row],[EUL]])*OFFSET(GHG_Adder_dollar_per_tonne,0,(Table2[[#This Row],[Device installation year]])-GHG_Adder_Yr1,1,Table2[[#This Row],[EUL]]))/(1+WACC)^(Table2[[#This Row],[Device installation year]]-DY)</f>
        <v>#N/A</v>
      </c>
      <c r="AT90" s="260">
        <f>0</f>
        <v>0</v>
      </c>
      <c r="AU90"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90" s="174" t="e">
        <f ca="1">Table2[[#This Row],[RefrigerantNPVCostsNet]]&gt;0</f>
        <v>#N/A</v>
      </c>
      <c r="AW90" s="174">
        <f>0</f>
        <v>0</v>
      </c>
      <c r="AX90" s="174">
        <f>0</f>
        <v>0</v>
      </c>
      <c r="AY90" s="174">
        <f>0</f>
        <v>0</v>
      </c>
      <c r="AZ90" s="174">
        <f ca="1">Table2[[#This Row],[Pre NPV Cost of Annual Leakage]]+Table2[[#This Row],[Pre NPV Cost of EOL Leakage]]</f>
        <v>0</v>
      </c>
      <c r="BA90" s="174" t="e">
        <f ca="1">Table2[[#This Row],[Std NPV Cost of Annual Leakage]]+Table2[[#This Row],[Std NPV Cost of EOL Leakage]]</f>
        <v>#N/A</v>
      </c>
      <c r="BB90" s="174" t="e">
        <f ca="1">Table2[[#This Row],[AR immediate NPV cost of leakage]]+Table2[[#This Row],[Msr NPV Cost of Annual Leakage]]+Table2[[#This Row],[Msr NPV Cost of EOL Leakage]]</f>
        <v>#N/A</v>
      </c>
      <c r="BC90" s="273" t="e">
        <f ca="1">IF(Table2[[#This Row],[Is Net Cost?]],Table2[[#This Row],[RefrigerantNPVCostsNet]],0)</f>
        <v>#N/A</v>
      </c>
      <c r="BD90" s="174" t="e">
        <f ca="1">IF(Table2[[#This Row],[Is Net Cost?]],0,-Table2[[#This Row],[RefrigerantNPVCostsNet]])</f>
        <v>#N/A</v>
      </c>
    </row>
    <row r="91" spans="1:56" x14ac:dyDescent="0.3">
      <c r="A91" s="173">
        <f t="shared" si="3"/>
        <v>2022</v>
      </c>
      <c r="B91" s="268"/>
      <c r="C91" s="212"/>
      <c r="D91" s="212"/>
      <c r="E91" s="216" t="str">
        <f>IF(Table2[[#This Row],[MeasAppType]]="NR","N/A","N/A")</f>
        <v>N/A</v>
      </c>
      <c r="F91" s="272"/>
      <c r="G91" s="218"/>
      <c r="H91" s="218"/>
      <c r="I91" s="218"/>
      <c r="J91" s="173" t="e">
        <f>INDEX(Table3[CommonRefrigerantType],MATCH(Table2[[#This Row],[Pre tech lookup (not required for "NR" measure application types)]],DropdownRefrigTech,0))</f>
        <v>#N/A</v>
      </c>
      <c r="K91" s="173" t="e">
        <f>INDEX(Table3[CommonRefrigerantType],MATCH(Table2[[#This Row],[Std tech lookup (not required for "AR" measure application types)]],DropdownRefrigTech,0))</f>
        <v>#N/A</v>
      </c>
      <c r="L91" s="173" t="e">
        <f>INDEX(Table3[CommonRefrigerantType],MATCH(Table2[[#This Row],[Msr tech lookup]],DropdownRefrigTech,0))</f>
        <v>#N/A</v>
      </c>
      <c r="M91" s="134" t="e">
        <f>INDEX(Table3[RefrigChargePoundsPerNormUnit],MATCH(Table2[[#This Row],[Pre tech lookup (not required for "NR" measure application types)]],DropdownRefrigTech,0))</f>
        <v>#N/A</v>
      </c>
      <c r="N91" s="134" t="e">
        <f>INDEX(Table3[RefrigChargePoundsPerNormUnit],MATCH(Table2[[#This Row],[Std tech lookup (not required for "AR" measure application types)]],DropdownRefrigTech,0))</f>
        <v>#N/A</v>
      </c>
      <c r="O91" s="149" t="e">
        <f>INDEX(Table3[RefrigChargePoundsPerNormUnit],MATCH(Table2[[#This Row],[Msr tech lookup]],DropdownRefrigTech,0))</f>
        <v>#N/A</v>
      </c>
      <c r="P91" s="163" t="e">
        <f>INDEX(Table3[AnnualLeakageRate],MATCH(Table2[[#This Row],[Pre tech lookup (not required for "NR" measure application types)]],DropdownRefrigTech,0))</f>
        <v>#N/A</v>
      </c>
      <c r="Q91" s="163" t="e">
        <f>INDEX(Table3[AnnualLeakageRate],MATCH(Table2[[#This Row],[Std tech lookup (not required for "AR" measure application types)]],DropdownRefrigTech,0))</f>
        <v>#N/A</v>
      </c>
      <c r="R91" s="163" t="e">
        <f>INDEX(Table3[AnnualLeakageRate],MATCH(Table2[[#This Row],[Msr tech lookup]],DropdownRefrigTech,0))</f>
        <v>#N/A</v>
      </c>
      <c r="S91" s="164" t="e">
        <f>INDEX(Table3[t_EOL],MATCH(Table2[[#This Row],[Pre tech lookup (not required for "NR" measure application types)]],DropdownRefrigTech,0))</f>
        <v>#N/A</v>
      </c>
      <c r="T91" s="164" t="e">
        <f>INDEX(Table3[t_EOL],MATCH(Table2[[#This Row],[Std tech lookup (not required for "AR" measure application types)]],DropdownRefrigTech,0))</f>
        <v>#N/A</v>
      </c>
      <c r="U91" s="164" t="e">
        <f>INDEX(Table3[t_EOL],MATCH(Table2[[#This Row],[Msr tech lookup]],DropdownRefrigTech,0))</f>
        <v>#N/A</v>
      </c>
      <c r="V91" s="163" t="e">
        <f>1-Table2[[#This Row],[Pre annual refrigerant leakage %]]*Table2[[#This Row],[Pre t_EOL]]</f>
        <v>#N/A</v>
      </c>
      <c r="W91" s="163" t="e">
        <f>1-Table2[[#This Row],[Std annual refrigerant leakage %]]*Table2[[#This Row],[Std t_EOL]]</f>
        <v>#N/A</v>
      </c>
      <c r="X91" s="163" t="e">
        <f>1-Table2[[#This Row],[Msr annual refrigerant leakage %]]*Table2[[#This Row],[Msr t_EOL]]</f>
        <v>#N/A</v>
      </c>
      <c r="Y91" s="163" t="e">
        <f>INDEX(Table3[q_EOL],MATCH(Table2[[#This Row],[Pre tech lookup (not required for "NR" measure application types)]],DropdownRefrigTech,0))</f>
        <v>#N/A</v>
      </c>
      <c r="Z91" s="163" t="e">
        <f>INDEX(Table3[q_EOL],MATCH(Table2[[#This Row],[Std tech lookup (not required for "AR" measure application types)]],DropdownRefrigTech,0))</f>
        <v>#N/A</v>
      </c>
      <c r="AA91" s="163" t="e">
        <f>INDEX(Table3[q_EOL],MATCH(Table2[[#This Row],[Msr tech lookup]],DropdownRefrigTech,0))</f>
        <v>#N/A</v>
      </c>
      <c r="AB91" s="163" t="e">
        <f>Table2[[#This Row],[Pre charging remaining (%)]]*Table2[[#This Row],[Pre gross EOL refrigerant leakage %]]</f>
        <v>#N/A</v>
      </c>
      <c r="AC91" s="163" t="e">
        <f>Table2[[#This Row],[Std charging remaining (%)]]*Table2[[#This Row],[Std gross EOL refrigerant leakage %]]</f>
        <v>#N/A</v>
      </c>
      <c r="AD91" s="163" t="e">
        <f>Table2[[#This Row],[Msr charging remaining (%)]]*Table2[[#This Row],[Msr gross EOL refrigerant leakage %]]</f>
        <v>#N/A</v>
      </c>
      <c r="AE91" s="164" t="e" cm="1">
        <f t="array" ref="AE91">INDEX(_xlfn.SWITCH($B$4,"20-yr",GWP_Values_20_year_AR4,"100-yr",GWP_Values_100_year_AR4),MATCH(Table2[[#This Row],[Pre Refrigerant Type]],RefrigDropdownList,0))</f>
        <v>#N/A</v>
      </c>
      <c r="AF91" s="164" t="e" cm="1">
        <f t="array" ref="AF91">INDEX(_xlfn.SWITCH($B$4,"20-yr",GWP_Values_20_year_AR4,"100-yr",GWP_Values_100_year_AR4),MATCH(Table2[[#This Row],[Std Refrigerant Type]],RefrigDropdownList,0))</f>
        <v>#N/A</v>
      </c>
      <c r="AG91" s="164" t="e" cm="1">
        <f t="array" ref="AG91">INDEX(_xlfn.SWITCH($B$4,"20-yr",GWP_Values_20_year_AR4,"100-yr",GWP_Values_100_year_AR4),MATCH(Table2[[#This Row],[Msr Refrigerant Type]],RefrigDropdownList,0))</f>
        <v>#N/A</v>
      </c>
      <c r="AH91" s="165" t="e">
        <f>(Table2[[#This Row],[Pre Refrigerant charge (lbs) per NormUnit]]/pounds_per_metric_ton)*Table2[[#This Row],[Pre annual refrigerant leakage %]]*Table2[[#This Row],[Pre GWP]]</f>
        <v>#N/A</v>
      </c>
      <c r="AI91" s="165" t="e">
        <f>(Table2[[#This Row],[Std Refrigerant charge (lbs)per NormUnit]]/pounds_per_metric_ton)*Table2[[#This Row],[Std annual refrigerant leakage %]]*Table2[[#This Row],[Std GWP]]</f>
        <v>#N/A</v>
      </c>
      <c r="AJ91" s="165" t="e">
        <f>(Table2[[#This Row],[Msr Refrigerant charge (lbs)per NormUnit]]/pounds_per_metric_ton)*Table2[[#This Row],[Msr annual refrigerant leakage %]]*Table2[[#This Row],[Msr GWP]]</f>
        <v>#N/A</v>
      </c>
      <c r="AK91" s="165" t="e">
        <f>(Table2[[#This Row],[Pre Refrigerant charge (lbs) per NormUnit]]/pounds_per_metric_ton)*Table2[[#This Row],[Pre net EOL refrigerant leakage (%)]]*Table2[[#This Row],[Pre GWP]]</f>
        <v>#N/A</v>
      </c>
      <c r="AL91" s="165" t="e">
        <f>(Table2[[#This Row],[Std Refrigerant charge (lbs)per NormUnit]]/pounds_per_metric_ton)*Table2[[#This Row],[Std net EOL refrigerant leakage (%)]]*Table2[[#This Row],[Std GWP]]</f>
        <v>#N/A</v>
      </c>
      <c r="AM91" s="165" t="e">
        <f>(Table2[[#This Row],[Msr Refrigerant charge (lbs)per NormUnit]]/pounds_per_metric_ton)*Table2[[#This Row],[Msr net EOL refrigerant leakage (%)]]*Table2[[#This Row],[Msr GWP]]</f>
        <v>#N/A</v>
      </c>
      <c r="AN91" s="174" cm="1">
        <f t="array" aca="1" ref="AN91" ca="1">IF(Table2[[#This Row],[MeasAppType]]="AR",Table2[[#This Row],[Pre Annual leakage tons CO2e]]*NPV(WACC,OFFSET(const_ones,0,0,1,Table2[[#This Row],[EUL]])*OFFSET(GHG_Adder_dollar_per_tonne,0,(Table2[[#This Row],[Device installation year]])-GHG_Adder_Yr1,1,Table2[[#This Row],[EUL]]))/(1+WACC)^(Table2[[#This Row],[Device installation year]]-DY),0)</f>
        <v>0</v>
      </c>
      <c r="AO91" s="174" t="e" cm="1">
        <f t="array" aca="1" ref="AO91"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91" s="174" t="e" cm="1">
        <f t="array" aca="1" ref="AP91" ca="1">Table2[[#This Row],[Msr Annual leakage tons CO2e]]*NPV(WACC,OFFSET(const_ones,0,0,1,Table2[[#This Row],[EUL]])*OFFSET(GHG_Adder_dollar_per_tonne,0,((Table2[[#This Row],[Device installation year]])-GHG_Adder_Yr1),1,Table2[[#This Row],[EUL]]))/(1+WACC)^(Table2[[#This Row],[Device installation year]]-DY)</f>
        <v>#N/A</v>
      </c>
      <c r="AQ91" s="260" cm="1">
        <f t="array" aca="1" ref="AQ91"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91" s="261" t="e" cm="1">
        <f t="array" aca="1" ref="AR91"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91" s="261" t="e" cm="1">
        <f t="array" aca="1" ref="AS91" ca="1">Table2[[#This Row],[Msr EOL leakage tons CO2e]]*NPV(WACC,OFFSET(const_repeat_after,Table2[[#This Row],[EUL]],0,1,Table2[[#This Row],[EUL]])*OFFSET(GHG_Adder_dollar_per_tonne,0,(Table2[[#This Row],[Device installation year]])-GHG_Adder_Yr1,1,Table2[[#This Row],[EUL]]))/(1+WACC)^(Table2[[#This Row],[Device installation year]]-DY)</f>
        <v>#N/A</v>
      </c>
      <c r="AT91" s="260">
        <f>0</f>
        <v>0</v>
      </c>
      <c r="AU91"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91" s="174" t="e">
        <f ca="1">Table2[[#This Row],[RefrigerantNPVCostsNet]]&gt;0</f>
        <v>#N/A</v>
      </c>
      <c r="AW91" s="174">
        <f>0</f>
        <v>0</v>
      </c>
      <c r="AX91" s="174">
        <f>0</f>
        <v>0</v>
      </c>
      <c r="AY91" s="174">
        <f>0</f>
        <v>0</v>
      </c>
      <c r="AZ91" s="174">
        <f ca="1">Table2[[#This Row],[Pre NPV Cost of Annual Leakage]]+Table2[[#This Row],[Pre NPV Cost of EOL Leakage]]</f>
        <v>0</v>
      </c>
      <c r="BA91" s="174" t="e">
        <f ca="1">Table2[[#This Row],[Std NPV Cost of Annual Leakage]]+Table2[[#This Row],[Std NPV Cost of EOL Leakage]]</f>
        <v>#N/A</v>
      </c>
      <c r="BB91" s="174" t="e">
        <f ca="1">Table2[[#This Row],[AR immediate NPV cost of leakage]]+Table2[[#This Row],[Msr NPV Cost of Annual Leakage]]+Table2[[#This Row],[Msr NPV Cost of EOL Leakage]]</f>
        <v>#N/A</v>
      </c>
      <c r="BC91" s="273" t="e">
        <f ca="1">IF(Table2[[#This Row],[Is Net Cost?]],Table2[[#This Row],[RefrigerantNPVCostsNet]],0)</f>
        <v>#N/A</v>
      </c>
      <c r="BD91" s="174" t="e">
        <f ca="1">IF(Table2[[#This Row],[Is Net Cost?]],0,-Table2[[#This Row],[RefrigerantNPVCostsNet]])</f>
        <v>#N/A</v>
      </c>
    </row>
    <row r="92" spans="1:56" x14ac:dyDescent="0.3">
      <c r="A92" s="173">
        <f t="shared" si="3"/>
        <v>2022</v>
      </c>
      <c r="B92" s="268"/>
      <c r="C92" s="212"/>
      <c r="D92" s="212"/>
      <c r="E92" s="216" t="str">
        <f>IF(Table2[[#This Row],[MeasAppType]]="NR","N/A","N/A")</f>
        <v>N/A</v>
      </c>
      <c r="F92" s="272"/>
      <c r="G92" s="218"/>
      <c r="H92" s="218"/>
      <c r="I92" s="218"/>
      <c r="J92" s="173" t="e">
        <f>INDEX(Table3[CommonRefrigerantType],MATCH(Table2[[#This Row],[Pre tech lookup (not required for "NR" measure application types)]],DropdownRefrigTech,0))</f>
        <v>#N/A</v>
      </c>
      <c r="K92" s="173" t="e">
        <f>INDEX(Table3[CommonRefrigerantType],MATCH(Table2[[#This Row],[Std tech lookup (not required for "AR" measure application types)]],DropdownRefrigTech,0))</f>
        <v>#N/A</v>
      </c>
      <c r="L92" s="173" t="e">
        <f>INDEX(Table3[CommonRefrigerantType],MATCH(Table2[[#This Row],[Msr tech lookup]],DropdownRefrigTech,0))</f>
        <v>#N/A</v>
      </c>
      <c r="M92" s="134" t="e">
        <f>INDEX(Table3[RefrigChargePoundsPerNormUnit],MATCH(Table2[[#This Row],[Pre tech lookup (not required for "NR" measure application types)]],DropdownRefrigTech,0))</f>
        <v>#N/A</v>
      </c>
      <c r="N92" s="134" t="e">
        <f>INDEX(Table3[RefrigChargePoundsPerNormUnit],MATCH(Table2[[#This Row],[Std tech lookup (not required for "AR" measure application types)]],DropdownRefrigTech,0))</f>
        <v>#N/A</v>
      </c>
      <c r="O92" s="149" t="e">
        <f>INDEX(Table3[RefrigChargePoundsPerNormUnit],MATCH(Table2[[#This Row],[Msr tech lookup]],DropdownRefrigTech,0))</f>
        <v>#N/A</v>
      </c>
      <c r="P92" s="163" t="e">
        <f>INDEX(Table3[AnnualLeakageRate],MATCH(Table2[[#This Row],[Pre tech lookup (not required for "NR" measure application types)]],DropdownRefrigTech,0))</f>
        <v>#N/A</v>
      </c>
      <c r="Q92" s="163" t="e">
        <f>INDEX(Table3[AnnualLeakageRate],MATCH(Table2[[#This Row],[Std tech lookup (not required for "AR" measure application types)]],DropdownRefrigTech,0))</f>
        <v>#N/A</v>
      </c>
      <c r="R92" s="163" t="e">
        <f>INDEX(Table3[AnnualLeakageRate],MATCH(Table2[[#This Row],[Msr tech lookup]],DropdownRefrigTech,0))</f>
        <v>#N/A</v>
      </c>
      <c r="S92" s="164" t="e">
        <f>INDEX(Table3[t_EOL],MATCH(Table2[[#This Row],[Pre tech lookup (not required for "NR" measure application types)]],DropdownRefrigTech,0))</f>
        <v>#N/A</v>
      </c>
      <c r="T92" s="164" t="e">
        <f>INDEX(Table3[t_EOL],MATCH(Table2[[#This Row],[Std tech lookup (not required for "AR" measure application types)]],DropdownRefrigTech,0))</f>
        <v>#N/A</v>
      </c>
      <c r="U92" s="164" t="e">
        <f>INDEX(Table3[t_EOL],MATCH(Table2[[#This Row],[Msr tech lookup]],DropdownRefrigTech,0))</f>
        <v>#N/A</v>
      </c>
      <c r="V92" s="163" t="e">
        <f>1-Table2[[#This Row],[Pre annual refrigerant leakage %]]*Table2[[#This Row],[Pre t_EOL]]</f>
        <v>#N/A</v>
      </c>
      <c r="W92" s="163" t="e">
        <f>1-Table2[[#This Row],[Std annual refrigerant leakage %]]*Table2[[#This Row],[Std t_EOL]]</f>
        <v>#N/A</v>
      </c>
      <c r="X92" s="163" t="e">
        <f>1-Table2[[#This Row],[Msr annual refrigerant leakage %]]*Table2[[#This Row],[Msr t_EOL]]</f>
        <v>#N/A</v>
      </c>
      <c r="Y92" s="163" t="e">
        <f>INDEX(Table3[q_EOL],MATCH(Table2[[#This Row],[Pre tech lookup (not required for "NR" measure application types)]],DropdownRefrigTech,0))</f>
        <v>#N/A</v>
      </c>
      <c r="Z92" s="163" t="e">
        <f>INDEX(Table3[q_EOL],MATCH(Table2[[#This Row],[Std tech lookup (not required for "AR" measure application types)]],DropdownRefrigTech,0))</f>
        <v>#N/A</v>
      </c>
      <c r="AA92" s="163" t="e">
        <f>INDEX(Table3[q_EOL],MATCH(Table2[[#This Row],[Msr tech lookup]],DropdownRefrigTech,0))</f>
        <v>#N/A</v>
      </c>
      <c r="AB92" s="163" t="e">
        <f>Table2[[#This Row],[Pre charging remaining (%)]]*Table2[[#This Row],[Pre gross EOL refrigerant leakage %]]</f>
        <v>#N/A</v>
      </c>
      <c r="AC92" s="163" t="e">
        <f>Table2[[#This Row],[Std charging remaining (%)]]*Table2[[#This Row],[Std gross EOL refrigerant leakage %]]</f>
        <v>#N/A</v>
      </c>
      <c r="AD92" s="163" t="e">
        <f>Table2[[#This Row],[Msr charging remaining (%)]]*Table2[[#This Row],[Msr gross EOL refrigerant leakage %]]</f>
        <v>#N/A</v>
      </c>
      <c r="AE92" s="164" t="e" cm="1">
        <f t="array" ref="AE92">INDEX(_xlfn.SWITCH($B$4,"20-yr",GWP_Values_20_year_AR4,"100-yr",GWP_Values_100_year_AR4),MATCH(Table2[[#This Row],[Pre Refrigerant Type]],RefrigDropdownList,0))</f>
        <v>#N/A</v>
      </c>
      <c r="AF92" s="164" t="e" cm="1">
        <f t="array" ref="AF92">INDEX(_xlfn.SWITCH($B$4,"20-yr",GWP_Values_20_year_AR4,"100-yr",GWP_Values_100_year_AR4),MATCH(Table2[[#This Row],[Std Refrigerant Type]],RefrigDropdownList,0))</f>
        <v>#N/A</v>
      </c>
      <c r="AG92" s="164" t="e" cm="1">
        <f t="array" ref="AG92">INDEX(_xlfn.SWITCH($B$4,"20-yr",GWP_Values_20_year_AR4,"100-yr",GWP_Values_100_year_AR4),MATCH(Table2[[#This Row],[Msr Refrigerant Type]],RefrigDropdownList,0))</f>
        <v>#N/A</v>
      </c>
      <c r="AH92" s="165" t="e">
        <f>(Table2[[#This Row],[Pre Refrigerant charge (lbs) per NormUnit]]/pounds_per_metric_ton)*Table2[[#This Row],[Pre annual refrigerant leakage %]]*Table2[[#This Row],[Pre GWP]]</f>
        <v>#N/A</v>
      </c>
      <c r="AI92" s="165" t="e">
        <f>(Table2[[#This Row],[Std Refrigerant charge (lbs)per NormUnit]]/pounds_per_metric_ton)*Table2[[#This Row],[Std annual refrigerant leakage %]]*Table2[[#This Row],[Std GWP]]</f>
        <v>#N/A</v>
      </c>
      <c r="AJ92" s="165" t="e">
        <f>(Table2[[#This Row],[Msr Refrigerant charge (lbs)per NormUnit]]/pounds_per_metric_ton)*Table2[[#This Row],[Msr annual refrigerant leakage %]]*Table2[[#This Row],[Msr GWP]]</f>
        <v>#N/A</v>
      </c>
      <c r="AK92" s="165" t="e">
        <f>(Table2[[#This Row],[Pre Refrigerant charge (lbs) per NormUnit]]/pounds_per_metric_ton)*Table2[[#This Row],[Pre net EOL refrigerant leakage (%)]]*Table2[[#This Row],[Pre GWP]]</f>
        <v>#N/A</v>
      </c>
      <c r="AL92" s="165" t="e">
        <f>(Table2[[#This Row],[Std Refrigerant charge (lbs)per NormUnit]]/pounds_per_metric_ton)*Table2[[#This Row],[Std net EOL refrigerant leakage (%)]]*Table2[[#This Row],[Std GWP]]</f>
        <v>#N/A</v>
      </c>
      <c r="AM92" s="165" t="e">
        <f>(Table2[[#This Row],[Msr Refrigerant charge (lbs)per NormUnit]]/pounds_per_metric_ton)*Table2[[#This Row],[Msr net EOL refrigerant leakage (%)]]*Table2[[#This Row],[Msr GWP]]</f>
        <v>#N/A</v>
      </c>
      <c r="AN92" s="174" cm="1">
        <f t="array" aca="1" ref="AN92" ca="1">IF(Table2[[#This Row],[MeasAppType]]="AR",Table2[[#This Row],[Pre Annual leakage tons CO2e]]*NPV(WACC,OFFSET(const_ones,0,0,1,Table2[[#This Row],[EUL]])*OFFSET(GHG_Adder_dollar_per_tonne,0,(Table2[[#This Row],[Device installation year]])-GHG_Adder_Yr1,1,Table2[[#This Row],[EUL]]))/(1+WACC)^(Table2[[#This Row],[Device installation year]]-DY),0)</f>
        <v>0</v>
      </c>
      <c r="AO92" s="174" t="e" cm="1">
        <f t="array" aca="1" ref="AO92"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92" s="174" t="e" cm="1">
        <f t="array" aca="1" ref="AP92" ca="1">Table2[[#This Row],[Msr Annual leakage tons CO2e]]*NPV(WACC,OFFSET(const_ones,0,0,1,Table2[[#This Row],[EUL]])*OFFSET(GHG_Adder_dollar_per_tonne,0,((Table2[[#This Row],[Device installation year]])-GHG_Adder_Yr1),1,Table2[[#This Row],[EUL]]))/(1+WACC)^(Table2[[#This Row],[Device installation year]]-DY)</f>
        <v>#N/A</v>
      </c>
      <c r="AQ92" s="260" cm="1">
        <f t="array" aca="1" ref="AQ92"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92" s="261" t="e" cm="1">
        <f t="array" aca="1" ref="AR92"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92" s="261" t="e" cm="1">
        <f t="array" aca="1" ref="AS92" ca="1">Table2[[#This Row],[Msr EOL leakage tons CO2e]]*NPV(WACC,OFFSET(const_repeat_after,Table2[[#This Row],[EUL]],0,1,Table2[[#This Row],[EUL]])*OFFSET(GHG_Adder_dollar_per_tonne,0,(Table2[[#This Row],[Device installation year]])-GHG_Adder_Yr1,1,Table2[[#This Row],[EUL]]))/(1+WACC)^(Table2[[#This Row],[Device installation year]]-DY)</f>
        <v>#N/A</v>
      </c>
      <c r="AT92" s="260">
        <f>0</f>
        <v>0</v>
      </c>
      <c r="AU92"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92" s="174" t="e">
        <f ca="1">Table2[[#This Row],[RefrigerantNPVCostsNet]]&gt;0</f>
        <v>#N/A</v>
      </c>
      <c r="AW92" s="174">
        <f>0</f>
        <v>0</v>
      </c>
      <c r="AX92" s="174">
        <f>0</f>
        <v>0</v>
      </c>
      <c r="AY92" s="174">
        <f>0</f>
        <v>0</v>
      </c>
      <c r="AZ92" s="174">
        <f ca="1">Table2[[#This Row],[Pre NPV Cost of Annual Leakage]]+Table2[[#This Row],[Pre NPV Cost of EOL Leakage]]</f>
        <v>0</v>
      </c>
      <c r="BA92" s="174" t="e">
        <f ca="1">Table2[[#This Row],[Std NPV Cost of Annual Leakage]]+Table2[[#This Row],[Std NPV Cost of EOL Leakage]]</f>
        <v>#N/A</v>
      </c>
      <c r="BB92" s="174" t="e">
        <f ca="1">Table2[[#This Row],[AR immediate NPV cost of leakage]]+Table2[[#This Row],[Msr NPV Cost of Annual Leakage]]+Table2[[#This Row],[Msr NPV Cost of EOL Leakage]]</f>
        <v>#N/A</v>
      </c>
      <c r="BC92" s="273" t="e">
        <f ca="1">IF(Table2[[#This Row],[Is Net Cost?]],Table2[[#This Row],[RefrigerantNPVCostsNet]],0)</f>
        <v>#N/A</v>
      </c>
      <c r="BD92" s="174" t="e">
        <f ca="1">IF(Table2[[#This Row],[Is Net Cost?]],0,-Table2[[#This Row],[RefrigerantNPVCostsNet]])</f>
        <v>#N/A</v>
      </c>
    </row>
    <row r="93" spans="1:56" x14ac:dyDescent="0.3">
      <c r="A93" s="173">
        <f t="shared" si="3"/>
        <v>2022</v>
      </c>
      <c r="B93" s="268"/>
      <c r="C93" s="212"/>
      <c r="D93" s="212"/>
      <c r="E93" s="216" t="str">
        <f>IF(Table2[[#This Row],[MeasAppType]]="NR","N/A","N/A")</f>
        <v>N/A</v>
      </c>
      <c r="F93" s="272"/>
      <c r="G93" s="218"/>
      <c r="H93" s="218"/>
      <c r="I93" s="218"/>
      <c r="J93" s="173" t="e">
        <f>INDEX(Table3[CommonRefrigerantType],MATCH(Table2[[#This Row],[Pre tech lookup (not required for "NR" measure application types)]],DropdownRefrigTech,0))</f>
        <v>#N/A</v>
      </c>
      <c r="K93" s="173" t="e">
        <f>INDEX(Table3[CommonRefrigerantType],MATCH(Table2[[#This Row],[Std tech lookup (not required for "AR" measure application types)]],DropdownRefrigTech,0))</f>
        <v>#N/A</v>
      </c>
      <c r="L93" s="173" t="e">
        <f>INDEX(Table3[CommonRefrigerantType],MATCH(Table2[[#This Row],[Msr tech lookup]],DropdownRefrigTech,0))</f>
        <v>#N/A</v>
      </c>
      <c r="M93" s="134" t="e">
        <f>INDEX(Table3[RefrigChargePoundsPerNormUnit],MATCH(Table2[[#This Row],[Pre tech lookup (not required for "NR" measure application types)]],DropdownRefrigTech,0))</f>
        <v>#N/A</v>
      </c>
      <c r="N93" s="134" t="e">
        <f>INDEX(Table3[RefrigChargePoundsPerNormUnit],MATCH(Table2[[#This Row],[Std tech lookup (not required for "AR" measure application types)]],DropdownRefrigTech,0))</f>
        <v>#N/A</v>
      </c>
      <c r="O93" s="149" t="e">
        <f>INDEX(Table3[RefrigChargePoundsPerNormUnit],MATCH(Table2[[#This Row],[Msr tech lookup]],DropdownRefrigTech,0))</f>
        <v>#N/A</v>
      </c>
      <c r="P93" s="163" t="e">
        <f>INDEX(Table3[AnnualLeakageRate],MATCH(Table2[[#This Row],[Pre tech lookup (not required for "NR" measure application types)]],DropdownRefrigTech,0))</f>
        <v>#N/A</v>
      </c>
      <c r="Q93" s="163" t="e">
        <f>INDEX(Table3[AnnualLeakageRate],MATCH(Table2[[#This Row],[Std tech lookup (not required for "AR" measure application types)]],DropdownRefrigTech,0))</f>
        <v>#N/A</v>
      </c>
      <c r="R93" s="163" t="e">
        <f>INDEX(Table3[AnnualLeakageRate],MATCH(Table2[[#This Row],[Msr tech lookup]],DropdownRefrigTech,0))</f>
        <v>#N/A</v>
      </c>
      <c r="S93" s="164" t="e">
        <f>INDEX(Table3[t_EOL],MATCH(Table2[[#This Row],[Pre tech lookup (not required for "NR" measure application types)]],DropdownRefrigTech,0))</f>
        <v>#N/A</v>
      </c>
      <c r="T93" s="164" t="e">
        <f>INDEX(Table3[t_EOL],MATCH(Table2[[#This Row],[Std tech lookup (not required for "AR" measure application types)]],DropdownRefrigTech,0))</f>
        <v>#N/A</v>
      </c>
      <c r="U93" s="164" t="e">
        <f>INDEX(Table3[t_EOL],MATCH(Table2[[#This Row],[Msr tech lookup]],DropdownRefrigTech,0))</f>
        <v>#N/A</v>
      </c>
      <c r="V93" s="163" t="e">
        <f>1-Table2[[#This Row],[Pre annual refrigerant leakage %]]*Table2[[#This Row],[Pre t_EOL]]</f>
        <v>#N/A</v>
      </c>
      <c r="W93" s="163" t="e">
        <f>1-Table2[[#This Row],[Std annual refrigerant leakage %]]*Table2[[#This Row],[Std t_EOL]]</f>
        <v>#N/A</v>
      </c>
      <c r="X93" s="163" t="e">
        <f>1-Table2[[#This Row],[Msr annual refrigerant leakage %]]*Table2[[#This Row],[Msr t_EOL]]</f>
        <v>#N/A</v>
      </c>
      <c r="Y93" s="163" t="e">
        <f>INDEX(Table3[q_EOL],MATCH(Table2[[#This Row],[Pre tech lookup (not required for "NR" measure application types)]],DropdownRefrigTech,0))</f>
        <v>#N/A</v>
      </c>
      <c r="Z93" s="163" t="e">
        <f>INDEX(Table3[q_EOL],MATCH(Table2[[#This Row],[Std tech lookup (not required for "AR" measure application types)]],DropdownRefrigTech,0))</f>
        <v>#N/A</v>
      </c>
      <c r="AA93" s="163" t="e">
        <f>INDEX(Table3[q_EOL],MATCH(Table2[[#This Row],[Msr tech lookup]],DropdownRefrigTech,0))</f>
        <v>#N/A</v>
      </c>
      <c r="AB93" s="163" t="e">
        <f>Table2[[#This Row],[Pre charging remaining (%)]]*Table2[[#This Row],[Pre gross EOL refrigerant leakage %]]</f>
        <v>#N/A</v>
      </c>
      <c r="AC93" s="163" t="e">
        <f>Table2[[#This Row],[Std charging remaining (%)]]*Table2[[#This Row],[Std gross EOL refrigerant leakage %]]</f>
        <v>#N/A</v>
      </c>
      <c r="AD93" s="163" t="e">
        <f>Table2[[#This Row],[Msr charging remaining (%)]]*Table2[[#This Row],[Msr gross EOL refrigerant leakage %]]</f>
        <v>#N/A</v>
      </c>
      <c r="AE93" s="164" t="e" cm="1">
        <f t="array" ref="AE93">INDEX(_xlfn.SWITCH($B$4,"20-yr",GWP_Values_20_year_AR4,"100-yr",GWP_Values_100_year_AR4),MATCH(Table2[[#This Row],[Pre Refrigerant Type]],RefrigDropdownList,0))</f>
        <v>#N/A</v>
      </c>
      <c r="AF93" s="164" t="e" cm="1">
        <f t="array" ref="AF93">INDEX(_xlfn.SWITCH($B$4,"20-yr",GWP_Values_20_year_AR4,"100-yr",GWP_Values_100_year_AR4),MATCH(Table2[[#This Row],[Std Refrigerant Type]],RefrigDropdownList,0))</f>
        <v>#N/A</v>
      </c>
      <c r="AG93" s="164" t="e" cm="1">
        <f t="array" ref="AG93">INDEX(_xlfn.SWITCH($B$4,"20-yr",GWP_Values_20_year_AR4,"100-yr",GWP_Values_100_year_AR4),MATCH(Table2[[#This Row],[Msr Refrigerant Type]],RefrigDropdownList,0))</f>
        <v>#N/A</v>
      </c>
      <c r="AH93" s="165" t="e">
        <f>(Table2[[#This Row],[Pre Refrigerant charge (lbs) per NormUnit]]/pounds_per_metric_ton)*Table2[[#This Row],[Pre annual refrigerant leakage %]]*Table2[[#This Row],[Pre GWP]]</f>
        <v>#N/A</v>
      </c>
      <c r="AI93" s="165" t="e">
        <f>(Table2[[#This Row],[Std Refrigerant charge (lbs)per NormUnit]]/pounds_per_metric_ton)*Table2[[#This Row],[Std annual refrigerant leakage %]]*Table2[[#This Row],[Std GWP]]</f>
        <v>#N/A</v>
      </c>
      <c r="AJ93" s="165" t="e">
        <f>(Table2[[#This Row],[Msr Refrigerant charge (lbs)per NormUnit]]/pounds_per_metric_ton)*Table2[[#This Row],[Msr annual refrigerant leakage %]]*Table2[[#This Row],[Msr GWP]]</f>
        <v>#N/A</v>
      </c>
      <c r="AK93" s="165" t="e">
        <f>(Table2[[#This Row],[Pre Refrigerant charge (lbs) per NormUnit]]/pounds_per_metric_ton)*Table2[[#This Row],[Pre net EOL refrigerant leakage (%)]]*Table2[[#This Row],[Pre GWP]]</f>
        <v>#N/A</v>
      </c>
      <c r="AL93" s="165" t="e">
        <f>(Table2[[#This Row],[Std Refrigerant charge (lbs)per NormUnit]]/pounds_per_metric_ton)*Table2[[#This Row],[Std net EOL refrigerant leakage (%)]]*Table2[[#This Row],[Std GWP]]</f>
        <v>#N/A</v>
      </c>
      <c r="AM93" s="165" t="e">
        <f>(Table2[[#This Row],[Msr Refrigerant charge (lbs)per NormUnit]]/pounds_per_metric_ton)*Table2[[#This Row],[Msr net EOL refrigerant leakage (%)]]*Table2[[#This Row],[Msr GWP]]</f>
        <v>#N/A</v>
      </c>
      <c r="AN93" s="174" cm="1">
        <f t="array" aca="1" ref="AN93" ca="1">IF(Table2[[#This Row],[MeasAppType]]="AR",Table2[[#This Row],[Pre Annual leakage tons CO2e]]*NPV(WACC,OFFSET(const_ones,0,0,1,Table2[[#This Row],[EUL]])*OFFSET(GHG_Adder_dollar_per_tonne,0,(Table2[[#This Row],[Device installation year]])-GHG_Adder_Yr1,1,Table2[[#This Row],[EUL]]))/(1+WACC)^(Table2[[#This Row],[Device installation year]]-DY),0)</f>
        <v>0</v>
      </c>
      <c r="AO93" s="174" t="e" cm="1">
        <f t="array" aca="1" ref="AO93"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93" s="174" t="e" cm="1">
        <f t="array" aca="1" ref="AP93" ca="1">Table2[[#This Row],[Msr Annual leakage tons CO2e]]*NPV(WACC,OFFSET(const_ones,0,0,1,Table2[[#This Row],[EUL]])*OFFSET(GHG_Adder_dollar_per_tonne,0,((Table2[[#This Row],[Device installation year]])-GHG_Adder_Yr1),1,Table2[[#This Row],[EUL]]))/(1+WACC)^(Table2[[#This Row],[Device installation year]]-DY)</f>
        <v>#N/A</v>
      </c>
      <c r="AQ93" s="260" cm="1">
        <f t="array" aca="1" ref="AQ93"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93" s="261" t="e" cm="1">
        <f t="array" aca="1" ref="AR93"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93" s="261" t="e" cm="1">
        <f t="array" aca="1" ref="AS93" ca="1">Table2[[#This Row],[Msr EOL leakage tons CO2e]]*NPV(WACC,OFFSET(const_repeat_after,Table2[[#This Row],[EUL]],0,1,Table2[[#This Row],[EUL]])*OFFSET(GHG_Adder_dollar_per_tonne,0,(Table2[[#This Row],[Device installation year]])-GHG_Adder_Yr1,1,Table2[[#This Row],[EUL]]))/(1+WACC)^(Table2[[#This Row],[Device installation year]]-DY)</f>
        <v>#N/A</v>
      </c>
      <c r="AT93" s="260">
        <f>0</f>
        <v>0</v>
      </c>
      <c r="AU93"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93" s="174" t="e">
        <f ca="1">Table2[[#This Row],[RefrigerantNPVCostsNet]]&gt;0</f>
        <v>#N/A</v>
      </c>
      <c r="AW93" s="174">
        <f>0</f>
        <v>0</v>
      </c>
      <c r="AX93" s="174">
        <f>0</f>
        <v>0</v>
      </c>
      <c r="AY93" s="174">
        <f>0</f>
        <v>0</v>
      </c>
      <c r="AZ93" s="174">
        <f ca="1">Table2[[#This Row],[Pre NPV Cost of Annual Leakage]]+Table2[[#This Row],[Pre NPV Cost of EOL Leakage]]</f>
        <v>0</v>
      </c>
      <c r="BA93" s="174" t="e">
        <f ca="1">Table2[[#This Row],[Std NPV Cost of Annual Leakage]]+Table2[[#This Row],[Std NPV Cost of EOL Leakage]]</f>
        <v>#N/A</v>
      </c>
      <c r="BB93" s="174" t="e">
        <f ca="1">Table2[[#This Row],[AR immediate NPV cost of leakage]]+Table2[[#This Row],[Msr NPV Cost of Annual Leakage]]+Table2[[#This Row],[Msr NPV Cost of EOL Leakage]]</f>
        <v>#N/A</v>
      </c>
      <c r="BC93" s="273" t="e">
        <f ca="1">IF(Table2[[#This Row],[Is Net Cost?]],Table2[[#This Row],[RefrigerantNPVCostsNet]],0)</f>
        <v>#N/A</v>
      </c>
      <c r="BD93" s="174" t="e">
        <f ca="1">IF(Table2[[#This Row],[Is Net Cost?]],0,-Table2[[#This Row],[RefrigerantNPVCostsNet]])</f>
        <v>#N/A</v>
      </c>
    </row>
    <row r="94" spans="1:56" x14ac:dyDescent="0.3">
      <c r="A94" s="173">
        <f t="shared" si="3"/>
        <v>2022</v>
      </c>
      <c r="B94" s="268"/>
      <c r="C94" s="212"/>
      <c r="D94" s="212"/>
      <c r="E94" s="216" t="str">
        <f>IF(Table2[[#This Row],[MeasAppType]]="NR","N/A","N/A")</f>
        <v>N/A</v>
      </c>
      <c r="F94" s="272"/>
      <c r="G94" s="218"/>
      <c r="H94" s="218"/>
      <c r="I94" s="218"/>
      <c r="J94" s="173" t="e">
        <f>INDEX(Table3[CommonRefrigerantType],MATCH(Table2[[#This Row],[Pre tech lookup (not required for "NR" measure application types)]],DropdownRefrigTech,0))</f>
        <v>#N/A</v>
      </c>
      <c r="K94" s="173" t="e">
        <f>INDEX(Table3[CommonRefrigerantType],MATCH(Table2[[#This Row],[Std tech lookup (not required for "AR" measure application types)]],DropdownRefrigTech,0))</f>
        <v>#N/A</v>
      </c>
      <c r="L94" s="173" t="e">
        <f>INDEX(Table3[CommonRefrigerantType],MATCH(Table2[[#This Row],[Msr tech lookup]],DropdownRefrigTech,0))</f>
        <v>#N/A</v>
      </c>
      <c r="M94" s="134" t="e">
        <f>INDEX(Table3[RefrigChargePoundsPerNormUnit],MATCH(Table2[[#This Row],[Pre tech lookup (not required for "NR" measure application types)]],DropdownRefrigTech,0))</f>
        <v>#N/A</v>
      </c>
      <c r="N94" s="134" t="e">
        <f>INDEX(Table3[RefrigChargePoundsPerNormUnit],MATCH(Table2[[#This Row],[Std tech lookup (not required for "AR" measure application types)]],DropdownRefrigTech,0))</f>
        <v>#N/A</v>
      </c>
      <c r="O94" s="149" t="e">
        <f>INDEX(Table3[RefrigChargePoundsPerNormUnit],MATCH(Table2[[#This Row],[Msr tech lookup]],DropdownRefrigTech,0))</f>
        <v>#N/A</v>
      </c>
      <c r="P94" s="163" t="e">
        <f>INDEX(Table3[AnnualLeakageRate],MATCH(Table2[[#This Row],[Pre tech lookup (not required for "NR" measure application types)]],DropdownRefrigTech,0))</f>
        <v>#N/A</v>
      </c>
      <c r="Q94" s="163" t="e">
        <f>INDEX(Table3[AnnualLeakageRate],MATCH(Table2[[#This Row],[Std tech lookup (not required for "AR" measure application types)]],DropdownRefrigTech,0))</f>
        <v>#N/A</v>
      </c>
      <c r="R94" s="163" t="e">
        <f>INDEX(Table3[AnnualLeakageRate],MATCH(Table2[[#This Row],[Msr tech lookup]],DropdownRefrigTech,0))</f>
        <v>#N/A</v>
      </c>
      <c r="S94" s="164" t="e">
        <f>INDEX(Table3[t_EOL],MATCH(Table2[[#This Row],[Pre tech lookup (not required for "NR" measure application types)]],DropdownRefrigTech,0))</f>
        <v>#N/A</v>
      </c>
      <c r="T94" s="164" t="e">
        <f>INDEX(Table3[t_EOL],MATCH(Table2[[#This Row],[Std tech lookup (not required for "AR" measure application types)]],DropdownRefrigTech,0))</f>
        <v>#N/A</v>
      </c>
      <c r="U94" s="164" t="e">
        <f>INDEX(Table3[t_EOL],MATCH(Table2[[#This Row],[Msr tech lookup]],DropdownRefrigTech,0))</f>
        <v>#N/A</v>
      </c>
      <c r="V94" s="163" t="e">
        <f>1-Table2[[#This Row],[Pre annual refrigerant leakage %]]*Table2[[#This Row],[Pre t_EOL]]</f>
        <v>#N/A</v>
      </c>
      <c r="W94" s="163" t="e">
        <f>1-Table2[[#This Row],[Std annual refrigerant leakage %]]*Table2[[#This Row],[Std t_EOL]]</f>
        <v>#N/A</v>
      </c>
      <c r="X94" s="163" t="e">
        <f>1-Table2[[#This Row],[Msr annual refrigerant leakage %]]*Table2[[#This Row],[Msr t_EOL]]</f>
        <v>#N/A</v>
      </c>
      <c r="Y94" s="163" t="e">
        <f>INDEX(Table3[q_EOL],MATCH(Table2[[#This Row],[Pre tech lookup (not required for "NR" measure application types)]],DropdownRefrigTech,0))</f>
        <v>#N/A</v>
      </c>
      <c r="Z94" s="163" t="e">
        <f>INDEX(Table3[q_EOL],MATCH(Table2[[#This Row],[Std tech lookup (not required for "AR" measure application types)]],DropdownRefrigTech,0))</f>
        <v>#N/A</v>
      </c>
      <c r="AA94" s="163" t="e">
        <f>INDEX(Table3[q_EOL],MATCH(Table2[[#This Row],[Msr tech lookup]],DropdownRefrigTech,0))</f>
        <v>#N/A</v>
      </c>
      <c r="AB94" s="163" t="e">
        <f>Table2[[#This Row],[Pre charging remaining (%)]]*Table2[[#This Row],[Pre gross EOL refrigerant leakage %]]</f>
        <v>#N/A</v>
      </c>
      <c r="AC94" s="163" t="e">
        <f>Table2[[#This Row],[Std charging remaining (%)]]*Table2[[#This Row],[Std gross EOL refrigerant leakage %]]</f>
        <v>#N/A</v>
      </c>
      <c r="AD94" s="163" t="e">
        <f>Table2[[#This Row],[Msr charging remaining (%)]]*Table2[[#This Row],[Msr gross EOL refrigerant leakage %]]</f>
        <v>#N/A</v>
      </c>
      <c r="AE94" s="164" t="e" cm="1">
        <f t="array" ref="AE94">INDEX(_xlfn.SWITCH($B$4,"20-yr",GWP_Values_20_year_AR4,"100-yr",GWP_Values_100_year_AR4),MATCH(Table2[[#This Row],[Pre Refrigerant Type]],RefrigDropdownList,0))</f>
        <v>#N/A</v>
      </c>
      <c r="AF94" s="164" t="e" cm="1">
        <f t="array" ref="AF94">INDEX(_xlfn.SWITCH($B$4,"20-yr",GWP_Values_20_year_AR4,"100-yr",GWP_Values_100_year_AR4),MATCH(Table2[[#This Row],[Std Refrigerant Type]],RefrigDropdownList,0))</f>
        <v>#N/A</v>
      </c>
      <c r="AG94" s="164" t="e" cm="1">
        <f t="array" ref="AG94">INDEX(_xlfn.SWITCH($B$4,"20-yr",GWP_Values_20_year_AR4,"100-yr",GWP_Values_100_year_AR4),MATCH(Table2[[#This Row],[Msr Refrigerant Type]],RefrigDropdownList,0))</f>
        <v>#N/A</v>
      </c>
      <c r="AH94" s="165" t="e">
        <f>(Table2[[#This Row],[Pre Refrigerant charge (lbs) per NormUnit]]/pounds_per_metric_ton)*Table2[[#This Row],[Pre annual refrigerant leakage %]]*Table2[[#This Row],[Pre GWP]]</f>
        <v>#N/A</v>
      </c>
      <c r="AI94" s="165" t="e">
        <f>(Table2[[#This Row],[Std Refrigerant charge (lbs)per NormUnit]]/pounds_per_metric_ton)*Table2[[#This Row],[Std annual refrigerant leakage %]]*Table2[[#This Row],[Std GWP]]</f>
        <v>#N/A</v>
      </c>
      <c r="AJ94" s="165" t="e">
        <f>(Table2[[#This Row],[Msr Refrigerant charge (lbs)per NormUnit]]/pounds_per_metric_ton)*Table2[[#This Row],[Msr annual refrigerant leakage %]]*Table2[[#This Row],[Msr GWP]]</f>
        <v>#N/A</v>
      </c>
      <c r="AK94" s="165" t="e">
        <f>(Table2[[#This Row],[Pre Refrigerant charge (lbs) per NormUnit]]/pounds_per_metric_ton)*Table2[[#This Row],[Pre net EOL refrigerant leakage (%)]]*Table2[[#This Row],[Pre GWP]]</f>
        <v>#N/A</v>
      </c>
      <c r="AL94" s="165" t="e">
        <f>(Table2[[#This Row],[Std Refrigerant charge (lbs)per NormUnit]]/pounds_per_metric_ton)*Table2[[#This Row],[Std net EOL refrigerant leakage (%)]]*Table2[[#This Row],[Std GWP]]</f>
        <v>#N/A</v>
      </c>
      <c r="AM94" s="165" t="e">
        <f>(Table2[[#This Row],[Msr Refrigerant charge (lbs)per NormUnit]]/pounds_per_metric_ton)*Table2[[#This Row],[Msr net EOL refrigerant leakage (%)]]*Table2[[#This Row],[Msr GWP]]</f>
        <v>#N/A</v>
      </c>
      <c r="AN94" s="174" cm="1">
        <f t="array" aca="1" ref="AN94" ca="1">IF(Table2[[#This Row],[MeasAppType]]="AR",Table2[[#This Row],[Pre Annual leakage tons CO2e]]*NPV(WACC,OFFSET(const_ones,0,0,1,Table2[[#This Row],[EUL]])*OFFSET(GHG_Adder_dollar_per_tonne,0,(Table2[[#This Row],[Device installation year]])-GHG_Adder_Yr1,1,Table2[[#This Row],[EUL]]))/(1+WACC)^(Table2[[#This Row],[Device installation year]]-DY),0)</f>
        <v>0</v>
      </c>
      <c r="AO94" s="174" t="e" cm="1">
        <f t="array" aca="1" ref="AO94"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94" s="174" t="e" cm="1">
        <f t="array" aca="1" ref="AP94" ca="1">Table2[[#This Row],[Msr Annual leakage tons CO2e]]*NPV(WACC,OFFSET(const_ones,0,0,1,Table2[[#This Row],[EUL]])*OFFSET(GHG_Adder_dollar_per_tonne,0,((Table2[[#This Row],[Device installation year]])-GHG_Adder_Yr1),1,Table2[[#This Row],[EUL]]))/(1+WACC)^(Table2[[#This Row],[Device installation year]]-DY)</f>
        <v>#N/A</v>
      </c>
      <c r="AQ94" s="260" cm="1">
        <f t="array" aca="1" ref="AQ94"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94" s="261" t="e" cm="1">
        <f t="array" aca="1" ref="AR94"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94" s="261" t="e" cm="1">
        <f t="array" aca="1" ref="AS94" ca="1">Table2[[#This Row],[Msr EOL leakage tons CO2e]]*NPV(WACC,OFFSET(const_repeat_after,Table2[[#This Row],[EUL]],0,1,Table2[[#This Row],[EUL]])*OFFSET(GHG_Adder_dollar_per_tonne,0,(Table2[[#This Row],[Device installation year]])-GHG_Adder_Yr1,1,Table2[[#This Row],[EUL]]))/(1+WACC)^(Table2[[#This Row],[Device installation year]]-DY)</f>
        <v>#N/A</v>
      </c>
      <c r="AT94" s="260">
        <f>0</f>
        <v>0</v>
      </c>
      <c r="AU94"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94" s="174" t="e">
        <f ca="1">Table2[[#This Row],[RefrigerantNPVCostsNet]]&gt;0</f>
        <v>#N/A</v>
      </c>
      <c r="AW94" s="174">
        <f>0</f>
        <v>0</v>
      </c>
      <c r="AX94" s="174">
        <f>0</f>
        <v>0</v>
      </c>
      <c r="AY94" s="174">
        <f>0</f>
        <v>0</v>
      </c>
      <c r="AZ94" s="174">
        <f ca="1">Table2[[#This Row],[Pre NPV Cost of Annual Leakage]]+Table2[[#This Row],[Pre NPV Cost of EOL Leakage]]</f>
        <v>0</v>
      </c>
      <c r="BA94" s="174" t="e">
        <f ca="1">Table2[[#This Row],[Std NPV Cost of Annual Leakage]]+Table2[[#This Row],[Std NPV Cost of EOL Leakage]]</f>
        <v>#N/A</v>
      </c>
      <c r="BB94" s="174" t="e">
        <f ca="1">Table2[[#This Row],[AR immediate NPV cost of leakage]]+Table2[[#This Row],[Msr NPV Cost of Annual Leakage]]+Table2[[#This Row],[Msr NPV Cost of EOL Leakage]]</f>
        <v>#N/A</v>
      </c>
      <c r="BC94" s="273" t="e">
        <f ca="1">IF(Table2[[#This Row],[Is Net Cost?]],Table2[[#This Row],[RefrigerantNPVCostsNet]],0)</f>
        <v>#N/A</v>
      </c>
      <c r="BD94" s="174" t="e">
        <f ca="1">IF(Table2[[#This Row],[Is Net Cost?]],0,-Table2[[#This Row],[RefrigerantNPVCostsNet]])</f>
        <v>#N/A</v>
      </c>
    </row>
    <row r="95" spans="1:56" x14ac:dyDescent="0.3">
      <c r="A95" s="173">
        <f t="shared" si="3"/>
        <v>2022</v>
      </c>
      <c r="B95" s="268"/>
      <c r="C95" s="212"/>
      <c r="D95" s="212"/>
      <c r="E95" s="216" t="str">
        <f>IF(Table2[[#This Row],[MeasAppType]]="NR","N/A","N/A")</f>
        <v>N/A</v>
      </c>
      <c r="F95" s="272"/>
      <c r="G95" s="218"/>
      <c r="H95" s="218"/>
      <c r="I95" s="218"/>
      <c r="J95" s="173" t="e">
        <f>INDEX(Table3[CommonRefrigerantType],MATCH(Table2[[#This Row],[Pre tech lookup (not required for "NR" measure application types)]],DropdownRefrigTech,0))</f>
        <v>#N/A</v>
      </c>
      <c r="K95" s="173" t="e">
        <f>INDEX(Table3[CommonRefrigerantType],MATCH(Table2[[#This Row],[Std tech lookup (not required for "AR" measure application types)]],DropdownRefrigTech,0))</f>
        <v>#N/A</v>
      </c>
      <c r="L95" s="173" t="e">
        <f>INDEX(Table3[CommonRefrigerantType],MATCH(Table2[[#This Row],[Msr tech lookup]],DropdownRefrigTech,0))</f>
        <v>#N/A</v>
      </c>
      <c r="M95" s="134" t="e">
        <f>INDEX(Table3[RefrigChargePoundsPerNormUnit],MATCH(Table2[[#This Row],[Pre tech lookup (not required for "NR" measure application types)]],DropdownRefrigTech,0))</f>
        <v>#N/A</v>
      </c>
      <c r="N95" s="134" t="e">
        <f>INDEX(Table3[RefrigChargePoundsPerNormUnit],MATCH(Table2[[#This Row],[Std tech lookup (not required for "AR" measure application types)]],DropdownRefrigTech,0))</f>
        <v>#N/A</v>
      </c>
      <c r="O95" s="149" t="e">
        <f>INDEX(Table3[RefrigChargePoundsPerNormUnit],MATCH(Table2[[#This Row],[Msr tech lookup]],DropdownRefrigTech,0))</f>
        <v>#N/A</v>
      </c>
      <c r="P95" s="163" t="e">
        <f>INDEX(Table3[AnnualLeakageRate],MATCH(Table2[[#This Row],[Pre tech lookup (not required for "NR" measure application types)]],DropdownRefrigTech,0))</f>
        <v>#N/A</v>
      </c>
      <c r="Q95" s="163" t="e">
        <f>INDEX(Table3[AnnualLeakageRate],MATCH(Table2[[#This Row],[Std tech lookup (not required for "AR" measure application types)]],DropdownRefrigTech,0))</f>
        <v>#N/A</v>
      </c>
      <c r="R95" s="163" t="e">
        <f>INDEX(Table3[AnnualLeakageRate],MATCH(Table2[[#This Row],[Msr tech lookup]],DropdownRefrigTech,0))</f>
        <v>#N/A</v>
      </c>
      <c r="S95" s="164" t="e">
        <f>INDEX(Table3[t_EOL],MATCH(Table2[[#This Row],[Pre tech lookup (not required for "NR" measure application types)]],DropdownRefrigTech,0))</f>
        <v>#N/A</v>
      </c>
      <c r="T95" s="164" t="e">
        <f>INDEX(Table3[t_EOL],MATCH(Table2[[#This Row],[Std tech lookup (not required for "AR" measure application types)]],DropdownRefrigTech,0))</f>
        <v>#N/A</v>
      </c>
      <c r="U95" s="164" t="e">
        <f>INDEX(Table3[t_EOL],MATCH(Table2[[#This Row],[Msr tech lookup]],DropdownRefrigTech,0))</f>
        <v>#N/A</v>
      </c>
      <c r="V95" s="163" t="e">
        <f>1-Table2[[#This Row],[Pre annual refrigerant leakage %]]*Table2[[#This Row],[Pre t_EOL]]</f>
        <v>#N/A</v>
      </c>
      <c r="W95" s="163" t="e">
        <f>1-Table2[[#This Row],[Std annual refrigerant leakage %]]*Table2[[#This Row],[Std t_EOL]]</f>
        <v>#N/A</v>
      </c>
      <c r="X95" s="163" t="e">
        <f>1-Table2[[#This Row],[Msr annual refrigerant leakage %]]*Table2[[#This Row],[Msr t_EOL]]</f>
        <v>#N/A</v>
      </c>
      <c r="Y95" s="163" t="e">
        <f>INDEX(Table3[q_EOL],MATCH(Table2[[#This Row],[Pre tech lookup (not required for "NR" measure application types)]],DropdownRefrigTech,0))</f>
        <v>#N/A</v>
      </c>
      <c r="Z95" s="163" t="e">
        <f>INDEX(Table3[q_EOL],MATCH(Table2[[#This Row],[Std tech lookup (not required for "AR" measure application types)]],DropdownRefrigTech,0))</f>
        <v>#N/A</v>
      </c>
      <c r="AA95" s="163" t="e">
        <f>INDEX(Table3[q_EOL],MATCH(Table2[[#This Row],[Msr tech lookup]],DropdownRefrigTech,0))</f>
        <v>#N/A</v>
      </c>
      <c r="AB95" s="163" t="e">
        <f>Table2[[#This Row],[Pre charging remaining (%)]]*Table2[[#This Row],[Pre gross EOL refrigerant leakage %]]</f>
        <v>#N/A</v>
      </c>
      <c r="AC95" s="163" t="e">
        <f>Table2[[#This Row],[Std charging remaining (%)]]*Table2[[#This Row],[Std gross EOL refrigerant leakage %]]</f>
        <v>#N/A</v>
      </c>
      <c r="AD95" s="163" t="e">
        <f>Table2[[#This Row],[Msr charging remaining (%)]]*Table2[[#This Row],[Msr gross EOL refrigerant leakage %]]</f>
        <v>#N/A</v>
      </c>
      <c r="AE95" s="164" t="e" cm="1">
        <f t="array" ref="AE95">INDEX(_xlfn.SWITCH($B$4,"20-yr",GWP_Values_20_year_AR4,"100-yr",GWP_Values_100_year_AR4),MATCH(Table2[[#This Row],[Pre Refrigerant Type]],RefrigDropdownList,0))</f>
        <v>#N/A</v>
      </c>
      <c r="AF95" s="164" t="e" cm="1">
        <f t="array" ref="AF95">INDEX(_xlfn.SWITCH($B$4,"20-yr",GWP_Values_20_year_AR4,"100-yr",GWP_Values_100_year_AR4),MATCH(Table2[[#This Row],[Std Refrigerant Type]],RefrigDropdownList,0))</f>
        <v>#N/A</v>
      </c>
      <c r="AG95" s="164" t="e" cm="1">
        <f t="array" ref="AG95">INDEX(_xlfn.SWITCH($B$4,"20-yr",GWP_Values_20_year_AR4,"100-yr",GWP_Values_100_year_AR4),MATCH(Table2[[#This Row],[Msr Refrigerant Type]],RefrigDropdownList,0))</f>
        <v>#N/A</v>
      </c>
      <c r="AH95" s="165" t="e">
        <f>(Table2[[#This Row],[Pre Refrigerant charge (lbs) per NormUnit]]/pounds_per_metric_ton)*Table2[[#This Row],[Pre annual refrigerant leakage %]]*Table2[[#This Row],[Pre GWP]]</f>
        <v>#N/A</v>
      </c>
      <c r="AI95" s="165" t="e">
        <f>(Table2[[#This Row],[Std Refrigerant charge (lbs)per NormUnit]]/pounds_per_metric_ton)*Table2[[#This Row],[Std annual refrigerant leakage %]]*Table2[[#This Row],[Std GWP]]</f>
        <v>#N/A</v>
      </c>
      <c r="AJ95" s="165" t="e">
        <f>(Table2[[#This Row],[Msr Refrigerant charge (lbs)per NormUnit]]/pounds_per_metric_ton)*Table2[[#This Row],[Msr annual refrigerant leakage %]]*Table2[[#This Row],[Msr GWP]]</f>
        <v>#N/A</v>
      </c>
      <c r="AK95" s="165" t="e">
        <f>(Table2[[#This Row],[Pre Refrigerant charge (lbs) per NormUnit]]/pounds_per_metric_ton)*Table2[[#This Row],[Pre net EOL refrigerant leakage (%)]]*Table2[[#This Row],[Pre GWP]]</f>
        <v>#N/A</v>
      </c>
      <c r="AL95" s="165" t="e">
        <f>(Table2[[#This Row],[Std Refrigerant charge (lbs)per NormUnit]]/pounds_per_metric_ton)*Table2[[#This Row],[Std net EOL refrigerant leakage (%)]]*Table2[[#This Row],[Std GWP]]</f>
        <v>#N/A</v>
      </c>
      <c r="AM95" s="165" t="e">
        <f>(Table2[[#This Row],[Msr Refrigerant charge (lbs)per NormUnit]]/pounds_per_metric_ton)*Table2[[#This Row],[Msr net EOL refrigerant leakage (%)]]*Table2[[#This Row],[Msr GWP]]</f>
        <v>#N/A</v>
      </c>
      <c r="AN95" s="174" cm="1">
        <f t="array" aca="1" ref="AN95" ca="1">IF(Table2[[#This Row],[MeasAppType]]="AR",Table2[[#This Row],[Pre Annual leakage tons CO2e]]*NPV(WACC,OFFSET(const_ones,0,0,1,Table2[[#This Row],[EUL]])*OFFSET(GHG_Adder_dollar_per_tonne,0,(Table2[[#This Row],[Device installation year]])-GHG_Adder_Yr1,1,Table2[[#This Row],[EUL]]))/(1+WACC)^(Table2[[#This Row],[Device installation year]]-DY),0)</f>
        <v>0</v>
      </c>
      <c r="AO95" s="174" t="e" cm="1">
        <f t="array" aca="1" ref="AO95"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95" s="174" t="e" cm="1">
        <f t="array" aca="1" ref="AP95" ca="1">Table2[[#This Row],[Msr Annual leakage tons CO2e]]*NPV(WACC,OFFSET(const_ones,0,0,1,Table2[[#This Row],[EUL]])*OFFSET(GHG_Adder_dollar_per_tonne,0,((Table2[[#This Row],[Device installation year]])-GHG_Adder_Yr1),1,Table2[[#This Row],[EUL]]))/(1+WACC)^(Table2[[#This Row],[Device installation year]]-DY)</f>
        <v>#N/A</v>
      </c>
      <c r="AQ95" s="260" cm="1">
        <f t="array" aca="1" ref="AQ95"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95" s="261" t="e" cm="1">
        <f t="array" aca="1" ref="AR95"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95" s="261" t="e" cm="1">
        <f t="array" aca="1" ref="AS95" ca="1">Table2[[#This Row],[Msr EOL leakage tons CO2e]]*NPV(WACC,OFFSET(const_repeat_after,Table2[[#This Row],[EUL]],0,1,Table2[[#This Row],[EUL]])*OFFSET(GHG_Adder_dollar_per_tonne,0,(Table2[[#This Row],[Device installation year]])-GHG_Adder_Yr1,1,Table2[[#This Row],[EUL]]))/(1+WACC)^(Table2[[#This Row],[Device installation year]]-DY)</f>
        <v>#N/A</v>
      </c>
      <c r="AT95" s="260">
        <f>0</f>
        <v>0</v>
      </c>
      <c r="AU95"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95" s="174" t="e">
        <f ca="1">Table2[[#This Row],[RefrigerantNPVCostsNet]]&gt;0</f>
        <v>#N/A</v>
      </c>
      <c r="AW95" s="174">
        <f>0</f>
        <v>0</v>
      </c>
      <c r="AX95" s="174">
        <f>0</f>
        <v>0</v>
      </c>
      <c r="AY95" s="174">
        <f>0</f>
        <v>0</v>
      </c>
      <c r="AZ95" s="174">
        <f ca="1">Table2[[#This Row],[Pre NPV Cost of Annual Leakage]]+Table2[[#This Row],[Pre NPV Cost of EOL Leakage]]</f>
        <v>0</v>
      </c>
      <c r="BA95" s="174" t="e">
        <f ca="1">Table2[[#This Row],[Std NPV Cost of Annual Leakage]]+Table2[[#This Row],[Std NPV Cost of EOL Leakage]]</f>
        <v>#N/A</v>
      </c>
      <c r="BB95" s="174" t="e">
        <f ca="1">Table2[[#This Row],[AR immediate NPV cost of leakage]]+Table2[[#This Row],[Msr NPV Cost of Annual Leakage]]+Table2[[#This Row],[Msr NPV Cost of EOL Leakage]]</f>
        <v>#N/A</v>
      </c>
      <c r="BC95" s="273" t="e">
        <f ca="1">IF(Table2[[#This Row],[Is Net Cost?]],Table2[[#This Row],[RefrigerantNPVCostsNet]],0)</f>
        <v>#N/A</v>
      </c>
      <c r="BD95" s="174" t="e">
        <f ca="1">IF(Table2[[#This Row],[Is Net Cost?]],0,-Table2[[#This Row],[RefrigerantNPVCostsNet]])</f>
        <v>#N/A</v>
      </c>
    </row>
    <row r="96" spans="1:56" x14ac:dyDescent="0.3">
      <c r="A96" s="173">
        <f t="shared" si="3"/>
        <v>2022</v>
      </c>
      <c r="B96" s="268"/>
      <c r="C96" s="212"/>
      <c r="D96" s="212"/>
      <c r="E96" s="216" t="str">
        <f>IF(Table2[[#This Row],[MeasAppType]]="NR","N/A","N/A")</f>
        <v>N/A</v>
      </c>
      <c r="F96" s="272"/>
      <c r="G96" s="218"/>
      <c r="H96" s="218"/>
      <c r="I96" s="218"/>
      <c r="J96" s="173" t="e">
        <f>INDEX(Table3[CommonRefrigerantType],MATCH(Table2[[#This Row],[Pre tech lookup (not required for "NR" measure application types)]],DropdownRefrigTech,0))</f>
        <v>#N/A</v>
      </c>
      <c r="K96" s="173" t="e">
        <f>INDEX(Table3[CommonRefrigerantType],MATCH(Table2[[#This Row],[Std tech lookup (not required for "AR" measure application types)]],DropdownRefrigTech,0))</f>
        <v>#N/A</v>
      </c>
      <c r="L96" s="173" t="e">
        <f>INDEX(Table3[CommonRefrigerantType],MATCH(Table2[[#This Row],[Msr tech lookup]],DropdownRefrigTech,0))</f>
        <v>#N/A</v>
      </c>
      <c r="M96" s="134" t="e">
        <f>INDEX(Table3[RefrigChargePoundsPerNormUnit],MATCH(Table2[[#This Row],[Pre tech lookup (not required for "NR" measure application types)]],DropdownRefrigTech,0))</f>
        <v>#N/A</v>
      </c>
      <c r="N96" s="134" t="e">
        <f>INDEX(Table3[RefrigChargePoundsPerNormUnit],MATCH(Table2[[#This Row],[Std tech lookup (not required for "AR" measure application types)]],DropdownRefrigTech,0))</f>
        <v>#N/A</v>
      </c>
      <c r="O96" s="149" t="e">
        <f>INDEX(Table3[RefrigChargePoundsPerNormUnit],MATCH(Table2[[#This Row],[Msr tech lookup]],DropdownRefrigTech,0))</f>
        <v>#N/A</v>
      </c>
      <c r="P96" s="163" t="e">
        <f>INDEX(Table3[AnnualLeakageRate],MATCH(Table2[[#This Row],[Pre tech lookup (not required for "NR" measure application types)]],DropdownRefrigTech,0))</f>
        <v>#N/A</v>
      </c>
      <c r="Q96" s="163" t="e">
        <f>INDEX(Table3[AnnualLeakageRate],MATCH(Table2[[#This Row],[Std tech lookup (not required for "AR" measure application types)]],DropdownRefrigTech,0))</f>
        <v>#N/A</v>
      </c>
      <c r="R96" s="163" t="e">
        <f>INDEX(Table3[AnnualLeakageRate],MATCH(Table2[[#This Row],[Msr tech lookup]],DropdownRefrigTech,0))</f>
        <v>#N/A</v>
      </c>
      <c r="S96" s="164" t="e">
        <f>INDEX(Table3[t_EOL],MATCH(Table2[[#This Row],[Pre tech lookup (not required for "NR" measure application types)]],DropdownRefrigTech,0))</f>
        <v>#N/A</v>
      </c>
      <c r="T96" s="164" t="e">
        <f>INDEX(Table3[t_EOL],MATCH(Table2[[#This Row],[Std tech lookup (not required for "AR" measure application types)]],DropdownRefrigTech,0))</f>
        <v>#N/A</v>
      </c>
      <c r="U96" s="164" t="e">
        <f>INDEX(Table3[t_EOL],MATCH(Table2[[#This Row],[Msr tech lookup]],DropdownRefrigTech,0))</f>
        <v>#N/A</v>
      </c>
      <c r="V96" s="163" t="e">
        <f>1-Table2[[#This Row],[Pre annual refrigerant leakage %]]*Table2[[#This Row],[Pre t_EOL]]</f>
        <v>#N/A</v>
      </c>
      <c r="W96" s="163" t="e">
        <f>1-Table2[[#This Row],[Std annual refrigerant leakage %]]*Table2[[#This Row],[Std t_EOL]]</f>
        <v>#N/A</v>
      </c>
      <c r="X96" s="163" t="e">
        <f>1-Table2[[#This Row],[Msr annual refrigerant leakage %]]*Table2[[#This Row],[Msr t_EOL]]</f>
        <v>#N/A</v>
      </c>
      <c r="Y96" s="163" t="e">
        <f>INDEX(Table3[q_EOL],MATCH(Table2[[#This Row],[Pre tech lookup (not required for "NR" measure application types)]],DropdownRefrigTech,0))</f>
        <v>#N/A</v>
      </c>
      <c r="Z96" s="163" t="e">
        <f>INDEX(Table3[q_EOL],MATCH(Table2[[#This Row],[Std tech lookup (not required for "AR" measure application types)]],DropdownRefrigTech,0))</f>
        <v>#N/A</v>
      </c>
      <c r="AA96" s="163" t="e">
        <f>INDEX(Table3[q_EOL],MATCH(Table2[[#This Row],[Msr tech lookup]],DropdownRefrigTech,0))</f>
        <v>#N/A</v>
      </c>
      <c r="AB96" s="163" t="e">
        <f>Table2[[#This Row],[Pre charging remaining (%)]]*Table2[[#This Row],[Pre gross EOL refrigerant leakage %]]</f>
        <v>#N/A</v>
      </c>
      <c r="AC96" s="163" t="e">
        <f>Table2[[#This Row],[Std charging remaining (%)]]*Table2[[#This Row],[Std gross EOL refrigerant leakage %]]</f>
        <v>#N/A</v>
      </c>
      <c r="AD96" s="163" t="e">
        <f>Table2[[#This Row],[Msr charging remaining (%)]]*Table2[[#This Row],[Msr gross EOL refrigerant leakage %]]</f>
        <v>#N/A</v>
      </c>
      <c r="AE96" s="164" t="e" cm="1">
        <f t="array" ref="AE96">INDEX(_xlfn.SWITCH($B$4,"20-yr",GWP_Values_20_year_AR4,"100-yr",GWP_Values_100_year_AR4),MATCH(Table2[[#This Row],[Pre Refrigerant Type]],RefrigDropdownList,0))</f>
        <v>#N/A</v>
      </c>
      <c r="AF96" s="164" t="e" cm="1">
        <f t="array" ref="AF96">INDEX(_xlfn.SWITCH($B$4,"20-yr",GWP_Values_20_year_AR4,"100-yr",GWP_Values_100_year_AR4),MATCH(Table2[[#This Row],[Std Refrigerant Type]],RefrigDropdownList,0))</f>
        <v>#N/A</v>
      </c>
      <c r="AG96" s="164" t="e" cm="1">
        <f t="array" ref="AG96">INDEX(_xlfn.SWITCH($B$4,"20-yr",GWP_Values_20_year_AR4,"100-yr",GWP_Values_100_year_AR4),MATCH(Table2[[#This Row],[Msr Refrigerant Type]],RefrigDropdownList,0))</f>
        <v>#N/A</v>
      </c>
      <c r="AH96" s="165" t="e">
        <f>(Table2[[#This Row],[Pre Refrigerant charge (lbs) per NormUnit]]/pounds_per_metric_ton)*Table2[[#This Row],[Pre annual refrigerant leakage %]]*Table2[[#This Row],[Pre GWP]]</f>
        <v>#N/A</v>
      </c>
      <c r="AI96" s="165" t="e">
        <f>(Table2[[#This Row],[Std Refrigerant charge (lbs)per NormUnit]]/pounds_per_metric_ton)*Table2[[#This Row],[Std annual refrigerant leakage %]]*Table2[[#This Row],[Std GWP]]</f>
        <v>#N/A</v>
      </c>
      <c r="AJ96" s="165" t="e">
        <f>(Table2[[#This Row],[Msr Refrigerant charge (lbs)per NormUnit]]/pounds_per_metric_ton)*Table2[[#This Row],[Msr annual refrigerant leakage %]]*Table2[[#This Row],[Msr GWP]]</f>
        <v>#N/A</v>
      </c>
      <c r="AK96" s="165" t="e">
        <f>(Table2[[#This Row],[Pre Refrigerant charge (lbs) per NormUnit]]/pounds_per_metric_ton)*Table2[[#This Row],[Pre net EOL refrigerant leakage (%)]]*Table2[[#This Row],[Pre GWP]]</f>
        <v>#N/A</v>
      </c>
      <c r="AL96" s="165" t="e">
        <f>(Table2[[#This Row],[Std Refrigerant charge (lbs)per NormUnit]]/pounds_per_metric_ton)*Table2[[#This Row],[Std net EOL refrigerant leakage (%)]]*Table2[[#This Row],[Std GWP]]</f>
        <v>#N/A</v>
      </c>
      <c r="AM96" s="165" t="e">
        <f>(Table2[[#This Row],[Msr Refrigerant charge (lbs)per NormUnit]]/pounds_per_metric_ton)*Table2[[#This Row],[Msr net EOL refrigerant leakage (%)]]*Table2[[#This Row],[Msr GWP]]</f>
        <v>#N/A</v>
      </c>
      <c r="AN96" s="174" cm="1">
        <f t="array" aca="1" ref="AN96" ca="1">IF(Table2[[#This Row],[MeasAppType]]="AR",Table2[[#This Row],[Pre Annual leakage tons CO2e]]*NPV(WACC,OFFSET(const_ones,0,0,1,Table2[[#This Row],[EUL]])*OFFSET(GHG_Adder_dollar_per_tonne,0,(Table2[[#This Row],[Device installation year]])-GHG_Adder_Yr1,1,Table2[[#This Row],[EUL]]))/(1+WACC)^(Table2[[#This Row],[Device installation year]]-DY),0)</f>
        <v>0</v>
      </c>
      <c r="AO96" s="174" t="e" cm="1">
        <f t="array" aca="1" ref="AO96"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96" s="174" t="e" cm="1">
        <f t="array" aca="1" ref="AP96" ca="1">Table2[[#This Row],[Msr Annual leakage tons CO2e]]*NPV(WACC,OFFSET(const_ones,0,0,1,Table2[[#This Row],[EUL]])*OFFSET(GHG_Adder_dollar_per_tonne,0,((Table2[[#This Row],[Device installation year]])-GHG_Adder_Yr1),1,Table2[[#This Row],[EUL]]))/(1+WACC)^(Table2[[#This Row],[Device installation year]]-DY)</f>
        <v>#N/A</v>
      </c>
      <c r="AQ96" s="260" cm="1">
        <f t="array" aca="1" ref="AQ96"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96" s="261" t="e" cm="1">
        <f t="array" aca="1" ref="AR96"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96" s="261" t="e" cm="1">
        <f t="array" aca="1" ref="AS96" ca="1">Table2[[#This Row],[Msr EOL leakage tons CO2e]]*NPV(WACC,OFFSET(const_repeat_after,Table2[[#This Row],[EUL]],0,1,Table2[[#This Row],[EUL]])*OFFSET(GHG_Adder_dollar_per_tonne,0,(Table2[[#This Row],[Device installation year]])-GHG_Adder_Yr1,1,Table2[[#This Row],[EUL]]))/(1+WACC)^(Table2[[#This Row],[Device installation year]]-DY)</f>
        <v>#N/A</v>
      </c>
      <c r="AT96" s="260">
        <f>0</f>
        <v>0</v>
      </c>
      <c r="AU96"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96" s="174" t="e">
        <f ca="1">Table2[[#This Row],[RefrigerantNPVCostsNet]]&gt;0</f>
        <v>#N/A</v>
      </c>
      <c r="AW96" s="174">
        <f>0</f>
        <v>0</v>
      </c>
      <c r="AX96" s="174">
        <f>0</f>
        <v>0</v>
      </c>
      <c r="AY96" s="174">
        <f>0</f>
        <v>0</v>
      </c>
      <c r="AZ96" s="174">
        <f ca="1">Table2[[#This Row],[Pre NPV Cost of Annual Leakage]]+Table2[[#This Row],[Pre NPV Cost of EOL Leakage]]</f>
        <v>0</v>
      </c>
      <c r="BA96" s="174" t="e">
        <f ca="1">Table2[[#This Row],[Std NPV Cost of Annual Leakage]]+Table2[[#This Row],[Std NPV Cost of EOL Leakage]]</f>
        <v>#N/A</v>
      </c>
      <c r="BB96" s="174" t="e">
        <f ca="1">Table2[[#This Row],[AR immediate NPV cost of leakage]]+Table2[[#This Row],[Msr NPV Cost of Annual Leakage]]+Table2[[#This Row],[Msr NPV Cost of EOL Leakage]]</f>
        <v>#N/A</v>
      </c>
      <c r="BC96" s="273" t="e">
        <f ca="1">IF(Table2[[#This Row],[Is Net Cost?]],Table2[[#This Row],[RefrigerantNPVCostsNet]],0)</f>
        <v>#N/A</v>
      </c>
      <c r="BD96" s="174" t="e">
        <f ca="1">IF(Table2[[#This Row],[Is Net Cost?]],0,-Table2[[#This Row],[RefrigerantNPVCostsNet]])</f>
        <v>#N/A</v>
      </c>
    </row>
    <row r="97" spans="1:56" x14ac:dyDescent="0.3">
      <c r="A97" s="173">
        <f t="shared" si="3"/>
        <v>2022</v>
      </c>
      <c r="B97" s="268"/>
      <c r="C97" s="212"/>
      <c r="D97" s="212"/>
      <c r="E97" s="216" t="str">
        <f>IF(Table2[[#This Row],[MeasAppType]]="NR","N/A","N/A")</f>
        <v>N/A</v>
      </c>
      <c r="F97" s="272"/>
      <c r="G97" s="218"/>
      <c r="H97" s="218"/>
      <c r="I97" s="218"/>
      <c r="J97" s="173" t="e">
        <f>INDEX(Table3[CommonRefrigerantType],MATCH(Table2[[#This Row],[Pre tech lookup (not required for "NR" measure application types)]],DropdownRefrigTech,0))</f>
        <v>#N/A</v>
      </c>
      <c r="K97" s="173" t="e">
        <f>INDEX(Table3[CommonRefrigerantType],MATCH(Table2[[#This Row],[Std tech lookup (not required for "AR" measure application types)]],DropdownRefrigTech,0))</f>
        <v>#N/A</v>
      </c>
      <c r="L97" s="173" t="e">
        <f>INDEX(Table3[CommonRefrigerantType],MATCH(Table2[[#This Row],[Msr tech lookup]],DropdownRefrigTech,0))</f>
        <v>#N/A</v>
      </c>
      <c r="M97" s="134" t="e">
        <f>INDEX(Table3[RefrigChargePoundsPerNormUnit],MATCH(Table2[[#This Row],[Pre tech lookup (not required for "NR" measure application types)]],DropdownRefrigTech,0))</f>
        <v>#N/A</v>
      </c>
      <c r="N97" s="134" t="e">
        <f>INDEX(Table3[RefrigChargePoundsPerNormUnit],MATCH(Table2[[#This Row],[Std tech lookup (not required for "AR" measure application types)]],DropdownRefrigTech,0))</f>
        <v>#N/A</v>
      </c>
      <c r="O97" s="149" t="e">
        <f>INDEX(Table3[RefrigChargePoundsPerNormUnit],MATCH(Table2[[#This Row],[Msr tech lookup]],DropdownRefrigTech,0))</f>
        <v>#N/A</v>
      </c>
      <c r="P97" s="163" t="e">
        <f>INDEX(Table3[AnnualLeakageRate],MATCH(Table2[[#This Row],[Pre tech lookup (not required for "NR" measure application types)]],DropdownRefrigTech,0))</f>
        <v>#N/A</v>
      </c>
      <c r="Q97" s="163" t="e">
        <f>INDEX(Table3[AnnualLeakageRate],MATCH(Table2[[#This Row],[Std tech lookup (not required for "AR" measure application types)]],DropdownRefrigTech,0))</f>
        <v>#N/A</v>
      </c>
      <c r="R97" s="163" t="e">
        <f>INDEX(Table3[AnnualLeakageRate],MATCH(Table2[[#This Row],[Msr tech lookup]],DropdownRefrigTech,0))</f>
        <v>#N/A</v>
      </c>
      <c r="S97" s="164" t="e">
        <f>INDEX(Table3[t_EOL],MATCH(Table2[[#This Row],[Pre tech lookup (not required for "NR" measure application types)]],DropdownRefrigTech,0))</f>
        <v>#N/A</v>
      </c>
      <c r="T97" s="164" t="e">
        <f>INDEX(Table3[t_EOL],MATCH(Table2[[#This Row],[Std tech lookup (not required for "AR" measure application types)]],DropdownRefrigTech,0))</f>
        <v>#N/A</v>
      </c>
      <c r="U97" s="164" t="e">
        <f>INDEX(Table3[t_EOL],MATCH(Table2[[#This Row],[Msr tech lookup]],DropdownRefrigTech,0))</f>
        <v>#N/A</v>
      </c>
      <c r="V97" s="163" t="e">
        <f>1-Table2[[#This Row],[Pre annual refrigerant leakage %]]*Table2[[#This Row],[Pre t_EOL]]</f>
        <v>#N/A</v>
      </c>
      <c r="W97" s="163" t="e">
        <f>1-Table2[[#This Row],[Std annual refrigerant leakage %]]*Table2[[#This Row],[Std t_EOL]]</f>
        <v>#N/A</v>
      </c>
      <c r="X97" s="163" t="e">
        <f>1-Table2[[#This Row],[Msr annual refrigerant leakage %]]*Table2[[#This Row],[Msr t_EOL]]</f>
        <v>#N/A</v>
      </c>
      <c r="Y97" s="163" t="e">
        <f>INDEX(Table3[q_EOL],MATCH(Table2[[#This Row],[Pre tech lookup (not required for "NR" measure application types)]],DropdownRefrigTech,0))</f>
        <v>#N/A</v>
      </c>
      <c r="Z97" s="163" t="e">
        <f>INDEX(Table3[q_EOL],MATCH(Table2[[#This Row],[Std tech lookup (not required for "AR" measure application types)]],DropdownRefrigTech,0))</f>
        <v>#N/A</v>
      </c>
      <c r="AA97" s="163" t="e">
        <f>INDEX(Table3[q_EOL],MATCH(Table2[[#This Row],[Msr tech lookup]],DropdownRefrigTech,0))</f>
        <v>#N/A</v>
      </c>
      <c r="AB97" s="163" t="e">
        <f>Table2[[#This Row],[Pre charging remaining (%)]]*Table2[[#This Row],[Pre gross EOL refrigerant leakage %]]</f>
        <v>#N/A</v>
      </c>
      <c r="AC97" s="163" t="e">
        <f>Table2[[#This Row],[Std charging remaining (%)]]*Table2[[#This Row],[Std gross EOL refrigerant leakage %]]</f>
        <v>#N/A</v>
      </c>
      <c r="AD97" s="163" t="e">
        <f>Table2[[#This Row],[Msr charging remaining (%)]]*Table2[[#This Row],[Msr gross EOL refrigerant leakage %]]</f>
        <v>#N/A</v>
      </c>
      <c r="AE97" s="164" t="e" cm="1">
        <f t="array" ref="AE97">INDEX(_xlfn.SWITCH($B$4,"20-yr",GWP_Values_20_year_AR4,"100-yr",GWP_Values_100_year_AR4),MATCH(Table2[[#This Row],[Pre Refrigerant Type]],RefrigDropdownList,0))</f>
        <v>#N/A</v>
      </c>
      <c r="AF97" s="164" t="e" cm="1">
        <f t="array" ref="AF97">INDEX(_xlfn.SWITCH($B$4,"20-yr",GWP_Values_20_year_AR4,"100-yr",GWP_Values_100_year_AR4),MATCH(Table2[[#This Row],[Std Refrigerant Type]],RefrigDropdownList,0))</f>
        <v>#N/A</v>
      </c>
      <c r="AG97" s="164" t="e" cm="1">
        <f t="array" ref="AG97">INDEX(_xlfn.SWITCH($B$4,"20-yr",GWP_Values_20_year_AR4,"100-yr",GWP_Values_100_year_AR4),MATCH(Table2[[#This Row],[Msr Refrigerant Type]],RefrigDropdownList,0))</f>
        <v>#N/A</v>
      </c>
      <c r="AH97" s="165" t="e">
        <f>(Table2[[#This Row],[Pre Refrigerant charge (lbs) per NormUnit]]/pounds_per_metric_ton)*Table2[[#This Row],[Pre annual refrigerant leakage %]]*Table2[[#This Row],[Pre GWP]]</f>
        <v>#N/A</v>
      </c>
      <c r="AI97" s="165" t="e">
        <f>(Table2[[#This Row],[Std Refrigerant charge (lbs)per NormUnit]]/pounds_per_metric_ton)*Table2[[#This Row],[Std annual refrigerant leakage %]]*Table2[[#This Row],[Std GWP]]</f>
        <v>#N/A</v>
      </c>
      <c r="AJ97" s="165" t="e">
        <f>(Table2[[#This Row],[Msr Refrigerant charge (lbs)per NormUnit]]/pounds_per_metric_ton)*Table2[[#This Row],[Msr annual refrigerant leakage %]]*Table2[[#This Row],[Msr GWP]]</f>
        <v>#N/A</v>
      </c>
      <c r="AK97" s="165" t="e">
        <f>(Table2[[#This Row],[Pre Refrigerant charge (lbs) per NormUnit]]/pounds_per_metric_ton)*Table2[[#This Row],[Pre net EOL refrigerant leakage (%)]]*Table2[[#This Row],[Pre GWP]]</f>
        <v>#N/A</v>
      </c>
      <c r="AL97" s="165" t="e">
        <f>(Table2[[#This Row],[Std Refrigerant charge (lbs)per NormUnit]]/pounds_per_metric_ton)*Table2[[#This Row],[Std net EOL refrigerant leakage (%)]]*Table2[[#This Row],[Std GWP]]</f>
        <v>#N/A</v>
      </c>
      <c r="AM97" s="165" t="e">
        <f>(Table2[[#This Row],[Msr Refrigerant charge (lbs)per NormUnit]]/pounds_per_metric_ton)*Table2[[#This Row],[Msr net EOL refrigerant leakage (%)]]*Table2[[#This Row],[Msr GWP]]</f>
        <v>#N/A</v>
      </c>
      <c r="AN97" s="174" cm="1">
        <f t="array" aca="1" ref="AN97" ca="1">IF(Table2[[#This Row],[MeasAppType]]="AR",Table2[[#This Row],[Pre Annual leakage tons CO2e]]*NPV(WACC,OFFSET(const_ones,0,0,1,Table2[[#This Row],[EUL]])*OFFSET(GHG_Adder_dollar_per_tonne,0,(Table2[[#This Row],[Device installation year]])-GHG_Adder_Yr1,1,Table2[[#This Row],[EUL]]))/(1+WACC)^(Table2[[#This Row],[Device installation year]]-DY),0)</f>
        <v>0</v>
      </c>
      <c r="AO97" s="174" t="e" cm="1">
        <f t="array" aca="1" ref="AO97"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97" s="174" t="e" cm="1">
        <f t="array" aca="1" ref="AP97" ca="1">Table2[[#This Row],[Msr Annual leakage tons CO2e]]*NPV(WACC,OFFSET(const_ones,0,0,1,Table2[[#This Row],[EUL]])*OFFSET(GHG_Adder_dollar_per_tonne,0,((Table2[[#This Row],[Device installation year]])-GHG_Adder_Yr1),1,Table2[[#This Row],[EUL]]))/(1+WACC)^(Table2[[#This Row],[Device installation year]]-DY)</f>
        <v>#N/A</v>
      </c>
      <c r="AQ97" s="260" cm="1">
        <f t="array" aca="1" ref="AQ97"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97" s="261" t="e" cm="1">
        <f t="array" aca="1" ref="AR97"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97" s="261" t="e" cm="1">
        <f t="array" aca="1" ref="AS97" ca="1">Table2[[#This Row],[Msr EOL leakage tons CO2e]]*NPV(WACC,OFFSET(const_repeat_after,Table2[[#This Row],[EUL]],0,1,Table2[[#This Row],[EUL]])*OFFSET(GHG_Adder_dollar_per_tonne,0,(Table2[[#This Row],[Device installation year]])-GHG_Adder_Yr1,1,Table2[[#This Row],[EUL]]))/(1+WACC)^(Table2[[#This Row],[Device installation year]]-DY)</f>
        <v>#N/A</v>
      </c>
      <c r="AT97" s="260">
        <f>0</f>
        <v>0</v>
      </c>
      <c r="AU97"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97" s="174" t="e">
        <f ca="1">Table2[[#This Row],[RefrigerantNPVCostsNet]]&gt;0</f>
        <v>#N/A</v>
      </c>
      <c r="AW97" s="174">
        <f>0</f>
        <v>0</v>
      </c>
      <c r="AX97" s="174">
        <f>0</f>
        <v>0</v>
      </c>
      <c r="AY97" s="174">
        <f>0</f>
        <v>0</v>
      </c>
      <c r="AZ97" s="174">
        <f ca="1">Table2[[#This Row],[Pre NPV Cost of Annual Leakage]]+Table2[[#This Row],[Pre NPV Cost of EOL Leakage]]</f>
        <v>0</v>
      </c>
      <c r="BA97" s="174" t="e">
        <f ca="1">Table2[[#This Row],[Std NPV Cost of Annual Leakage]]+Table2[[#This Row],[Std NPV Cost of EOL Leakage]]</f>
        <v>#N/A</v>
      </c>
      <c r="BB97" s="174" t="e">
        <f ca="1">Table2[[#This Row],[AR immediate NPV cost of leakage]]+Table2[[#This Row],[Msr NPV Cost of Annual Leakage]]+Table2[[#This Row],[Msr NPV Cost of EOL Leakage]]</f>
        <v>#N/A</v>
      </c>
      <c r="BC97" s="273" t="e">
        <f ca="1">IF(Table2[[#This Row],[Is Net Cost?]],Table2[[#This Row],[RefrigerantNPVCostsNet]],0)</f>
        <v>#N/A</v>
      </c>
      <c r="BD97" s="174" t="e">
        <f ca="1">IF(Table2[[#This Row],[Is Net Cost?]],0,-Table2[[#This Row],[RefrigerantNPVCostsNet]])</f>
        <v>#N/A</v>
      </c>
    </row>
    <row r="98" spans="1:56" x14ac:dyDescent="0.3">
      <c r="A98" s="173">
        <f t="shared" si="3"/>
        <v>2022</v>
      </c>
      <c r="B98" s="268"/>
      <c r="C98" s="212"/>
      <c r="D98" s="212"/>
      <c r="E98" s="216" t="str">
        <f>IF(Table2[[#This Row],[MeasAppType]]="NR","N/A","N/A")</f>
        <v>N/A</v>
      </c>
      <c r="F98" s="272"/>
      <c r="G98" s="218"/>
      <c r="H98" s="218"/>
      <c r="I98" s="218"/>
      <c r="J98" s="173" t="e">
        <f>INDEX(Table3[CommonRefrigerantType],MATCH(Table2[[#This Row],[Pre tech lookup (not required for "NR" measure application types)]],DropdownRefrigTech,0))</f>
        <v>#N/A</v>
      </c>
      <c r="K98" s="173" t="e">
        <f>INDEX(Table3[CommonRefrigerantType],MATCH(Table2[[#This Row],[Std tech lookup (not required for "AR" measure application types)]],DropdownRefrigTech,0))</f>
        <v>#N/A</v>
      </c>
      <c r="L98" s="173" t="e">
        <f>INDEX(Table3[CommonRefrigerantType],MATCH(Table2[[#This Row],[Msr tech lookup]],DropdownRefrigTech,0))</f>
        <v>#N/A</v>
      </c>
      <c r="M98" s="134" t="e">
        <f>INDEX(Table3[RefrigChargePoundsPerNormUnit],MATCH(Table2[[#This Row],[Pre tech lookup (not required for "NR" measure application types)]],DropdownRefrigTech,0))</f>
        <v>#N/A</v>
      </c>
      <c r="N98" s="134" t="e">
        <f>INDEX(Table3[RefrigChargePoundsPerNormUnit],MATCH(Table2[[#This Row],[Std tech lookup (not required for "AR" measure application types)]],DropdownRefrigTech,0))</f>
        <v>#N/A</v>
      </c>
      <c r="O98" s="149" t="e">
        <f>INDEX(Table3[RefrigChargePoundsPerNormUnit],MATCH(Table2[[#This Row],[Msr tech lookup]],DropdownRefrigTech,0))</f>
        <v>#N/A</v>
      </c>
      <c r="P98" s="163" t="e">
        <f>INDEX(Table3[AnnualLeakageRate],MATCH(Table2[[#This Row],[Pre tech lookup (not required for "NR" measure application types)]],DropdownRefrigTech,0))</f>
        <v>#N/A</v>
      </c>
      <c r="Q98" s="163" t="e">
        <f>INDEX(Table3[AnnualLeakageRate],MATCH(Table2[[#This Row],[Std tech lookup (not required for "AR" measure application types)]],DropdownRefrigTech,0))</f>
        <v>#N/A</v>
      </c>
      <c r="R98" s="163" t="e">
        <f>INDEX(Table3[AnnualLeakageRate],MATCH(Table2[[#This Row],[Msr tech lookup]],DropdownRefrigTech,0))</f>
        <v>#N/A</v>
      </c>
      <c r="S98" s="164" t="e">
        <f>INDEX(Table3[t_EOL],MATCH(Table2[[#This Row],[Pre tech lookup (not required for "NR" measure application types)]],DropdownRefrigTech,0))</f>
        <v>#N/A</v>
      </c>
      <c r="T98" s="164" t="e">
        <f>INDEX(Table3[t_EOL],MATCH(Table2[[#This Row],[Std tech lookup (not required for "AR" measure application types)]],DropdownRefrigTech,0))</f>
        <v>#N/A</v>
      </c>
      <c r="U98" s="164" t="e">
        <f>INDEX(Table3[t_EOL],MATCH(Table2[[#This Row],[Msr tech lookup]],DropdownRefrigTech,0))</f>
        <v>#N/A</v>
      </c>
      <c r="V98" s="163" t="e">
        <f>1-Table2[[#This Row],[Pre annual refrigerant leakage %]]*Table2[[#This Row],[Pre t_EOL]]</f>
        <v>#N/A</v>
      </c>
      <c r="W98" s="163" t="e">
        <f>1-Table2[[#This Row],[Std annual refrigerant leakage %]]*Table2[[#This Row],[Std t_EOL]]</f>
        <v>#N/A</v>
      </c>
      <c r="X98" s="163" t="e">
        <f>1-Table2[[#This Row],[Msr annual refrigerant leakage %]]*Table2[[#This Row],[Msr t_EOL]]</f>
        <v>#N/A</v>
      </c>
      <c r="Y98" s="163" t="e">
        <f>INDEX(Table3[q_EOL],MATCH(Table2[[#This Row],[Pre tech lookup (not required for "NR" measure application types)]],DropdownRefrigTech,0))</f>
        <v>#N/A</v>
      </c>
      <c r="Z98" s="163" t="e">
        <f>INDEX(Table3[q_EOL],MATCH(Table2[[#This Row],[Std tech lookup (not required for "AR" measure application types)]],DropdownRefrigTech,0))</f>
        <v>#N/A</v>
      </c>
      <c r="AA98" s="163" t="e">
        <f>INDEX(Table3[q_EOL],MATCH(Table2[[#This Row],[Msr tech lookup]],DropdownRefrigTech,0))</f>
        <v>#N/A</v>
      </c>
      <c r="AB98" s="163" t="e">
        <f>Table2[[#This Row],[Pre charging remaining (%)]]*Table2[[#This Row],[Pre gross EOL refrigerant leakage %]]</f>
        <v>#N/A</v>
      </c>
      <c r="AC98" s="163" t="e">
        <f>Table2[[#This Row],[Std charging remaining (%)]]*Table2[[#This Row],[Std gross EOL refrigerant leakage %]]</f>
        <v>#N/A</v>
      </c>
      <c r="AD98" s="163" t="e">
        <f>Table2[[#This Row],[Msr charging remaining (%)]]*Table2[[#This Row],[Msr gross EOL refrigerant leakage %]]</f>
        <v>#N/A</v>
      </c>
      <c r="AE98" s="164" t="e" cm="1">
        <f t="array" ref="AE98">INDEX(_xlfn.SWITCH($B$4,"20-yr",GWP_Values_20_year_AR4,"100-yr",GWP_Values_100_year_AR4),MATCH(Table2[[#This Row],[Pre Refrigerant Type]],RefrigDropdownList,0))</f>
        <v>#N/A</v>
      </c>
      <c r="AF98" s="164" t="e" cm="1">
        <f t="array" ref="AF98">INDEX(_xlfn.SWITCH($B$4,"20-yr",GWP_Values_20_year_AR4,"100-yr",GWP_Values_100_year_AR4),MATCH(Table2[[#This Row],[Std Refrigerant Type]],RefrigDropdownList,0))</f>
        <v>#N/A</v>
      </c>
      <c r="AG98" s="164" t="e" cm="1">
        <f t="array" ref="AG98">INDEX(_xlfn.SWITCH($B$4,"20-yr",GWP_Values_20_year_AR4,"100-yr",GWP_Values_100_year_AR4),MATCH(Table2[[#This Row],[Msr Refrigerant Type]],RefrigDropdownList,0))</f>
        <v>#N/A</v>
      </c>
      <c r="AH98" s="165" t="e">
        <f>(Table2[[#This Row],[Pre Refrigerant charge (lbs) per NormUnit]]/pounds_per_metric_ton)*Table2[[#This Row],[Pre annual refrigerant leakage %]]*Table2[[#This Row],[Pre GWP]]</f>
        <v>#N/A</v>
      </c>
      <c r="AI98" s="165" t="e">
        <f>(Table2[[#This Row],[Std Refrigerant charge (lbs)per NormUnit]]/pounds_per_metric_ton)*Table2[[#This Row],[Std annual refrigerant leakage %]]*Table2[[#This Row],[Std GWP]]</f>
        <v>#N/A</v>
      </c>
      <c r="AJ98" s="165" t="e">
        <f>(Table2[[#This Row],[Msr Refrigerant charge (lbs)per NormUnit]]/pounds_per_metric_ton)*Table2[[#This Row],[Msr annual refrigerant leakage %]]*Table2[[#This Row],[Msr GWP]]</f>
        <v>#N/A</v>
      </c>
      <c r="AK98" s="165" t="e">
        <f>(Table2[[#This Row],[Pre Refrigerant charge (lbs) per NormUnit]]/pounds_per_metric_ton)*Table2[[#This Row],[Pre net EOL refrigerant leakage (%)]]*Table2[[#This Row],[Pre GWP]]</f>
        <v>#N/A</v>
      </c>
      <c r="AL98" s="165" t="e">
        <f>(Table2[[#This Row],[Std Refrigerant charge (lbs)per NormUnit]]/pounds_per_metric_ton)*Table2[[#This Row],[Std net EOL refrigerant leakage (%)]]*Table2[[#This Row],[Std GWP]]</f>
        <v>#N/A</v>
      </c>
      <c r="AM98" s="165" t="e">
        <f>(Table2[[#This Row],[Msr Refrigerant charge (lbs)per NormUnit]]/pounds_per_metric_ton)*Table2[[#This Row],[Msr net EOL refrigerant leakage (%)]]*Table2[[#This Row],[Msr GWP]]</f>
        <v>#N/A</v>
      </c>
      <c r="AN98" s="174" cm="1">
        <f t="array" aca="1" ref="AN98" ca="1">IF(Table2[[#This Row],[MeasAppType]]="AR",Table2[[#This Row],[Pre Annual leakage tons CO2e]]*NPV(WACC,OFFSET(const_ones,0,0,1,Table2[[#This Row],[EUL]])*OFFSET(GHG_Adder_dollar_per_tonne,0,(Table2[[#This Row],[Device installation year]])-GHG_Adder_Yr1,1,Table2[[#This Row],[EUL]]))/(1+WACC)^(Table2[[#This Row],[Device installation year]]-DY),0)</f>
        <v>0</v>
      </c>
      <c r="AO98" s="174" t="e" cm="1">
        <f t="array" aca="1" ref="AO98"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98" s="174" t="e" cm="1">
        <f t="array" aca="1" ref="AP98" ca="1">Table2[[#This Row],[Msr Annual leakage tons CO2e]]*NPV(WACC,OFFSET(const_ones,0,0,1,Table2[[#This Row],[EUL]])*OFFSET(GHG_Adder_dollar_per_tonne,0,((Table2[[#This Row],[Device installation year]])-GHG_Adder_Yr1),1,Table2[[#This Row],[EUL]]))/(1+WACC)^(Table2[[#This Row],[Device installation year]]-DY)</f>
        <v>#N/A</v>
      </c>
      <c r="AQ98" s="260" cm="1">
        <f t="array" aca="1" ref="AQ98"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98" s="261" t="e" cm="1">
        <f t="array" aca="1" ref="AR98"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98" s="261" t="e" cm="1">
        <f t="array" aca="1" ref="AS98" ca="1">Table2[[#This Row],[Msr EOL leakage tons CO2e]]*NPV(WACC,OFFSET(const_repeat_after,Table2[[#This Row],[EUL]],0,1,Table2[[#This Row],[EUL]])*OFFSET(GHG_Adder_dollar_per_tonne,0,(Table2[[#This Row],[Device installation year]])-GHG_Adder_Yr1,1,Table2[[#This Row],[EUL]]))/(1+WACC)^(Table2[[#This Row],[Device installation year]]-DY)</f>
        <v>#N/A</v>
      </c>
      <c r="AT98" s="260">
        <f>0</f>
        <v>0</v>
      </c>
      <c r="AU98"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98" s="174" t="e">
        <f ca="1">Table2[[#This Row],[RefrigerantNPVCostsNet]]&gt;0</f>
        <v>#N/A</v>
      </c>
      <c r="AW98" s="174">
        <f>0</f>
        <v>0</v>
      </c>
      <c r="AX98" s="174">
        <f>0</f>
        <v>0</v>
      </c>
      <c r="AY98" s="174">
        <f>0</f>
        <v>0</v>
      </c>
      <c r="AZ98" s="174">
        <f ca="1">Table2[[#This Row],[Pre NPV Cost of Annual Leakage]]+Table2[[#This Row],[Pre NPV Cost of EOL Leakage]]</f>
        <v>0</v>
      </c>
      <c r="BA98" s="174" t="e">
        <f ca="1">Table2[[#This Row],[Std NPV Cost of Annual Leakage]]+Table2[[#This Row],[Std NPV Cost of EOL Leakage]]</f>
        <v>#N/A</v>
      </c>
      <c r="BB98" s="174" t="e">
        <f ca="1">Table2[[#This Row],[AR immediate NPV cost of leakage]]+Table2[[#This Row],[Msr NPV Cost of Annual Leakage]]+Table2[[#This Row],[Msr NPV Cost of EOL Leakage]]</f>
        <v>#N/A</v>
      </c>
      <c r="BC98" s="273" t="e">
        <f ca="1">IF(Table2[[#This Row],[Is Net Cost?]],Table2[[#This Row],[RefrigerantNPVCostsNet]],0)</f>
        <v>#N/A</v>
      </c>
      <c r="BD98" s="174" t="e">
        <f ca="1">IF(Table2[[#This Row],[Is Net Cost?]],0,-Table2[[#This Row],[RefrigerantNPVCostsNet]])</f>
        <v>#N/A</v>
      </c>
    </row>
    <row r="99" spans="1:56" x14ac:dyDescent="0.3">
      <c r="A99" s="173">
        <f t="shared" si="3"/>
        <v>2022</v>
      </c>
      <c r="B99" s="268"/>
      <c r="C99" s="212"/>
      <c r="D99" s="212"/>
      <c r="E99" s="216" t="str">
        <f>IF(Table2[[#This Row],[MeasAppType]]="NR","N/A","N/A")</f>
        <v>N/A</v>
      </c>
      <c r="F99" s="272"/>
      <c r="G99" s="218"/>
      <c r="H99" s="218"/>
      <c r="I99" s="218"/>
      <c r="J99" s="173" t="e">
        <f>INDEX(Table3[CommonRefrigerantType],MATCH(Table2[[#This Row],[Pre tech lookup (not required for "NR" measure application types)]],DropdownRefrigTech,0))</f>
        <v>#N/A</v>
      </c>
      <c r="K99" s="173" t="e">
        <f>INDEX(Table3[CommonRefrigerantType],MATCH(Table2[[#This Row],[Std tech lookup (not required for "AR" measure application types)]],DropdownRefrigTech,0))</f>
        <v>#N/A</v>
      </c>
      <c r="L99" s="173" t="e">
        <f>INDEX(Table3[CommonRefrigerantType],MATCH(Table2[[#This Row],[Msr tech lookup]],DropdownRefrigTech,0))</f>
        <v>#N/A</v>
      </c>
      <c r="M99" s="134" t="e">
        <f>INDEX(Table3[RefrigChargePoundsPerNormUnit],MATCH(Table2[[#This Row],[Pre tech lookup (not required for "NR" measure application types)]],DropdownRefrigTech,0))</f>
        <v>#N/A</v>
      </c>
      <c r="N99" s="134" t="e">
        <f>INDEX(Table3[RefrigChargePoundsPerNormUnit],MATCH(Table2[[#This Row],[Std tech lookup (not required for "AR" measure application types)]],DropdownRefrigTech,0))</f>
        <v>#N/A</v>
      </c>
      <c r="O99" s="149" t="e">
        <f>INDEX(Table3[RefrigChargePoundsPerNormUnit],MATCH(Table2[[#This Row],[Msr tech lookup]],DropdownRefrigTech,0))</f>
        <v>#N/A</v>
      </c>
      <c r="P99" s="163" t="e">
        <f>INDEX(Table3[AnnualLeakageRate],MATCH(Table2[[#This Row],[Pre tech lookup (not required for "NR" measure application types)]],DropdownRefrigTech,0))</f>
        <v>#N/A</v>
      </c>
      <c r="Q99" s="163" t="e">
        <f>INDEX(Table3[AnnualLeakageRate],MATCH(Table2[[#This Row],[Std tech lookup (not required for "AR" measure application types)]],DropdownRefrigTech,0))</f>
        <v>#N/A</v>
      </c>
      <c r="R99" s="163" t="e">
        <f>INDEX(Table3[AnnualLeakageRate],MATCH(Table2[[#This Row],[Msr tech lookup]],DropdownRefrigTech,0))</f>
        <v>#N/A</v>
      </c>
      <c r="S99" s="164" t="e">
        <f>INDEX(Table3[t_EOL],MATCH(Table2[[#This Row],[Pre tech lookup (not required for "NR" measure application types)]],DropdownRefrigTech,0))</f>
        <v>#N/A</v>
      </c>
      <c r="T99" s="164" t="e">
        <f>INDEX(Table3[t_EOL],MATCH(Table2[[#This Row],[Std tech lookup (not required for "AR" measure application types)]],DropdownRefrigTech,0))</f>
        <v>#N/A</v>
      </c>
      <c r="U99" s="164" t="e">
        <f>INDEX(Table3[t_EOL],MATCH(Table2[[#This Row],[Msr tech lookup]],DropdownRefrigTech,0))</f>
        <v>#N/A</v>
      </c>
      <c r="V99" s="163" t="e">
        <f>1-Table2[[#This Row],[Pre annual refrigerant leakage %]]*Table2[[#This Row],[Pre t_EOL]]</f>
        <v>#N/A</v>
      </c>
      <c r="W99" s="163" t="e">
        <f>1-Table2[[#This Row],[Std annual refrigerant leakage %]]*Table2[[#This Row],[Std t_EOL]]</f>
        <v>#N/A</v>
      </c>
      <c r="X99" s="163" t="e">
        <f>1-Table2[[#This Row],[Msr annual refrigerant leakage %]]*Table2[[#This Row],[Msr t_EOL]]</f>
        <v>#N/A</v>
      </c>
      <c r="Y99" s="163" t="e">
        <f>INDEX(Table3[q_EOL],MATCH(Table2[[#This Row],[Pre tech lookup (not required for "NR" measure application types)]],DropdownRefrigTech,0))</f>
        <v>#N/A</v>
      </c>
      <c r="Z99" s="163" t="e">
        <f>INDEX(Table3[q_EOL],MATCH(Table2[[#This Row],[Std tech lookup (not required for "AR" measure application types)]],DropdownRefrigTech,0))</f>
        <v>#N/A</v>
      </c>
      <c r="AA99" s="163" t="e">
        <f>INDEX(Table3[q_EOL],MATCH(Table2[[#This Row],[Msr tech lookup]],DropdownRefrigTech,0))</f>
        <v>#N/A</v>
      </c>
      <c r="AB99" s="163" t="e">
        <f>Table2[[#This Row],[Pre charging remaining (%)]]*Table2[[#This Row],[Pre gross EOL refrigerant leakage %]]</f>
        <v>#N/A</v>
      </c>
      <c r="AC99" s="163" t="e">
        <f>Table2[[#This Row],[Std charging remaining (%)]]*Table2[[#This Row],[Std gross EOL refrigerant leakage %]]</f>
        <v>#N/A</v>
      </c>
      <c r="AD99" s="163" t="e">
        <f>Table2[[#This Row],[Msr charging remaining (%)]]*Table2[[#This Row],[Msr gross EOL refrigerant leakage %]]</f>
        <v>#N/A</v>
      </c>
      <c r="AE99" s="164" t="e" cm="1">
        <f t="array" ref="AE99">INDEX(_xlfn.SWITCH($B$4,"20-yr",GWP_Values_20_year_AR4,"100-yr",GWP_Values_100_year_AR4),MATCH(Table2[[#This Row],[Pre Refrigerant Type]],RefrigDropdownList,0))</f>
        <v>#N/A</v>
      </c>
      <c r="AF99" s="164" t="e" cm="1">
        <f t="array" ref="AF99">INDEX(_xlfn.SWITCH($B$4,"20-yr",GWP_Values_20_year_AR4,"100-yr",GWP_Values_100_year_AR4),MATCH(Table2[[#This Row],[Std Refrigerant Type]],RefrigDropdownList,0))</f>
        <v>#N/A</v>
      </c>
      <c r="AG99" s="164" t="e" cm="1">
        <f t="array" ref="AG99">INDEX(_xlfn.SWITCH($B$4,"20-yr",GWP_Values_20_year_AR4,"100-yr",GWP_Values_100_year_AR4),MATCH(Table2[[#This Row],[Msr Refrigerant Type]],RefrigDropdownList,0))</f>
        <v>#N/A</v>
      </c>
      <c r="AH99" s="165" t="e">
        <f>(Table2[[#This Row],[Pre Refrigerant charge (lbs) per NormUnit]]/pounds_per_metric_ton)*Table2[[#This Row],[Pre annual refrigerant leakage %]]*Table2[[#This Row],[Pre GWP]]</f>
        <v>#N/A</v>
      </c>
      <c r="AI99" s="165" t="e">
        <f>(Table2[[#This Row],[Std Refrigerant charge (lbs)per NormUnit]]/pounds_per_metric_ton)*Table2[[#This Row],[Std annual refrigerant leakage %]]*Table2[[#This Row],[Std GWP]]</f>
        <v>#N/A</v>
      </c>
      <c r="AJ99" s="165" t="e">
        <f>(Table2[[#This Row],[Msr Refrigerant charge (lbs)per NormUnit]]/pounds_per_metric_ton)*Table2[[#This Row],[Msr annual refrigerant leakage %]]*Table2[[#This Row],[Msr GWP]]</f>
        <v>#N/A</v>
      </c>
      <c r="AK99" s="165" t="e">
        <f>(Table2[[#This Row],[Pre Refrigerant charge (lbs) per NormUnit]]/pounds_per_metric_ton)*Table2[[#This Row],[Pre net EOL refrigerant leakage (%)]]*Table2[[#This Row],[Pre GWP]]</f>
        <v>#N/A</v>
      </c>
      <c r="AL99" s="165" t="e">
        <f>(Table2[[#This Row],[Std Refrigerant charge (lbs)per NormUnit]]/pounds_per_metric_ton)*Table2[[#This Row],[Std net EOL refrigerant leakage (%)]]*Table2[[#This Row],[Std GWP]]</f>
        <v>#N/A</v>
      </c>
      <c r="AM99" s="165" t="e">
        <f>(Table2[[#This Row],[Msr Refrigerant charge (lbs)per NormUnit]]/pounds_per_metric_ton)*Table2[[#This Row],[Msr net EOL refrigerant leakage (%)]]*Table2[[#This Row],[Msr GWP]]</f>
        <v>#N/A</v>
      </c>
      <c r="AN99" s="174" cm="1">
        <f t="array" aca="1" ref="AN99" ca="1">IF(Table2[[#This Row],[MeasAppType]]="AR",Table2[[#This Row],[Pre Annual leakage tons CO2e]]*NPV(WACC,OFFSET(const_ones,0,0,1,Table2[[#This Row],[EUL]])*OFFSET(GHG_Adder_dollar_per_tonne,0,(Table2[[#This Row],[Device installation year]])-GHG_Adder_Yr1,1,Table2[[#This Row],[EUL]]))/(1+WACC)^(Table2[[#This Row],[Device installation year]]-DY),0)</f>
        <v>0</v>
      </c>
      <c r="AO99" s="174" t="e" cm="1">
        <f t="array" aca="1" ref="AO99"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99" s="174" t="e" cm="1">
        <f t="array" aca="1" ref="AP99" ca="1">Table2[[#This Row],[Msr Annual leakage tons CO2e]]*NPV(WACC,OFFSET(const_ones,0,0,1,Table2[[#This Row],[EUL]])*OFFSET(GHG_Adder_dollar_per_tonne,0,((Table2[[#This Row],[Device installation year]])-GHG_Adder_Yr1),1,Table2[[#This Row],[EUL]]))/(1+WACC)^(Table2[[#This Row],[Device installation year]]-DY)</f>
        <v>#N/A</v>
      </c>
      <c r="AQ99" s="260" cm="1">
        <f t="array" aca="1" ref="AQ99"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99" s="261" t="e" cm="1">
        <f t="array" aca="1" ref="AR99"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99" s="261" t="e" cm="1">
        <f t="array" aca="1" ref="AS99" ca="1">Table2[[#This Row],[Msr EOL leakage tons CO2e]]*NPV(WACC,OFFSET(const_repeat_after,Table2[[#This Row],[EUL]],0,1,Table2[[#This Row],[EUL]])*OFFSET(GHG_Adder_dollar_per_tonne,0,(Table2[[#This Row],[Device installation year]])-GHG_Adder_Yr1,1,Table2[[#This Row],[EUL]]))/(1+WACC)^(Table2[[#This Row],[Device installation year]]-DY)</f>
        <v>#N/A</v>
      </c>
      <c r="AT99" s="260">
        <f>0</f>
        <v>0</v>
      </c>
      <c r="AU99"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99" s="174" t="e">
        <f ca="1">Table2[[#This Row],[RefrigerantNPVCostsNet]]&gt;0</f>
        <v>#N/A</v>
      </c>
      <c r="AW99" s="174">
        <f>0</f>
        <v>0</v>
      </c>
      <c r="AX99" s="174">
        <f>0</f>
        <v>0</v>
      </c>
      <c r="AY99" s="174">
        <f>0</f>
        <v>0</v>
      </c>
      <c r="AZ99" s="174">
        <f ca="1">Table2[[#This Row],[Pre NPV Cost of Annual Leakage]]+Table2[[#This Row],[Pre NPV Cost of EOL Leakage]]</f>
        <v>0</v>
      </c>
      <c r="BA99" s="174" t="e">
        <f ca="1">Table2[[#This Row],[Std NPV Cost of Annual Leakage]]+Table2[[#This Row],[Std NPV Cost of EOL Leakage]]</f>
        <v>#N/A</v>
      </c>
      <c r="BB99" s="174" t="e">
        <f ca="1">Table2[[#This Row],[AR immediate NPV cost of leakage]]+Table2[[#This Row],[Msr NPV Cost of Annual Leakage]]+Table2[[#This Row],[Msr NPV Cost of EOL Leakage]]</f>
        <v>#N/A</v>
      </c>
      <c r="BC99" s="273" t="e">
        <f ca="1">IF(Table2[[#This Row],[Is Net Cost?]],Table2[[#This Row],[RefrigerantNPVCostsNet]],0)</f>
        <v>#N/A</v>
      </c>
      <c r="BD99" s="174" t="e">
        <f ca="1">IF(Table2[[#This Row],[Is Net Cost?]],0,-Table2[[#This Row],[RefrigerantNPVCostsNet]])</f>
        <v>#N/A</v>
      </c>
    </row>
    <row r="100" spans="1:56" x14ac:dyDescent="0.3">
      <c r="A100" s="173">
        <f t="shared" si="3"/>
        <v>2022</v>
      </c>
      <c r="B100" s="268"/>
      <c r="C100" s="212"/>
      <c r="D100" s="212"/>
      <c r="E100" s="216" t="str">
        <f>IF(Table2[[#This Row],[MeasAppType]]="NR","N/A","N/A")</f>
        <v>N/A</v>
      </c>
      <c r="F100" s="272"/>
      <c r="G100" s="218"/>
      <c r="H100" s="218"/>
      <c r="I100" s="218"/>
      <c r="J100" s="173" t="e">
        <f>INDEX(Table3[CommonRefrigerantType],MATCH(Table2[[#This Row],[Pre tech lookup (not required for "NR" measure application types)]],DropdownRefrigTech,0))</f>
        <v>#N/A</v>
      </c>
      <c r="K100" s="173" t="e">
        <f>INDEX(Table3[CommonRefrigerantType],MATCH(Table2[[#This Row],[Std tech lookup (not required for "AR" measure application types)]],DropdownRefrigTech,0))</f>
        <v>#N/A</v>
      </c>
      <c r="L100" s="173" t="e">
        <f>INDEX(Table3[CommonRefrigerantType],MATCH(Table2[[#This Row],[Msr tech lookup]],DropdownRefrigTech,0))</f>
        <v>#N/A</v>
      </c>
      <c r="M100" s="134" t="e">
        <f>INDEX(Table3[RefrigChargePoundsPerNormUnit],MATCH(Table2[[#This Row],[Pre tech lookup (not required for "NR" measure application types)]],DropdownRefrigTech,0))</f>
        <v>#N/A</v>
      </c>
      <c r="N100" s="134" t="e">
        <f>INDEX(Table3[RefrigChargePoundsPerNormUnit],MATCH(Table2[[#This Row],[Std tech lookup (not required for "AR" measure application types)]],DropdownRefrigTech,0))</f>
        <v>#N/A</v>
      </c>
      <c r="O100" s="149" t="e">
        <f>INDEX(Table3[RefrigChargePoundsPerNormUnit],MATCH(Table2[[#This Row],[Msr tech lookup]],DropdownRefrigTech,0))</f>
        <v>#N/A</v>
      </c>
      <c r="P100" s="163" t="e">
        <f>INDEX(Table3[AnnualLeakageRate],MATCH(Table2[[#This Row],[Pre tech lookup (not required for "NR" measure application types)]],DropdownRefrigTech,0))</f>
        <v>#N/A</v>
      </c>
      <c r="Q100" s="163" t="e">
        <f>INDEX(Table3[AnnualLeakageRate],MATCH(Table2[[#This Row],[Std tech lookup (not required for "AR" measure application types)]],DropdownRefrigTech,0))</f>
        <v>#N/A</v>
      </c>
      <c r="R100" s="163" t="e">
        <f>INDEX(Table3[AnnualLeakageRate],MATCH(Table2[[#This Row],[Msr tech lookup]],DropdownRefrigTech,0))</f>
        <v>#N/A</v>
      </c>
      <c r="S100" s="164" t="e">
        <f>INDEX(Table3[t_EOL],MATCH(Table2[[#This Row],[Pre tech lookup (not required for "NR" measure application types)]],DropdownRefrigTech,0))</f>
        <v>#N/A</v>
      </c>
      <c r="T100" s="164" t="e">
        <f>INDEX(Table3[t_EOL],MATCH(Table2[[#This Row],[Std tech lookup (not required for "AR" measure application types)]],DropdownRefrigTech,0))</f>
        <v>#N/A</v>
      </c>
      <c r="U100" s="164" t="e">
        <f>INDEX(Table3[t_EOL],MATCH(Table2[[#This Row],[Msr tech lookup]],DropdownRefrigTech,0))</f>
        <v>#N/A</v>
      </c>
      <c r="V100" s="163" t="e">
        <f>1-Table2[[#This Row],[Pre annual refrigerant leakage %]]*Table2[[#This Row],[Pre t_EOL]]</f>
        <v>#N/A</v>
      </c>
      <c r="W100" s="163" t="e">
        <f>1-Table2[[#This Row],[Std annual refrigerant leakage %]]*Table2[[#This Row],[Std t_EOL]]</f>
        <v>#N/A</v>
      </c>
      <c r="X100" s="163" t="e">
        <f>1-Table2[[#This Row],[Msr annual refrigerant leakage %]]*Table2[[#This Row],[Msr t_EOL]]</f>
        <v>#N/A</v>
      </c>
      <c r="Y100" s="163" t="e">
        <f>INDEX(Table3[q_EOL],MATCH(Table2[[#This Row],[Pre tech lookup (not required for "NR" measure application types)]],DropdownRefrigTech,0))</f>
        <v>#N/A</v>
      </c>
      <c r="Z100" s="163" t="e">
        <f>INDEX(Table3[q_EOL],MATCH(Table2[[#This Row],[Std tech lookup (not required for "AR" measure application types)]],DropdownRefrigTech,0))</f>
        <v>#N/A</v>
      </c>
      <c r="AA100" s="163" t="e">
        <f>INDEX(Table3[q_EOL],MATCH(Table2[[#This Row],[Msr tech lookup]],DropdownRefrigTech,0))</f>
        <v>#N/A</v>
      </c>
      <c r="AB100" s="163" t="e">
        <f>Table2[[#This Row],[Pre charging remaining (%)]]*Table2[[#This Row],[Pre gross EOL refrigerant leakage %]]</f>
        <v>#N/A</v>
      </c>
      <c r="AC100" s="163" t="e">
        <f>Table2[[#This Row],[Std charging remaining (%)]]*Table2[[#This Row],[Std gross EOL refrigerant leakage %]]</f>
        <v>#N/A</v>
      </c>
      <c r="AD100" s="163" t="e">
        <f>Table2[[#This Row],[Msr charging remaining (%)]]*Table2[[#This Row],[Msr gross EOL refrigerant leakage %]]</f>
        <v>#N/A</v>
      </c>
      <c r="AE100" s="164" t="e" cm="1">
        <f t="array" ref="AE100">INDEX(_xlfn.SWITCH($B$4,"20-yr",GWP_Values_20_year_AR4,"100-yr",GWP_Values_100_year_AR4),MATCH(Table2[[#This Row],[Pre Refrigerant Type]],RefrigDropdownList,0))</f>
        <v>#N/A</v>
      </c>
      <c r="AF100" s="164" t="e" cm="1">
        <f t="array" ref="AF100">INDEX(_xlfn.SWITCH($B$4,"20-yr",GWP_Values_20_year_AR4,"100-yr",GWP_Values_100_year_AR4),MATCH(Table2[[#This Row],[Std Refrigerant Type]],RefrigDropdownList,0))</f>
        <v>#N/A</v>
      </c>
      <c r="AG100" s="164" t="e" cm="1">
        <f t="array" ref="AG100">INDEX(_xlfn.SWITCH($B$4,"20-yr",GWP_Values_20_year_AR4,"100-yr",GWP_Values_100_year_AR4),MATCH(Table2[[#This Row],[Msr Refrigerant Type]],RefrigDropdownList,0))</f>
        <v>#N/A</v>
      </c>
      <c r="AH100" s="165" t="e">
        <f>(Table2[[#This Row],[Pre Refrigerant charge (lbs) per NormUnit]]/pounds_per_metric_ton)*Table2[[#This Row],[Pre annual refrigerant leakage %]]*Table2[[#This Row],[Pre GWP]]</f>
        <v>#N/A</v>
      </c>
      <c r="AI100" s="165" t="e">
        <f>(Table2[[#This Row],[Std Refrigerant charge (lbs)per NormUnit]]/pounds_per_metric_ton)*Table2[[#This Row],[Std annual refrigerant leakage %]]*Table2[[#This Row],[Std GWP]]</f>
        <v>#N/A</v>
      </c>
      <c r="AJ100" s="165" t="e">
        <f>(Table2[[#This Row],[Msr Refrigerant charge (lbs)per NormUnit]]/pounds_per_metric_ton)*Table2[[#This Row],[Msr annual refrigerant leakage %]]*Table2[[#This Row],[Msr GWP]]</f>
        <v>#N/A</v>
      </c>
      <c r="AK100" s="165" t="e">
        <f>(Table2[[#This Row],[Pre Refrigerant charge (lbs) per NormUnit]]/pounds_per_metric_ton)*Table2[[#This Row],[Pre net EOL refrigerant leakage (%)]]*Table2[[#This Row],[Pre GWP]]</f>
        <v>#N/A</v>
      </c>
      <c r="AL100" s="165" t="e">
        <f>(Table2[[#This Row],[Std Refrigerant charge (lbs)per NormUnit]]/pounds_per_metric_ton)*Table2[[#This Row],[Std net EOL refrigerant leakage (%)]]*Table2[[#This Row],[Std GWP]]</f>
        <v>#N/A</v>
      </c>
      <c r="AM100" s="165" t="e">
        <f>(Table2[[#This Row],[Msr Refrigerant charge (lbs)per NormUnit]]/pounds_per_metric_ton)*Table2[[#This Row],[Msr net EOL refrigerant leakage (%)]]*Table2[[#This Row],[Msr GWP]]</f>
        <v>#N/A</v>
      </c>
      <c r="AN100" s="174" cm="1">
        <f t="array" aca="1" ref="AN100" ca="1">IF(Table2[[#This Row],[MeasAppType]]="AR",Table2[[#This Row],[Pre Annual leakage tons CO2e]]*NPV(WACC,OFFSET(const_ones,0,0,1,Table2[[#This Row],[EUL]])*OFFSET(GHG_Adder_dollar_per_tonne,0,(Table2[[#This Row],[Device installation year]])-GHG_Adder_Yr1,1,Table2[[#This Row],[EUL]]))/(1+WACC)^(Table2[[#This Row],[Device installation year]]-DY),0)</f>
        <v>0</v>
      </c>
      <c r="AO100" s="174" t="e" cm="1">
        <f t="array" aca="1" ref="AO100"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100" s="174" t="e" cm="1">
        <f t="array" aca="1" ref="AP100" ca="1">Table2[[#This Row],[Msr Annual leakage tons CO2e]]*NPV(WACC,OFFSET(const_ones,0,0,1,Table2[[#This Row],[EUL]])*OFFSET(GHG_Adder_dollar_per_tonne,0,((Table2[[#This Row],[Device installation year]])-GHG_Adder_Yr1),1,Table2[[#This Row],[EUL]]))/(1+WACC)^(Table2[[#This Row],[Device installation year]]-DY)</f>
        <v>#N/A</v>
      </c>
      <c r="AQ100" s="260" cm="1">
        <f t="array" aca="1" ref="AQ100"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100" s="261" t="e" cm="1">
        <f t="array" aca="1" ref="AR100"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100" s="261" t="e" cm="1">
        <f t="array" aca="1" ref="AS100" ca="1">Table2[[#This Row],[Msr EOL leakage tons CO2e]]*NPV(WACC,OFFSET(const_repeat_after,Table2[[#This Row],[EUL]],0,1,Table2[[#This Row],[EUL]])*OFFSET(GHG_Adder_dollar_per_tonne,0,(Table2[[#This Row],[Device installation year]])-GHG_Adder_Yr1,1,Table2[[#This Row],[EUL]]))/(1+WACC)^(Table2[[#This Row],[Device installation year]]-DY)</f>
        <v>#N/A</v>
      </c>
      <c r="AT100" s="260">
        <f>0</f>
        <v>0</v>
      </c>
      <c r="AU100"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100" s="174" t="e">
        <f ca="1">Table2[[#This Row],[RefrigerantNPVCostsNet]]&gt;0</f>
        <v>#N/A</v>
      </c>
      <c r="AW100" s="174">
        <f>0</f>
        <v>0</v>
      </c>
      <c r="AX100" s="174">
        <f>0</f>
        <v>0</v>
      </c>
      <c r="AY100" s="174">
        <f>0</f>
        <v>0</v>
      </c>
      <c r="AZ100" s="174">
        <f ca="1">Table2[[#This Row],[Pre NPV Cost of Annual Leakage]]+Table2[[#This Row],[Pre NPV Cost of EOL Leakage]]</f>
        <v>0</v>
      </c>
      <c r="BA100" s="174" t="e">
        <f ca="1">Table2[[#This Row],[Std NPV Cost of Annual Leakage]]+Table2[[#This Row],[Std NPV Cost of EOL Leakage]]</f>
        <v>#N/A</v>
      </c>
      <c r="BB100" s="174" t="e">
        <f ca="1">Table2[[#This Row],[AR immediate NPV cost of leakage]]+Table2[[#This Row],[Msr NPV Cost of Annual Leakage]]+Table2[[#This Row],[Msr NPV Cost of EOL Leakage]]</f>
        <v>#N/A</v>
      </c>
      <c r="BC100" s="273" t="e">
        <f ca="1">IF(Table2[[#This Row],[Is Net Cost?]],Table2[[#This Row],[RefrigerantNPVCostsNet]],0)</f>
        <v>#N/A</v>
      </c>
      <c r="BD100" s="174" t="e">
        <f ca="1">IF(Table2[[#This Row],[Is Net Cost?]],0,-Table2[[#This Row],[RefrigerantNPVCostsNet]])</f>
        <v>#N/A</v>
      </c>
    </row>
    <row r="101" spans="1:56" x14ac:dyDescent="0.3">
      <c r="A101" s="173">
        <f t="shared" si="3"/>
        <v>2022</v>
      </c>
      <c r="B101" s="268"/>
      <c r="C101" s="212"/>
      <c r="D101" s="212"/>
      <c r="E101" s="216" t="str">
        <f>IF(Table2[[#This Row],[MeasAppType]]="NR","N/A","N/A")</f>
        <v>N/A</v>
      </c>
      <c r="F101" s="272"/>
      <c r="G101" s="218"/>
      <c r="H101" s="218"/>
      <c r="I101" s="218"/>
      <c r="J101" s="173" t="e">
        <f>INDEX(Table3[CommonRefrigerantType],MATCH(Table2[[#This Row],[Pre tech lookup (not required for "NR" measure application types)]],DropdownRefrigTech,0))</f>
        <v>#N/A</v>
      </c>
      <c r="K101" s="173" t="e">
        <f>INDEX(Table3[CommonRefrigerantType],MATCH(Table2[[#This Row],[Std tech lookup (not required for "AR" measure application types)]],DropdownRefrigTech,0))</f>
        <v>#N/A</v>
      </c>
      <c r="L101" s="173" t="e">
        <f>INDEX(Table3[CommonRefrigerantType],MATCH(Table2[[#This Row],[Msr tech lookup]],DropdownRefrigTech,0))</f>
        <v>#N/A</v>
      </c>
      <c r="M101" s="134" t="e">
        <f>INDEX(Table3[RefrigChargePoundsPerNormUnit],MATCH(Table2[[#This Row],[Pre tech lookup (not required for "NR" measure application types)]],DropdownRefrigTech,0))</f>
        <v>#N/A</v>
      </c>
      <c r="N101" s="134" t="e">
        <f>INDEX(Table3[RefrigChargePoundsPerNormUnit],MATCH(Table2[[#This Row],[Std tech lookup (not required for "AR" measure application types)]],DropdownRefrigTech,0))</f>
        <v>#N/A</v>
      </c>
      <c r="O101" s="149" t="e">
        <f>INDEX(Table3[RefrigChargePoundsPerNormUnit],MATCH(Table2[[#This Row],[Msr tech lookup]],DropdownRefrigTech,0))</f>
        <v>#N/A</v>
      </c>
      <c r="P101" s="163" t="e">
        <f>INDEX(Table3[AnnualLeakageRate],MATCH(Table2[[#This Row],[Pre tech lookup (not required for "NR" measure application types)]],DropdownRefrigTech,0))</f>
        <v>#N/A</v>
      </c>
      <c r="Q101" s="163" t="e">
        <f>INDEX(Table3[AnnualLeakageRate],MATCH(Table2[[#This Row],[Std tech lookup (not required for "AR" measure application types)]],DropdownRefrigTech,0))</f>
        <v>#N/A</v>
      </c>
      <c r="R101" s="163" t="e">
        <f>INDEX(Table3[AnnualLeakageRate],MATCH(Table2[[#This Row],[Msr tech lookup]],DropdownRefrigTech,0))</f>
        <v>#N/A</v>
      </c>
      <c r="S101" s="164" t="e">
        <f>INDEX(Table3[t_EOL],MATCH(Table2[[#This Row],[Pre tech lookup (not required for "NR" measure application types)]],DropdownRefrigTech,0))</f>
        <v>#N/A</v>
      </c>
      <c r="T101" s="164" t="e">
        <f>INDEX(Table3[t_EOL],MATCH(Table2[[#This Row],[Std tech lookup (not required for "AR" measure application types)]],DropdownRefrigTech,0))</f>
        <v>#N/A</v>
      </c>
      <c r="U101" s="164" t="e">
        <f>INDEX(Table3[t_EOL],MATCH(Table2[[#This Row],[Msr tech lookup]],DropdownRefrigTech,0))</f>
        <v>#N/A</v>
      </c>
      <c r="V101" s="163" t="e">
        <f>1-Table2[[#This Row],[Pre annual refrigerant leakage %]]*Table2[[#This Row],[Pre t_EOL]]</f>
        <v>#N/A</v>
      </c>
      <c r="W101" s="163" t="e">
        <f>1-Table2[[#This Row],[Std annual refrigerant leakage %]]*Table2[[#This Row],[Std t_EOL]]</f>
        <v>#N/A</v>
      </c>
      <c r="X101" s="163" t="e">
        <f>1-Table2[[#This Row],[Msr annual refrigerant leakage %]]*Table2[[#This Row],[Msr t_EOL]]</f>
        <v>#N/A</v>
      </c>
      <c r="Y101" s="163" t="e">
        <f>INDEX(Table3[q_EOL],MATCH(Table2[[#This Row],[Pre tech lookup (not required for "NR" measure application types)]],DropdownRefrigTech,0))</f>
        <v>#N/A</v>
      </c>
      <c r="Z101" s="163" t="e">
        <f>INDEX(Table3[q_EOL],MATCH(Table2[[#This Row],[Std tech lookup (not required for "AR" measure application types)]],DropdownRefrigTech,0))</f>
        <v>#N/A</v>
      </c>
      <c r="AA101" s="163" t="e">
        <f>INDEX(Table3[q_EOL],MATCH(Table2[[#This Row],[Msr tech lookup]],DropdownRefrigTech,0))</f>
        <v>#N/A</v>
      </c>
      <c r="AB101" s="163" t="e">
        <f>Table2[[#This Row],[Pre charging remaining (%)]]*Table2[[#This Row],[Pre gross EOL refrigerant leakage %]]</f>
        <v>#N/A</v>
      </c>
      <c r="AC101" s="163" t="e">
        <f>Table2[[#This Row],[Std charging remaining (%)]]*Table2[[#This Row],[Std gross EOL refrigerant leakage %]]</f>
        <v>#N/A</v>
      </c>
      <c r="AD101" s="163" t="e">
        <f>Table2[[#This Row],[Msr charging remaining (%)]]*Table2[[#This Row],[Msr gross EOL refrigerant leakage %]]</f>
        <v>#N/A</v>
      </c>
      <c r="AE101" s="164" t="e" cm="1">
        <f t="array" ref="AE101">INDEX(_xlfn.SWITCH($B$4,"20-yr",GWP_Values_20_year_AR4,"100-yr",GWP_Values_100_year_AR4),MATCH(Table2[[#This Row],[Pre Refrigerant Type]],RefrigDropdownList,0))</f>
        <v>#N/A</v>
      </c>
      <c r="AF101" s="164" t="e" cm="1">
        <f t="array" ref="AF101">INDEX(_xlfn.SWITCH($B$4,"20-yr",GWP_Values_20_year_AR4,"100-yr",GWP_Values_100_year_AR4),MATCH(Table2[[#This Row],[Std Refrigerant Type]],RefrigDropdownList,0))</f>
        <v>#N/A</v>
      </c>
      <c r="AG101" s="164" t="e" cm="1">
        <f t="array" ref="AG101">INDEX(_xlfn.SWITCH($B$4,"20-yr",GWP_Values_20_year_AR4,"100-yr",GWP_Values_100_year_AR4),MATCH(Table2[[#This Row],[Msr Refrigerant Type]],RefrigDropdownList,0))</f>
        <v>#N/A</v>
      </c>
      <c r="AH101" s="165" t="e">
        <f>(Table2[[#This Row],[Pre Refrigerant charge (lbs) per NormUnit]]/pounds_per_metric_ton)*Table2[[#This Row],[Pre annual refrigerant leakage %]]*Table2[[#This Row],[Pre GWP]]</f>
        <v>#N/A</v>
      </c>
      <c r="AI101" s="165" t="e">
        <f>(Table2[[#This Row],[Std Refrigerant charge (lbs)per NormUnit]]/pounds_per_metric_ton)*Table2[[#This Row],[Std annual refrigerant leakage %]]*Table2[[#This Row],[Std GWP]]</f>
        <v>#N/A</v>
      </c>
      <c r="AJ101" s="165" t="e">
        <f>(Table2[[#This Row],[Msr Refrigerant charge (lbs)per NormUnit]]/pounds_per_metric_ton)*Table2[[#This Row],[Msr annual refrigerant leakage %]]*Table2[[#This Row],[Msr GWP]]</f>
        <v>#N/A</v>
      </c>
      <c r="AK101" s="165" t="e">
        <f>(Table2[[#This Row],[Pre Refrigerant charge (lbs) per NormUnit]]/pounds_per_metric_ton)*Table2[[#This Row],[Pre net EOL refrigerant leakage (%)]]*Table2[[#This Row],[Pre GWP]]</f>
        <v>#N/A</v>
      </c>
      <c r="AL101" s="165" t="e">
        <f>(Table2[[#This Row],[Std Refrigerant charge (lbs)per NormUnit]]/pounds_per_metric_ton)*Table2[[#This Row],[Std net EOL refrigerant leakage (%)]]*Table2[[#This Row],[Std GWP]]</f>
        <v>#N/A</v>
      </c>
      <c r="AM101" s="165" t="e">
        <f>(Table2[[#This Row],[Msr Refrigerant charge (lbs)per NormUnit]]/pounds_per_metric_ton)*Table2[[#This Row],[Msr net EOL refrigerant leakage (%)]]*Table2[[#This Row],[Msr GWP]]</f>
        <v>#N/A</v>
      </c>
      <c r="AN101" s="174" cm="1">
        <f t="array" aca="1" ref="AN101" ca="1">IF(Table2[[#This Row],[MeasAppType]]="AR",Table2[[#This Row],[Pre Annual leakage tons CO2e]]*NPV(WACC,OFFSET(const_ones,0,0,1,Table2[[#This Row],[EUL]])*OFFSET(GHG_Adder_dollar_per_tonne,0,(Table2[[#This Row],[Device installation year]])-GHG_Adder_Yr1,1,Table2[[#This Row],[EUL]]))/(1+WACC)^(Table2[[#This Row],[Device installation year]]-DY),0)</f>
        <v>0</v>
      </c>
      <c r="AO101" s="174" t="e" cm="1">
        <f t="array" aca="1" ref="AO101"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101" s="174" t="e" cm="1">
        <f t="array" aca="1" ref="AP101" ca="1">Table2[[#This Row],[Msr Annual leakage tons CO2e]]*NPV(WACC,OFFSET(const_ones,0,0,1,Table2[[#This Row],[EUL]])*OFFSET(GHG_Adder_dollar_per_tonne,0,((Table2[[#This Row],[Device installation year]])-GHG_Adder_Yr1),1,Table2[[#This Row],[EUL]]))/(1+WACC)^(Table2[[#This Row],[Device installation year]]-DY)</f>
        <v>#N/A</v>
      </c>
      <c r="AQ101" s="260" cm="1">
        <f t="array" aca="1" ref="AQ101"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101" s="261" t="e" cm="1">
        <f t="array" aca="1" ref="AR101"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101" s="261" t="e" cm="1">
        <f t="array" aca="1" ref="AS101" ca="1">Table2[[#This Row],[Msr EOL leakage tons CO2e]]*NPV(WACC,OFFSET(const_repeat_after,Table2[[#This Row],[EUL]],0,1,Table2[[#This Row],[EUL]])*OFFSET(GHG_Adder_dollar_per_tonne,0,(Table2[[#This Row],[Device installation year]])-GHG_Adder_Yr1,1,Table2[[#This Row],[EUL]]))/(1+WACC)^(Table2[[#This Row],[Device installation year]]-DY)</f>
        <v>#N/A</v>
      </c>
      <c r="AT101" s="260">
        <f>0</f>
        <v>0</v>
      </c>
      <c r="AU101"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101" s="174" t="e">
        <f ca="1">Table2[[#This Row],[RefrigerantNPVCostsNet]]&gt;0</f>
        <v>#N/A</v>
      </c>
      <c r="AW101" s="174">
        <f>0</f>
        <v>0</v>
      </c>
      <c r="AX101" s="174">
        <f>0</f>
        <v>0</v>
      </c>
      <c r="AY101" s="174">
        <f>0</f>
        <v>0</v>
      </c>
      <c r="AZ101" s="174">
        <f ca="1">Table2[[#This Row],[Pre NPV Cost of Annual Leakage]]+Table2[[#This Row],[Pre NPV Cost of EOL Leakage]]</f>
        <v>0</v>
      </c>
      <c r="BA101" s="174" t="e">
        <f ca="1">Table2[[#This Row],[Std NPV Cost of Annual Leakage]]+Table2[[#This Row],[Std NPV Cost of EOL Leakage]]</f>
        <v>#N/A</v>
      </c>
      <c r="BB101" s="174" t="e">
        <f ca="1">Table2[[#This Row],[AR immediate NPV cost of leakage]]+Table2[[#This Row],[Msr NPV Cost of Annual Leakage]]+Table2[[#This Row],[Msr NPV Cost of EOL Leakage]]</f>
        <v>#N/A</v>
      </c>
      <c r="BC101" s="273" t="e">
        <f ca="1">IF(Table2[[#This Row],[Is Net Cost?]],Table2[[#This Row],[RefrigerantNPVCostsNet]],0)</f>
        <v>#N/A</v>
      </c>
      <c r="BD101" s="174" t="e">
        <f ca="1">IF(Table2[[#This Row],[Is Net Cost?]],0,-Table2[[#This Row],[RefrigerantNPVCostsNet]])</f>
        <v>#N/A</v>
      </c>
    </row>
    <row r="102" spans="1:56" x14ac:dyDescent="0.3">
      <c r="A102" s="173">
        <f t="shared" si="3"/>
        <v>2022</v>
      </c>
      <c r="B102" s="268"/>
      <c r="C102" s="212"/>
      <c r="D102" s="212"/>
      <c r="E102" s="216" t="str">
        <f>IF(Table2[[#This Row],[MeasAppType]]="NR","N/A","N/A")</f>
        <v>N/A</v>
      </c>
      <c r="F102" s="272"/>
      <c r="G102" s="218"/>
      <c r="H102" s="218"/>
      <c r="I102" s="218"/>
      <c r="J102" s="173" t="e">
        <f>INDEX(Table3[CommonRefrigerantType],MATCH(Table2[[#This Row],[Pre tech lookup (not required for "NR" measure application types)]],DropdownRefrigTech,0))</f>
        <v>#N/A</v>
      </c>
      <c r="K102" s="173" t="e">
        <f>INDEX(Table3[CommonRefrigerantType],MATCH(Table2[[#This Row],[Std tech lookup (not required for "AR" measure application types)]],DropdownRefrigTech,0))</f>
        <v>#N/A</v>
      </c>
      <c r="L102" s="173" t="e">
        <f>INDEX(Table3[CommonRefrigerantType],MATCH(Table2[[#This Row],[Msr tech lookup]],DropdownRefrigTech,0))</f>
        <v>#N/A</v>
      </c>
      <c r="M102" s="134" t="e">
        <f>INDEX(Table3[RefrigChargePoundsPerNormUnit],MATCH(Table2[[#This Row],[Pre tech lookup (not required for "NR" measure application types)]],DropdownRefrigTech,0))</f>
        <v>#N/A</v>
      </c>
      <c r="N102" s="134" t="e">
        <f>INDEX(Table3[RefrigChargePoundsPerNormUnit],MATCH(Table2[[#This Row],[Std tech lookup (not required for "AR" measure application types)]],DropdownRefrigTech,0))</f>
        <v>#N/A</v>
      </c>
      <c r="O102" s="149" t="e">
        <f>INDEX(Table3[RefrigChargePoundsPerNormUnit],MATCH(Table2[[#This Row],[Msr tech lookup]],DropdownRefrigTech,0))</f>
        <v>#N/A</v>
      </c>
      <c r="P102" s="163" t="e">
        <f>INDEX(Table3[AnnualLeakageRate],MATCH(Table2[[#This Row],[Pre tech lookup (not required for "NR" measure application types)]],DropdownRefrigTech,0))</f>
        <v>#N/A</v>
      </c>
      <c r="Q102" s="163" t="e">
        <f>INDEX(Table3[AnnualLeakageRate],MATCH(Table2[[#This Row],[Std tech lookup (not required for "AR" measure application types)]],DropdownRefrigTech,0))</f>
        <v>#N/A</v>
      </c>
      <c r="R102" s="163" t="e">
        <f>INDEX(Table3[AnnualLeakageRate],MATCH(Table2[[#This Row],[Msr tech lookup]],DropdownRefrigTech,0))</f>
        <v>#N/A</v>
      </c>
      <c r="S102" s="164" t="e">
        <f>INDEX(Table3[t_EOL],MATCH(Table2[[#This Row],[Pre tech lookup (not required for "NR" measure application types)]],DropdownRefrigTech,0))</f>
        <v>#N/A</v>
      </c>
      <c r="T102" s="164" t="e">
        <f>INDEX(Table3[t_EOL],MATCH(Table2[[#This Row],[Std tech lookup (not required for "AR" measure application types)]],DropdownRefrigTech,0))</f>
        <v>#N/A</v>
      </c>
      <c r="U102" s="164" t="e">
        <f>INDEX(Table3[t_EOL],MATCH(Table2[[#This Row],[Msr tech lookup]],DropdownRefrigTech,0))</f>
        <v>#N/A</v>
      </c>
      <c r="V102" s="163" t="e">
        <f>1-Table2[[#This Row],[Pre annual refrigerant leakage %]]*Table2[[#This Row],[Pre t_EOL]]</f>
        <v>#N/A</v>
      </c>
      <c r="W102" s="163" t="e">
        <f>1-Table2[[#This Row],[Std annual refrigerant leakage %]]*Table2[[#This Row],[Std t_EOL]]</f>
        <v>#N/A</v>
      </c>
      <c r="X102" s="163" t="e">
        <f>1-Table2[[#This Row],[Msr annual refrigerant leakage %]]*Table2[[#This Row],[Msr t_EOL]]</f>
        <v>#N/A</v>
      </c>
      <c r="Y102" s="163" t="e">
        <f>INDEX(Table3[q_EOL],MATCH(Table2[[#This Row],[Pre tech lookup (not required for "NR" measure application types)]],DropdownRefrigTech,0))</f>
        <v>#N/A</v>
      </c>
      <c r="Z102" s="163" t="e">
        <f>INDEX(Table3[q_EOL],MATCH(Table2[[#This Row],[Std tech lookup (not required for "AR" measure application types)]],DropdownRefrigTech,0))</f>
        <v>#N/A</v>
      </c>
      <c r="AA102" s="163" t="e">
        <f>INDEX(Table3[q_EOL],MATCH(Table2[[#This Row],[Msr tech lookup]],DropdownRefrigTech,0))</f>
        <v>#N/A</v>
      </c>
      <c r="AB102" s="163" t="e">
        <f>Table2[[#This Row],[Pre charging remaining (%)]]*Table2[[#This Row],[Pre gross EOL refrigerant leakage %]]</f>
        <v>#N/A</v>
      </c>
      <c r="AC102" s="163" t="e">
        <f>Table2[[#This Row],[Std charging remaining (%)]]*Table2[[#This Row],[Std gross EOL refrigerant leakage %]]</f>
        <v>#N/A</v>
      </c>
      <c r="AD102" s="163" t="e">
        <f>Table2[[#This Row],[Msr charging remaining (%)]]*Table2[[#This Row],[Msr gross EOL refrigerant leakage %]]</f>
        <v>#N/A</v>
      </c>
      <c r="AE102" s="164" t="e" cm="1">
        <f t="array" ref="AE102">INDEX(_xlfn.SWITCH($B$4,"20-yr",GWP_Values_20_year_AR4,"100-yr",GWP_Values_100_year_AR4),MATCH(Table2[[#This Row],[Pre Refrigerant Type]],RefrigDropdownList,0))</f>
        <v>#N/A</v>
      </c>
      <c r="AF102" s="164" t="e" cm="1">
        <f t="array" ref="AF102">INDEX(_xlfn.SWITCH($B$4,"20-yr",GWP_Values_20_year_AR4,"100-yr",GWP_Values_100_year_AR4),MATCH(Table2[[#This Row],[Std Refrigerant Type]],RefrigDropdownList,0))</f>
        <v>#N/A</v>
      </c>
      <c r="AG102" s="164" t="e" cm="1">
        <f t="array" ref="AG102">INDEX(_xlfn.SWITCH($B$4,"20-yr",GWP_Values_20_year_AR4,"100-yr",GWP_Values_100_year_AR4),MATCH(Table2[[#This Row],[Msr Refrigerant Type]],RefrigDropdownList,0))</f>
        <v>#N/A</v>
      </c>
      <c r="AH102" s="165" t="e">
        <f>(Table2[[#This Row],[Pre Refrigerant charge (lbs) per NormUnit]]/pounds_per_metric_ton)*Table2[[#This Row],[Pre annual refrigerant leakage %]]*Table2[[#This Row],[Pre GWP]]</f>
        <v>#N/A</v>
      </c>
      <c r="AI102" s="165" t="e">
        <f>(Table2[[#This Row],[Std Refrigerant charge (lbs)per NormUnit]]/pounds_per_metric_ton)*Table2[[#This Row],[Std annual refrigerant leakage %]]*Table2[[#This Row],[Std GWP]]</f>
        <v>#N/A</v>
      </c>
      <c r="AJ102" s="165" t="e">
        <f>(Table2[[#This Row],[Msr Refrigerant charge (lbs)per NormUnit]]/pounds_per_metric_ton)*Table2[[#This Row],[Msr annual refrigerant leakage %]]*Table2[[#This Row],[Msr GWP]]</f>
        <v>#N/A</v>
      </c>
      <c r="AK102" s="165" t="e">
        <f>(Table2[[#This Row],[Pre Refrigerant charge (lbs) per NormUnit]]/pounds_per_metric_ton)*Table2[[#This Row],[Pre net EOL refrigerant leakage (%)]]*Table2[[#This Row],[Pre GWP]]</f>
        <v>#N/A</v>
      </c>
      <c r="AL102" s="165" t="e">
        <f>(Table2[[#This Row],[Std Refrigerant charge (lbs)per NormUnit]]/pounds_per_metric_ton)*Table2[[#This Row],[Std net EOL refrigerant leakage (%)]]*Table2[[#This Row],[Std GWP]]</f>
        <v>#N/A</v>
      </c>
      <c r="AM102" s="165" t="e">
        <f>(Table2[[#This Row],[Msr Refrigerant charge (lbs)per NormUnit]]/pounds_per_metric_ton)*Table2[[#This Row],[Msr net EOL refrigerant leakage (%)]]*Table2[[#This Row],[Msr GWP]]</f>
        <v>#N/A</v>
      </c>
      <c r="AN102" s="174" cm="1">
        <f t="array" aca="1" ref="AN102" ca="1">IF(Table2[[#This Row],[MeasAppType]]="AR",Table2[[#This Row],[Pre Annual leakage tons CO2e]]*NPV(WACC,OFFSET(const_ones,0,0,1,Table2[[#This Row],[EUL]])*OFFSET(GHG_Adder_dollar_per_tonne,0,(Table2[[#This Row],[Device installation year]])-GHG_Adder_Yr1,1,Table2[[#This Row],[EUL]]))/(1+WACC)^(Table2[[#This Row],[Device installation year]]-DY),0)</f>
        <v>0</v>
      </c>
      <c r="AO102" s="174" t="e" cm="1">
        <f t="array" aca="1" ref="AO102"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102" s="174" t="e" cm="1">
        <f t="array" aca="1" ref="AP102" ca="1">Table2[[#This Row],[Msr Annual leakage tons CO2e]]*NPV(WACC,OFFSET(const_ones,0,0,1,Table2[[#This Row],[EUL]])*OFFSET(GHG_Adder_dollar_per_tonne,0,((Table2[[#This Row],[Device installation year]])-GHG_Adder_Yr1),1,Table2[[#This Row],[EUL]]))/(1+WACC)^(Table2[[#This Row],[Device installation year]]-DY)</f>
        <v>#N/A</v>
      </c>
      <c r="AQ102" s="260" cm="1">
        <f t="array" aca="1" ref="AQ102"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102" s="261" t="e" cm="1">
        <f t="array" aca="1" ref="AR102"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102" s="261" t="e" cm="1">
        <f t="array" aca="1" ref="AS102" ca="1">Table2[[#This Row],[Msr EOL leakage tons CO2e]]*NPV(WACC,OFFSET(const_repeat_after,Table2[[#This Row],[EUL]],0,1,Table2[[#This Row],[EUL]])*OFFSET(GHG_Adder_dollar_per_tonne,0,(Table2[[#This Row],[Device installation year]])-GHG_Adder_Yr1,1,Table2[[#This Row],[EUL]]))/(1+WACC)^(Table2[[#This Row],[Device installation year]]-DY)</f>
        <v>#N/A</v>
      </c>
      <c r="AT102" s="260">
        <f>0</f>
        <v>0</v>
      </c>
      <c r="AU102"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102" s="174" t="e">
        <f ca="1">Table2[[#This Row],[RefrigerantNPVCostsNet]]&gt;0</f>
        <v>#N/A</v>
      </c>
      <c r="AW102" s="174">
        <f>0</f>
        <v>0</v>
      </c>
      <c r="AX102" s="174">
        <f>0</f>
        <v>0</v>
      </c>
      <c r="AY102" s="174">
        <f>0</f>
        <v>0</v>
      </c>
      <c r="AZ102" s="174">
        <f ca="1">Table2[[#This Row],[Pre NPV Cost of Annual Leakage]]+Table2[[#This Row],[Pre NPV Cost of EOL Leakage]]</f>
        <v>0</v>
      </c>
      <c r="BA102" s="174" t="e">
        <f ca="1">Table2[[#This Row],[Std NPV Cost of Annual Leakage]]+Table2[[#This Row],[Std NPV Cost of EOL Leakage]]</f>
        <v>#N/A</v>
      </c>
      <c r="BB102" s="174" t="e">
        <f ca="1">Table2[[#This Row],[AR immediate NPV cost of leakage]]+Table2[[#This Row],[Msr NPV Cost of Annual Leakage]]+Table2[[#This Row],[Msr NPV Cost of EOL Leakage]]</f>
        <v>#N/A</v>
      </c>
      <c r="BC102" s="273" t="e">
        <f ca="1">IF(Table2[[#This Row],[Is Net Cost?]],Table2[[#This Row],[RefrigerantNPVCostsNet]],0)</f>
        <v>#N/A</v>
      </c>
      <c r="BD102" s="174" t="e">
        <f ca="1">IF(Table2[[#This Row],[Is Net Cost?]],0,-Table2[[#This Row],[RefrigerantNPVCostsNet]])</f>
        <v>#N/A</v>
      </c>
    </row>
    <row r="103" spans="1:56" x14ac:dyDescent="0.3">
      <c r="A103" s="173">
        <f t="shared" si="3"/>
        <v>2022</v>
      </c>
      <c r="B103" s="268"/>
      <c r="C103" s="212"/>
      <c r="D103" s="212"/>
      <c r="E103" s="216" t="str">
        <f>IF(Table2[[#This Row],[MeasAppType]]="NR","N/A","N/A")</f>
        <v>N/A</v>
      </c>
      <c r="F103" s="272"/>
      <c r="G103" s="218"/>
      <c r="H103" s="218"/>
      <c r="I103" s="218"/>
      <c r="J103" s="173" t="e">
        <f>INDEX(Table3[CommonRefrigerantType],MATCH(Table2[[#This Row],[Pre tech lookup (not required for "NR" measure application types)]],DropdownRefrigTech,0))</f>
        <v>#N/A</v>
      </c>
      <c r="K103" s="173" t="e">
        <f>INDEX(Table3[CommonRefrigerantType],MATCH(Table2[[#This Row],[Std tech lookup (not required for "AR" measure application types)]],DropdownRefrigTech,0))</f>
        <v>#N/A</v>
      </c>
      <c r="L103" s="173" t="e">
        <f>INDEX(Table3[CommonRefrigerantType],MATCH(Table2[[#This Row],[Msr tech lookup]],DropdownRefrigTech,0))</f>
        <v>#N/A</v>
      </c>
      <c r="M103" s="134" t="e">
        <f>INDEX(Table3[RefrigChargePoundsPerNormUnit],MATCH(Table2[[#This Row],[Pre tech lookup (not required for "NR" measure application types)]],DropdownRefrigTech,0))</f>
        <v>#N/A</v>
      </c>
      <c r="N103" s="134" t="e">
        <f>INDEX(Table3[RefrigChargePoundsPerNormUnit],MATCH(Table2[[#This Row],[Std tech lookup (not required for "AR" measure application types)]],DropdownRefrigTech,0))</f>
        <v>#N/A</v>
      </c>
      <c r="O103" s="149" t="e">
        <f>INDEX(Table3[RefrigChargePoundsPerNormUnit],MATCH(Table2[[#This Row],[Msr tech lookup]],DropdownRefrigTech,0))</f>
        <v>#N/A</v>
      </c>
      <c r="P103" s="163" t="e">
        <f>INDEX(Table3[AnnualLeakageRate],MATCH(Table2[[#This Row],[Pre tech lookup (not required for "NR" measure application types)]],DropdownRefrigTech,0))</f>
        <v>#N/A</v>
      </c>
      <c r="Q103" s="163" t="e">
        <f>INDEX(Table3[AnnualLeakageRate],MATCH(Table2[[#This Row],[Std tech lookup (not required for "AR" measure application types)]],DropdownRefrigTech,0))</f>
        <v>#N/A</v>
      </c>
      <c r="R103" s="163" t="e">
        <f>INDEX(Table3[AnnualLeakageRate],MATCH(Table2[[#This Row],[Msr tech lookup]],DropdownRefrigTech,0))</f>
        <v>#N/A</v>
      </c>
      <c r="S103" s="164" t="e">
        <f>INDEX(Table3[t_EOL],MATCH(Table2[[#This Row],[Pre tech lookup (not required for "NR" measure application types)]],DropdownRefrigTech,0))</f>
        <v>#N/A</v>
      </c>
      <c r="T103" s="164" t="e">
        <f>INDEX(Table3[t_EOL],MATCH(Table2[[#This Row],[Std tech lookup (not required for "AR" measure application types)]],DropdownRefrigTech,0))</f>
        <v>#N/A</v>
      </c>
      <c r="U103" s="164" t="e">
        <f>INDEX(Table3[t_EOL],MATCH(Table2[[#This Row],[Msr tech lookup]],DropdownRefrigTech,0))</f>
        <v>#N/A</v>
      </c>
      <c r="V103" s="163" t="e">
        <f>1-Table2[[#This Row],[Pre annual refrigerant leakage %]]*Table2[[#This Row],[Pre t_EOL]]</f>
        <v>#N/A</v>
      </c>
      <c r="W103" s="163" t="e">
        <f>1-Table2[[#This Row],[Std annual refrigerant leakage %]]*Table2[[#This Row],[Std t_EOL]]</f>
        <v>#N/A</v>
      </c>
      <c r="X103" s="163" t="e">
        <f>1-Table2[[#This Row],[Msr annual refrigerant leakage %]]*Table2[[#This Row],[Msr t_EOL]]</f>
        <v>#N/A</v>
      </c>
      <c r="Y103" s="163" t="e">
        <f>INDEX(Table3[q_EOL],MATCH(Table2[[#This Row],[Pre tech lookup (not required for "NR" measure application types)]],DropdownRefrigTech,0))</f>
        <v>#N/A</v>
      </c>
      <c r="Z103" s="163" t="e">
        <f>INDEX(Table3[q_EOL],MATCH(Table2[[#This Row],[Std tech lookup (not required for "AR" measure application types)]],DropdownRefrigTech,0))</f>
        <v>#N/A</v>
      </c>
      <c r="AA103" s="163" t="e">
        <f>INDEX(Table3[q_EOL],MATCH(Table2[[#This Row],[Msr tech lookup]],DropdownRefrigTech,0))</f>
        <v>#N/A</v>
      </c>
      <c r="AB103" s="163" t="e">
        <f>Table2[[#This Row],[Pre charging remaining (%)]]*Table2[[#This Row],[Pre gross EOL refrigerant leakage %]]</f>
        <v>#N/A</v>
      </c>
      <c r="AC103" s="163" t="e">
        <f>Table2[[#This Row],[Std charging remaining (%)]]*Table2[[#This Row],[Std gross EOL refrigerant leakage %]]</f>
        <v>#N/A</v>
      </c>
      <c r="AD103" s="163" t="e">
        <f>Table2[[#This Row],[Msr charging remaining (%)]]*Table2[[#This Row],[Msr gross EOL refrigerant leakage %]]</f>
        <v>#N/A</v>
      </c>
      <c r="AE103" s="164" t="e" cm="1">
        <f t="array" ref="AE103">INDEX(_xlfn.SWITCH($B$4,"20-yr",GWP_Values_20_year_AR4,"100-yr",GWP_Values_100_year_AR4),MATCH(Table2[[#This Row],[Pre Refrigerant Type]],RefrigDropdownList,0))</f>
        <v>#N/A</v>
      </c>
      <c r="AF103" s="164" t="e" cm="1">
        <f t="array" ref="AF103">INDEX(_xlfn.SWITCH($B$4,"20-yr",GWP_Values_20_year_AR4,"100-yr",GWP_Values_100_year_AR4),MATCH(Table2[[#This Row],[Std Refrigerant Type]],RefrigDropdownList,0))</f>
        <v>#N/A</v>
      </c>
      <c r="AG103" s="164" t="e" cm="1">
        <f t="array" ref="AG103">INDEX(_xlfn.SWITCH($B$4,"20-yr",GWP_Values_20_year_AR4,"100-yr",GWP_Values_100_year_AR4),MATCH(Table2[[#This Row],[Msr Refrigerant Type]],RefrigDropdownList,0))</f>
        <v>#N/A</v>
      </c>
      <c r="AH103" s="165" t="e">
        <f>(Table2[[#This Row],[Pre Refrigerant charge (lbs) per NormUnit]]/pounds_per_metric_ton)*Table2[[#This Row],[Pre annual refrigerant leakage %]]*Table2[[#This Row],[Pre GWP]]</f>
        <v>#N/A</v>
      </c>
      <c r="AI103" s="165" t="e">
        <f>(Table2[[#This Row],[Std Refrigerant charge (lbs)per NormUnit]]/pounds_per_metric_ton)*Table2[[#This Row],[Std annual refrigerant leakage %]]*Table2[[#This Row],[Std GWP]]</f>
        <v>#N/A</v>
      </c>
      <c r="AJ103" s="165" t="e">
        <f>(Table2[[#This Row],[Msr Refrigerant charge (lbs)per NormUnit]]/pounds_per_metric_ton)*Table2[[#This Row],[Msr annual refrigerant leakage %]]*Table2[[#This Row],[Msr GWP]]</f>
        <v>#N/A</v>
      </c>
      <c r="AK103" s="165" t="e">
        <f>(Table2[[#This Row],[Pre Refrigerant charge (lbs) per NormUnit]]/pounds_per_metric_ton)*Table2[[#This Row],[Pre net EOL refrigerant leakage (%)]]*Table2[[#This Row],[Pre GWP]]</f>
        <v>#N/A</v>
      </c>
      <c r="AL103" s="165" t="e">
        <f>(Table2[[#This Row],[Std Refrigerant charge (lbs)per NormUnit]]/pounds_per_metric_ton)*Table2[[#This Row],[Std net EOL refrigerant leakage (%)]]*Table2[[#This Row],[Std GWP]]</f>
        <v>#N/A</v>
      </c>
      <c r="AM103" s="165" t="e">
        <f>(Table2[[#This Row],[Msr Refrigerant charge (lbs)per NormUnit]]/pounds_per_metric_ton)*Table2[[#This Row],[Msr net EOL refrigerant leakage (%)]]*Table2[[#This Row],[Msr GWP]]</f>
        <v>#N/A</v>
      </c>
      <c r="AN103" s="174" cm="1">
        <f t="array" aca="1" ref="AN103" ca="1">IF(Table2[[#This Row],[MeasAppType]]="AR",Table2[[#This Row],[Pre Annual leakage tons CO2e]]*NPV(WACC,OFFSET(const_ones,0,0,1,Table2[[#This Row],[EUL]])*OFFSET(GHG_Adder_dollar_per_tonne,0,(Table2[[#This Row],[Device installation year]])-GHG_Adder_Yr1,1,Table2[[#This Row],[EUL]]))/(1+WACC)^(Table2[[#This Row],[Device installation year]]-DY),0)</f>
        <v>0</v>
      </c>
      <c r="AO103" s="174" t="e" cm="1">
        <f t="array" aca="1" ref="AO103"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103" s="174" t="e" cm="1">
        <f t="array" aca="1" ref="AP103" ca="1">Table2[[#This Row],[Msr Annual leakage tons CO2e]]*NPV(WACC,OFFSET(const_ones,0,0,1,Table2[[#This Row],[EUL]])*OFFSET(GHG_Adder_dollar_per_tonne,0,((Table2[[#This Row],[Device installation year]])-GHG_Adder_Yr1),1,Table2[[#This Row],[EUL]]))/(1+WACC)^(Table2[[#This Row],[Device installation year]]-DY)</f>
        <v>#N/A</v>
      </c>
      <c r="AQ103" s="260" cm="1">
        <f t="array" aca="1" ref="AQ103"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103" s="261" t="e" cm="1">
        <f t="array" aca="1" ref="AR103"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103" s="261" t="e" cm="1">
        <f t="array" aca="1" ref="AS103" ca="1">Table2[[#This Row],[Msr EOL leakage tons CO2e]]*NPV(WACC,OFFSET(const_repeat_after,Table2[[#This Row],[EUL]],0,1,Table2[[#This Row],[EUL]])*OFFSET(GHG_Adder_dollar_per_tonne,0,(Table2[[#This Row],[Device installation year]])-GHG_Adder_Yr1,1,Table2[[#This Row],[EUL]]))/(1+WACC)^(Table2[[#This Row],[Device installation year]]-DY)</f>
        <v>#N/A</v>
      </c>
      <c r="AT103" s="260">
        <f>0</f>
        <v>0</v>
      </c>
      <c r="AU103"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103" s="174" t="e">
        <f ca="1">Table2[[#This Row],[RefrigerantNPVCostsNet]]&gt;0</f>
        <v>#N/A</v>
      </c>
      <c r="AW103" s="174">
        <f>0</f>
        <v>0</v>
      </c>
      <c r="AX103" s="174">
        <f>0</f>
        <v>0</v>
      </c>
      <c r="AY103" s="174">
        <f>0</f>
        <v>0</v>
      </c>
      <c r="AZ103" s="174">
        <f ca="1">Table2[[#This Row],[Pre NPV Cost of Annual Leakage]]+Table2[[#This Row],[Pre NPV Cost of EOL Leakage]]</f>
        <v>0</v>
      </c>
      <c r="BA103" s="174" t="e">
        <f ca="1">Table2[[#This Row],[Std NPV Cost of Annual Leakage]]+Table2[[#This Row],[Std NPV Cost of EOL Leakage]]</f>
        <v>#N/A</v>
      </c>
      <c r="BB103" s="174" t="e">
        <f ca="1">Table2[[#This Row],[AR immediate NPV cost of leakage]]+Table2[[#This Row],[Msr NPV Cost of Annual Leakage]]+Table2[[#This Row],[Msr NPV Cost of EOL Leakage]]</f>
        <v>#N/A</v>
      </c>
      <c r="BC103" s="273" t="e">
        <f ca="1">IF(Table2[[#This Row],[Is Net Cost?]],Table2[[#This Row],[RefrigerantNPVCostsNet]],0)</f>
        <v>#N/A</v>
      </c>
      <c r="BD103" s="174" t="e">
        <f ca="1">IF(Table2[[#This Row],[Is Net Cost?]],0,-Table2[[#This Row],[RefrigerantNPVCostsNet]])</f>
        <v>#N/A</v>
      </c>
    </row>
    <row r="104" spans="1:56" x14ac:dyDescent="0.3">
      <c r="A104" s="173">
        <f t="shared" si="3"/>
        <v>2022</v>
      </c>
      <c r="B104" s="268"/>
      <c r="C104" s="212"/>
      <c r="D104" s="212"/>
      <c r="E104" s="216" t="str">
        <f>IF(Table2[[#This Row],[MeasAppType]]="NR","N/A","N/A")</f>
        <v>N/A</v>
      </c>
      <c r="F104" s="272"/>
      <c r="G104" s="218"/>
      <c r="H104" s="218"/>
      <c r="I104" s="218"/>
      <c r="J104" s="173" t="e">
        <f>INDEX(Table3[CommonRefrigerantType],MATCH(Table2[[#This Row],[Pre tech lookup (not required for "NR" measure application types)]],DropdownRefrigTech,0))</f>
        <v>#N/A</v>
      </c>
      <c r="K104" s="173" t="e">
        <f>INDEX(Table3[CommonRefrigerantType],MATCH(Table2[[#This Row],[Std tech lookup (not required for "AR" measure application types)]],DropdownRefrigTech,0))</f>
        <v>#N/A</v>
      </c>
      <c r="L104" s="173" t="e">
        <f>INDEX(Table3[CommonRefrigerantType],MATCH(Table2[[#This Row],[Msr tech lookup]],DropdownRefrigTech,0))</f>
        <v>#N/A</v>
      </c>
      <c r="M104" s="134" t="e">
        <f>INDEX(Table3[RefrigChargePoundsPerNormUnit],MATCH(Table2[[#This Row],[Pre tech lookup (not required for "NR" measure application types)]],DropdownRefrigTech,0))</f>
        <v>#N/A</v>
      </c>
      <c r="N104" s="134" t="e">
        <f>INDEX(Table3[RefrigChargePoundsPerNormUnit],MATCH(Table2[[#This Row],[Std tech lookup (not required for "AR" measure application types)]],DropdownRefrigTech,0))</f>
        <v>#N/A</v>
      </c>
      <c r="O104" s="149" t="e">
        <f>INDEX(Table3[RefrigChargePoundsPerNormUnit],MATCH(Table2[[#This Row],[Msr tech lookup]],DropdownRefrigTech,0))</f>
        <v>#N/A</v>
      </c>
      <c r="P104" s="163" t="e">
        <f>INDEX(Table3[AnnualLeakageRate],MATCH(Table2[[#This Row],[Pre tech lookup (not required for "NR" measure application types)]],DropdownRefrigTech,0))</f>
        <v>#N/A</v>
      </c>
      <c r="Q104" s="163" t="e">
        <f>INDEX(Table3[AnnualLeakageRate],MATCH(Table2[[#This Row],[Std tech lookup (not required for "AR" measure application types)]],DropdownRefrigTech,0))</f>
        <v>#N/A</v>
      </c>
      <c r="R104" s="163" t="e">
        <f>INDEX(Table3[AnnualLeakageRate],MATCH(Table2[[#This Row],[Msr tech lookup]],DropdownRefrigTech,0))</f>
        <v>#N/A</v>
      </c>
      <c r="S104" s="164" t="e">
        <f>INDEX(Table3[t_EOL],MATCH(Table2[[#This Row],[Pre tech lookup (not required for "NR" measure application types)]],DropdownRefrigTech,0))</f>
        <v>#N/A</v>
      </c>
      <c r="T104" s="164" t="e">
        <f>INDEX(Table3[t_EOL],MATCH(Table2[[#This Row],[Std tech lookup (not required for "AR" measure application types)]],DropdownRefrigTech,0))</f>
        <v>#N/A</v>
      </c>
      <c r="U104" s="164" t="e">
        <f>INDEX(Table3[t_EOL],MATCH(Table2[[#This Row],[Msr tech lookup]],DropdownRefrigTech,0))</f>
        <v>#N/A</v>
      </c>
      <c r="V104" s="163" t="e">
        <f>1-Table2[[#This Row],[Pre annual refrigerant leakage %]]*Table2[[#This Row],[Pre t_EOL]]</f>
        <v>#N/A</v>
      </c>
      <c r="W104" s="163" t="e">
        <f>1-Table2[[#This Row],[Std annual refrigerant leakage %]]*Table2[[#This Row],[Std t_EOL]]</f>
        <v>#N/A</v>
      </c>
      <c r="X104" s="163" t="e">
        <f>1-Table2[[#This Row],[Msr annual refrigerant leakage %]]*Table2[[#This Row],[Msr t_EOL]]</f>
        <v>#N/A</v>
      </c>
      <c r="Y104" s="163" t="e">
        <f>INDEX(Table3[q_EOL],MATCH(Table2[[#This Row],[Pre tech lookup (not required for "NR" measure application types)]],DropdownRefrigTech,0))</f>
        <v>#N/A</v>
      </c>
      <c r="Z104" s="163" t="e">
        <f>INDEX(Table3[q_EOL],MATCH(Table2[[#This Row],[Std tech lookup (not required for "AR" measure application types)]],DropdownRefrigTech,0))</f>
        <v>#N/A</v>
      </c>
      <c r="AA104" s="163" t="e">
        <f>INDEX(Table3[q_EOL],MATCH(Table2[[#This Row],[Msr tech lookup]],DropdownRefrigTech,0))</f>
        <v>#N/A</v>
      </c>
      <c r="AB104" s="163" t="e">
        <f>Table2[[#This Row],[Pre charging remaining (%)]]*Table2[[#This Row],[Pre gross EOL refrigerant leakage %]]</f>
        <v>#N/A</v>
      </c>
      <c r="AC104" s="163" t="e">
        <f>Table2[[#This Row],[Std charging remaining (%)]]*Table2[[#This Row],[Std gross EOL refrigerant leakage %]]</f>
        <v>#N/A</v>
      </c>
      <c r="AD104" s="163" t="e">
        <f>Table2[[#This Row],[Msr charging remaining (%)]]*Table2[[#This Row],[Msr gross EOL refrigerant leakage %]]</f>
        <v>#N/A</v>
      </c>
      <c r="AE104" s="164" t="e" cm="1">
        <f t="array" ref="AE104">INDEX(_xlfn.SWITCH($B$4,"20-yr",GWP_Values_20_year_AR4,"100-yr",GWP_Values_100_year_AR4),MATCH(Table2[[#This Row],[Pre Refrigerant Type]],RefrigDropdownList,0))</f>
        <v>#N/A</v>
      </c>
      <c r="AF104" s="164" t="e" cm="1">
        <f t="array" ref="AF104">INDEX(_xlfn.SWITCH($B$4,"20-yr",GWP_Values_20_year_AR4,"100-yr",GWP_Values_100_year_AR4),MATCH(Table2[[#This Row],[Std Refrigerant Type]],RefrigDropdownList,0))</f>
        <v>#N/A</v>
      </c>
      <c r="AG104" s="164" t="e" cm="1">
        <f t="array" ref="AG104">INDEX(_xlfn.SWITCH($B$4,"20-yr",GWP_Values_20_year_AR4,"100-yr",GWP_Values_100_year_AR4),MATCH(Table2[[#This Row],[Msr Refrigerant Type]],RefrigDropdownList,0))</f>
        <v>#N/A</v>
      </c>
      <c r="AH104" s="165" t="e">
        <f>(Table2[[#This Row],[Pre Refrigerant charge (lbs) per NormUnit]]/pounds_per_metric_ton)*Table2[[#This Row],[Pre annual refrigerant leakage %]]*Table2[[#This Row],[Pre GWP]]</f>
        <v>#N/A</v>
      </c>
      <c r="AI104" s="165" t="e">
        <f>(Table2[[#This Row],[Std Refrigerant charge (lbs)per NormUnit]]/pounds_per_metric_ton)*Table2[[#This Row],[Std annual refrigerant leakage %]]*Table2[[#This Row],[Std GWP]]</f>
        <v>#N/A</v>
      </c>
      <c r="AJ104" s="165" t="e">
        <f>(Table2[[#This Row],[Msr Refrigerant charge (lbs)per NormUnit]]/pounds_per_metric_ton)*Table2[[#This Row],[Msr annual refrigerant leakage %]]*Table2[[#This Row],[Msr GWP]]</f>
        <v>#N/A</v>
      </c>
      <c r="AK104" s="165" t="e">
        <f>(Table2[[#This Row],[Pre Refrigerant charge (lbs) per NormUnit]]/pounds_per_metric_ton)*Table2[[#This Row],[Pre net EOL refrigerant leakage (%)]]*Table2[[#This Row],[Pre GWP]]</f>
        <v>#N/A</v>
      </c>
      <c r="AL104" s="165" t="e">
        <f>(Table2[[#This Row],[Std Refrigerant charge (lbs)per NormUnit]]/pounds_per_metric_ton)*Table2[[#This Row],[Std net EOL refrigerant leakage (%)]]*Table2[[#This Row],[Std GWP]]</f>
        <v>#N/A</v>
      </c>
      <c r="AM104" s="165" t="e">
        <f>(Table2[[#This Row],[Msr Refrigerant charge (lbs)per NormUnit]]/pounds_per_metric_ton)*Table2[[#This Row],[Msr net EOL refrigerant leakage (%)]]*Table2[[#This Row],[Msr GWP]]</f>
        <v>#N/A</v>
      </c>
      <c r="AN104" s="174" cm="1">
        <f t="array" aca="1" ref="AN104" ca="1">IF(Table2[[#This Row],[MeasAppType]]="AR",Table2[[#This Row],[Pre Annual leakage tons CO2e]]*NPV(WACC,OFFSET(const_ones,0,0,1,Table2[[#This Row],[EUL]])*OFFSET(GHG_Adder_dollar_per_tonne,0,(Table2[[#This Row],[Device installation year]])-GHG_Adder_Yr1,1,Table2[[#This Row],[EUL]]))/(1+WACC)^(Table2[[#This Row],[Device installation year]]-DY),0)</f>
        <v>0</v>
      </c>
      <c r="AO104" s="174" t="e" cm="1">
        <f t="array" aca="1" ref="AO104"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104" s="174" t="e" cm="1">
        <f t="array" aca="1" ref="AP104" ca="1">Table2[[#This Row],[Msr Annual leakage tons CO2e]]*NPV(WACC,OFFSET(const_ones,0,0,1,Table2[[#This Row],[EUL]])*OFFSET(GHG_Adder_dollar_per_tonne,0,((Table2[[#This Row],[Device installation year]])-GHG_Adder_Yr1),1,Table2[[#This Row],[EUL]]))/(1+WACC)^(Table2[[#This Row],[Device installation year]]-DY)</f>
        <v>#N/A</v>
      </c>
      <c r="AQ104" s="260" cm="1">
        <f t="array" aca="1" ref="AQ104"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104" s="261" t="e" cm="1">
        <f t="array" aca="1" ref="AR104"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104" s="261" t="e" cm="1">
        <f t="array" aca="1" ref="AS104" ca="1">Table2[[#This Row],[Msr EOL leakage tons CO2e]]*NPV(WACC,OFFSET(const_repeat_after,Table2[[#This Row],[EUL]],0,1,Table2[[#This Row],[EUL]])*OFFSET(GHG_Adder_dollar_per_tonne,0,(Table2[[#This Row],[Device installation year]])-GHG_Adder_Yr1,1,Table2[[#This Row],[EUL]]))/(1+WACC)^(Table2[[#This Row],[Device installation year]]-DY)</f>
        <v>#N/A</v>
      </c>
      <c r="AT104" s="260">
        <f>0</f>
        <v>0</v>
      </c>
      <c r="AU104"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104" s="174" t="e">
        <f ca="1">Table2[[#This Row],[RefrigerantNPVCostsNet]]&gt;0</f>
        <v>#N/A</v>
      </c>
      <c r="AW104" s="174">
        <f>0</f>
        <v>0</v>
      </c>
      <c r="AX104" s="174">
        <f>0</f>
        <v>0</v>
      </c>
      <c r="AY104" s="174">
        <f>0</f>
        <v>0</v>
      </c>
      <c r="AZ104" s="174">
        <f ca="1">Table2[[#This Row],[Pre NPV Cost of Annual Leakage]]+Table2[[#This Row],[Pre NPV Cost of EOL Leakage]]</f>
        <v>0</v>
      </c>
      <c r="BA104" s="174" t="e">
        <f ca="1">Table2[[#This Row],[Std NPV Cost of Annual Leakage]]+Table2[[#This Row],[Std NPV Cost of EOL Leakage]]</f>
        <v>#N/A</v>
      </c>
      <c r="BB104" s="174" t="e">
        <f ca="1">Table2[[#This Row],[AR immediate NPV cost of leakage]]+Table2[[#This Row],[Msr NPV Cost of Annual Leakage]]+Table2[[#This Row],[Msr NPV Cost of EOL Leakage]]</f>
        <v>#N/A</v>
      </c>
      <c r="BC104" s="273" t="e">
        <f ca="1">IF(Table2[[#This Row],[Is Net Cost?]],Table2[[#This Row],[RefrigerantNPVCostsNet]],0)</f>
        <v>#N/A</v>
      </c>
      <c r="BD104" s="174" t="e">
        <f ca="1">IF(Table2[[#This Row],[Is Net Cost?]],0,-Table2[[#This Row],[RefrigerantNPVCostsNet]])</f>
        <v>#N/A</v>
      </c>
    </row>
    <row r="105" spans="1:56" x14ac:dyDescent="0.3">
      <c r="A105" s="173">
        <f t="shared" si="3"/>
        <v>2022</v>
      </c>
      <c r="B105" s="268"/>
      <c r="C105" s="212"/>
      <c r="D105" s="212"/>
      <c r="E105" s="216" t="str">
        <f>IF(Table2[[#This Row],[MeasAppType]]="NR","N/A","N/A")</f>
        <v>N/A</v>
      </c>
      <c r="F105" s="272"/>
      <c r="G105" s="218"/>
      <c r="H105" s="218"/>
      <c r="I105" s="218"/>
      <c r="J105" s="173" t="e">
        <f>INDEX(Table3[CommonRefrigerantType],MATCH(Table2[[#This Row],[Pre tech lookup (not required for "NR" measure application types)]],DropdownRefrigTech,0))</f>
        <v>#N/A</v>
      </c>
      <c r="K105" s="173" t="e">
        <f>INDEX(Table3[CommonRefrigerantType],MATCH(Table2[[#This Row],[Std tech lookup (not required for "AR" measure application types)]],DropdownRefrigTech,0))</f>
        <v>#N/A</v>
      </c>
      <c r="L105" s="173" t="e">
        <f>INDEX(Table3[CommonRefrigerantType],MATCH(Table2[[#This Row],[Msr tech lookup]],DropdownRefrigTech,0))</f>
        <v>#N/A</v>
      </c>
      <c r="M105" s="134" t="e">
        <f>INDEX(Table3[RefrigChargePoundsPerNormUnit],MATCH(Table2[[#This Row],[Pre tech lookup (not required for "NR" measure application types)]],DropdownRefrigTech,0))</f>
        <v>#N/A</v>
      </c>
      <c r="N105" s="134" t="e">
        <f>INDEX(Table3[RefrigChargePoundsPerNormUnit],MATCH(Table2[[#This Row],[Std tech lookup (not required for "AR" measure application types)]],DropdownRefrigTech,0))</f>
        <v>#N/A</v>
      </c>
      <c r="O105" s="149" t="e">
        <f>INDEX(Table3[RefrigChargePoundsPerNormUnit],MATCH(Table2[[#This Row],[Msr tech lookup]],DropdownRefrigTech,0))</f>
        <v>#N/A</v>
      </c>
      <c r="P105" s="163" t="e">
        <f>INDEX(Table3[AnnualLeakageRate],MATCH(Table2[[#This Row],[Pre tech lookup (not required for "NR" measure application types)]],DropdownRefrigTech,0))</f>
        <v>#N/A</v>
      </c>
      <c r="Q105" s="163" t="e">
        <f>INDEX(Table3[AnnualLeakageRate],MATCH(Table2[[#This Row],[Std tech lookup (not required for "AR" measure application types)]],DropdownRefrigTech,0))</f>
        <v>#N/A</v>
      </c>
      <c r="R105" s="163" t="e">
        <f>INDEX(Table3[AnnualLeakageRate],MATCH(Table2[[#This Row],[Msr tech lookup]],DropdownRefrigTech,0))</f>
        <v>#N/A</v>
      </c>
      <c r="S105" s="164" t="e">
        <f>INDEX(Table3[t_EOL],MATCH(Table2[[#This Row],[Pre tech lookup (not required for "NR" measure application types)]],DropdownRefrigTech,0))</f>
        <v>#N/A</v>
      </c>
      <c r="T105" s="164" t="e">
        <f>INDEX(Table3[t_EOL],MATCH(Table2[[#This Row],[Std tech lookup (not required for "AR" measure application types)]],DropdownRefrigTech,0))</f>
        <v>#N/A</v>
      </c>
      <c r="U105" s="164" t="e">
        <f>INDEX(Table3[t_EOL],MATCH(Table2[[#This Row],[Msr tech lookup]],DropdownRefrigTech,0))</f>
        <v>#N/A</v>
      </c>
      <c r="V105" s="163" t="e">
        <f>1-Table2[[#This Row],[Pre annual refrigerant leakage %]]*Table2[[#This Row],[Pre t_EOL]]</f>
        <v>#N/A</v>
      </c>
      <c r="W105" s="163" t="e">
        <f>1-Table2[[#This Row],[Std annual refrigerant leakage %]]*Table2[[#This Row],[Std t_EOL]]</f>
        <v>#N/A</v>
      </c>
      <c r="X105" s="163" t="e">
        <f>1-Table2[[#This Row],[Msr annual refrigerant leakage %]]*Table2[[#This Row],[Msr t_EOL]]</f>
        <v>#N/A</v>
      </c>
      <c r="Y105" s="163" t="e">
        <f>INDEX(Table3[q_EOL],MATCH(Table2[[#This Row],[Pre tech lookup (not required for "NR" measure application types)]],DropdownRefrigTech,0))</f>
        <v>#N/A</v>
      </c>
      <c r="Z105" s="163" t="e">
        <f>INDEX(Table3[q_EOL],MATCH(Table2[[#This Row],[Std tech lookup (not required for "AR" measure application types)]],DropdownRefrigTech,0))</f>
        <v>#N/A</v>
      </c>
      <c r="AA105" s="163" t="e">
        <f>INDEX(Table3[q_EOL],MATCH(Table2[[#This Row],[Msr tech lookup]],DropdownRefrigTech,0))</f>
        <v>#N/A</v>
      </c>
      <c r="AB105" s="163" t="e">
        <f>Table2[[#This Row],[Pre charging remaining (%)]]*Table2[[#This Row],[Pre gross EOL refrigerant leakage %]]</f>
        <v>#N/A</v>
      </c>
      <c r="AC105" s="163" t="e">
        <f>Table2[[#This Row],[Std charging remaining (%)]]*Table2[[#This Row],[Std gross EOL refrigerant leakage %]]</f>
        <v>#N/A</v>
      </c>
      <c r="AD105" s="163" t="e">
        <f>Table2[[#This Row],[Msr charging remaining (%)]]*Table2[[#This Row],[Msr gross EOL refrigerant leakage %]]</f>
        <v>#N/A</v>
      </c>
      <c r="AE105" s="164" t="e" cm="1">
        <f t="array" ref="AE105">INDEX(_xlfn.SWITCH($B$4,"20-yr",GWP_Values_20_year_AR4,"100-yr",GWP_Values_100_year_AR4),MATCH(Table2[[#This Row],[Pre Refrigerant Type]],RefrigDropdownList,0))</f>
        <v>#N/A</v>
      </c>
      <c r="AF105" s="164" t="e" cm="1">
        <f t="array" ref="AF105">INDEX(_xlfn.SWITCH($B$4,"20-yr",GWP_Values_20_year_AR4,"100-yr",GWP_Values_100_year_AR4),MATCH(Table2[[#This Row],[Std Refrigerant Type]],RefrigDropdownList,0))</f>
        <v>#N/A</v>
      </c>
      <c r="AG105" s="164" t="e" cm="1">
        <f t="array" ref="AG105">INDEX(_xlfn.SWITCH($B$4,"20-yr",GWP_Values_20_year_AR4,"100-yr",GWP_Values_100_year_AR4),MATCH(Table2[[#This Row],[Msr Refrigerant Type]],RefrigDropdownList,0))</f>
        <v>#N/A</v>
      </c>
      <c r="AH105" s="165" t="e">
        <f>(Table2[[#This Row],[Pre Refrigerant charge (lbs) per NormUnit]]/pounds_per_metric_ton)*Table2[[#This Row],[Pre annual refrigerant leakage %]]*Table2[[#This Row],[Pre GWP]]</f>
        <v>#N/A</v>
      </c>
      <c r="AI105" s="165" t="e">
        <f>(Table2[[#This Row],[Std Refrigerant charge (lbs)per NormUnit]]/pounds_per_metric_ton)*Table2[[#This Row],[Std annual refrigerant leakage %]]*Table2[[#This Row],[Std GWP]]</f>
        <v>#N/A</v>
      </c>
      <c r="AJ105" s="165" t="e">
        <f>(Table2[[#This Row],[Msr Refrigerant charge (lbs)per NormUnit]]/pounds_per_metric_ton)*Table2[[#This Row],[Msr annual refrigerant leakage %]]*Table2[[#This Row],[Msr GWP]]</f>
        <v>#N/A</v>
      </c>
      <c r="AK105" s="165" t="e">
        <f>(Table2[[#This Row],[Pre Refrigerant charge (lbs) per NormUnit]]/pounds_per_metric_ton)*Table2[[#This Row],[Pre net EOL refrigerant leakage (%)]]*Table2[[#This Row],[Pre GWP]]</f>
        <v>#N/A</v>
      </c>
      <c r="AL105" s="165" t="e">
        <f>(Table2[[#This Row],[Std Refrigerant charge (lbs)per NormUnit]]/pounds_per_metric_ton)*Table2[[#This Row],[Std net EOL refrigerant leakage (%)]]*Table2[[#This Row],[Std GWP]]</f>
        <v>#N/A</v>
      </c>
      <c r="AM105" s="165" t="e">
        <f>(Table2[[#This Row],[Msr Refrigerant charge (lbs)per NormUnit]]/pounds_per_metric_ton)*Table2[[#This Row],[Msr net EOL refrigerant leakage (%)]]*Table2[[#This Row],[Msr GWP]]</f>
        <v>#N/A</v>
      </c>
      <c r="AN105" s="174" cm="1">
        <f t="array" aca="1" ref="AN105" ca="1">IF(Table2[[#This Row],[MeasAppType]]="AR",Table2[[#This Row],[Pre Annual leakage tons CO2e]]*NPV(WACC,OFFSET(const_ones,0,0,1,Table2[[#This Row],[EUL]])*OFFSET(GHG_Adder_dollar_per_tonne,0,(Table2[[#This Row],[Device installation year]])-GHG_Adder_Yr1,1,Table2[[#This Row],[EUL]]))/(1+WACC)^(Table2[[#This Row],[Device installation year]]-DY),0)</f>
        <v>0</v>
      </c>
      <c r="AO105" s="174" t="e" cm="1">
        <f t="array" aca="1" ref="AO105"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105" s="174" t="e" cm="1">
        <f t="array" aca="1" ref="AP105" ca="1">Table2[[#This Row],[Msr Annual leakage tons CO2e]]*NPV(WACC,OFFSET(const_ones,0,0,1,Table2[[#This Row],[EUL]])*OFFSET(GHG_Adder_dollar_per_tonne,0,((Table2[[#This Row],[Device installation year]])-GHG_Adder_Yr1),1,Table2[[#This Row],[EUL]]))/(1+WACC)^(Table2[[#This Row],[Device installation year]]-DY)</f>
        <v>#N/A</v>
      </c>
      <c r="AQ105" s="260" cm="1">
        <f t="array" aca="1" ref="AQ105"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105" s="261" t="e" cm="1">
        <f t="array" aca="1" ref="AR105"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105" s="261" t="e" cm="1">
        <f t="array" aca="1" ref="AS105" ca="1">Table2[[#This Row],[Msr EOL leakage tons CO2e]]*NPV(WACC,OFFSET(const_repeat_after,Table2[[#This Row],[EUL]],0,1,Table2[[#This Row],[EUL]])*OFFSET(GHG_Adder_dollar_per_tonne,0,(Table2[[#This Row],[Device installation year]])-GHG_Adder_Yr1,1,Table2[[#This Row],[EUL]]))/(1+WACC)^(Table2[[#This Row],[Device installation year]]-DY)</f>
        <v>#N/A</v>
      </c>
      <c r="AT105" s="260">
        <f>0</f>
        <v>0</v>
      </c>
      <c r="AU105"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105" s="174" t="e">
        <f ca="1">Table2[[#This Row],[RefrigerantNPVCostsNet]]&gt;0</f>
        <v>#N/A</v>
      </c>
      <c r="AW105" s="174">
        <f>0</f>
        <v>0</v>
      </c>
      <c r="AX105" s="174">
        <f>0</f>
        <v>0</v>
      </c>
      <c r="AY105" s="174">
        <f>0</f>
        <v>0</v>
      </c>
      <c r="AZ105" s="174">
        <f ca="1">Table2[[#This Row],[Pre NPV Cost of Annual Leakage]]+Table2[[#This Row],[Pre NPV Cost of EOL Leakage]]</f>
        <v>0</v>
      </c>
      <c r="BA105" s="174" t="e">
        <f ca="1">Table2[[#This Row],[Std NPV Cost of Annual Leakage]]+Table2[[#This Row],[Std NPV Cost of EOL Leakage]]</f>
        <v>#N/A</v>
      </c>
      <c r="BB105" s="174" t="e">
        <f ca="1">Table2[[#This Row],[AR immediate NPV cost of leakage]]+Table2[[#This Row],[Msr NPV Cost of Annual Leakage]]+Table2[[#This Row],[Msr NPV Cost of EOL Leakage]]</f>
        <v>#N/A</v>
      </c>
      <c r="BC105" s="273" t="e">
        <f ca="1">IF(Table2[[#This Row],[Is Net Cost?]],Table2[[#This Row],[RefrigerantNPVCostsNet]],0)</f>
        <v>#N/A</v>
      </c>
      <c r="BD105" s="174" t="e">
        <f ca="1">IF(Table2[[#This Row],[Is Net Cost?]],0,-Table2[[#This Row],[RefrigerantNPVCostsNet]])</f>
        <v>#N/A</v>
      </c>
    </row>
    <row r="106" spans="1:56" x14ac:dyDescent="0.3">
      <c r="A106" s="173">
        <f t="shared" si="3"/>
        <v>2022</v>
      </c>
      <c r="B106" s="268"/>
      <c r="C106" s="212"/>
      <c r="D106" s="212"/>
      <c r="E106" s="216" t="str">
        <f>IF(Table2[[#This Row],[MeasAppType]]="NR","N/A","N/A")</f>
        <v>N/A</v>
      </c>
      <c r="F106" s="272"/>
      <c r="G106" s="218"/>
      <c r="H106" s="218"/>
      <c r="I106" s="218"/>
      <c r="J106" s="173" t="e">
        <f>INDEX(Table3[CommonRefrigerantType],MATCH(Table2[[#This Row],[Pre tech lookup (not required for "NR" measure application types)]],DropdownRefrigTech,0))</f>
        <v>#N/A</v>
      </c>
      <c r="K106" s="173" t="e">
        <f>INDEX(Table3[CommonRefrigerantType],MATCH(Table2[[#This Row],[Std tech lookup (not required for "AR" measure application types)]],DropdownRefrigTech,0))</f>
        <v>#N/A</v>
      </c>
      <c r="L106" s="173" t="e">
        <f>INDEX(Table3[CommonRefrigerantType],MATCH(Table2[[#This Row],[Msr tech lookup]],DropdownRefrigTech,0))</f>
        <v>#N/A</v>
      </c>
      <c r="M106" s="134" t="e">
        <f>INDEX(Table3[RefrigChargePoundsPerNormUnit],MATCH(Table2[[#This Row],[Pre tech lookup (not required for "NR" measure application types)]],DropdownRefrigTech,0))</f>
        <v>#N/A</v>
      </c>
      <c r="N106" s="134" t="e">
        <f>INDEX(Table3[RefrigChargePoundsPerNormUnit],MATCH(Table2[[#This Row],[Std tech lookup (not required for "AR" measure application types)]],DropdownRefrigTech,0))</f>
        <v>#N/A</v>
      </c>
      <c r="O106" s="149" t="e">
        <f>INDEX(Table3[RefrigChargePoundsPerNormUnit],MATCH(Table2[[#This Row],[Msr tech lookup]],DropdownRefrigTech,0))</f>
        <v>#N/A</v>
      </c>
      <c r="P106" s="163" t="e">
        <f>INDEX(Table3[AnnualLeakageRate],MATCH(Table2[[#This Row],[Pre tech lookup (not required for "NR" measure application types)]],DropdownRefrigTech,0))</f>
        <v>#N/A</v>
      </c>
      <c r="Q106" s="163" t="e">
        <f>INDEX(Table3[AnnualLeakageRate],MATCH(Table2[[#This Row],[Std tech lookup (not required for "AR" measure application types)]],DropdownRefrigTech,0))</f>
        <v>#N/A</v>
      </c>
      <c r="R106" s="163" t="e">
        <f>INDEX(Table3[AnnualLeakageRate],MATCH(Table2[[#This Row],[Msr tech lookup]],DropdownRefrigTech,0))</f>
        <v>#N/A</v>
      </c>
      <c r="S106" s="164" t="e">
        <f>INDEX(Table3[t_EOL],MATCH(Table2[[#This Row],[Pre tech lookup (not required for "NR" measure application types)]],DropdownRefrigTech,0))</f>
        <v>#N/A</v>
      </c>
      <c r="T106" s="164" t="e">
        <f>INDEX(Table3[t_EOL],MATCH(Table2[[#This Row],[Std tech lookup (not required for "AR" measure application types)]],DropdownRefrigTech,0))</f>
        <v>#N/A</v>
      </c>
      <c r="U106" s="164" t="e">
        <f>INDEX(Table3[t_EOL],MATCH(Table2[[#This Row],[Msr tech lookup]],DropdownRefrigTech,0))</f>
        <v>#N/A</v>
      </c>
      <c r="V106" s="163" t="e">
        <f>1-Table2[[#This Row],[Pre annual refrigerant leakage %]]*Table2[[#This Row],[Pre t_EOL]]</f>
        <v>#N/A</v>
      </c>
      <c r="W106" s="163" t="e">
        <f>1-Table2[[#This Row],[Std annual refrigerant leakage %]]*Table2[[#This Row],[Std t_EOL]]</f>
        <v>#N/A</v>
      </c>
      <c r="X106" s="163" t="e">
        <f>1-Table2[[#This Row],[Msr annual refrigerant leakage %]]*Table2[[#This Row],[Msr t_EOL]]</f>
        <v>#N/A</v>
      </c>
      <c r="Y106" s="163" t="e">
        <f>INDEX(Table3[q_EOL],MATCH(Table2[[#This Row],[Pre tech lookup (not required for "NR" measure application types)]],DropdownRefrigTech,0))</f>
        <v>#N/A</v>
      </c>
      <c r="Z106" s="163" t="e">
        <f>INDEX(Table3[q_EOL],MATCH(Table2[[#This Row],[Std tech lookup (not required for "AR" measure application types)]],DropdownRefrigTech,0))</f>
        <v>#N/A</v>
      </c>
      <c r="AA106" s="163" t="e">
        <f>INDEX(Table3[q_EOL],MATCH(Table2[[#This Row],[Msr tech lookup]],DropdownRefrigTech,0))</f>
        <v>#N/A</v>
      </c>
      <c r="AB106" s="163" t="e">
        <f>Table2[[#This Row],[Pre charging remaining (%)]]*Table2[[#This Row],[Pre gross EOL refrigerant leakage %]]</f>
        <v>#N/A</v>
      </c>
      <c r="AC106" s="163" t="e">
        <f>Table2[[#This Row],[Std charging remaining (%)]]*Table2[[#This Row],[Std gross EOL refrigerant leakage %]]</f>
        <v>#N/A</v>
      </c>
      <c r="AD106" s="163" t="e">
        <f>Table2[[#This Row],[Msr charging remaining (%)]]*Table2[[#This Row],[Msr gross EOL refrigerant leakage %]]</f>
        <v>#N/A</v>
      </c>
      <c r="AE106" s="164" t="e" cm="1">
        <f t="array" ref="AE106">INDEX(_xlfn.SWITCH($B$4,"20-yr",GWP_Values_20_year_AR4,"100-yr",GWP_Values_100_year_AR4),MATCH(Table2[[#This Row],[Pre Refrigerant Type]],RefrigDropdownList,0))</f>
        <v>#N/A</v>
      </c>
      <c r="AF106" s="164" t="e" cm="1">
        <f t="array" ref="AF106">INDEX(_xlfn.SWITCH($B$4,"20-yr",GWP_Values_20_year_AR4,"100-yr",GWP_Values_100_year_AR4),MATCH(Table2[[#This Row],[Std Refrigerant Type]],RefrigDropdownList,0))</f>
        <v>#N/A</v>
      </c>
      <c r="AG106" s="164" t="e" cm="1">
        <f t="array" ref="AG106">INDEX(_xlfn.SWITCH($B$4,"20-yr",GWP_Values_20_year_AR4,"100-yr",GWP_Values_100_year_AR4),MATCH(Table2[[#This Row],[Msr Refrigerant Type]],RefrigDropdownList,0))</f>
        <v>#N/A</v>
      </c>
      <c r="AH106" s="165" t="e">
        <f>(Table2[[#This Row],[Pre Refrigerant charge (lbs) per NormUnit]]/pounds_per_metric_ton)*Table2[[#This Row],[Pre annual refrigerant leakage %]]*Table2[[#This Row],[Pre GWP]]</f>
        <v>#N/A</v>
      </c>
      <c r="AI106" s="165" t="e">
        <f>(Table2[[#This Row],[Std Refrigerant charge (lbs)per NormUnit]]/pounds_per_metric_ton)*Table2[[#This Row],[Std annual refrigerant leakage %]]*Table2[[#This Row],[Std GWP]]</f>
        <v>#N/A</v>
      </c>
      <c r="AJ106" s="165" t="e">
        <f>(Table2[[#This Row],[Msr Refrigerant charge (lbs)per NormUnit]]/pounds_per_metric_ton)*Table2[[#This Row],[Msr annual refrigerant leakage %]]*Table2[[#This Row],[Msr GWP]]</f>
        <v>#N/A</v>
      </c>
      <c r="AK106" s="165" t="e">
        <f>(Table2[[#This Row],[Pre Refrigerant charge (lbs) per NormUnit]]/pounds_per_metric_ton)*Table2[[#This Row],[Pre net EOL refrigerant leakage (%)]]*Table2[[#This Row],[Pre GWP]]</f>
        <v>#N/A</v>
      </c>
      <c r="AL106" s="165" t="e">
        <f>(Table2[[#This Row],[Std Refrigerant charge (lbs)per NormUnit]]/pounds_per_metric_ton)*Table2[[#This Row],[Std net EOL refrigerant leakage (%)]]*Table2[[#This Row],[Std GWP]]</f>
        <v>#N/A</v>
      </c>
      <c r="AM106" s="165" t="e">
        <f>(Table2[[#This Row],[Msr Refrigerant charge (lbs)per NormUnit]]/pounds_per_metric_ton)*Table2[[#This Row],[Msr net EOL refrigerant leakage (%)]]*Table2[[#This Row],[Msr GWP]]</f>
        <v>#N/A</v>
      </c>
      <c r="AN106" s="174" cm="1">
        <f t="array" aca="1" ref="AN106" ca="1">IF(Table2[[#This Row],[MeasAppType]]="AR",Table2[[#This Row],[Pre Annual leakage tons CO2e]]*NPV(WACC,OFFSET(const_ones,0,0,1,Table2[[#This Row],[EUL]])*OFFSET(GHG_Adder_dollar_per_tonne,0,(Table2[[#This Row],[Device installation year]])-GHG_Adder_Yr1,1,Table2[[#This Row],[EUL]]))/(1+WACC)^(Table2[[#This Row],[Device installation year]]-DY),0)</f>
        <v>0</v>
      </c>
      <c r="AO106" s="174" t="e" cm="1">
        <f t="array" aca="1" ref="AO106"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106" s="174" t="e" cm="1">
        <f t="array" aca="1" ref="AP106" ca="1">Table2[[#This Row],[Msr Annual leakage tons CO2e]]*NPV(WACC,OFFSET(const_ones,0,0,1,Table2[[#This Row],[EUL]])*OFFSET(GHG_Adder_dollar_per_tonne,0,((Table2[[#This Row],[Device installation year]])-GHG_Adder_Yr1),1,Table2[[#This Row],[EUL]]))/(1+WACC)^(Table2[[#This Row],[Device installation year]]-DY)</f>
        <v>#N/A</v>
      </c>
      <c r="AQ106" s="260" cm="1">
        <f t="array" aca="1" ref="AQ106"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106" s="261" t="e" cm="1">
        <f t="array" aca="1" ref="AR106"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106" s="261" t="e" cm="1">
        <f t="array" aca="1" ref="AS106" ca="1">Table2[[#This Row],[Msr EOL leakage tons CO2e]]*NPV(WACC,OFFSET(const_repeat_after,Table2[[#This Row],[EUL]],0,1,Table2[[#This Row],[EUL]])*OFFSET(GHG_Adder_dollar_per_tonne,0,(Table2[[#This Row],[Device installation year]])-GHG_Adder_Yr1,1,Table2[[#This Row],[EUL]]))/(1+WACC)^(Table2[[#This Row],[Device installation year]]-DY)</f>
        <v>#N/A</v>
      </c>
      <c r="AT106" s="260">
        <f>0</f>
        <v>0</v>
      </c>
      <c r="AU106"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106" s="174" t="e">
        <f ca="1">Table2[[#This Row],[RefrigerantNPVCostsNet]]&gt;0</f>
        <v>#N/A</v>
      </c>
      <c r="AW106" s="174">
        <f>0</f>
        <v>0</v>
      </c>
      <c r="AX106" s="174">
        <f>0</f>
        <v>0</v>
      </c>
      <c r="AY106" s="174">
        <f>0</f>
        <v>0</v>
      </c>
      <c r="AZ106" s="174">
        <f ca="1">Table2[[#This Row],[Pre NPV Cost of Annual Leakage]]+Table2[[#This Row],[Pre NPV Cost of EOL Leakage]]</f>
        <v>0</v>
      </c>
      <c r="BA106" s="174" t="e">
        <f ca="1">Table2[[#This Row],[Std NPV Cost of Annual Leakage]]+Table2[[#This Row],[Std NPV Cost of EOL Leakage]]</f>
        <v>#N/A</v>
      </c>
      <c r="BB106" s="174" t="e">
        <f ca="1">Table2[[#This Row],[AR immediate NPV cost of leakage]]+Table2[[#This Row],[Msr NPV Cost of Annual Leakage]]+Table2[[#This Row],[Msr NPV Cost of EOL Leakage]]</f>
        <v>#N/A</v>
      </c>
      <c r="BC106" s="273" t="e">
        <f ca="1">IF(Table2[[#This Row],[Is Net Cost?]],Table2[[#This Row],[RefrigerantNPVCostsNet]],0)</f>
        <v>#N/A</v>
      </c>
      <c r="BD106" s="174" t="e">
        <f ca="1">IF(Table2[[#This Row],[Is Net Cost?]],0,-Table2[[#This Row],[RefrigerantNPVCostsNet]])</f>
        <v>#N/A</v>
      </c>
    </row>
    <row r="107" spans="1:56" x14ac:dyDescent="0.3">
      <c r="A107" s="173">
        <f t="shared" si="3"/>
        <v>2022</v>
      </c>
      <c r="B107" s="268"/>
      <c r="C107" s="212"/>
      <c r="D107" s="212"/>
      <c r="E107" s="216" t="str">
        <f>IF(Table2[[#This Row],[MeasAppType]]="NR","N/A","N/A")</f>
        <v>N/A</v>
      </c>
      <c r="F107" s="272"/>
      <c r="G107" s="218"/>
      <c r="H107" s="218"/>
      <c r="I107" s="218"/>
      <c r="J107" s="173" t="e">
        <f>INDEX(Table3[CommonRefrigerantType],MATCH(Table2[[#This Row],[Pre tech lookup (not required for "NR" measure application types)]],DropdownRefrigTech,0))</f>
        <v>#N/A</v>
      </c>
      <c r="K107" s="173" t="e">
        <f>INDEX(Table3[CommonRefrigerantType],MATCH(Table2[[#This Row],[Std tech lookup (not required for "AR" measure application types)]],DropdownRefrigTech,0))</f>
        <v>#N/A</v>
      </c>
      <c r="L107" s="173" t="e">
        <f>INDEX(Table3[CommonRefrigerantType],MATCH(Table2[[#This Row],[Msr tech lookup]],DropdownRefrigTech,0))</f>
        <v>#N/A</v>
      </c>
      <c r="M107" s="134" t="e">
        <f>INDEX(Table3[RefrigChargePoundsPerNormUnit],MATCH(Table2[[#This Row],[Pre tech lookup (not required for "NR" measure application types)]],DropdownRefrigTech,0))</f>
        <v>#N/A</v>
      </c>
      <c r="N107" s="134" t="e">
        <f>INDEX(Table3[RefrigChargePoundsPerNormUnit],MATCH(Table2[[#This Row],[Std tech lookup (not required for "AR" measure application types)]],DropdownRefrigTech,0))</f>
        <v>#N/A</v>
      </c>
      <c r="O107" s="149" t="e">
        <f>INDEX(Table3[RefrigChargePoundsPerNormUnit],MATCH(Table2[[#This Row],[Msr tech lookup]],DropdownRefrigTech,0))</f>
        <v>#N/A</v>
      </c>
      <c r="P107" s="163" t="e">
        <f>INDEX(Table3[AnnualLeakageRate],MATCH(Table2[[#This Row],[Pre tech lookup (not required for "NR" measure application types)]],DropdownRefrigTech,0))</f>
        <v>#N/A</v>
      </c>
      <c r="Q107" s="163" t="e">
        <f>INDEX(Table3[AnnualLeakageRate],MATCH(Table2[[#This Row],[Std tech lookup (not required for "AR" measure application types)]],DropdownRefrigTech,0))</f>
        <v>#N/A</v>
      </c>
      <c r="R107" s="163" t="e">
        <f>INDEX(Table3[AnnualLeakageRate],MATCH(Table2[[#This Row],[Msr tech lookup]],DropdownRefrigTech,0))</f>
        <v>#N/A</v>
      </c>
      <c r="S107" s="164" t="e">
        <f>INDEX(Table3[t_EOL],MATCH(Table2[[#This Row],[Pre tech lookup (not required for "NR" measure application types)]],DropdownRefrigTech,0))</f>
        <v>#N/A</v>
      </c>
      <c r="T107" s="164" t="e">
        <f>INDEX(Table3[t_EOL],MATCH(Table2[[#This Row],[Std tech lookup (not required for "AR" measure application types)]],DropdownRefrigTech,0))</f>
        <v>#N/A</v>
      </c>
      <c r="U107" s="164" t="e">
        <f>INDEX(Table3[t_EOL],MATCH(Table2[[#This Row],[Msr tech lookup]],DropdownRefrigTech,0))</f>
        <v>#N/A</v>
      </c>
      <c r="V107" s="163" t="e">
        <f>1-Table2[[#This Row],[Pre annual refrigerant leakage %]]*Table2[[#This Row],[Pre t_EOL]]</f>
        <v>#N/A</v>
      </c>
      <c r="W107" s="163" t="e">
        <f>1-Table2[[#This Row],[Std annual refrigerant leakage %]]*Table2[[#This Row],[Std t_EOL]]</f>
        <v>#N/A</v>
      </c>
      <c r="X107" s="163" t="e">
        <f>1-Table2[[#This Row],[Msr annual refrigerant leakage %]]*Table2[[#This Row],[Msr t_EOL]]</f>
        <v>#N/A</v>
      </c>
      <c r="Y107" s="163" t="e">
        <f>INDEX(Table3[q_EOL],MATCH(Table2[[#This Row],[Pre tech lookup (not required for "NR" measure application types)]],DropdownRefrigTech,0))</f>
        <v>#N/A</v>
      </c>
      <c r="Z107" s="163" t="e">
        <f>INDEX(Table3[q_EOL],MATCH(Table2[[#This Row],[Std tech lookup (not required for "AR" measure application types)]],DropdownRefrigTech,0))</f>
        <v>#N/A</v>
      </c>
      <c r="AA107" s="163" t="e">
        <f>INDEX(Table3[q_EOL],MATCH(Table2[[#This Row],[Msr tech lookup]],DropdownRefrigTech,0))</f>
        <v>#N/A</v>
      </c>
      <c r="AB107" s="163" t="e">
        <f>Table2[[#This Row],[Pre charging remaining (%)]]*Table2[[#This Row],[Pre gross EOL refrigerant leakage %]]</f>
        <v>#N/A</v>
      </c>
      <c r="AC107" s="163" t="e">
        <f>Table2[[#This Row],[Std charging remaining (%)]]*Table2[[#This Row],[Std gross EOL refrigerant leakage %]]</f>
        <v>#N/A</v>
      </c>
      <c r="AD107" s="163" t="e">
        <f>Table2[[#This Row],[Msr charging remaining (%)]]*Table2[[#This Row],[Msr gross EOL refrigerant leakage %]]</f>
        <v>#N/A</v>
      </c>
      <c r="AE107" s="164" t="e" cm="1">
        <f t="array" ref="AE107">INDEX(_xlfn.SWITCH($B$4,"20-yr",GWP_Values_20_year_AR4,"100-yr",GWP_Values_100_year_AR4),MATCH(Table2[[#This Row],[Pre Refrigerant Type]],RefrigDropdownList,0))</f>
        <v>#N/A</v>
      </c>
      <c r="AF107" s="164" t="e" cm="1">
        <f t="array" ref="AF107">INDEX(_xlfn.SWITCH($B$4,"20-yr",GWP_Values_20_year_AR4,"100-yr",GWP_Values_100_year_AR4),MATCH(Table2[[#This Row],[Std Refrigerant Type]],RefrigDropdownList,0))</f>
        <v>#N/A</v>
      </c>
      <c r="AG107" s="164" t="e" cm="1">
        <f t="array" ref="AG107">INDEX(_xlfn.SWITCH($B$4,"20-yr",GWP_Values_20_year_AR4,"100-yr",GWP_Values_100_year_AR4),MATCH(Table2[[#This Row],[Msr Refrigerant Type]],RefrigDropdownList,0))</f>
        <v>#N/A</v>
      </c>
      <c r="AH107" s="165" t="e">
        <f>(Table2[[#This Row],[Pre Refrigerant charge (lbs) per NormUnit]]/pounds_per_metric_ton)*Table2[[#This Row],[Pre annual refrigerant leakage %]]*Table2[[#This Row],[Pre GWP]]</f>
        <v>#N/A</v>
      </c>
      <c r="AI107" s="165" t="e">
        <f>(Table2[[#This Row],[Std Refrigerant charge (lbs)per NormUnit]]/pounds_per_metric_ton)*Table2[[#This Row],[Std annual refrigerant leakage %]]*Table2[[#This Row],[Std GWP]]</f>
        <v>#N/A</v>
      </c>
      <c r="AJ107" s="165" t="e">
        <f>(Table2[[#This Row],[Msr Refrigerant charge (lbs)per NormUnit]]/pounds_per_metric_ton)*Table2[[#This Row],[Msr annual refrigerant leakage %]]*Table2[[#This Row],[Msr GWP]]</f>
        <v>#N/A</v>
      </c>
      <c r="AK107" s="165" t="e">
        <f>(Table2[[#This Row],[Pre Refrigerant charge (lbs) per NormUnit]]/pounds_per_metric_ton)*Table2[[#This Row],[Pre net EOL refrigerant leakage (%)]]*Table2[[#This Row],[Pre GWP]]</f>
        <v>#N/A</v>
      </c>
      <c r="AL107" s="165" t="e">
        <f>(Table2[[#This Row],[Std Refrigerant charge (lbs)per NormUnit]]/pounds_per_metric_ton)*Table2[[#This Row],[Std net EOL refrigerant leakage (%)]]*Table2[[#This Row],[Std GWP]]</f>
        <v>#N/A</v>
      </c>
      <c r="AM107" s="165" t="e">
        <f>(Table2[[#This Row],[Msr Refrigerant charge (lbs)per NormUnit]]/pounds_per_metric_ton)*Table2[[#This Row],[Msr net EOL refrigerant leakage (%)]]*Table2[[#This Row],[Msr GWP]]</f>
        <v>#N/A</v>
      </c>
      <c r="AN107" s="174" cm="1">
        <f t="array" aca="1" ref="AN107" ca="1">IF(Table2[[#This Row],[MeasAppType]]="AR",Table2[[#This Row],[Pre Annual leakage tons CO2e]]*NPV(WACC,OFFSET(const_ones,0,0,1,Table2[[#This Row],[EUL]])*OFFSET(GHG_Adder_dollar_per_tonne,0,(Table2[[#This Row],[Device installation year]])-GHG_Adder_Yr1,1,Table2[[#This Row],[EUL]]))/(1+WACC)^(Table2[[#This Row],[Device installation year]]-DY),0)</f>
        <v>0</v>
      </c>
      <c r="AO107" s="174" t="e" cm="1">
        <f t="array" aca="1" ref="AO107"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107" s="174" t="e" cm="1">
        <f t="array" aca="1" ref="AP107" ca="1">Table2[[#This Row],[Msr Annual leakage tons CO2e]]*NPV(WACC,OFFSET(const_ones,0,0,1,Table2[[#This Row],[EUL]])*OFFSET(GHG_Adder_dollar_per_tonne,0,((Table2[[#This Row],[Device installation year]])-GHG_Adder_Yr1),1,Table2[[#This Row],[EUL]]))/(1+WACC)^(Table2[[#This Row],[Device installation year]]-DY)</f>
        <v>#N/A</v>
      </c>
      <c r="AQ107" s="260" cm="1">
        <f t="array" aca="1" ref="AQ107"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107" s="261" t="e" cm="1">
        <f t="array" aca="1" ref="AR107"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107" s="261" t="e" cm="1">
        <f t="array" aca="1" ref="AS107" ca="1">Table2[[#This Row],[Msr EOL leakage tons CO2e]]*NPV(WACC,OFFSET(const_repeat_after,Table2[[#This Row],[EUL]],0,1,Table2[[#This Row],[EUL]])*OFFSET(GHG_Adder_dollar_per_tonne,0,(Table2[[#This Row],[Device installation year]])-GHG_Adder_Yr1,1,Table2[[#This Row],[EUL]]))/(1+WACC)^(Table2[[#This Row],[Device installation year]]-DY)</f>
        <v>#N/A</v>
      </c>
      <c r="AT107" s="260">
        <f>0</f>
        <v>0</v>
      </c>
      <c r="AU107"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107" s="174" t="e">
        <f ca="1">Table2[[#This Row],[RefrigerantNPVCostsNet]]&gt;0</f>
        <v>#N/A</v>
      </c>
      <c r="AW107" s="174">
        <f>0</f>
        <v>0</v>
      </c>
      <c r="AX107" s="174">
        <f>0</f>
        <v>0</v>
      </c>
      <c r="AY107" s="174">
        <f>0</f>
        <v>0</v>
      </c>
      <c r="AZ107" s="174">
        <f ca="1">Table2[[#This Row],[Pre NPV Cost of Annual Leakage]]+Table2[[#This Row],[Pre NPV Cost of EOL Leakage]]</f>
        <v>0</v>
      </c>
      <c r="BA107" s="174" t="e">
        <f ca="1">Table2[[#This Row],[Std NPV Cost of Annual Leakage]]+Table2[[#This Row],[Std NPV Cost of EOL Leakage]]</f>
        <v>#N/A</v>
      </c>
      <c r="BB107" s="174" t="e">
        <f ca="1">Table2[[#This Row],[AR immediate NPV cost of leakage]]+Table2[[#This Row],[Msr NPV Cost of Annual Leakage]]+Table2[[#This Row],[Msr NPV Cost of EOL Leakage]]</f>
        <v>#N/A</v>
      </c>
      <c r="BC107" s="273" t="e">
        <f ca="1">IF(Table2[[#This Row],[Is Net Cost?]],Table2[[#This Row],[RefrigerantNPVCostsNet]],0)</f>
        <v>#N/A</v>
      </c>
      <c r="BD107" s="174" t="e">
        <f ca="1">IF(Table2[[#This Row],[Is Net Cost?]],0,-Table2[[#This Row],[RefrigerantNPVCostsNet]])</f>
        <v>#N/A</v>
      </c>
    </row>
    <row r="108" spans="1:56" x14ac:dyDescent="0.3">
      <c r="A108" s="173">
        <f t="shared" si="3"/>
        <v>2022</v>
      </c>
      <c r="B108" s="268"/>
      <c r="C108" s="212"/>
      <c r="D108" s="212"/>
      <c r="E108" s="216" t="str">
        <f>IF(Table2[[#This Row],[MeasAppType]]="NR","N/A","N/A")</f>
        <v>N/A</v>
      </c>
      <c r="F108" s="272"/>
      <c r="G108" s="218"/>
      <c r="H108" s="218"/>
      <c r="I108" s="218"/>
      <c r="J108" s="173" t="e">
        <f>INDEX(Table3[CommonRefrigerantType],MATCH(Table2[[#This Row],[Pre tech lookup (not required for "NR" measure application types)]],DropdownRefrigTech,0))</f>
        <v>#N/A</v>
      </c>
      <c r="K108" s="173" t="e">
        <f>INDEX(Table3[CommonRefrigerantType],MATCH(Table2[[#This Row],[Std tech lookup (not required for "AR" measure application types)]],DropdownRefrigTech,0))</f>
        <v>#N/A</v>
      </c>
      <c r="L108" s="173" t="e">
        <f>INDEX(Table3[CommonRefrigerantType],MATCH(Table2[[#This Row],[Msr tech lookup]],DropdownRefrigTech,0))</f>
        <v>#N/A</v>
      </c>
      <c r="M108" s="134" t="e">
        <f>INDEX(Table3[RefrigChargePoundsPerNormUnit],MATCH(Table2[[#This Row],[Pre tech lookup (not required for "NR" measure application types)]],DropdownRefrigTech,0))</f>
        <v>#N/A</v>
      </c>
      <c r="N108" s="134" t="e">
        <f>INDEX(Table3[RefrigChargePoundsPerNormUnit],MATCH(Table2[[#This Row],[Std tech lookup (not required for "AR" measure application types)]],DropdownRefrigTech,0))</f>
        <v>#N/A</v>
      </c>
      <c r="O108" s="149" t="e">
        <f>INDEX(Table3[RefrigChargePoundsPerNormUnit],MATCH(Table2[[#This Row],[Msr tech lookup]],DropdownRefrigTech,0))</f>
        <v>#N/A</v>
      </c>
      <c r="P108" s="163" t="e">
        <f>INDEX(Table3[AnnualLeakageRate],MATCH(Table2[[#This Row],[Pre tech lookup (not required for "NR" measure application types)]],DropdownRefrigTech,0))</f>
        <v>#N/A</v>
      </c>
      <c r="Q108" s="163" t="e">
        <f>INDEX(Table3[AnnualLeakageRate],MATCH(Table2[[#This Row],[Std tech lookup (not required for "AR" measure application types)]],DropdownRefrigTech,0))</f>
        <v>#N/A</v>
      </c>
      <c r="R108" s="163" t="e">
        <f>INDEX(Table3[AnnualLeakageRate],MATCH(Table2[[#This Row],[Msr tech lookup]],DropdownRefrigTech,0))</f>
        <v>#N/A</v>
      </c>
      <c r="S108" s="164" t="e">
        <f>INDEX(Table3[t_EOL],MATCH(Table2[[#This Row],[Pre tech lookup (not required for "NR" measure application types)]],DropdownRefrigTech,0))</f>
        <v>#N/A</v>
      </c>
      <c r="T108" s="164" t="e">
        <f>INDEX(Table3[t_EOL],MATCH(Table2[[#This Row],[Std tech lookup (not required for "AR" measure application types)]],DropdownRefrigTech,0))</f>
        <v>#N/A</v>
      </c>
      <c r="U108" s="164" t="e">
        <f>INDEX(Table3[t_EOL],MATCH(Table2[[#This Row],[Msr tech lookup]],DropdownRefrigTech,0))</f>
        <v>#N/A</v>
      </c>
      <c r="V108" s="163" t="e">
        <f>1-Table2[[#This Row],[Pre annual refrigerant leakage %]]*Table2[[#This Row],[Pre t_EOL]]</f>
        <v>#N/A</v>
      </c>
      <c r="W108" s="163" t="e">
        <f>1-Table2[[#This Row],[Std annual refrigerant leakage %]]*Table2[[#This Row],[Std t_EOL]]</f>
        <v>#N/A</v>
      </c>
      <c r="X108" s="163" t="e">
        <f>1-Table2[[#This Row],[Msr annual refrigerant leakage %]]*Table2[[#This Row],[Msr t_EOL]]</f>
        <v>#N/A</v>
      </c>
      <c r="Y108" s="163" t="e">
        <f>INDEX(Table3[q_EOL],MATCH(Table2[[#This Row],[Pre tech lookup (not required for "NR" measure application types)]],DropdownRefrigTech,0))</f>
        <v>#N/A</v>
      </c>
      <c r="Z108" s="163" t="e">
        <f>INDEX(Table3[q_EOL],MATCH(Table2[[#This Row],[Std tech lookup (not required for "AR" measure application types)]],DropdownRefrigTech,0))</f>
        <v>#N/A</v>
      </c>
      <c r="AA108" s="163" t="e">
        <f>INDEX(Table3[q_EOL],MATCH(Table2[[#This Row],[Msr tech lookup]],DropdownRefrigTech,0))</f>
        <v>#N/A</v>
      </c>
      <c r="AB108" s="163" t="e">
        <f>Table2[[#This Row],[Pre charging remaining (%)]]*Table2[[#This Row],[Pre gross EOL refrigerant leakage %]]</f>
        <v>#N/A</v>
      </c>
      <c r="AC108" s="163" t="e">
        <f>Table2[[#This Row],[Std charging remaining (%)]]*Table2[[#This Row],[Std gross EOL refrigerant leakage %]]</f>
        <v>#N/A</v>
      </c>
      <c r="AD108" s="163" t="e">
        <f>Table2[[#This Row],[Msr charging remaining (%)]]*Table2[[#This Row],[Msr gross EOL refrigerant leakage %]]</f>
        <v>#N/A</v>
      </c>
      <c r="AE108" s="164" t="e" cm="1">
        <f t="array" ref="AE108">INDEX(_xlfn.SWITCH($B$4,"20-yr",GWP_Values_20_year_AR4,"100-yr",GWP_Values_100_year_AR4),MATCH(Table2[[#This Row],[Pre Refrigerant Type]],RefrigDropdownList,0))</f>
        <v>#N/A</v>
      </c>
      <c r="AF108" s="164" t="e" cm="1">
        <f t="array" ref="AF108">INDEX(_xlfn.SWITCH($B$4,"20-yr",GWP_Values_20_year_AR4,"100-yr",GWP_Values_100_year_AR4),MATCH(Table2[[#This Row],[Std Refrigerant Type]],RefrigDropdownList,0))</f>
        <v>#N/A</v>
      </c>
      <c r="AG108" s="164" t="e" cm="1">
        <f t="array" ref="AG108">INDEX(_xlfn.SWITCH($B$4,"20-yr",GWP_Values_20_year_AR4,"100-yr",GWP_Values_100_year_AR4),MATCH(Table2[[#This Row],[Msr Refrigerant Type]],RefrigDropdownList,0))</f>
        <v>#N/A</v>
      </c>
      <c r="AH108" s="165" t="e">
        <f>(Table2[[#This Row],[Pre Refrigerant charge (lbs) per NormUnit]]/pounds_per_metric_ton)*Table2[[#This Row],[Pre annual refrigerant leakage %]]*Table2[[#This Row],[Pre GWP]]</f>
        <v>#N/A</v>
      </c>
      <c r="AI108" s="165" t="e">
        <f>(Table2[[#This Row],[Std Refrigerant charge (lbs)per NormUnit]]/pounds_per_metric_ton)*Table2[[#This Row],[Std annual refrigerant leakage %]]*Table2[[#This Row],[Std GWP]]</f>
        <v>#N/A</v>
      </c>
      <c r="AJ108" s="165" t="e">
        <f>(Table2[[#This Row],[Msr Refrigerant charge (lbs)per NormUnit]]/pounds_per_metric_ton)*Table2[[#This Row],[Msr annual refrigerant leakage %]]*Table2[[#This Row],[Msr GWP]]</f>
        <v>#N/A</v>
      </c>
      <c r="AK108" s="165" t="e">
        <f>(Table2[[#This Row],[Pre Refrigerant charge (lbs) per NormUnit]]/pounds_per_metric_ton)*Table2[[#This Row],[Pre net EOL refrigerant leakage (%)]]*Table2[[#This Row],[Pre GWP]]</f>
        <v>#N/A</v>
      </c>
      <c r="AL108" s="165" t="e">
        <f>(Table2[[#This Row],[Std Refrigerant charge (lbs)per NormUnit]]/pounds_per_metric_ton)*Table2[[#This Row],[Std net EOL refrigerant leakage (%)]]*Table2[[#This Row],[Std GWP]]</f>
        <v>#N/A</v>
      </c>
      <c r="AM108" s="165" t="e">
        <f>(Table2[[#This Row],[Msr Refrigerant charge (lbs)per NormUnit]]/pounds_per_metric_ton)*Table2[[#This Row],[Msr net EOL refrigerant leakage (%)]]*Table2[[#This Row],[Msr GWP]]</f>
        <v>#N/A</v>
      </c>
      <c r="AN108" s="174" cm="1">
        <f t="array" aca="1" ref="AN108" ca="1">IF(Table2[[#This Row],[MeasAppType]]="AR",Table2[[#This Row],[Pre Annual leakage tons CO2e]]*NPV(WACC,OFFSET(const_ones,0,0,1,Table2[[#This Row],[EUL]])*OFFSET(GHG_Adder_dollar_per_tonne,0,(Table2[[#This Row],[Device installation year]])-GHG_Adder_Yr1,1,Table2[[#This Row],[EUL]]))/(1+WACC)^(Table2[[#This Row],[Device installation year]]-DY),0)</f>
        <v>0</v>
      </c>
      <c r="AO108" s="174" t="e" cm="1">
        <f t="array" aca="1" ref="AO108"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108" s="174" t="e" cm="1">
        <f t="array" aca="1" ref="AP108" ca="1">Table2[[#This Row],[Msr Annual leakage tons CO2e]]*NPV(WACC,OFFSET(const_ones,0,0,1,Table2[[#This Row],[EUL]])*OFFSET(GHG_Adder_dollar_per_tonne,0,((Table2[[#This Row],[Device installation year]])-GHG_Adder_Yr1),1,Table2[[#This Row],[EUL]]))/(1+WACC)^(Table2[[#This Row],[Device installation year]]-DY)</f>
        <v>#N/A</v>
      </c>
      <c r="AQ108" s="260" cm="1">
        <f t="array" aca="1" ref="AQ108"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108" s="261" t="e" cm="1">
        <f t="array" aca="1" ref="AR108"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108" s="261" t="e" cm="1">
        <f t="array" aca="1" ref="AS108" ca="1">Table2[[#This Row],[Msr EOL leakage tons CO2e]]*NPV(WACC,OFFSET(const_repeat_after,Table2[[#This Row],[EUL]],0,1,Table2[[#This Row],[EUL]])*OFFSET(GHG_Adder_dollar_per_tonne,0,(Table2[[#This Row],[Device installation year]])-GHG_Adder_Yr1,1,Table2[[#This Row],[EUL]]))/(1+WACC)^(Table2[[#This Row],[Device installation year]]-DY)</f>
        <v>#N/A</v>
      </c>
      <c r="AT108" s="260">
        <f>0</f>
        <v>0</v>
      </c>
      <c r="AU108"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108" s="174" t="e">
        <f ca="1">Table2[[#This Row],[RefrigerantNPVCostsNet]]&gt;0</f>
        <v>#N/A</v>
      </c>
      <c r="AW108" s="174">
        <f>0</f>
        <v>0</v>
      </c>
      <c r="AX108" s="174">
        <f>0</f>
        <v>0</v>
      </c>
      <c r="AY108" s="174">
        <f>0</f>
        <v>0</v>
      </c>
      <c r="AZ108" s="174">
        <f ca="1">Table2[[#This Row],[Pre NPV Cost of Annual Leakage]]+Table2[[#This Row],[Pre NPV Cost of EOL Leakage]]</f>
        <v>0</v>
      </c>
      <c r="BA108" s="174" t="e">
        <f ca="1">Table2[[#This Row],[Std NPV Cost of Annual Leakage]]+Table2[[#This Row],[Std NPV Cost of EOL Leakage]]</f>
        <v>#N/A</v>
      </c>
      <c r="BB108" s="174" t="e">
        <f ca="1">Table2[[#This Row],[AR immediate NPV cost of leakage]]+Table2[[#This Row],[Msr NPV Cost of Annual Leakage]]+Table2[[#This Row],[Msr NPV Cost of EOL Leakage]]</f>
        <v>#N/A</v>
      </c>
      <c r="BC108" s="273" t="e">
        <f ca="1">IF(Table2[[#This Row],[Is Net Cost?]],Table2[[#This Row],[RefrigerantNPVCostsNet]],0)</f>
        <v>#N/A</v>
      </c>
      <c r="BD108" s="174" t="e">
        <f ca="1">IF(Table2[[#This Row],[Is Net Cost?]],0,-Table2[[#This Row],[RefrigerantNPVCostsNet]])</f>
        <v>#N/A</v>
      </c>
    </row>
    <row r="109" spans="1:56" x14ac:dyDescent="0.3">
      <c r="A109" s="173">
        <f t="shared" si="3"/>
        <v>2022</v>
      </c>
      <c r="B109" s="268"/>
      <c r="C109" s="212"/>
      <c r="D109" s="212"/>
      <c r="E109" s="216" t="str">
        <f>IF(Table2[[#This Row],[MeasAppType]]="NR","N/A","N/A")</f>
        <v>N/A</v>
      </c>
      <c r="F109" s="272"/>
      <c r="G109" s="218"/>
      <c r="H109" s="218"/>
      <c r="I109" s="218"/>
      <c r="J109" s="173" t="e">
        <f>INDEX(Table3[CommonRefrigerantType],MATCH(Table2[[#This Row],[Pre tech lookup (not required for "NR" measure application types)]],DropdownRefrigTech,0))</f>
        <v>#N/A</v>
      </c>
      <c r="K109" s="173" t="e">
        <f>INDEX(Table3[CommonRefrigerantType],MATCH(Table2[[#This Row],[Std tech lookup (not required for "AR" measure application types)]],DropdownRefrigTech,0))</f>
        <v>#N/A</v>
      </c>
      <c r="L109" s="173" t="e">
        <f>INDEX(Table3[CommonRefrigerantType],MATCH(Table2[[#This Row],[Msr tech lookup]],DropdownRefrigTech,0))</f>
        <v>#N/A</v>
      </c>
      <c r="M109" s="134" t="e">
        <f>INDEX(Table3[RefrigChargePoundsPerNormUnit],MATCH(Table2[[#This Row],[Pre tech lookup (not required for "NR" measure application types)]],DropdownRefrigTech,0))</f>
        <v>#N/A</v>
      </c>
      <c r="N109" s="134" t="e">
        <f>INDEX(Table3[RefrigChargePoundsPerNormUnit],MATCH(Table2[[#This Row],[Std tech lookup (not required for "AR" measure application types)]],DropdownRefrigTech,0))</f>
        <v>#N/A</v>
      </c>
      <c r="O109" s="149" t="e">
        <f>INDEX(Table3[RefrigChargePoundsPerNormUnit],MATCH(Table2[[#This Row],[Msr tech lookup]],DropdownRefrigTech,0))</f>
        <v>#N/A</v>
      </c>
      <c r="P109" s="163" t="e">
        <f>INDEX(Table3[AnnualLeakageRate],MATCH(Table2[[#This Row],[Pre tech lookup (not required for "NR" measure application types)]],DropdownRefrigTech,0))</f>
        <v>#N/A</v>
      </c>
      <c r="Q109" s="163" t="e">
        <f>INDEX(Table3[AnnualLeakageRate],MATCH(Table2[[#This Row],[Std tech lookup (not required for "AR" measure application types)]],DropdownRefrigTech,0))</f>
        <v>#N/A</v>
      </c>
      <c r="R109" s="163" t="e">
        <f>INDEX(Table3[AnnualLeakageRate],MATCH(Table2[[#This Row],[Msr tech lookup]],DropdownRefrigTech,0))</f>
        <v>#N/A</v>
      </c>
      <c r="S109" s="164" t="e">
        <f>INDEX(Table3[t_EOL],MATCH(Table2[[#This Row],[Pre tech lookup (not required for "NR" measure application types)]],DropdownRefrigTech,0))</f>
        <v>#N/A</v>
      </c>
      <c r="T109" s="164" t="e">
        <f>INDEX(Table3[t_EOL],MATCH(Table2[[#This Row],[Std tech lookup (not required for "AR" measure application types)]],DropdownRefrigTech,0))</f>
        <v>#N/A</v>
      </c>
      <c r="U109" s="164" t="e">
        <f>INDEX(Table3[t_EOL],MATCH(Table2[[#This Row],[Msr tech lookup]],DropdownRefrigTech,0))</f>
        <v>#N/A</v>
      </c>
      <c r="V109" s="163" t="e">
        <f>1-Table2[[#This Row],[Pre annual refrigerant leakage %]]*Table2[[#This Row],[Pre t_EOL]]</f>
        <v>#N/A</v>
      </c>
      <c r="W109" s="163" t="e">
        <f>1-Table2[[#This Row],[Std annual refrigerant leakage %]]*Table2[[#This Row],[Std t_EOL]]</f>
        <v>#N/A</v>
      </c>
      <c r="X109" s="163" t="e">
        <f>1-Table2[[#This Row],[Msr annual refrigerant leakage %]]*Table2[[#This Row],[Msr t_EOL]]</f>
        <v>#N/A</v>
      </c>
      <c r="Y109" s="163" t="e">
        <f>INDEX(Table3[q_EOL],MATCH(Table2[[#This Row],[Pre tech lookup (not required for "NR" measure application types)]],DropdownRefrigTech,0))</f>
        <v>#N/A</v>
      </c>
      <c r="Z109" s="163" t="e">
        <f>INDEX(Table3[q_EOL],MATCH(Table2[[#This Row],[Std tech lookup (not required for "AR" measure application types)]],DropdownRefrigTech,0))</f>
        <v>#N/A</v>
      </c>
      <c r="AA109" s="163" t="e">
        <f>INDEX(Table3[q_EOL],MATCH(Table2[[#This Row],[Msr tech lookup]],DropdownRefrigTech,0))</f>
        <v>#N/A</v>
      </c>
      <c r="AB109" s="163" t="e">
        <f>Table2[[#This Row],[Pre charging remaining (%)]]*Table2[[#This Row],[Pre gross EOL refrigerant leakage %]]</f>
        <v>#N/A</v>
      </c>
      <c r="AC109" s="163" t="e">
        <f>Table2[[#This Row],[Std charging remaining (%)]]*Table2[[#This Row],[Std gross EOL refrigerant leakage %]]</f>
        <v>#N/A</v>
      </c>
      <c r="AD109" s="163" t="e">
        <f>Table2[[#This Row],[Msr charging remaining (%)]]*Table2[[#This Row],[Msr gross EOL refrigerant leakage %]]</f>
        <v>#N/A</v>
      </c>
      <c r="AE109" s="164" t="e" cm="1">
        <f t="array" ref="AE109">INDEX(_xlfn.SWITCH($B$4,"20-yr",GWP_Values_20_year_AR4,"100-yr",GWP_Values_100_year_AR4),MATCH(Table2[[#This Row],[Pre Refrigerant Type]],RefrigDropdownList,0))</f>
        <v>#N/A</v>
      </c>
      <c r="AF109" s="164" t="e" cm="1">
        <f t="array" ref="AF109">INDEX(_xlfn.SWITCH($B$4,"20-yr",GWP_Values_20_year_AR4,"100-yr",GWP_Values_100_year_AR4),MATCH(Table2[[#This Row],[Std Refrigerant Type]],RefrigDropdownList,0))</f>
        <v>#N/A</v>
      </c>
      <c r="AG109" s="164" t="e" cm="1">
        <f t="array" ref="AG109">INDEX(_xlfn.SWITCH($B$4,"20-yr",GWP_Values_20_year_AR4,"100-yr",GWP_Values_100_year_AR4),MATCH(Table2[[#This Row],[Msr Refrigerant Type]],RefrigDropdownList,0))</f>
        <v>#N/A</v>
      </c>
      <c r="AH109" s="165" t="e">
        <f>(Table2[[#This Row],[Pre Refrigerant charge (lbs) per NormUnit]]/pounds_per_metric_ton)*Table2[[#This Row],[Pre annual refrigerant leakage %]]*Table2[[#This Row],[Pre GWP]]</f>
        <v>#N/A</v>
      </c>
      <c r="AI109" s="165" t="e">
        <f>(Table2[[#This Row],[Std Refrigerant charge (lbs)per NormUnit]]/pounds_per_metric_ton)*Table2[[#This Row],[Std annual refrigerant leakage %]]*Table2[[#This Row],[Std GWP]]</f>
        <v>#N/A</v>
      </c>
      <c r="AJ109" s="165" t="e">
        <f>(Table2[[#This Row],[Msr Refrigerant charge (lbs)per NormUnit]]/pounds_per_metric_ton)*Table2[[#This Row],[Msr annual refrigerant leakage %]]*Table2[[#This Row],[Msr GWP]]</f>
        <v>#N/A</v>
      </c>
      <c r="AK109" s="165" t="e">
        <f>(Table2[[#This Row],[Pre Refrigerant charge (lbs) per NormUnit]]/pounds_per_metric_ton)*Table2[[#This Row],[Pre net EOL refrigerant leakage (%)]]*Table2[[#This Row],[Pre GWP]]</f>
        <v>#N/A</v>
      </c>
      <c r="AL109" s="165" t="e">
        <f>(Table2[[#This Row],[Std Refrigerant charge (lbs)per NormUnit]]/pounds_per_metric_ton)*Table2[[#This Row],[Std net EOL refrigerant leakage (%)]]*Table2[[#This Row],[Std GWP]]</f>
        <v>#N/A</v>
      </c>
      <c r="AM109" s="165" t="e">
        <f>(Table2[[#This Row],[Msr Refrigerant charge (lbs)per NormUnit]]/pounds_per_metric_ton)*Table2[[#This Row],[Msr net EOL refrigerant leakage (%)]]*Table2[[#This Row],[Msr GWP]]</f>
        <v>#N/A</v>
      </c>
      <c r="AN109" s="174" cm="1">
        <f t="array" aca="1" ref="AN109" ca="1">IF(Table2[[#This Row],[MeasAppType]]="AR",Table2[[#This Row],[Pre Annual leakage tons CO2e]]*NPV(WACC,OFFSET(const_ones,0,0,1,Table2[[#This Row],[EUL]])*OFFSET(GHG_Adder_dollar_per_tonne,0,(Table2[[#This Row],[Device installation year]])-GHG_Adder_Yr1,1,Table2[[#This Row],[EUL]]))/(1+WACC)^(Table2[[#This Row],[Device installation year]]-DY),0)</f>
        <v>0</v>
      </c>
      <c r="AO109" s="174" t="e" cm="1">
        <f t="array" aca="1" ref="AO109" ca="1">IF(Table2[[#This Row],[MeasAppType]]="AR",0,Table2[[#This Row],[Std Annual leakage tons CO2e]]*NPV(WACC,OFFSET(const_ones,0,0,1,Table2[[#This Row],[EUL]])*OFFSET(GHG_Adder_dollar_per_tonne,0,(Table2[[#This Row],[Device installation year]])-GHG_Adder_Yr1,1,Table2[[#This Row],[EUL]]))/(1+WACC)^(Table2[[#This Row],[Device installation year]]-DY))</f>
        <v>#N/A</v>
      </c>
      <c r="AP109" s="174" t="e" cm="1">
        <f t="array" aca="1" ref="AP109" ca="1">Table2[[#This Row],[Msr Annual leakage tons CO2e]]*NPV(WACC,OFFSET(const_ones,0,0,1,Table2[[#This Row],[EUL]])*OFFSET(GHG_Adder_dollar_per_tonne,0,((Table2[[#This Row],[Device installation year]])-GHG_Adder_Yr1),1,Table2[[#This Row],[EUL]]))/(1+WACC)^(Table2[[#This Row],[Device installation year]]-DY)</f>
        <v>#N/A</v>
      </c>
      <c r="AQ109" s="260" cm="1">
        <f t="array" aca="1" ref="AQ109" ca="1">IF(Table2[[#This Row],[MeasAppType]]="AR",Table2[[#This Row],[Pre EOL leakage tons CO2e]]*NPV(WACC,OFFSET(const_once,0,1-Table2[[#This Row],[EUL]],1,Table2[[#This Row],[EUL]])*OFFSET(GHG_Adder_dollar_per_tonne,0,(Table2[[#This Row],[Device installation year]])-GHG_Adder_Yr1,1,Table2[[#This Row],[EUL]]))/(1+WACC)^(Table2[[#This Row],[Device installation year]]-DY),0)</f>
        <v>0</v>
      </c>
      <c r="AR109" s="261" t="e" cm="1">
        <f t="array" aca="1" ref="AR109" ca="1">IF(Table2[[#This Row],[MeasAppType]]="AR",0,Table2[[#This Row],[Std EOL leakage tons CO2e]]*NPV(WACC,OFFSET(const_repeat_after,Table2[[#This Row],[EUL]],0,1,Table2[[#This Row],[EUL]])*OFFSET(GHG_Adder_dollar_per_tonne,0,Table2[[#This Row],[Device installation year]]-GHG_Adder_Yr1,1,Table2[[#This Row],[EUL]]))/(1+WACC)^(Table2[[#This Row],[Device installation year]]-DY))</f>
        <v>#N/A</v>
      </c>
      <c r="AS109" s="261" t="e" cm="1">
        <f t="array" aca="1" ref="AS109" ca="1">Table2[[#This Row],[Msr EOL leakage tons CO2e]]*NPV(WACC,OFFSET(const_repeat_after,Table2[[#This Row],[EUL]],0,1,Table2[[#This Row],[EUL]])*OFFSET(GHG_Adder_dollar_per_tonne,0,(Table2[[#This Row],[Device installation year]])-GHG_Adder_Yr1,1,Table2[[#This Row],[EUL]]))/(1+WACC)^(Table2[[#This Row],[Device installation year]]-DY)</f>
        <v>#N/A</v>
      </c>
      <c r="AT109" s="260">
        <f>0</f>
        <v>0</v>
      </c>
      <c r="AU109" s="174" t="e">
        <f ca="1">(Table2[[#This Row],[AR immediate NPV cost of leakage]]+Table2[[#This Row],[Msr NPV Cost of EOL Leakage]]+Table2[[#This Row],[Msr NPV Cost of Annual Leakage]])-(Table2[[#This Row],[Std NPV Cost of EOL Leakage]]+Table2[[#This Row],[Std NPV Cost of Annual Leakage]])-(Table2[[#This Row],[Pre NPV Cost of EOL Leakage]]+Table2[[#This Row],[Pre NPV Cost of Annual Leakage]])</f>
        <v>#N/A</v>
      </c>
      <c r="AV109" s="174" t="e">
        <f ca="1">Table2[[#This Row],[RefrigerantNPVCostsNet]]&gt;0</f>
        <v>#N/A</v>
      </c>
      <c r="AW109" s="174">
        <f>0</f>
        <v>0</v>
      </c>
      <c r="AX109" s="174">
        <f>0</f>
        <v>0</v>
      </c>
      <c r="AY109" s="174">
        <f>0</f>
        <v>0</v>
      </c>
      <c r="AZ109" s="174">
        <f ca="1">Table2[[#This Row],[Pre NPV Cost of Annual Leakage]]+Table2[[#This Row],[Pre NPV Cost of EOL Leakage]]</f>
        <v>0</v>
      </c>
      <c r="BA109" s="174" t="e">
        <f ca="1">Table2[[#This Row],[Std NPV Cost of Annual Leakage]]+Table2[[#This Row],[Std NPV Cost of EOL Leakage]]</f>
        <v>#N/A</v>
      </c>
      <c r="BB109" s="174" t="e">
        <f ca="1">Table2[[#This Row],[AR immediate NPV cost of leakage]]+Table2[[#This Row],[Msr NPV Cost of Annual Leakage]]+Table2[[#This Row],[Msr NPV Cost of EOL Leakage]]</f>
        <v>#N/A</v>
      </c>
      <c r="BC109" s="273" t="e">
        <f ca="1">IF(Table2[[#This Row],[Is Net Cost?]],Table2[[#This Row],[RefrigerantNPVCostsNet]],0)</f>
        <v>#N/A</v>
      </c>
      <c r="BD109" s="174" t="e">
        <f ca="1">IF(Table2[[#This Row],[Is Net Cost?]],0,-Table2[[#This Row],[RefrigerantNPVCostsNet]])</f>
        <v>#N/A</v>
      </c>
    </row>
    <row r="110" spans="1:56" x14ac:dyDescent="0.3">
      <c r="A110" t="s">
        <v>441</v>
      </c>
      <c r="E110" s="148"/>
      <c r="F110" s="134"/>
      <c r="G110" s="134"/>
      <c r="H110" s="134"/>
      <c r="I110" s="134"/>
      <c r="J110" s="144"/>
      <c r="K110" s="144"/>
      <c r="L110" s="144"/>
      <c r="M110" s="134"/>
      <c r="N110" s="134"/>
      <c r="O110" s="150"/>
      <c r="P110" s="147"/>
      <c r="Q110" s="147"/>
      <c r="R110" s="147"/>
      <c r="S110" s="147"/>
      <c r="T110" s="147"/>
      <c r="U110" s="147"/>
      <c r="V110" s="147"/>
      <c r="W110" s="147"/>
      <c r="X110" s="147"/>
      <c r="Y110" s="146"/>
      <c r="Z110" s="144"/>
      <c r="AA110" s="144"/>
      <c r="AB110" s="144"/>
      <c r="AC110" s="144"/>
      <c r="AD110" s="144"/>
      <c r="AE110" s="144"/>
      <c r="AF110" s="144"/>
      <c r="AG110" s="144"/>
      <c r="AH110" s="144"/>
      <c r="AI110" s="144"/>
      <c r="AJ110" s="144"/>
      <c r="AK110" s="144"/>
      <c r="AL110" s="144"/>
      <c r="AM110" s="144"/>
      <c r="AN110" s="145"/>
      <c r="AO110" s="145"/>
      <c r="AP110" s="145"/>
      <c r="AQ110" s="145"/>
      <c r="AR110" s="145"/>
      <c r="AS110" s="145"/>
      <c r="AT110" s="145"/>
      <c r="AU110" s="145"/>
      <c r="AV110" s="145"/>
      <c r="AW110" s="220"/>
      <c r="AX110" s="220"/>
      <c r="AY110" s="220"/>
      <c r="AZ110" s="220"/>
      <c r="BA110" s="220"/>
      <c r="BB110" s="220"/>
      <c r="BC110" s="220"/>
      <c r="BD110" s="220"/>
    </row>
  </sheetData>
  <sheetProtection algorithmName="SHA-512" hashValue="J1YoJGEbXdu+1FSgkiu32/Fihua3lHJgXf2CQUxQPOF2LgZgAhdYi0GcRzC7TOHyh0cq+aTk8ofhZEM4VcoGpA==" saltValue="TrwcvNRZRaPHLqGCuXktAA==" spinCount="100000" sheet="1" insertRows="0" sort="0" autoFilter="0"/>
  <mergeCells count="18">
    <mergeCell ref="S2:U2"/>
    <mergeCell ref="A1:B1"/>
    <mergeCell ref="G2:I2"/>
    <mergeCell ref="J2:L2"/>
    <mergeCell ref="M2:O2"/>
    <mergeCell ref="P2:R2"/>
    <mergeCell ref="BC2:BD2"/>
    <mergeCell ref="V2:X2"/>
    <mergeCell ref="Y2:AA2"/>
    <mergeCell ref="AB2:AD2"/>
    <mergeCell ref="AE2:AG2"/>
    <mergeCell ref="AH2:AJ2"/>
    <mergeCell ref="AK2:AM2"/>
    <mergeCell ref="AN2:AP2"/>
    <mergeCell ref="AQ2:AS2"/>
    <mergeCell ref="AU2:AV2"/>
    <mergeCell ref="AW2:AY2"/>
    <mergeCell ref="AZ2:BB2"/>
  </mergeCells>
  <phoneticPr fontId="41" type="noConversion"/>
  <conditionalFormatting sqref="J1:BD1048576">
    <cfRule type="expression" dxfId="126" priority="21">
      <formula>ISERROR(J1)</formula>
    </cfRule>
  </conditionalFormatting>
  <conditionalFormatting sqref="E1:E8 E10:E1048576">
    <cfRule type="expression" dxfId="125" priority="1">
      <formula>$D1=""</formula>
    </cfRule>
    <cfRule type="expression" dxfId="124" priority="2">
      <formula>$D1="NR"</formula>
    </cfRule>
    <cfRule type="expression" dxfId="123" priority="20">
      <formula>$D1="AR"</formula>
    </cfRule>
  </conditionalFormatting>
  <dataValidations count="6">
    <dataValidation type="list" allowBlank="1" showInputMessage="1" showErrorMessage="1" sqref="B2" xr:uid="{B45B6074-BE22-4A4B-8693-75E8449BC465}">
      <formula1>Dropdown_Claim_Year</formula1>
    </dataValidation>
    <dataValidation type="list" allowBlank="1" showInputMessage="1" showErrorMessage="1" sqref="B4" xr:uid="{10158F7E-2967-47D4-9C72-06569FBCA9FE}">
      <formula1>"20-yr, 100-yr"</formula1>
    </dataValidation>
    <dataValidation type="list" allowBlank="1" showInputMessage="1" showErrorMessage="1" sqref="J10:L109" xr:uid="{58F35EA5-341F-40DA-9E92-B446D32F0D45}">
      <formula1>RefrigDropdownList</formula1>
    </dataValidation>
    <dataValidation type="list" allowBlank="1" showInputMessage="1" showErrorMessage="1" sqref="G10:I109" xr:uid="{1E6D50B9-EEBB-41E8-A838-917198BDCEE4}">
      <formula1>DropdownRefrigTech</formula1>
    </dataValidation>
    <dataValidation type="whole" allowBlank="1" showInputMessage="1" showErrorMessage="1" sqref="F10:F109" xr:uid="{BC014B92-61A7-4D35-A4CD-DDF8FCF51C51}">
      <formula1>0</formula1>
      <formula2>30</formula2>
    </dataValidation>
    <dataValidation type="list" allowBlank="1" showInputMessage="1" showErrorMessage="1" sqref="D10:D109" xr:uid="{0F9A4BD4-CEBA-4DBF-BE8E-DB23EFAF2BFA}">
      <formula1>Dropdown_MAT</formula1>
    </dataValidation>
  </dataValidations>
  <pageMargins left="0.7" right="0.7" top="0.75" bottom="0.75" header="0.3" footer="0.3"/>
  <pageSetup orientation="portrait" r:id="rId1"/>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46074EB0-3B7D-4466-A0B6-FAF3690619E5}">
          <x14:formula1>
            <xm:f>WACC!$G$6:$G$9</xm:f>
          </x14:formula1>
          <xm:sqref>B5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D2B3-DA2E-4AE5-A3D6-EDF9C455AC90}">
  <sheetPr codeName="Sheet8">
    <tabColor theme="3" tint="-0.249977111117893"/>
  </sheetPr>
  <dimension ref="B2:AA78"/>
  <sheetViews>
    <sheetView workbookViewId="0">
      <selection activeCell="B6" sqref="B6"/>
    </sheetView>
  </sheetViews>
  <sheetFormatPr defaultColWidth="9.33203125" defaultRowHeight="14.4" x14ac:dyDescent="0.3"/>
  <cols>
    <col min="1" max="1" width="9.33203125" style="171"/>
    <col min="2" max="2" width="65.33203125" style="171" customWidth="1"/>
    <col min="3" max="3" width="14.33203125" style="171" customWidth="1"/>
    <col min="4" max="4" width="14.44140625" style="171" customWidth="1"/>
    <col min="5" max="5" width="60" style="171" customWidth="1"/>
    <col min="6" max="6" width="15.44140625" style="171" customWidth="1"/>
    <col min="7" max="7" width="12.5546875" style="171" bestFit="1" customWidth="1"/>
    <col min="8" max="8" width="108" style="171" bestFit="1" customWidth="1"/>
    <col min="9" max="14" width="9.33203125" style="171"/>
    <col min="15" max="15" width="10.33203125" style="171" customWidth="1"/>
    <col min="16" max="16" width="18.44140625" style="171" bestFit="1" customWidth="1"/>
    <col min="17" max="22" width="9.33203125" style="171"/>
    <col min="23" max="23" width="12.33203125" style="171" bestFit="1" customWidth="1"/>
    <col min="24" max="24" width="12.5546875" style="171" bestFit="1" customWidth="1"/>
    <col min="25" max="39" width="9.33203125" style="171"/>
    <col min="40" max="47" width="9.33203125" style="171" customWidth="1"/>
    <col min="48" max="16384" width="9.33203125" style="171"/>
  </cols>
  <sheetData>
    <row r="2" spans="2:8" ht="20.399999999999999" thickBot="1" x14ac:dyDescent="0.35">
      <c r="B2" s="204" t="s">
        <v>643</v>
      </c>
    </row>
    <row r="3" spans="2:8" ht="15" thickTop="1" x14ac:dyDescent="0.3"/>
    <row r="5" spans="2:8" ht="51" customHeight="1" x14ac:dyDescent="0.3">
      <c r="B5" s="191" t="s">
        <v>447</v>
      </c>
      <c r="C5" s="192" t="s">
        <v>470</v>
      </c>
      <c r="D5" s="192" t="s">
        <v>477</v>
      </c>
      <c r="E5" s="191" t="s">
        <v>678</v>
      </c>
      <c r="F5" s="192" t="s">
        <v>577</v>
      </c>
      <c r="G5" s="192" t="s">
        <v>437</v>
      </c>
      <c r="H5" s="192" t="s">
        <v>476</v>
      </c>
    </row>
    <row r="6" spans="2:8" ht="72" x14ac:dyDescent="0.3">
      <c r="B6" s="193" t="s">
        <v>449</v>
      </c>
      <c r="C6" s="193" t="s">
        <v>539</v>
      </c>
      <c r="D6" s="194" t="s">
        <v>540</v>
      </c>
      <c r="E6" s="8" t="s">
        <v>541</v>
      </c>
      <c r="F6" s="195">
        <f>'Refrigerant Leakage'!D22</f>
        <v>0.88200000000000001</v>
      </c>
      <c r="G6" s="167" t="s">
        <v>542</v>
      </c>
      <c r="H6" s="167" t="s">
        <v>543</v>
      </c>
    </row>
    <row r="7" spans="2:8" ht="15" customHeight="1" x14ac:dyDescent="0.3">
      <c r="B7" s="193" t="s">
        <v>448</v>
      </c>
      <c r="C7" s="193" t="s">
        <v>233</v>
      </c>
      <c r="D7" s="193"/>
      <c r="E7" s="356" t="s">
        <v>544</v>
      </c>
      <c r="F7" s="196">
        <v>3.5</v>
      </c>
      <c r="G7" s="167" t="s">
        <v>545</v>
      </c>
      <c r="H7" s="167" t="s">
        <v>546</v>
      </c>
    </row>
    <row r="8" spans="2:8" x14ac:dyDescent="0.3">
      <c r="B8" s="193" t="s">
        <v>453</v>
      </c>
      <c r="C8" s="193" t="s">
        <v>233</v>
      </c>
      <c r="D8" s="193"/>
      <c r="E8" s="356"/>
      <c r="F8" s="197">
        <f>ROUND(F7*('Refrigerant Leakage'!$D$29/'Refrigerant Leakage'!$D$30),2)</f>
        <v>3.2</v>
      </c>
      <c r="G8" s="167" t="s">
        <v>545</v>
      </c>
      <c r="H8" s="167" t="s">
        <v>547</v>
      </c>
    </row>
    <row r="9" spans="2:8" ht="15" customHeight="1" x14ac:dyDescent="0.3">
      <c r="B9" s="193" t="s">
        <v>452</v>
      </c>
      <c r="C9" s="193" t="s">
        <v>233</v>
      </c>
      <c r="D9" s="193"/>
      <c r="E9" s="356"/>
      <c r="F9" s="196">
        <f>F7</f>
        <v>3.5</v>
      </c>
      <c r="G9" s="167" t="s">
        <v>545</v>
      </c>
      <c r="H9" s="167"/>
    </row>
    <row r="10" spans="2:8" x14ac:dyDescent="0.3">
      <c r="B10" s="193" t="s">
        <v>457</v>
      </c>
      <c r="C10" s="193" t="s">
        <v>233</v>
      </c>
      <c r="D10" s="193"/>
      <c r="E10" s="356"/>
      <c r="F10" s="197">
        <f>F8</f>
        <v>3.2</v>
      </c>
      <c r="G10" s="167" t="s">
        <v>545</v>
      </c>
      <c r="H10" s="167"/>
    </row>
    <row r="11" spans="2:8" ht="15" customHeight="1" x14ac:dyDescent="0.3">
      <c r="B11" s="193" t="s">
        <v>458</v>
      </c>
      <c r="C11" s="193" t="s">
        <v>233</v>
      </c>
      <c r="D11" s="193"/>
      <c r="E11" s="356"/>
      <c r="F11" s="196">
        <f>F9</f>
        <v>3.5</v>
      </c>
      <c r="G11" s="167" t="s">
        <v>545</v>
      </c>
      <c r="H11" s="167"/>
    </row>
    <row r="12" spans="2:8" x14ac:dyDescent="0.3">
      <c r="B12" s="193" t="s">
        <v>459</v>
      </c>
      <c r="C12" s="193" t="s">
        <v>233</v>
      </c>
      <c r="D12" s="193"/>
      <c r="E12" s="356"/>
      <c r="F12" s="197">
        <f>F10</f>
        <v>3.2</v>
      </c>
      <c r="G12" s="167" t="s">
        <v>545</v>
      </c>
      <c r="H12" s="167"/>
    </row>
    <row r="13" spans="2:8" ht="28.8" x14ac:dyDescent="0.3">
      <c r="B13" s="193" t="s">
        <v>461</v>
      </c>
      <c r="C13" s="193" t="s">
        <v>233</v>
      </c>
      <c r="D13" s="193"/>
      <c r="E13" s="168" t="s">
        <v>548</v>
      </c>
      <c r="F13" s="198">
        <f>Y38</f>
        <v>5.375</v>
      </c>
      <c r="G13" s="167" t="s">
        <v>542</v>
      </c>
      <c r="H13" s="167" t="s">
        <v>549</v>
      </c>
    </row>
    <row r="14" spans="2:8" ht="47.25" customHeight="1" x14ac:dyDescent="0.3">
      <c r="B14" s="193" t="s">
        <v>462</v>
      </c>
      <c r="C14" s="167" t="s">
        <v>550</v>
      </c>
      <c r="D14" s="167" t="s">
        <v>475</v>
      </c>
      <c r="E14" s="336" t="s">
        <v>551</v>
      </c>
      <c r="F14" s="199">
        <f>'Refrigerant Leakage'!D21</f>
        <v>2.4</v>
      </c>
      <c r="G14" s="167" t="s">
        <v>542</v>
      </c>
      <c r="H14" s="167" t="s">
        <v>543</v>
      </c>
    </row>
    <row r="15" spans="2:8" ht="43.2" x14ac:dyDescent="0.3">
      <c r="B15" s="193" t="s">
        <v>468</v>
      </c>
      <c r="C15" s="167" t="s">
        <v>474</v>
      </c>
      <c r="D15" s="167"/>
      <c r="E15" s="336"/>
      <c r="F15" s="198">
        <f>R26</f>
        <v>0.19273764650506497</v>
      </c>
      <c r="G15" s="168" t="s">
        <v>552</v>
      </c>
      <c r="H15" s="200" t="s">
        <v>553</v>
      </c>
    </row>
    <row r="16" spans="2:8" ht="45" customHeight="1" x14ac:dyDescent="0.3">
      <c r="B16" s="193" t="s">
        <v>465</v>
      </c>
      <c r="C16" s="193" t="s">
        <v>554</v>
      </c>
      <c r="D16" s="193"/>
      <c r="E16" s="336"/>
      <c r="F16" s="196">
        <v>3.3</v>
      </c>
      <c r="G16" s="167" t="s">
        <v>542</v>
      </c>
      <c r="H16" s="201" t="s">
        <v>555</v>
      </c>
    </row>
    <row r="17" spans="2:27" x14ac:dyDescent="0.3">
      <c r="B17" s="167" t="s">
        <v>556</v>
      </c>
      <c r="C17" s="167" t="s">
        <v>557</v>
      </c>
      <c r="D17" s="167"/>
      <c r="E17" s="167"/>
      <c r="F17" s="196">
        <f>F7</f>
        <v>3.5</v>
      </c>
      <c r="G17" s="167" t="s">
        <v>542</v>
      </c>
      <c r="H17" s="167" t="s">
        <v>680</v>
      </c>
      <c r="N17" s="171" t="s">
        <v>558</v>
      </c>
    </row>
    <row r="19" spans="2:27" x14ac:dyDescent="0.3">
      <c r="O19" s="171" t="s">
        <v>559</v>
      </c>
      <c r="P19" s="171" t="s">
        <v>560</v>
      </c>
      <c r="Q19" s="171" t="s">
        <v>561</v>
      </c>
      <c r="R19" s="171" t="s">
        <v>562</v>
      </c>
    </row>
    <row r="20" spans="2:27" x14ac:dyDescent="0.3">
      <c r="O20" s="171" t="s">
        <v>563</v>
      </c>
      <c r="P20" s="172">
        <v>27450</v>
      </c>
      <c r="Q20" s="171">
        <v>7</v>
      </c>
      <c r="R20" s="151">
        <f>Q20/(P20/1000)</f>
        <v>0.25500910746812389</v>
      </c>
    </row>
    <row r="21" spans="2:27" x14ac:dyDescent="0.3">
      <c r="O21" s="171" t="s">
        <v>564</v>
      </c>
      <c r="P21" s="172">
        <v>63225</v>
      </c>
      <c r="Q21" s="171">
        <v>14</v>
      </c>
      <c r="R21" s="151">
        <f t="shared" ref="R21:R25" si="0">Q21/(P21/1000)</f>
        <v>0.22143139580862001</v>
      </c>
    </row>
    <row r="22" spans="2:27" x14ac:dyDescent="0.3">
      <c r="O22" s="171" t="s">
        <v>565</v>
      </c>
      <c r="P22" s="172">
        <v>110725</v>
      </c>
      <c r="Q22" s="171">
        <v>21</v>
      </c>
      <c r="R22" s="151">
        <f t="shared" si="0"/>
        <v>0.18965906525174983</v>
      </c>
    </row>
    <row r="23" spans="2:27" x14ac:dyDescent="0.3">
      <c r="O23" s="171" t="s">
        <v>566</v>
      </c>
      <c r="P23" s="172">
        <v>144275</v>
      </c>
      <c r="Q23" s="171">
        <v>25</v>
      </c>
      <c r="R23" s="151">
        <f t="shared" si="0"/>
        <v>0.17328019407381737</v>
      </c>
    </row>
    <row r="24" spans="2:27" x14ac:dyDescent="0.3">
      <c r="O24" s="171" t="s">
        <v>567</v>
      </c>
      <c r="P24" s="172">
        <v>224675</v>
      </c>
      <c r="Q24" s="171">
        <v>30</v>
      </c>
      <c r="R24" s="151">
        <f t="shared" si="0"/>
        <v>0.13352620451763658</v>
      </c>
    </row>
    <row r="25" spans="2:27" x14ac:dyDescent="0.3">
      <c r="O25" s="171" t="s">
        <v>568</v>
      </c>
      <c r="P25" s="172">
        <v>272450</v>
      </c>
      <c r="Q25" s="171">
        <v>50</v>
      </c>
      <c r="R25" s="151">
        <f t="shared" si="0"/>
        <v>0.18351991191044228</v>
      </c>
    </row>
    <row r="26" spans="2:27" x14ac:dyDescent="0.3">
      <c r="O26" s="171" t="s">
        <v>569</v>
      </c>
      <c r="R26" s="151">
        <f>AVERAGE(R20:R25)</f>
        <v>0.19273764650506497</v>
      </c>
    </row>
    <row r="31" spans="2:27" x14ac:dyDescent="0.3">
      <c r="I31" s="171" t="s">
        <v>549</v>
      </c>
    </row>
    <row r="32" spans="2:27" x14ac:dyDescent="0.3">
      <c r="AA32" s="171" t="s">
        <v>570</v>
      </c>
    </row>
    <row r="34" spans="23:25" x14ac:dyDescent="0.3">
      <c r="W34" s="171" t="s">
        <v>559</v>
      </c>
      <c r="X34" s="171" t="s">
        <v>571</v>
      </c>
      <c r="Y34" s="171" t="s">
        <v>584</v>
      </c>
    </row>
    <row r="35" spans="23:25" x14ac:dyDescent="0.3">
      <c r="W35" s="171" t="s">
        <v>572</v>
      </c>
      <c r="X35" s="172">
        <v>50000</v>
      </c>
      <c r="Y35" s="171">
        <v>3</v>
      </c>
    </row>
    <row r="36" spans="23:25" x14ac:dyDescent="0.3">
      <c r="W36" s="171" t="s">
        <v>573</v>
      </c>
      <c r="X36" s="172">
        <v>65000</v>
      </c>
      <c r="Y36" s="171">
        <f>3+(14/16)</f>
        <v>3.875</v>
      </c>
    </row>
    <row r="37" spans="23:25" x14ac:dyDescent="0.3">
      <c r="W37" s="171" t="s">
        <v>574</v>
      </c>
      <c r="X37" s="172">
        <v>85000</v>
      </c>
      <c r="Y37" s="171">
        <f>4+(2/16)</f>
        <v>4.125</v>
      </c>
    </row>
    <row r="38" spans="23:25" x14ac:dyDescent="0.3">
      <c r="W38" s="171" t="s">
        <v>575</v>
      </c>
      <c r="X38" s="172">
        <v>110000</v>
      </c>
      <c r="Y38" s="171">
        <f>5+6/16</f>
        <v>5.375</v>
      </c>
    </row>
    <row r="39" spans="23:25" x14ac:dyDescent="0.3">
      <c r="W39" s="171" t="s">
        <v>576</v>
      </c>
      <c r="X39" s="172">
        <v>140000</v>
      </c>
      <c r="Y39" s="175">
        <f>5+13.5/16</f>
        <v>5.84375</v>
      </c>
    </row>
    <row r="78" spans="9:9" x14ac:dyDescent="0.3">
      <c r="I78" s="171" t="s">
        <v>670</v>
      </c>
    </row>
  </sheetData>
  <sheetProtection algorithmName="SHA-512" hashValue="h3Nd6XnrzWgIDaM/SoegFdOKI6eTXosNYcUZKDQAuWAMZiu0Nl4TAd4mBSVDlecu8/B/RMx64o7BpL8Y6vvzrg==" saltValue="FgOwq0SVaQWh1XABxZhjBQ==" spinCount="100000" sheet="1" objects="1" scenarios="1"/>
  <mergeCells count="2">
    <mergeCell ref="E7:E12"/>
    <mergeCell ref="E14:E16"/>
  </mergeCells>
  <hyperlinks>
    <hyperlink ref="H16" r:id="rId1" xr:uid="{C9715C08-0355-421E-8F8B-C20BE97CD45E}"/>
    <hyperlink ref="H15" r:id="rId2" xr:uid="{341C392F-D8EB-49CB-AE72-CEA60A016318}"/>
  </hyperlinks>
  <pageMargins left="0.7" right="0.7" top="0.75" bottom="0.75" header="0.3" footer="0.3"/>
  <pageSetup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F1FDA-D80F-4882-A738-FDF223A3DE52}">
  <sheetPr codeName="Sheet6">
    <tabColor theme="3" tint="-0.249977111117893"/>
  </sheetPr>
  <dimension ref="B2:I27"/>
  <sheetViews>
    <sheetView topLeftCell="A3" workbookViewId="0">
      <selection activeCell="B13" sqref="B13"/>
    </sheetView>
  </sheetViews>
  <sheetFormatPr defaultRowHeight="14.4" x14ac:dyDescent="0.3"/>
  <cols>
    <col min="2" max="2" width="58.33203125" customWidth="1"/>
    <col min="3" max="3" width="9" customWidth="1"/>
    <col min="4" max="4" width="27" customWidth="1"/>
    <col min="5" max="5" width="35.33203125" customWidth="1"/>
    <col min="6" max="6" width="53.6640625" customWidth="1"/>
    <col min="7" max="7" width="25.44140625" customWidth="1"/>
    <col min="8" max="8" width="8.6640625" bestFit="1" customWidth="1"/>
    <col min="9" max="9" width="8.33203125" bestFit="1" customWidth="1"/>
  </cols>
  <sheetData>
    <row r="2" spans="2:9" ht="20.399999999999999" thickBot="1" x14ac:dyDescent="0.45">
      <c r="B2" s="205" t="s">
        <v>645</v>
      </c>
    </row>
    <row r="3" spans="2:9" ht="15" thickTop="1" x14ac:dyDescent="0.3"/>
    <row r="4" spans="2:9" x14ac:dyDescent="0.3">
      <c r="B4" s="152" t="s">
        <v>491</v>
      </c>
      <c r="C4" s="152" t="s">
        <v>473</v>
      </c>
      <c r="D4" s="152" t="s">
        <v>470</v>
      </c>
      <c r="E4" s="152" t="s">
        <v>471</v>
      </c>
      <c r="F4" s="152" t="s">
        <v>478</v>
      </c>
      <c r="G4" s="152" t="s">
        <v>472</v>
      </c>
      <c r="H4" s="152" t="s">
        <v>596</v>
      </c>
      <c r="I4" s="152" t="s">
        <v>400</v>
      </c>
    </row>
    <row r="5" spans="2:9" x14ac:dyDescent="0.3">
      <c r="B5" s="134" t="s">
        <v>449</v>
      </c>
      <c r="C5" t="s">
        <v>455</v>
      </c>
      <c r="D5" s="134" t="s">
        <v>118</v>
      </c>
      <c r="E5" s="173">
        <f>'Refrig Type Research'!$F$6</f>
        <v>0.88200000000000001</v>
      </c>
      <c r="F5" s="152" t="s">
        <v>37</v>
      </c>
      <c r="G5" s="163">
        <f>INDEX(q_ann,MATCH(Table3[[#This Row],[LeakageLookupKey]],Dropdown_Leakage_Device_Type,0))</f>
        <v>0.01</v>
      </c>
      <c r="H5" s="163">
        <f>INDEX(q_EOL,MATCH(Table3[[#This Row],[LeakageLookupKey]],Dropdown_Leakage_Device_Type,0))</f>
        <v>1</v>
      </c>
      <c r="I5" s="164">
        <f>INDEX(t_EOL,MATCH(Table3[[#This Row],[LeakageLookupKey]],Dropdown_Leakage_Device_Type,0))</f>
        <v>14</v>
      </c>
    </row>
    <row r="6" spans="2:9" x14ac:dyDescent="0.3">
      <c r="B6" s="134" t="s">
        <v>450</v>
      </c>
      <c r="C6" t="s">
        <v>456</v>
      </c>
      <c r="D6" s="134" t="s">
        <v>439</v>
      </c>
      <c r="E6" s="173">
        <v>0</v>
      </c>
      <c r="F6" s="152" t="s">
        <v>494</v>
      </c>
      <c r="G6" s="163">
        <f>INDEX(q_ann,MATCH(Table3[[#This Row],[LeakageLookupKey]],Dropdown_Leakage_Device_Type,0))</f>
        <v>0</v>
      </c>
      <c r="H6" s="163">
        <f>INDEX(q_EOL,MATCH(Table3[[#This Row],[LeakageLookupKey]],Dropdown_Leakage_Device_Type,0))</f>
        <v>0</v>
      </c>
      <c r="I6" s="164">
        <f>INDEX(t_EOL,MATCH(Table3[[#This Row],[LeakageLookupKey]],Dropdown_Leakage_Device_Type,0))</f>
        <v>0</v>
      </c>
    </row>
    <row r="7" spans="2:9" x14ac:dyDescent="0.3">
      <c r="B7" s="134" t="s">
        <v>451</v>
      </c>
      <c r="C7" t="s">
        <v>456</v>
      </c>
      <c r="D7" s="134" t="s">
        <v>439</v>
      </c>
      <c r="E7" s="173">
        <v>0</v>
      </c>
      <c r="F7" s="152" t="s">
        <v>494</v>
      </c>
      <c r="G7" s="163">
        <f>INDEX(q_ann,MATCH(Table3[[#This Row],[LeakageLookupKey]],Dropdown_Leakage_Device_Type,0))</f>
        <v>0</v>
      </c>
      <c r="H7" s="163">
        <f>INDEX(q_EOL,MATCH(Table3[[#This Row],[LeakageLookupKey]],Dropdown_Leakage_Device_Type,0))</f>
        <v>0</v>
      </c>
      <c r="I7" s="164">
        <f>INDEX(t_EOL,MATCH(Table3[[#This Row],[LeakageLookupKey]],Dropdown_Leakage_Device_Type,0))</f>
        <v>0</v>
      </c>
    </row>
    <row r="8" spans="2:9" ht="28.8" x14ac:dyDescent="0.3">
      <c r="B8" s="134" t="s">
        <v>726</v>
      </c>
      <c r="C8" t="s">
        <v>456</v>
      </c>
      <c r="D8" s="134" t="s">
        <v>233</v>
      </c>
      <c r="E8" s="173">
        <f>'Refrig Type Research'!$F$8</f>
        <v>3.2</v>
      </c>
      <c r="F8" s="152" t="s">
        <v>47</v>
      </c>
      <c r="G8" s="163">
        <f>INDEX(q_ann,MATCH(Table3[[#This Row],[LeakageLookupKey]],Dropdown_Leakage_Device_Type,0))</f>
        <v>0.02</v>
      </c>
      <c r="H8" s="163">
        <f>INDEX(q_EOL,MATCH(Table3[[#This Row],[LeakageLookupKey]],Dropdown_Leakage_Device_Type,0))</f>
        <v>0.98499999999999999</v>
      </c>
      <c r="I8" s="164">
        <f>INDEX(t_EOL,MATCH(Table3[[#This Row],[LeakageLookupKey]],Dropdown_Leakage_Device_Type,0))</f>
        <v>12</v>
      </c>
    </row>
    <row r="9" spans="2:9" x14ac:dyDescent="0.3">
      <c r="B9" s="134" t="s">
        <v>448</v>
      </c>
      <c r="C9" t="s">
        <v>455</v>
      </c>
      <c r="D9" s="134" t="s">
        <v>233</v>
      </c>
      <c r="E9" s="173">
        <f>'Refrig Type Research'!$F$7</f>
        <v>3.5</v>
      </c>
      <c r="F9" s="152" t="s">
        <v>46</v>
      </c>
      <c r="G9" s="163">
        <f>INDEX(q_ann,MATCH(Table3[[#This Row],[LeakageLookupKey]],Dropdown_Leakage_Device_Type,0))</f>
        <v>5.2999999999999999E-2</v>
      </c>
      <c r="H9" s="163">
        <f>INDEX(q_EOL,MATCH(Table3[[#This Row],[LeakageLookupKey]],Dropdown_Leakage_Device_Type,0))</f>
        <v>0.8</v>
      </c>
      <c r="I9" s="164">
        <f>INDEX(t_EOL,MATCH(Table3[[#This Row],[LeakageLookupKey]],Dropdown_Leakage_Device_Type,0))</f>
        <v>3</v>
      </c>
    </row>
    <row r="10" spans="2:9" ht="28.8" x14ac:dyDescent="0.3">
      <c r="B10" s="134" t="s">
        <v>453</v>
      </c>
      <c r="C10" t="s">
        <v>456</v>
      </c>
      <c r="D10" s="134" t="s">
        <v>233</v>
      </c>
      <c r="E10" s="173">
        <f>'Refrig Type Research'!$F$8</f>
        <v>3.2</v>
      </c>
      <c r="F10" s="152" t="s">
        <v>47</v>
      </c>
      <c r="G10" s="163">
        <f>INDEX(q_ann,MATCH(Table3[[#This Row],[LeakageLookupKey]],Dropdown_Leakage_Device_Type,0))</f>
        <v>0.02</v>
      </c>
      <c r="H10" s="163">
        <f>INDEX(q_EOL,MATCH(Table3[[#This Row],[LeakageLookupKey]],Dropdown_Leakage_Device_Type,0))</f>
        <v>0.98499999999999999</v>
      </c>
      <c r="I10" s="164">
        <f>INDEX(t_EOL,MATCH(Table3[[#This Row],[LeakageLookupKey]],Dropdown_Leakage_Device_Type,0))</f>
        <v>12</v>
      </c>
    </row>
    <row r="11" spans="2:9" x14ac:dyDescent="0.3">
      <c r="B11" s="134" t="s">
        <v>454</v>
      </c>
      <c r="C11" t="s">
        <v>456</v>
      </c>
      <c r="D11" s="134" t="s">
        <v>439</v>
      </c>
      <c r="E11" s="173">
        <v>0</v>
      </c>
      <c r="F11" s="152" t="s">
        <v>494</v>
      </c>
      <c r="G11" s="163">
        <f>INDEX(q_ann,MATCH(Table3[[#This Row],[LeakageLookupKey]],Dropdown_Leakage_Device_Type,0))</f>
        <v>0</v>
      </c>
      <c r="H11" s="163">
        <f>INDEX(q_EOL,MATCH(Table3[[#This Row],[LeakageLookupKey]],Dropdown_Leakage_Device_Type,0))</f>
        <v>0</v>
      </c>
      <c r="I11" s="164">
        <f>INDEX(t_EOL,MATCH(Table3[[#This Row],[LeakageLookupKey]],Dropdown_Leakage_Device_Type,0))</f>
        <v>0</v>
      </c>
    </row>
    <row r="12" spans="2:9" x14ac:dyDescent="0.3">
      <c r="B12" s="134" t="s">
        <v>806</v>
      </c>
      <c r="C12" t="s">
        <v>456</v>
      </c>
      <c r="D12" s="134" t="s">
        <v>439</v>
      </c>
      <c r="E12" s="173">
        <v>0</v>
      </c>
      <c r="F12" s="152" t="s">
        <v>494</v>
      </c>
      <c r="G12" s="163">
        <f>INDEX(q_ann,MATCH(Table3[[#This Row],[LeakageLookupKey]],Dropdown_Leakage_Device_Type,0))</f>
        <v>0</v>
      </c>
      <c r="H12" s="163">
        <f>INDEX(q_EOL,MATCH(Table3[[#This Row],[LeakageLookupKey]],Dropdown_Leakage_Device_Type,0))</f>
        <v>0</v>
      </c>
      <c r="I12" s="164">
        <f>INDEX(t_EOL,MATCH(Table3[[#This Row],[LeakageLookupKey]],Dropdown_Leakage_Device_Type,0))</f>
        <v>0</v>
      </c>
    </row>
    <row r="13" spans="2:9" x14ac:dyDescent="0.3">
      <c r="B13" s="134" t="s">
        <v>807</v>
      </c>
      <c r="C13" t="s">
        <v>456</v>
      </c>
      <c r="D13" s="134" t="s">
        <v>439</v>
      </c>
      <c r="E13" s="173">
        <v>0</v>
      </c>
      <c r="F13" s="152" t="s">
        <v>494</v>
      </c>
      <c r="G13" s="163">
        <f>INDEX(q_ann,MATCH(Table3[[#This Row],[LeakageLookupKey]],Dropdown_Leakage_Device_Type,0))</f>
        <v>0</v>
      </c>
      <c r="H13" s="163">
        <f>INDEX(q_EOL,MATCH(Table3[[#This Row],[LeakageLookupKey]],Dropdown_Leakage_Device_Type,0))</f>
        <v>0</v>
      </c>
      <c r="I13" s="164">
        <f>INDEX(t_EOL,MATCH(Table3[[#This Row],[LeakageLookupKey]],Dropdown_Leakage_Device_Type,0))</f>
        <v>0</v>
      </c>
    </row>
    <row r="14" spans="2:9" x14ac:dyDescent="0.3">
      <c r="B14" s="151" t="s">
        <v>452</v>
      </c>
      <c r="C14" t="s">
        <v>455</v>
      </c>
      <c r="D14" s="134" t="s">
        <v>233</v>
      </c>
      <c r="E14" s="173">
        <f>'Refrig Type Research'!$F$9</f>
        <v>3.5</v>
      </c>
      <c r="F14" s="152" t="s">
        <v>46</v>
      </c>
      <c r="G14" s="163">
        <f>INDEX(q_ann,MATCH(Table3[[#This Row],[LeakageLookupKey]],Dropdown_Leakage_Device_Type,0))</f>
        <v>5.2999999999999999E-2</v>
      </c>
      <c r="H14" s="163">
        <f>INDEX(q_EOL,MATCH(Table3[[#This Row],[LeakageLookupKey]],Dropdown_Leakage_Device_Type,0))</f>
        <v>0.8</v>
      </c>
      <c r="I14" s="164">
        <f>INDEX(t_EOL,MATCH(Table3[[#This Row],[LeakageLookupKey]],Dropdown_Leakage_Device_Type,0))</f>
        <v>3</v>
      </c>
    </row>
    <row r="15" spans="2:9" x14ac:dyDescent="0.3">
      <c r="B15" s="151" t="s">
        <v>457</v>
      </c>
      <c r="C15" t="s">
        <v>456</v>
      </c>
      <c r="D15" s="134" t="s">
        <v>233</v>
      </c>
      <c r="E15" s="173">
        <f>'Refrig Type Research'!$F$10</f>
        <v>3.2</v>
      </c>
      <c r="F15" s="152" t="s">
        <v>45</v>
      </c>
      <c r="G15" s="163">
        <f>INDEX(q_ann,MATCH(Table3[[#This Row],[LeakageLookupKey]],Dropdown_Leakage_Device_Type,0))</f>
        <v>0.05</v>
      </c>
      <c r="H15" s="163">
        <f>INDEX(q_EOL,MATCH(Table3[[#This Row],[LeakageLookupKey]],Dropdown_Leakage_Device_Type,0))</f>
        <v>0.8</v>
      </c>
      <c r="I15" s="164">
        <f>INDEX(t_EOL,MATCH(Table3[[#This Row],[LeakageLookupKey]],Dropdown_Leakage_Device_Type,0))</f>
        <v>3</v>
      </c>
    </row>
    <row r="16" spans="2:9" ht="28.8" x14ac:dyDescent="0.3">
      <c r="B16" s="151" t="s">
        <v>458</v>
      </c>
      <c r="C16" t="s">
        <v>455</v>
      </c>
      <c r="D16" s="134" t="s">
        <v>233</v>
      </c>
      <c r="E16" s="173">
        <f>'Refrig Type Research'!$F$11</f>
        <v>3.5</v>
      </c>
      <c r="F16" s="152" t="s">
        <v>43</v>
      </c>
      <c r="G16" s="163">
        <f>INDEX(q_ann,MATCH(Table3[[#This Row],[LeakageLookupKey]],Dropdown_Leakage_Device_Type,0))</f>
        <v>4.7E-2</v>
      </c>
      <c r="H16" s="163">
        <f>INDEX(q_EOL,MATCH(Table3[[#This Row],[LeakageLookupKey]],Dropdown_Leakage_Device_Type,0))</f>
        <v>0.56000000000000005</v>
      </c>
      <c r="I16" s="164">
        <f>INDEX(t_EOL,MATCH(Table3[[#This Row],[LeakageLookupKey]],Dropdown_Leakage_Device_Type,0))</f>
        <v>0</v>
      </c>
    </row>
    <row r="17" spans="2:9" ht="28.8" x14ac:dyDescent="0.3">
      <c r="B17" s="151" t="s">
        <v>459</v>
      </c>
      <c r="C17" t="s">
        <v>456</v>
      </c>
      <c r="D17" s="134" t="s">
        <v>233</v>
      </c>
      <c r="E17" s="173">
        <f>'Refrig Type Research'!$F$12</f>
        <v>3.2</v>
      </c>
      <c r="F17" s="152" t="s">
        <v>43</v>
      </c>
      <c r="G17" s="163">
        <f>INDEX(q_ann,MATCH(Table3[[#This Row],[LeakageLookupKey]],Dropdown_Leakage_Device_Type,0))</f>
        <v>4.7E-2</v>
      </c>
      <c r="H17" s="163">
        <f>INDEX(q_EOL,MATCH(Table3[[#This Row],[LeakageLookupKey]],Dropdown_Leakage_Device_Type,0))</f>
        <v>0.56000000000000005</v>
      </c>
      <c r="I17" s="164">
        <f>INDEX(t_EOL,MATCH(Table3[[#This Row],[LeakageLookupKey]],Dropdown_Leakage_Device_Type,0))</f>
        <v>0</v>
      </c>
    </row>
    <row r="18" spans="2:9" x14ac:dyDescent="0.3">
      <c r="B18" s="134" t="s">
        <v>461</v>
      </c>
      <c r="C18" t="s">
        <v>455</v>
      </c>
      <c r="D18" s="134" t="s">
        <v>233</v>
      </c>
      <c r="E18" s="173">
        <f>'Refrig Type Research'!$F$13</f>
        <v>5.375</v>
      </c>
      <c r="F18" s="152" t="s">
        <v>36</v>
      </c>
      <c r="G18" s="163">
        <f>INDEX(q_ann,MATCH(Table3[[#This Row],[LeakageLookupKey]],Dropdown_Leakage_Device_Type,0))</f>
        <v>0.01</v>
      </c>
      <c r="H18" s="163">
        <f>INDEX(q_EOL,MATCH(Table3[[#This Row],[LeakageLookupKey]],Dropdown_Leakage_Device_Type,0))</f>
        <v>1</v>
      </c>
      <c r="I18" s="164">
        <f>INDEX(t_EOL,MATCH(Table3[[#This Row],[LeakageLookupKey]],Dropdown_Leakage_Device_Type,0))</f>
        <v>14</v>
      </c>
    </row>
    <row r="19" spans="2:9" x14ac:dyDescent="0.3">
      <c r="B19" s="134" t="s">
        <v>460</v>
      </c>
      <c r="C19" t="s">
        <v>456</v>
      </c>
      <c r="D19" s="134" t="s">
        <v>439</v>
      </c>
      <c r="E19" s="173">
        <v>0</v>
      </c>
      <c r="F19" s="152" t="s">
        <v>494</v>
      </c>
      <c r="G19" s="163">
        <f>INDEX(q_ann,MATCH(Table3[[#This Row],[LeakageLookupKey]],Dropdown_Leakage_Device_Type,0))</f>
        <v>0</v>
      </c>
      <c r="H19" s="163">
        <f>INDEX(q_EOL,MATCH(Table3[[#This Row],[LeakageLookupKey]],Dropdown_Leakage_Device_Type,0))</f>
        <v>0</v>
      </c>
      <c r="I19" s="164">
        <f>INDEX(t_EOL,MATCH(Table3[[#This Row],[LeakageLookupKey]],Dropdown_Leakage_Device_Type,0))</f>
        <v>0</v>
      </c>
    </row>
    <row r="20" spans="2:9" x14ac:dyDescent="0.3">
      <c r="B20" s="134" t="s">
        <v>462</v>
      </c>
      <c r="C20" t="s">
        <v>455</v>
      </c>
      <c r="D20" t="s">
        <v>118</v>
      </c>
      <c r="E20" s="173">
        <f>'Refrig Type Research'!$F$14</f>
        <v>2.4</v>
      </c>
      <c r="F20" s="152" t="s">
        <v>36</v>
      </c>
      <c r="G20" s="163">
        <f>INDEX(q_ann,MATCH(Table3[[#This Row],[LeakageLookupKey]],Dropdown_Leakage_Device_Type,0))</f>
        <v>0.01</v>
      </c>
      <c r="H20" s="163">
        <f>INDEX(q_EOL,MATCH(Table3[[#This Row],[LeakageLookupKey]],Dropdown_Leakage_Device_Type,0))</f>
        <v>1</v>
      </c>
      <c r="I20" s="164">
        <f>INDEX(t_EOL,MATCH(Table3[[#This Row],[LeakageLookupKey]],Dropdown_Leakage_Device_Type,0))</f>
        <v>14</v>
      </c>
    </row>
    <row r="21" spans="2:9" x14ac:dyDescent="0.3">
      <c r="B21" s="134" t="s">
        <v>463</v>
      </c>
      <c r="C21" t="s">
        <v>456</v>
      </c>
      <c r="D21" s="134" t="s">
        <v>439</v>
      </c>
      <c r="E21" s="173">
        <v>0</v>
      </c>
      <c r="F21" s="152" t="s">
        <v>494</v>
      </c>
      <c r="G21" s="163">
        <f>INDEX(q_ann,MATCH(Table3[[#This Row],[LeakageLookupKey]],Dropdown_Leakage_Device_Type,0))</f>
        <v>0</v>
      </c>
      <c r="H21" s="163">
        <f>INDEX(q_EOL,MATCH(Table3[[#This Row],[LeakageLookupKey]],Dropdown_Leakage_Device_Type,0))</f>
        <v>0</v>
      </c>
      <c r="I21" s="164">
        <f>INDEX(t_EOL,MATCH(Table3[[#This Row],[LeakageLookupKey]],Dropdown_Leakage_Device_Type,0))</f>
        <v>0</v>
      </c>
    </row>
    <row r="22" spans="2:9" x14ac:dyDescent="0.3">
      <c r="B22" s="134" t="s">
        <v>464</v>
      </c>
      <c r="C22" t="s">
        <v>456</v>
      </c>
      <c r="D22" s="134" t="s">
        <v>439</v>
      </c>
      <c r="E22" s="173">
        <v>0</v>
      </c>
      <c r="F22" s="152" t="s">
        <v>494</v>
      </c>
      <c r="G22" s="163">
        <f>INDEX(q_ann,MATCH(Table3[[#This Row],[LeakageLookupKey]],Dropdown_Leakage_Device_Type,0))</f>
        <v>0</v>
      </c>
      <c r="H22" s="163">
        <f>INDEX(q_EOL,MATCH(Table3[[#This Row],[LeakageLookupKey]],Dropdown_Leakage_Device_Type,0))</f>
        <v>0</v>
      </c>
      <c r="I22" s="164">
        <f>INDEX(t_EOL,MATCH(Table3[[#This Row],[LeakageLookupKey]],Dropdown_Leakage_Device_Type,0))</f>
        <v>0</v>
      </c>
    </row>
    <row r="23" spans="2:9" x14ac:dyDescent="0.3">
      <c r="B23" s="134" t="s">
        <v>468</v>
      </c>
      <c r="C23" t="s">
        <v>455</v>
      </c>
      <c r="D23" t="s">
        <v>118</v>
      </c>
      <c r="E23" s="173">
        <f>'Refrig Type Research'!$F$15</f>
        <v>0.19273764650506497</v>
      </c>
      <c r="F23" s="152" t="s">
        <v>36</v>
      </c>
      <c r="G23" s="163">
        <f>INDEX(q_ann,MATCH(Table3[[#This Row],[LeakageLookupKey]],Dropdown_Leakage_Device_Type,0))</f>
        <v>0.01</v>
      </c>
      <c r="H23" s="163">
        <f>INDEX(q_EOL,MATCH(Table3[[#This Row],[LeakageLookupKey]],Dropdown_Leakage_Device_Type,0))</f>
        <v>1</v>
      </c>
      <c r="I23" s="164">
        <f>INDEX(t_EOL,MATCH(Table3[[#This Row],[LeakageLookupKey]],Dropdown_Leakage_Device_Type,0))</f>
        <v>14</v>
      </c>
    </row>
    <row r="24" spans="2:9" x14ac:dyDescent="0.3">
      <c r="B24" s="134" t="s">
        <v>469</v>
      </c>
      <c r="C24" t="s">
        <v>456</v>
      </c>
      <c r="D24" t="s">
        <v>118</v>
      </c>
      <c r="E24" s="173">
        <v>0</v>
      </c>
      <c r="F24" s="152" t="s">
        <v>494</v>
      </c>
      <c r="G24" s="163">
        <f>INDEX(q_ann,MATCH(Table3[[#This Row],[LeakageLookupKey]],Dropdown_Leakage_Device_Type,0))</f>
        <v>0</v>
      </c>
      <c r="H24" s="163">
        <f>INDEX(q_EOL,MATCH(Table3[[#This Row],[LeakageLookupKey]],Dropdown_Leakage_Device_Type,0))</f>
        <v>0</v>
      </c>
      <c r="I24" s="164">
        <f>INDEX(t_EOL,MATCH(Table3[[#This Row],[LeakageLookupKey]],Dropdown_Leakage_Device_Type,0))</f>
        <v>0</v>
      </c>
    </row>
    <row r="25" spans="2:9" x14ac:dyDescent="0.3">
      <c r="B25" s="134" t="s">
        <v>465</v>
      </c>
      <c r="C25" t="s">
        <v>455</v>
      </c>
      <c r="D25" t="s">
        <v>118</v>
      </c>
      <c r="E25" s="173">
        <f>'Refrig Type Research'!$F$16</f>
        <v>3.3</v>
      </c>
      <c r="F25" s="152" t="s">
        <v>36</v>
      </c>
      <c r="G25" s="163">
        <f>INDEX(q_ann,MATCH(Table3[[#This Row],[LeakageLookupKey]],Dropdown_Leakage_Device_Type,0))</f>
        <v>0.01</v>
      </c>
      <c r="H25" s="163">
        <f>INDEX(q_EOL,MATCH(Table3[[#This Row],[LeakageLookupKey]],Dropdown_Leakage_Device_Type,0))</f>
        <v>1</v>
      </c>
      <c r="I25" s="164">
        <f>INDEX(t_EOL,MATCH(Table3[[#This Row],[LeakageLookupKey]],Dropdown_Leakage_Device_Type,0))</f>
        <v>14</v>
      </c>
    </row>
    <row r="26" spans="2:9" x14ac:dyDescent="0.3">
      <c r="B26" s="134" t="s">
        <v>466</v>
      </c>
      <c r="C26" t="s">
        <v>456</v>
      </c>
      <c r="D26" s="134" t="s">
        <v>439</v>
      </c>
      <c r="E26" s="173">
        <v>0</v>
      </c>
      <c r="F26" s="152" t="s">
        <v>494</v>
      </c>
      <c r="G26" s="163">
        <f>INDEX(q_ann,MATCH(Table3[[#This Row],[LeakageLookupKey]],Dropdown_Leakage_Device_Type,0))</f>
        <v>0</v>
      </c>
      <c r="H26" s="163">
        <f>INDEX(q_EOL,MATCH(Table3[[#This Row],[LeakageLookupKey]],Dropdown_Leakage_Device_Type,0))</f>
        <v>0</v>
      </c>
      <c r="I26" s="164">
        <f>INDEX(t_EOL,MATCH(Table3[[#This Row],[LeakageLookupKey]],Dropdown_Leakage_Device_Type,0))</f>
        <v>0</v>
      </c>
    </row>
    <row r="27" spans="2:9" x14ac:dyDescent="0.3">
      <c r="B27" s="134" t="s">
        <v>467</v>
      </c>
      <c r="C27" t="s">
        <v>456</v>
      </c>
      <c r="D27" s="134" t="s">
        <v>439</v>
      </c>
      <c r="E27" s="173">
        <v>0</v>
      </c>
      <c r="F27" s="152" t="s">
        <v>494</v>
      </c>
      <c r="G27" s="163">
        <f>INDEX(q_ann,MATCH(Table3[[#This Row],[LeakageLookupKey]],Dropdown_Leakage_Device_Type,0))</f>
        <v>0</v>
      </c>
      <c r="H27" s="163">
        <f>INDEX(q_EOL,MATCH(Table3[[#This Row],[LeakageLookupKey]],Dropdown_Leakage_Device_Type,0))</f>
        <v>0</v>
      </c>
      <c r="I27" s="164">
        <f>INDEX(t_EOL,MATCH(Table3[[#This Row],[LeakageLookupKey]],Dropdown_Leakage_Device_Type,0))</f>
        <v>0</v>
      </c>
    </row>
  </sheetData>
  <sheetProtection algorithmName="SHA-512" hashValue="RnMlqHD6CBOyP7E4mMAj5qiMLT3Aq1myaTanoCroDXffyJtfx7mohsrwgFlZ7kfNkdrODCCPtg2SjKEDEYWbKA==" saltValue="MZ3dYGpG06WIF7WeL7n1Ug==" spinCount="100000" sheet="1" objects="1" scenarios="1" insertRows="0" autoFilter="0"/>
  <dataValidations count="2">
    <dataValidation type="list" allowBlank="1" showInputMessage="1" showErrorMessage="1" sqref="F5:F27" xr:uid="{D395DAAA-6B25-4871-8841-9F44FD1D0C38}">
      <formula1>Dropdown_Leakage_Device_Type</formula1>
    </dataValidation>
    <dataValidation type="list" allowBlank="1" showInputMessage="1" showErrorMessage="1" sqref="D5:D27" xr:uid="{8EAA7468-3589-4871-ABC5-6639A43D4074}">
      <formula1>RefrigDropdownList</formula1>
    </dataValidation>
  </dataValidations>
  <pageMargins left="0.7" right="0.7" top="0.75" bottom="0.75" header="0.3" footer="0.3"/>
  <ignoredErrors>
    <ignoredError sqref="E9" formula="1"/>
  </ignoredErrors>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A3970-CAC8-4740-9F0A-11C9408C394F}">
  <sheetPr codeName="Sheet3"/>
  <dimension ref="B2:BL82"/>
  <sheetViews>
    <sheetView workbookViewId="0"/>
  </sheetViews>
  <sheetFormatPr defaultRowHeight="14.4" x14ac:dyDescent="0.3"/>
  <cols>
    <col min="2" max="2" width="22" customWidth="1"/>
    <col min="3" max="3" width="11.5546875" customWidth="1"/>
    <col min="4" max="6" width="10.5546875" bestFit="1" customWidth="1"/>
    <col min="7" max="12" width="11.5546875" bestFit="1" customWidth="1"/>
  </cols>
  <sheetData>
    <row r="2" spans="2:10" x14ac:dyDescent="0.3">
      <c r="B2" s="202" t="s">
        <v>638</v>
      </c>
      <c r="C2" s="133"/>
      <c r="D2" s="133"/>
      <c r="E2" s="133"/>
      <c r="F2" s="133"/>
      <c r="G2" s="133"/>
    </row>
    <row r="4" spans="2:10" x14ac:dyDescent="0.3">
      <c r="B4" t="s">
        <v>442</v>
      </c>
      <c r="C4" s="143">
        <v>2204.62</v>
      </c>
      <c r="D4" s="143"/>
      <c r="F4" t="s">
        <v>444</v>
      </c>
      <c r="H4" t="s">
        <v>644</v>
      </c>
      <c r="J4" t="s">
        <v>735</v>
      </c>
    </row>
    <row r="5" spans="2:10" x14ac:dyDescent="0.3">
      <c r="F5">
        <v>2022</v>
      </c>
      <c r="H5" t="s">
        <v>495</v>
      </c>
      <c r="J5">
        <v>2020</v>
      </c>
    </row>
    <row r="6" spans="2:10" x14ac:dyDescent="0.3">
      <c r="F6">
        <v>2023</v>
      </c>
      <c r="H6" t="s">
        <v>445</v>
      </c>
      <c r="J6">
        <v>2021</v>
      </c>
    </row>
    <row r="7" spans="2:10" x14ac:dyDescent="0.3">
      <c r="F7">
        <v>2024</v>
      </c>
      <c r="H7" t="s">
        <v>438</v>
      </c>
      <c r="J7">
        <v>2022</v>
      </c>
    </row>
    <row r="8" spans="2:10" x14ac:dyDescent="0.3">
      <c r="F8">
        <v>2025</v>
      </c>
    </row>
    <row r="9" spans="2:10" x14ac:dyDescent="0.3">
      <c r="F9">
        <v>2026</v>
      </c>
    </row>
    <row r="10" spans="2:10" x14ac:dyDescent="0.3">
      <c r="F10">
        <v>2027</v>
      </c>
    </row>
    <row r="11" spans="2:10" x14ac:dyDescent="0.3">
      <c r="F11">
        <v>2028</v>
      </c>
    </row>
    <row r="12" spans="2:10" x14ac:dyDescent="0.3">
      <c r="F12">
        <v>2029</v>
      </c>
    </row>
    <row r="13" spans="2:10" x14ac:dyDescent="0.3">
      <c r="F13">
        <v>2030</v>
      </c>
    </row>
    <row r="14" spans="2:10" x14ac:dyDescent="0.3">
      <c r="F14">
        <v>2031</v>
      </c>
    </row>
    <row r="20" spans="2:64" x14ac:dyDescent="0.3">
      <c r="B20" t="s">
        <v>785</v>
      </c>
    </row>
    <row r="21" spans="2:64" x14ac:dyDescent="0.3">
      <c r="B21" t="s">
        <v>786</v>
      </c>
    </row>
    <row r="22" spans="2:64" x14ac:dyDescent="0.3">
      <c r="B22" t="s">
        <v>784</v>
      </c>
    </row>
    <row r="23" spans="2:64" x14ac:dyDescent="0.3">
      <c r="B23" t="s">
        <v>787</v>
      </c>
    </row>
    <row r="26" spans="2:64" x14ac:dyDescent="0.3">
      <c r="C26">
        <v>1</v>
      </c>
      <c r="D26">
        <v>2</v>
      </c>
      <c r="E26">
        <v>3</v>
      </c>
      <c r="F26">
        <v>4</v>
      </c>
      <c r="G26">
        <v>5</v>
      </c>
      <c r="H26">
        <v>6</v>
      </c>
      <c r="I26">
        <v>7</v>
      </c>
      <c r="J26">
        <v>8</v>
      </c>
      <c r="K26">
        <v>9</v>
      </c>
      <c r="L26">
        <v>10</v>
      </c>
      <c r="M26">
        <v>11</v>
      </c>
      <c r="N26">
        <v>12</v>
      </c>
      <c r="O26">
        <v>13</v>
      </c>
      <c r="P26">
        <v>14</v>
      </c>
      <c r="Q26">
        <v>15</v>
      </c>
      <c r="R26">
        <v>16</v>
      </c>
      <c r="S26">
        <v>17</v>
      </c>
      <c r="T26">
        <v>18</v>
      </c>
      <c r="U26">
        <v>19</v>
      </c>
      <c r="V26">
        <v>20</v>
      </c>
      <c r="W26">
        <v>21</v>
      </c>
      <c r="X26">
        <v>22</v>
      </c>
      <c r="Y26">
        <v>23</v>
      </c>
      <c r="Z26">
        <v>24</v>
      </c>
      <c r="AA26">
        <v>25</v>
      </c>
      <c r="AB26">
        <v>26</v>
      </c>
      <c r="AC26">
        <v>27</v>
      </c>
      <c r="AD26">
        <v>28</v>
      </c>
      <c r="AE26">
        <v>29</v>
      </c>
      <c r="AF26">
        <v>30</v>
      </c>
      <c r="AG26">
        <v>31</v>
      </c>
    </row>
    <row r="27" spans="2:64" x14ac:dyDescent="0.3">
      <c r="B27" t="s">
        <v>585</v>
      </c>
      <c r="C27" s="133">
        <v>1</v>
      </c>
      <c r="D27">
        <v>1</v>
      </c>
      <c r="E27">
        <v>1</v>
      </c>
      <c r="F27">
        <v>1</v>
      </c>
      <c r="G27">
        <v>1</v>
      </c>
      <c r="H27">
        <v>1</v>
      </c>
      <c r="I27">
        <v>1</v>
      </c>
      <c r="J27">
        <v>1</v>
      </c>
      <c r="K27">
        <v>1</v>
      </c>
      <c r="L27">
        <v>1</v>
      </c>
      <c r="M27">
        <v>1</v>
      </c>
      <c r="N27">
        <v>1</v>
      </c>
      <c r="O27">
        <v>1</v>
      </c>
      <c r="P27">
        <v>1</v>
      </c>
      <c r="Q27">
        <v>1</v>
      </c>
      <c r="R27">
        <v>1</v>
      </c>
      <c r="S27">
        <v>1</v>
      </c>
      <c r="T27">
        <v>1</v>
      </c>
      <c r="U27">
        <v>1</v>
      </c>
      <c r="V27">
        <v>1</v>
      </c>
      <c r="W27">
        <v>1</v>
      </c>
      <c r="X27">
        <v>1</v>
      </c>
      <c r="Y27">
        <v>1</v>
      </c>
      <c r="Z27">
        <v>1</v>
      </c>
      <c r="AA27">
        <v>1</v>
      </c>
      <c r="AB27">
        <v>1</v>
      </c>
      <c r="AC27">
        <v>1</v>
      </c>
      <c r="AD27">
        <v>1</v>
      </c>
      <c r="AE27">
        <v>1</v>
      </c>
      <c r="AF27">
        <v>1</v>
      </c>
      <c r="AG27">
        <v>1</v>
      </c>
    </row>
    <row r="28" spans="2:64" x14ac:dyDescent="0.3">
      <c r="B28" t="s">
        <v>586</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s="133">
        <v>1</v>
      </c>
      <c r="AI28">
        <v>1</v>
      </c>
      <c r="AJ28">
        <v>1</v>
      </c>
      <c r="AK28">
        <v>1</v>
      </c>
      <c r="AL28">
        <v>1</v>
      </c>
      <c r="AM28">
        <v>1</v>
      </c>
      <c r="AN28">
        <v>1</v>
      </c>
      <c r="AO28">
        <v>1</v>
      </c>
      <c r="AP28">
        <v>1</v>
      </c>
      <c r="AQ28">
        <v>1</v>
      </c>
      <c r="AR28">
        <v>1</v>
      </c>
      <c r="AS28">
        <v>1</v>
      </c>
      <c r="AT28">
        <v>1</v>
      </c>
      <c r="AU28">
        <v>1</v>
      </c>
      <c r="AV28">
        <v>1</v>
      </c>
      <c r="AW28">
        <v>1</v>
      </c>
      <c r="AX28">
        <v>1</v>
      </c>
      <c r="AY28">
        <v>1</v>
      </c>
      <c r="AZ28">
        <v>1</v>
      </c>
      <c r="BA28">
        <v>1</v>
      </c>
      <c r="BB28">
        <v>1</v>
      </c>
      <c r="BC28">
        <v>1</v>
      </c>
      <c r="BD28">
        <v>1</v>
      </c>
      <c r="BE28">
        <v>1</v>
      </c>
      <c r="BF28">
        <v>1</v>
      </c>
      <c r="BG28">
        <v>1</v>
      </c>
      <c r="BH28">
        <v>1</v>
      </c>
      <c r="BI28">
        <v>1</v>
      </c>
      <c r="BJ28">
        <v>1</v>
      </c>
      <c r="BK28">
        <v>1</v>
      </c>
      <c r="BL28">
        <v>1</v>
      </c>
    </row>
    <row r="29" spans="2:64" x14ac:dyDescent="0.3">
      <c r="AH29" t="s">
        <v>640</v>
      </c>
    </row>
    <row r="30" spans="2:64" x14ac:dyDescent="0.3">
      <c r="B30" t="s">
        <v>610</v>
      </c>
      <c r="D30" s="166" t="s">
        <v>616</v>
      </c>
    </row>
    <row r="31" spans="2:64" x14ac:dyDescent="0.3">
      <c r="D31" s="166" t="s">
        <v>617</v>
      </c>
    </row>
    <row r="32" spans="2:64" x14ac:dyDescent="0.3">
      <c r="B32" t="s">
        <v>618</v>
      </c>
      <c r="D32" s="166" t="s">
        <v>619</v>
      </c>
    </row>
    <row r="33" spans="2:64" x14ac:dyDescent="0.3">
      <c r="C33" s="134"/>
      <c r="D33" s="166" t="str">
        <f ca="1">_xlfn.ARRAYTOTEXT(OFFSET(const_later, 0, - 5, 1, 10),1)</f>
        <v>{0,0,0,0,0,1,1,1,1,1}</v>
      </c>
      <c r="E33" s="134"/>
      <c r="F33" s="134"/>
      <c r="G33" s="134"/>
      <c r="H33" s="134"/>
      <c r="I33" s="134"/>
      <c r="J33" s="134"/>
      <c r="K33" s="134"/>
      <c r="L33" s="134"/>
    </row>
    <row r="34" spans="2:64" x14ac:dyDescent="0.3">
      <c r="B34" s="170"/>
      <c r="C34" s="170"/>
      <c r="D34" s="170"/>
    </row>
    <row r="35" spans="2:64" x14ac:dyDescent="0.3">
      <c r="B35" t="s">
        <v>664</v>
      </c>
    </row>
    <row r="36" spans="2:64" x14ac:dyDescent="0.3">
      <c r="B36" s="183">
        <v>0</v>
      </c>
      <c r="C36" cm="1">
        <f t="array" aca="1" ref="C36:L36" ca="1">OFFSET(const_later,0,-B36,1,10)</f>
        <v>1</v>
      </c>
      <c r="D36">
        <f ca="1"/>
        <v>1</v>
      </c>
      <c r="E36">
        <f ca="1"/>
        <v>1</v>
      </c>
      <c r="F36">
        <f ca="1"/>
        <v>1</v>
      </c>
      <c r="G36">
        <f ca="1"/>
        <v>1</v>
      </c>
      <c r="H36">
        <f ca="1"/>
        <v>1</v>
      </c>
      <c r="I36">
        <f ca="1"/>
        <v>1</v>
      </c>
      <c r="J36">
        <f ca="1"/>
        <v>1</v>
      </c>
      <c r="K36">
        <f ca="1"/>
        <v>1</v>
      </c>
      <c r="L36">
        <f ca="1"/>
        <v>1</v>
      </c>
    </row>
    <row r="37" spans="2:64" x14ac:dyDescent="0.3">
      <c r="B37" s="184">
        <v>1</v>
      </c>
      <c r="C37" cm="1">
        <f t="array" aca="1" ref="C37:L37" ca="1">OFFSET(const_later,0,-B37,1,10)</f>
        <v>0</v>
      </c>
      <c r="D37">
        <f ca="1"/>
        <v>1</v>
      </c>
      <c r="E37">
        <f ca="1"/>
        <v>1</v>
      </c>
      <c r="F37">
        <f ca="1"/>
        <v>1</v>
      </c>
      <c r="G37">
        <f ca="1"/>
        <v>1</v>
      </c>
      <c r="H37">
        <f ca="1"/>
        <v>1</v>
      </c>
      <c r="I37">
        <f ca="1"/>
        <v>1</v>
      </c>
      <c r="J37">
        <f ca="1"/>
        <v>1</v>
      </c>
      <c r="K37">
        <f ca="1"/>
        <v>1</v>
      </c>
      <c r="L37">
        <f ca="1"/>
        <v>1</v>
      </c>
    </row>
    <row r="38" spans="2:64" x14ac:dyDescent="0.3">
      <c r="B38" s="184">
        <v>2</v>
      </c>
      <c r="C38" cm="1">
        <f t="array" aca="1" ref="C38:L38" ca="1">OFFSET(const_later,0,-B38,1,10)</f>
        <v>0</v>
      </c>
      <c r="D38">
        <f ca="1"/>
        <v>0</v>
      </c>
      <c r="E38">
        <f ca="1"/>
        <v>1</v>
      </c>
      <c r="F38">
        <f ca="1"/>
        <v>1</v>
      </c>
      <c r="G38">
        <f ca="1"/>
        <v>1</v>
      </c>
      <c r="H38">
        <f ca="1"/>
        <v>1</v>
      </c>
      <c r="I38">
        <f ca="1"/>
        <v>1</v>
      </c>
      <c r="J38">
        <f ca="1"/>
        <v>1</v>
      </c>
      <c r="K38">
        <f ca="1"/>
        <v>1</v>
      </c>
      <c r="L38">
        <f ca="1"/>
        <v>1</v>
      </c>
    </row>
    <row r="39" spans="2:64" x14ac:dyDescent="0.3">
      <c r="B39" s="184">
        <v>3</v>
      </c>
      <c r="C39" cm="1">
        <f t="array" aca="1" ref="C39:L39" ca="1">OFFSET(const_later,0,-B39,1,10)</f>
        <v>0</v>
      </c>
      <c r="D39">
        <f ca="1"/>
        <v>0</v>
      </c>
      <c r="E39">
        <f ca="1"/>
        <v>0</v>
      </c>
      <c r="F39">
        <f ca="1"/>
        <v>1</v>
      </c>
      <c r="G39">
        <f ca="1"/>
        <v>1</v>
      </c>
      <c r="H39">
        <f ca="1"/>
        <v>1</v>
      </c>
      <c r="I39">
        <f ca="1"/>
        <v>1</v>
      </c>
      <c r="J39">
        <f ca="1"/>
        <v>1</v>
      </c>
      <c r="K39">
        <f ca="1"/>
        <v>1</v>
      </c>
      <c r="L39">
        <f ca="1"/>
        <v>1</v>
      </c>
    </row>
    <row r="40" spans="2:64" x14ac:dyDescent="0.3">
      <c r="B40" s="184">
        <v>4</v>
      </c>
      <c r="C40" cm="1">
        <f t="array" aca="1" ref="C40:L40" ca="1">OFFSET(const_later,0,-B40,1,10)</f>
        <v>0</v>
      </c>
      <c r="D40">
        <f ca="1"/>
        <v>0</v>
      </c>
      <c r="E40">
        <f ca="1"/>
        <v>0</v>
      </c>
      <c r="F40">
        <f ca="1"/>
        <v>0</v>
      </c>
      <c r="G40">
        <f ca="1"/>
        <v>1</v>
      </c>
      <c r="H40">
        <f ca="1"/>
        <v>1</v>
      </c>
      <c r="I40">
        <f ca="1"/>
        <v>1</v>
      </c>
      <c r="J40">
        <f ca="1"/>
        <v>1</v>
      </c>
      <c r="K40">
        <f ca="1"/>
        <v>1</v>
      </c>
      <c r="L40">
        <f ca="1"/>
        <v>1</v>
      </c>
    </row>
    <row r="41" spans="2:64" x14ac:dyDescent="0.3">
      <c r="B41" s="184">
        <v>5</v>
      </c>
      <c r="C41" cm="1">
        <f t="array" aca="1" ref="C41:L41" ca="1">OFFSET(const_later,0,-B41,1,10)</f>
        <v>0</v>
      </c>
      <c r="D41">
        <f ca="1"/>
        <v>0</v>
      </c>
      <c r="E41">
        <f ca="1"/>
        <v>0</v>
      </c>
      <c r="F41">
        <f ca="1"/>
        <v>0</v>
      </c>
      <c r="G41">
        <f ca="1"/>
        <v>0</v>
      </c>
      <c r="H41">
        <f ca="1"/>
        <v>1</v>
      </c>
      <c r="I41">
        <f ca="1"/>
        <v>1</v>
      </c>
      <c r="J41">
        <f ca="1"/>
        <v>1</v>
      </c>
      <c r="K41">
        <f ca="1"/>
        <v>1</v>
      </c>
      <c r="L41">
        <f ca="1"/>
        <v>1</v>
      </c>
    </row>
    <row r="42" spans="2:64" x14ac:dyDescent="0.3">
      <c r="B42" s="184">
        <v>6</v>
      </c>
      <c r="C42" cm="1">
        <f t="array" aca="1" ref="C42:L42" ca="1">OFFSET(const_later,0,-B42,1,10)</f>
        <v>0</v>
      </c>
      <c r="D42">
        <f ca="1"/>
        <v>0</v>
      </c>
      <c r="E42">
        <f ca="1"/>
        <v>0</v>
      </c>
      <c r="F42">
        <f ca="1"/>
        <v>0</v>
      </c>
      <c r="G42">
        <f ca="1"/>
        <v>0</v>
      </c>
      <c r="H42">
        <f ca="1"/>
        <v>0</v>
      </c>
      <c r="I42">
        <f ca="1"/>
        <v>1</v>
      </c>
      <c r="J42">
        <f ca="1"/>
        <v>1</v>
      </c>
      <c r="K42">
        <f ca="1"/>
        <v>1</v>
      </c>
      <c r="L42">
        <f ca="1"/>
        <v>1</v>
      </c>
    </row>
    <row r="43" spans="2:64" x14ac:dyDescent="0.3">
      <c r="B43" s="185">
        <v>7</v>
      </c>
    </row>
    <row r="45" spans="2:64" x14ac:dyDescent="0.3">
      <c r="B45" t="s">
        <v>663</v>
      </c>
      <c r="C45">
        <v>0</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s="133">
        <v>1</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row>
    <row r="46" spans="2:64" x14ac:dyDescent="0.3">
      <c r="AH46" s="133"/>
    </row>
    <row r="47" spans="2:64" x14ac:dyDescent="0.3">
      <c r="B47" t="s">
        <v>676</v>
      </c>
      <c r="AH47" s="133"/>
    </row>
    <row r="48" spans="2:64" x14ac:dyDescent="0.3">
      <c r="B48">
        <v>0</v>
      </c>
      <c r="C48" cm="1">
        <f t="array" aca="1" ref="C48:L48" ca="1">OFFSET(const_once,0,-B48,1,10)</f>
        <v>1</v>
      </c>
      <c r="D48">
        <f ca="1"/>
        <v>0</v>
      </c>
      <c r="E48">
        <f ca="1"/>
        <v>0</v>
      </c>
      <c r="F48">
        <f ca="1"/>
        <v>0</v>
      </c>
      <c r="G48">
        <f ca="1"/>
        <v>0</v>
      </c>
      <c r="H48">
        <f ca="1"/>
        <v>0</v>
      </c>
      <c r="I48">
        <f ca="1"/>
        <v>0</v>
      </c>
      <c r="J48">
        <f ca="1"/>
        <v>0</v>
      </c>
      <c r="K48">
        <f ca="1"/>
        <v>0</v>
      </c>
      <c r="L48">
        <f ca="1"/>
        <v>0</v>
      </c>
      <c r="AH48" s="133"/>
    </row>
    <row r="49" spans="2:43" x14ac:dyDescent="0.3">
      <c r="B49">
        <v>1</v>
      </c>
      <c r="C49" cm="1">
        <f t="array" aca="1" ref="C49:L49" ca="1">OFFSET(const_once,0,-B49,1,10)</f>
        <v>0</v>
      </c>
      <c r="D49">
        <f ca="1"/>
        <v>1</v>
      </c>
      <c r="E49">
        <f ca="1"/>
        <v>0</v>
      </c>
      <c r="F49">
        <f ca="1"/>
        <v>0</v>
      </c>
      <c r="G49">
        <f ca="1"/>
        <v>0</v>
      </c>
      <c r="H49">
        <f ca="1"/>
        <v>0</v>
      </c>
      <c r="I49">
        <f ca="1"/>
        <v>0</v>
      </c>
      <c r="J49">
        <f ca="1"/>
        <v>0</v>
      </c>
      <c r="K49">
        <f ca="1"/>
        <v>0</v>
      </c>
      <c r="L49">
        <f ca="1"/>
        <v>0</v>
      </c>
      <c r="AH49" s="133"/>
    </row>
    <row r="50" spans="2:43" x14ac:dyDescent="0.3">
      <c r="B50">
        <v>2</v>
      </c>
      <c r="C50" cm="1">
        <f t="array" aca="1" ref="C50:L50" ca="1">OFFSET(const_once,0,-B50,1,10)</f>
        <v>0</v>
      </c>
      <c r="D50">
        <f ca="1"/>
        <v>0</v>
      </c>
      <c r="E50">
        <f ca="1"/>
        <v>1</v>
      </c>
      <c r="F50">
        <f ca="1"/>
        <v>0</v>
      </c>
      <c r="G50">
        <f ca="1"/>
        <v>0</v>
      </c>
      <c r="H50">
        <f ca="1"/>
        <v>0</v>
      </c>
      <c r="I50">
        <f ca="1"/>
        <v>0</v>
      </c>
      <c r="J50">
        <f ca="1"/>
        <v>0</v>
      </c>
      <c r="K50">
        <f ca="1"/>
        <v>0</v>
      </c>
      <c r="L50">
        <f ca="1"/>
        <v>0</v>
      </c>
      <c r="AH50" s="133"/>
    </row>
    <row r="51" spans="2:43" x14ac:dyDescent="0.3">
      <c r="B51">
        <v>3</v>
      </c>
      <c r="C51" cm="1">
        <f t="array" aca="1" ref="C51:L51" ca="1">OFFSET(const_once,0,-B51,1,10)</f>
        <v>0</v>
      </c>
      <c r="D51">
        <f ca="1"/>
        <v>0</v>
      </c>
      <c r="E51">
        <f ca="1"/>
        <v>0</v>
      </c>
      <c r="F51">
        <f ca="1"/>
        <v>1</v>
      </c>
      <c r="G51">
        <f ca="1"/>
        <v>0</v>
      </c>
      <c r="H51">
        <f ca="1"/>
        <v>0</v>
      </c>
      <c r="I51">
        <f ca="1"/>
        <v>0</v>
      </c>
      <c r="J51">
        <f ca="1"/>
        <v>0</v>
      </c>
      <c r="K51">
        <f ca="1"/>
        <v>0</v>
      </c>
      <c r="L51">
        <f ca="1"/>
        <v>0</v>
      </c>
      <c r="AH51" s="133"/>
    </row>
    <row r="52" spans="2:43" x14ac:dyDescent="0.3">
      <c r="B52">
        <v>4</v>
      </c>
      <c r="C52" cm="1">
        <f t="array" aca="1" ref="C52:L52" ca="1">OFFSET(const_once,0,-B52,1,10)</f>
        <v>0</v>
      </c>
      <c r="D52">
        <f ca="1"/>
        <v>0</v>
      </c>
      <c r="E52">
        <f ca="1"/>
        <v>0</v>
      </c>
      <c r="F52">
        <f ca="1"/>
        <v>0</v>
      </c>
      <c r="G52">
        <f ca="1"/>
        <v>1</v>
      </c>
      <c r="H52">
        <f ca="1"/>
        <v>0</v>
      </c>
      <c r="I52">
        <f ca="1"/>
        <v>0</v>
      </c>
      <c r="J52">
        <f ca="1"/>
        <v>0</v>
      </c>
      <c r="K52">
        <f ca="1"/>
        <v>0</v>
      </c>
      <c r="L52">
        <f ca="1"/>
        <v>0</v>
      </c>
      <c r="AH52" t="s">
        <v>640</v>
      </c>
    </row>
    <row r="54" spans="2:43" x14ac:dyDescent="0.3">
      <c r="B54" t="s">
        <v>609</v>
      </c>
      <c r="M54" s="153" t="s">
        <v>639</v>
      </c>
    </row>
    <row r="55" spans="2:43" x14ac:dyDescent="0.3">
      <c r="B55">
        <v>0</v>
      </c>
      <c r="M55" s="133" t="e" cm="1">
        <f t="array" ref="M55:AQ55">1*(MOD($C$26:$AG$26,B55)=0)</f>
        <v>#DIV/0!</v>
      </c>
      <c r="N55" t="e">
        <v>#DIV/0!</v>
      </c>
      <c r="O55" t="e">
        <v>#DIV/0!</v>
      </c>
      <c r="P55" t="e">
        <v>#DIV/0!</v>
      </c>
      <c r="Q55" t="e">
        <v>#DIV/0!</v>
      </c>
      <c r="R55" t="e">
        <v>#DIV/0!</v>
      </c>
      <c r="S55" t="e">
        <v>#DIV/0!</v>
      </c>
      <c r="T55" t="e">
        <v>#DIV/0!</v>
      </c>
      <c r="U55" t="e">
        <v>#DIV/0!</v>
      </c>
      <c r="V55" t="e">
        <v>#DIV/0!</v>
      </c>
      <c r="W55" t="e">
        <v>#DIV/0!</v>
      </c>
      <c r="X55" t="e">
        <v>#DIV/0!</v>
      </c>
      <c r="Y55" t="e">
        <v>#DIV/0!</v>
      </c>
      <c r="Z55" t="e">
        <v>#DIV/0!</v>
      </c>
      <c r="AA55" t="e">
        <v>#DIV/0!</v>
      </c>
      <c r="AB55" t="e">
        <v>#DIV/0!</v>
      </c>
      <c r="AC55" t="e">
        <v>#DIV/0!</v>
      </c>
      <c r="AD55" t="e">
        <v>#DIV/0!</v>
      </c>
      <c r="AE55" t="e">
        <v>#DIV/0!</v>
      </c>
      <c r="AF55" t="e">
        <v>#DIV/0!</v>
      </c>
      <c r="AG55" t="e">
        <v>#DIV/0!</v>
      </c>
      <c r="AH55" t="e">
        <v>#DIV/0!</v>
      </c>
      <c r="AI55" t="e">
        <v>#DIV/0!</v>
      </c>
      <c r="AJ55" t="e">
        <v>#DIV/0!</v>
      </c>
      <c r="AK55" t="e">
        <v>#DIV/0!</v>
      </c>
      <c r="AL55" t="e">
        <v>#DIV/0!</v>
      </c>
      <c r="AM55" t="e">
        <v>#DIV/0!</v>
      </c>
      <c r="AN55" t="e">
        <v>#DIV/0!</v>
      </c>
      <c r="AO55" t="e">
        <v>#DIV/0!</v>
      </c>
      <c r="AP55" t="e">
        <v>#DIV/0!</v>
      </c>
      <c r="AQ55" t="e">
        <v>#DIV/0!</v>
      </c>
    </row>
    <row r="56" spans="2:43" x14ac:dyDescent="0.3">
      <c r="B56">
        <v>1</v>
      </c>
      <c r="C56">
        <v>0</v>
      </c>
      <c r="D56">
        <v>0</v>
      </c>
      <c r="E56">
        <v>0</v>
      </c>
      <c r="F56">
        <v>0</v>
      </c>
      <c r="G56">
        <v>0</v>
      </c>
      <c r="H56">
        <v>0</v>
      </c>
      <c r="I56">
        <v>0</v>
      </c>
      <c r="J56">
        <v>0</v>
      </c>
      <c r="K56">
        <v>0</v>
      </c>
      <c r="L56">
        <v>0</v>
      </c>
      <c r="M56" cm="1">
        <f t="array" ref="M56:AQ56">1*(MOD($C$26:$AG$26,B56)=0)</f>
        <v>1</v>
      </c>
      <c r="N56">
        <v>1</v>
      </c>
      <c r="O56">
        <v>1</v>
      </c>
      <c r="P56">
        <v>1</v>
      </c>
      <c r="Q56">
        <v>1</v>
      </c>
      <c r="R56">
        <v>1</v>
      </c>
      <c r="S56">
        <v>1</v>
      </c>
      <c r="T56">
        <v>1</v>
      </c>
      <c r="U56">
        <v>1</v>
      </c>
      <c r="V56">
        <v>1</v>
      </c>
      <c r="W56">
        <v>1</v>
      </c>
      <c r="X56">
        <v>1</v>
      </c>
      <c r="Y56">
        <v>1</v>
      </c>
      <c r="Z56">
        <v>1</v>
      </c>
      <c r="AA56">
        <v>1</v>
      </c>
      <c r="AB56">
        <v>1</v>
      </c>
      <c r="AC56">
        <v>1</v>
      </c>
      <c r="AD56">
        <v>1</v>
      </c>
      <c r="AE56">
        <v>1</v>
      </c>
      <c r="AF56">
        <v>1</v>
      </c>
      <c r="AG56">
        <v>1</v>
      </c>
      <c r="AH56">
        <v>1</v>
      </c>
      <c r="AI56">
        <v>1</v>
      </c>
      <c r="AJ56">
        <v>1</v>
      </c>
      <c r="AK56">
        <v>1</v>
      </c>
      <c r="AL56">
        <v>1</v>
      </c>
      <c r="AM56">
        <v>1</v>
      </c>
      <c r="AN56">
        <v>1</v>
      </c>
      <c r="AO56">
        <v>1</v>
      </c>
      <c r="AP56">
        <v>1</v>
      </c>
      <c r="AQ56">
        <v>1</v>
      </c>
    </row>
    <row r="57" spans="2:43" x14ac:dyDescent="0.3">
      <c r="B57">
        <v>2</v>
      </c>
      <c r="C57">
        <v>0</v>
      </c>
      <c r="D57">
        <v>0</v>
      </c>
      <c r="E57">
        <v>0</v>
      </c>
      <c r="F57">
        <v>0</v>
      </c>
      <c r="G57">
        <v>0</v>
      </c>
      <c r="H57">
        <v>0</v>
      </c>
      <c r="I57">
        <v>0</v>
      </c>
      <c r="J57">
        <v>0</v>
      </c>
      <c r="K57">
        <v>0</v>
      </c>
      <c r="L57">
        <v>0</v>
      </c>
      <c r="M57" cm="1">
        <f t="array" ref="M57:AQ57">1*(MOD($C$26:$AG$26,B57)=0)</f>
        <v>0</v>
      </c>
      <c r="N57">
        <v>1</v>
      </c>
      <c r="O57">
        <v>0</v>
      </c>
      <c r="P57">
        <v>1</v>
      </c>
      <c r="Q57">
        <v>0</v>
      </c>
      <c r="R57">
        <v>1</v>
      </c>
      <c r="S57">
        <v>0</v>
      </c>
      <c r="T57">
        <v>1</v>
      </c>
      <c r="U57">
        <v>0</v>
      </c>
      <c r="V57">
        <v>1</v>
      </c>
      <c r="W57">
        <v>0</v>
      </c>
      <c r="X57">
        <v>1</v>
      </c>
      <c r="Y57">
        <v>0</v>
      </c>
      <c r="Z57">
        <v>1</v>
      </c>
      <c r="AA57">
        <v>0</v>
      </c>
      <c r="AB57">
        <v>1</v>
      </c>
      <c r="AC57">
        <v>0</v>
      </c>
      <c r="AD57">
        <v>1</v>
      </c>
      <c r="AE57">
        <v>0</v>
      </c>
      <c r="AF57">
        <v>1</v>
      </c>
      <c r="AG57">
        <v>0</v>
      </c>
      <c r="AH57">
        <v>1</v>
      </c>
      <c r="AI57">
        <v>0</v>
      </c>
      <c r="AJ57">
        <v>1</v>
      </c>
      <c r="AK57">
        <v>0</v>
      </c>
      <c r="AL57">
        <v>1</v>
      </c>
      <c r="AM57">
        <v>0</v>
      </c>
      <c r="AN57">
        <v>1</v>
      </c>
      <c r="AO57">
        <v>0</v>
      </c>
      <c r="AP57">
        <v>1</v>
      </c>
      <c r="AQ57">
        <v>0</v>
      </c>
    </row>
    <row r="58" spans="2:43" x14ac:dyDescent="0.3">
      <c r="B58">
        <v>3</v>
      </c>
      <c r="C58">
        <v>0</v>
      </c>
      <c r="D58">
        <v>0</v>
      </c>
      <c r="E58">
        <v>0</v>
      </c>
      <c r="F58">
        <v>0</v>
      </c>
      <c r="G58">
        <v>0</v>
      </c>
      <c r="H58">
        <v>0</v>
      </c>
      <c r="I58">
        <v>0</v>
      </c>
      <c r="J58">
        <v>0</v>
      </c>
      <c r="K58">
        <v>0</v>
      </c>
      <c r="L58">
        <v>0</v>
      </c>
      <c r="M58" cm="1">
        <f t="array" ref="M58:AQ58">1*(MOD($C$26:$AG$26,B58)=0)</f>
        <v>0</v>
      </c>
      <c r="N58">
        <v>0</v>
      </c>
      <c r="O58">
        <v>1</v>
      </c>
      <c r="P58">
        <v>0</v>
      </c>
      <c r="Q58">
        <v>0</v>
      </c>
      <c r="R58">
        <v>1</v>
      </c>
      <c r="S58">
        <v>0</v>
      </c>
      <c r="T58">
        <v>0</v>
      </c>
      <c r="U58">
        <v>1</v>
      </c>
      <c r="V58">
        <v>0</v>
      </c>
      <c r="W58">
        <v>0</v>
      </c>
      <c r="X58">
        <v>1</v>
      </c>
      <c r="Y58">
        <v>0</v>
      </c>
      <c r="Z58">
        <v>0</v>
      </c>
      <c r="AA58">
        <v>1</v>
      </c>
      <c r="AB58">
        <v>0</v>
      </c>
      <c r="AC58">
        <v>0</v>
      </c>
      <c r="AD58">
        <v>1</v>
      </c>
      <c r="AE58">
        <v>0</v>
      </c>
      <c r="AF58">
        <v>0</v>
      </c>
      <c r="AG58">
        <v>1</v>
      </c>
      <c r="AH58">
        <v>0</v>
      </c>
      <c r="AI58">
        <v>0</v>
      </c>
      <c r="AJ58">
        <v>1</v>
      </c>
      <c r="AK58">
        <v>0</v>
      </c>
      <c r="AL58">
        <v>0</v>
      </c>
      <c r="AM58">
        <v>1</v>
      </c>
      <c r="AN58">
        <v>0</v>
      </c>
      <c r="AO58">
        <v>0</v>
      </c>
      <c r="AP58">
        <v>1</v>
      </c>
      <c r="AQ58">
        <v>0</v>
      </c>
    </row>
    <row r="59" spans="2:43" x14ac:dyDescent="0.3">
      <c r="B59">
        <v>4</v>
      </c>
      <c r="C59">
        <v>0</v>
      </c>
      <c r="D59">
        <v>0</v>
      </c>
      <c r="E59">
        <v>0</v>
      </c>
      <c r="F59">
        <v>0</v>
      </c>
      <c r="G59">
        <v>0</v>
      </c>
      <c r="H59">
        <v>0</v>
      </c>
      <c r="I59">
        <v>0</v>
      </c>
      <c r="J59">
        <v>0</v>
      </c>
      <c r="K59">
        <v>0</v>
      </c>
      <c r="L59">
        <v>0</v>
      </c>
      <c r="M59" cm="1">
        <f t="array" ref="M59:AQ59">1*(MOD($C$26:$AG$26,B59)=0)</f>
        <v>0</v>
      </c>
      <c r="N59">
        <v>0</v>
      </c>
      <c r="O59">
        <v>0</v>
      </c>
      <c r="P59">
        <v>1</v>
      </c>
      <c r="Q59">
        <v>0</v>
      </c>
      <c r="R59">
        <v>0</v>
      </c>
      <c r="S59">
        <v>0</v>
      </c>
      <c r="T59">
        <v>1</v>
      </c>
      <c r="U59">
        <v>0</v>
      </c>
      <c r="V59">
        <v>0</v>
      </c>
      <c r="W59">
        <v>0</v>
      </c>
      <c r="X59">
        <v>1</v>
      </c>
      <c r="Y59">
        <v>0</v>
      </c>
      <c r="Z59">
        <v>0</v>
      </c>
      <c r="AA59">
        <v>0</v>
      </c>
      <c r="AB59">
        <v>1</v>
      </c>
      <c r="AC59">
        <v>0</v>
      </c>
      <c r="AD59">
        <v>0</v>
      </c>
      <c r="AE59">
        <v>0</v>
      </c>
      <c r="AF59">
        <v>1</v>
      </c>
      <c r="AG59">
        <v>0</v>
      </c>
      <c r="AH59">
        <v>0</v>
      </c>
      <c r="AI59">
        <v>0</v>
      </c>
      <c r="AJ59">
        <v>1</v>
      </c>
      <c r="AK59">
        <v>0</v>
      </c>
      <c r="AL59">
        <v>0</v>
      </c>
      <c r="AM59">
        <v>0</v>
      </c>
      <c r="AN59">
        <v>1</v>
      </c>
      <c r="AO59">
        <v>0</v>
      </c>
      <c r="AP59">
        <v>0</v>
      </c>
      <c r="AQ59">
        <v>0</v>
      </c>
    </row>
    <row r="60" spans="2:43" x14ac:dyDescent="0.3">
      <c r="B60">
        <v>5</v>
      </c>
      <c r="C60">
        <v>0</v>
      </c>
      <c r="D60">
        <v>0</v>
      </c>
      <c r="E60">
        <v>0</v>
      </c>
      <c r="F60">
        <v>0</v>
      </c>
      <c r="G60">
        <v>0</v>
      </c>
      <c r="H60">
        <v>0</v>
      </c>
      <c r="I60">
        <v>0</v>
      </c>
      <c r="J60">
        <v>0</v>
      </c>
      <c r="K60">
        <v>0</v>
      </c>
      <c r="L60">
        <v>0</v>
      </c>
      <c r="M60" cm="1">
        <f t="array" ref="M60:AQ60">1*(MOD($C$26:$AG$26,B60)=0)</f>
        <v>0</v>
      </c>
      <c r="N60">
        <v>0</v>
      </c>
      <c r="O60">
        <v>0</v>
      </c>
      <c r="P60">
        <v>0</v>
      </c>
      <c r="Q60">
        <v>1</v>
      </c>
      <c r="R60">
        <v>0</v>
      </c>
      <c r="S60">
        <v>0</v>
      </c>
      <c r="T60">
        <v>0</v>
      </c>
      <c r="U60">
        <v>0</v>
      </c>
      <c r="V60">
        <v>1</v>
      </c>
      <c r="W60">
        <v>0</v>
      </c>
      <c r="X60">
        <v>0</v>
      </c>
      <c r="Y60">
        <v>0</v>
      </c>
      <c r="Z60">
        <v>0</v>
      </c>
      <c r="AA60">
        <v>1</v>
      </c>
      <c r="AB60">
        <v>0</v>
      </c>
      <c r="AC60">
        <v>0</v>
      </c>
      <c r="AD60">
        <v>0</v>
      </c>
      <c r="AE60">
        <v>0</v>
      </c>
      <c r="AF60">
        <v>1</v>
      </c>
      <c r="AG60">
        <v>0</v>
      </c>
      <c r="AH60">
        <v>0</v>
      </c>
      <c r="AI60">
        <v>0</v>
      </c>
      <c r="AJ60">
        <v>0</v>
      </c>
      <c r="AK60">
        <v>1</v>
      </c>
      <c r="AL60">
        <v>0</v>
      </c>
      <c r="AM60">
        <v>0</v>
      </c>
      <c r="AN60">
        <v>0</v>
      </c>
      <c r="AO60">
        <v>0</v>
      </c>
      <c r="AP60">
        <v>1</v>
      </c>
      <c r="AQ60">
        <v>0</v>
      </c>
    </row>
    <row r="61" spans="2:43" x14ac:dyDescent="0.3">
      <c r="B61">
        <v>6</v>
      </c>
      <c r="C61">
        <v>0</v>
      </c>
      <c r="D61">
        <v>0</v>
      </c>
      <c r="E61">
        <v>0</v>
      </c>
      <c r="F61">
        <v>0</v>
      </c>
      <c r="G61">
        <v>0</v>
      </c>
      <c r="H61">
        <v>0</v>
      </c>
      <c r="I61">
        <v>0</v>
      </c>
      <c r="J61">
        <v>0</v>
      </c>
      <c r="K61">
        <v>0</v>
      </c>
      <c r="L61">
        <v>0</v>
      </c>
      <c r="M61" cm="1">
        <f t="array" ref="M61:AQ61">1*(MOD($C$26:$AG$26,B61)=0)</f>
        <v>0</v>
      </c>
      <c r="N61">
        <v>0</v>
      </c>
      <c r="O61">
        <v>0</v>
      </c>
      <c r="P61">
        <v>0</v>
      </c>
      <c r="Q61">
        <v>0</v>
      </c>
      <c r="R61">
        <v>1</v>
      </c>
      <c r="S61">
        <v>0</v>
      </c>
      <c r="T61">
        <v>0</v>
      </c>
      <c r="U61">
        <v>0</v>
      </c>
      <c r="V61">
        <v>0</v>
      </c>
      <c r="W61">
        <v>0</v>
      </c>
      <c r="X61">
        <v>1</v>
      </c>
      <c r="Y61">
        <v>0</v>
      </c>
      <c r="Z61">
        <v>0</v>
      </c>
      <c r="AA61">
        <v>0</v>
      </c>
      <c r="AB61">
        <v>0</v>
      </c>
      <c r="AC61">
        <v>0</v>
      </c>
      <c r="AD61">
        <v>1</v>
      </c>
      <c r="AE61">
        <v>0</v>
      </c>
      <c r="AF61">
        <v>0</v>
      </c>
      <c r="AG61">
        <v>0</v>
      </c>
      <c r="AH61">
        <v>0</v>
      </c>
      <c r="AI61">
        <v>0</v>
      </c>
      <c r="AJ61">
        <v>1</v>
      </c>
      <c r="AK61">
        <v>0</v>
      </c>
      <c r="AL61">
        <v>0</v>
      </c>
      <c r="AM61">
        <v>0</v>
      </c>
      <c r="AN61">
        <v>0</v>
      </c>
      <c r="AO61">
        <v>0</v>
      </c>
      <c r="AP61">
        <v>1</v>
      </c>
      <c r="AQ61">
        <v>0</v>
      </c>
    </row>
    <row r="62" spans="2:43" x14ac:dyDescent="0.3">
      <c r="B62">
        <v>7</v>
      </c>
      <c r="C62">
        <v>0</v>
      </c>
      <c r="D62">
        <v>0</v>
      </c>
      <c r="E62">
        <v>0</v>
      </c>
      <c r="F62">
        <v>0</v>
      </c>
      <c r="G62">
        <v>0</v>
      </c>
      <c r="H62">
        <v>0</v>
      </c>
      <c r="I62">
        <v>0</v>
      </c>
      <c r="J62">
        <v>0</v>
      </c>
      <c r="K62">
        <v>0</v>
      </c>
      <c r="L62">
        <v>0</v>
      </c>
      <c r="M62" cm="1">
        <f t="array" ref="M62:AQ62">1*(MOD($C$26:$AG$26,B62)=0)</f>
        <v>0</v>
      </c>
      <c r="N62">
        <v>0</v>
      </c>
      <c r="O62">
        <v>0</v>
      </c>
      <c r="P62">
        <v>0</v>
      </c>
      <c r="Q62">
        <v>0</v>
      </c>
      <c r="R62">
        <v>0</v>
      </c>
      <c r="S62">
        <v>1</v>
      </c>
      <c r="T62">
        <v>0</v>
      </c>
      <c r="U62">
        <v>0</v>
      </c>
      <c r="V62">
        <v>0</v>
      </c>
      <c r="W62">
        <v>0</v>
      </c>
      <c r="X62">
        <v>0</v>
      </c>
      <c r="Y62">
        <v>0</v>
      </c>
      <c r="Z62">
        <v>1</v>
      </c>
      <c r="AA62">
        <v>0</v>
      </c>
      <c r="AB62">
        <v>0</v>
      </c>
      <c r="AC62">
        <v>0</v>
      </c>
      <c r="AD62">
        <v>0</v>
      </c>
      <c r="AE62">
        <v>0</v>
      </c>
      <c r="AF62">
        <v>0</v>
      </c>
      <c r="AG62">
        <v>1</v>
      </c>
      <c r="AH62">
        <v>0</v>
      </c>
      <c r="AI62">
        <v>0</v>
      </c>
      <c r="AJ62">
        <v>0</v>
      </c>
      <c r="AK62">
        <v>0</v>
      </c>
      <c r="AL62">
        <v>0</v>
      </c>
      <c r="AM62">
        <v>0</v>
      </c>
      <c r="AN62">
        <v>1</v>
      </c>
      <c r="AO62">
        <v>0</v>
      </c>
      <c r="AP62">
        <v>0</v>
      </c>
      <c r="AQ62">
        <v>0</v>
      </c>
    </row>
    <row r="63" spans="2:43" x14ac:dyDescent="0.3">
      <c r="B63">
        <v>8</v>
      </c>
      <c r="C63">
        <v>0</v>
      </c>
      <c r="D63">
        <v>0</v>
      </c>
      <c r="E63">
        <v>0</v>
      </c>
      <c r="F63">
        <v>0</v>
      </c>
      <c r="G63">
        <v>0</v>
      </c>
      <c r="H63">
        <v>0</v>
      </c>
      <c r="I63">
        <v>0</v>
      </c>
      <c r="J63">
        <v>0</v>
      </c>
      <c r="K63">
        <v>0</v>
      </c>
      <c r="L63">
        <v>0</v>
      </c>
      <c r="M63" cm="1">
        <f t="array" ref="M63:AQ63">1*(MOD($C$26:$AG$26,B63)=0)</f>
        <v>0</v>
      </c>
      <c r="N63">
        <v>0</v>
      </c>
      <c r="O63">
        <v>0</v>
      </c>
      <c r="P63">
        <v>0</v>
      </c>
      <c r="Q63">
        <v>0</v>
      </c>
      <c r="R63">
        <v>0</v>
      </c>
      <c r="S63">
        <v>0</v>
      </c>
      <c r="T63">
        <v>1</v>
      </c>
      <c r="U63">
        <v>0</v>
      </c>
      <c r="V63">
        <v>0</v>
      </c>
      <c r="W63">
        <v>0</v>
      </c>
      <c r="X63">
        <v>0</v>
      </c>
      <c r="Y63">
        <v>0</v>
      </c>
      <c r="Z63">
        <v>0</v>
      </c>
      <c r="AA63">
        <v>0</v>
      </c>
      <c r="AB63">
        <v>1</v>
      </c>
      <c r="AC63">
        <v>0</v>
      </c>
      <c r="AD63">
        <v>0</v>
      </c>
      <c r="AE63">
        <v>0</v>
      </c>
      <c r="AF63">
        <v>0</v>
      </c>
      <c r="AG63">
        <v>0</v>
      </c>
      <c r="AH63">
        <v>0</v>
      </c>
      <c r="AI63">
        <v>0</v>
      </c>
      <c r="AJ63">
        <v>1</v>
      </c>
      <c r="AK63">
        <v>0</v>
      </c>
      <c r="AL63">
        <v>0</v>
      </c>
      <c r="AM63">
        <v>0</v>
      </c>
      <c r="AN63">
        <v>0</v>
      </c>
      <c r="AO63">
        <v>0</v>
      </c>
      <c r="AP63">
        <v>0</v>
      </c>
      <c r="AQ63">
        <v>0</v>
      </c>
    </row>
    <row r="64" spans="2:43" x14ac:dyDescent="0.3">
      <c r="B64">
        <v>9</v>
      </c>
      <c r="C64">
        <v>0</v>
      </c>
      <c r="D64">
        <v>0</v>
      </c>
      <c r="E64">
        <v>0</v>
      </c>
      <c r="F64">
        <v>0</v>
      </c>
      <c r="G64">
        <v>0</v>
      </c>
      <c r="H64">
        <v>0</v>
      </c>
      <c r="I64">
        <v>0</v>
      </c>
      <c r="J64">
        <v>0</v>
      </c>
      <c r="K64">
        <v>0</v>
      </c>
      <c r="L64">
        <v>0</v>
      </c>
      <c r="M64" cm="1">
        <f t="array" ref="M64:AQ64">1*(MOD($C$26:$AG$26,B64)=0)</f>
        <v>0</v>
      </c>
      <c r="N64">
        <v>0</v>
      </c>
      <c r="O64">
        <v>0</v>
      </c>
      <c r="P64">
        <v>0</v>
      </c>
      <c r="Q64">
        <v>0</v>
      </c>
      <c r="R64">
        <v>0</v>
      </c>
      <c r="S64">
        <v>0</v>
      </c>
      <c r="T64">
        <v>0</v>
      </c>
      <c r="U64">
        <v>1</v>
      </c>
      <c r="V64">
        <v>0</v>
      </c>
      <c r="W64">
        <v>0</v>
      </c>
      <c r="X64">
        <v>0</v>
      </c>
      <c r="Y64">
        <v>0</v>
      </c>
      <c r="Z64">
        <v>0</v>
      </c>
      <c r="AA64">
        <v>0</v>
      </c>
      <c r="AB64">
        <v>0</v>
      </c>
      <c r="AC64">
        <v>0</v>
      </c>
      <c r="AD64">
        <v>1</v>
      </c>
      <c r="AE64">
        <v>0</v>
      </c>
      <c r="AF64">
        <v>0</v>
      </c>
      <c r="AG64">
        <v>0</v>
      </c>
      <c r="AH64">
        <v>0</v>
      </c>
      <c r="AI64">
        <v>0</v>
      </c>
      <c r="AJ64">
        <v>0</v>
      </c>
      <c r="AK64">
        <v>0</v>
      </c>
      <c r="AL64">
        <v>0</v>
      </c>
      <c r="AM64">
        <v>1</v>
      </c>
      <c r="AN64">
        <v>0</v>
      </c>
      <c r="AO64">
        <v>0</v>
      </c>
      <c r="AP64">
        <v>0</v>
      </c>
      <c r="AQ64">
        <v>0</v>
      </c>
    </row>
    <row r="65" spans="2:43" x14ac:dyDescent="0.3">
      <c r="B65">
        <v>10</v>
      </c>
      <c r="C65">
        <v>0</v>
      </c>
      <c r="D65">
        <v>0</v>
      </c>
      <c r="E65">
        <v>0</v>
      </c>
      <c r="F65">
        <v>0</v>
      </c>
      <c r="G65">
        <v>0</v>
      </c>
      <c r="H65">
        <v>0</v>
      </c>
      <c r="I65">
        <v>0</v>
      </c>
      <c r="J65">
        <v>0</v>
      </c>
      <c r="K65">
        <v>0</v>
      </c>
      <c r="L65">
        <v>0</v>
      </c>
      <c r="M65" cm="1">
        <f t="array" ref="M65:AQ65">1*(MOD($C$26:$AG$26,B65)=0)</f>
        <v>0</v>
      </c>
      <c r="N65">
        <v>0</v>
      </c>
      <c r="O65">
        <v>0</v>
      </c>
      <c r="P65">
        <v>0</v>
      </c>
      <c r="Q65">
        <v>0</v>
      </c>
      <c r="R65">
        <v>0</v>
      </c>
      <c r="S65">
        <v>0</v>
      </c>
      <c r="T65">
        <v>0</v>
      </c>
      <c r="U65">
        <v>0</v>
      </c>
      <c r="V65">
        <v>1</v>
      </c>
      <c r="W65">
        <v>0</v>
      </c>
      <c r="X65">
        <v>0</v>
      </c>
      <c r="Y65">
        <v>0</v>
      </c>
      <c r="Z65">
        <v>0</v>
      </c>
      <c r="AA65">
        <v>0</v>
      </c>
      <c r="AB65">
        <v>0</v>
      </c>
      <c r="AC65">
        <v>0</v>
      </c>
      <c r="AD65">
        <v>0</v>
      </c>
      <c r="AE65">
        <v>0</v>
      </c>
      <c r="AF65">
        <v>1</v>
      </c>
      <c r="AG65">
        <v>0</v>
      </c>
      <c r="AH65">
        <v>0</v>
      </c>
      <c r="AI65">
        <v>0</v>
      </c>
      <c r="AJ65">
        <v>0</v>
      </c>
      <c r="AK65">
        <v>0</v>
      </c>
      <c r="AL65">
        <v>0</v>
      </c>
      <c r="AM65">
        <v>0</v>
      </c>
      <c r="AN65">
        <v>0</v>
      </c>
      <c r="AO65">
        <v>0</v>
      </c>
      <c r="AP65">
        <v>1</v>
      </c>
      <c r="AQ65">
        <v>0</v>
      </c>
    </row>
    <row r="66" spans="2:43" x14ac:dyDescent="0.3">
      <c r="B66">
        <v>11</v>
      </c>
      <c r="C66">
        <v>0</v>
      </c>
      <c r="D66">
        <v>0</v>
      </c>
      <c r="E66">
        <v>0</v>
      </c>
      <c r="F66">
        <v>0</v>
      </c>
      <c r="G66">
        <v>0</v>
      </c>
      <c r="H66">
        <v>0</v>
      </c>
      <c r="I66">
        <v>0</v>
      </c>
      <c r="J66">
        <v>0</v>
      </c>
      <c r="K66">
        <v>0</v>
      </c>
      <c r="L66">
        <v>0</v>
      </c>
      <c r="M66" cm="1">
        <f t="array" ref="M66:AQ66">1*(MOD($C$26:$AG$26,B66)=0)</f>
        <v>0</v>
      </c>
      <c r="N66">
        <v>0</v>
      </c>
      <c r="O66">
        <v>0</v>
      </c>
      <c r="P66">
        <v>0</v>
      </c>
      <c r="Q66">
        <v>0</v>
      </c>
      <c r="R66">
        <v>0</v>
      </c>
      <c r="S66">
        <v>0</v>
      </c>
      <c r="T66">
        <v>0</v>
      </c>
      <c r="U66">
        <v>0</v>
      </c>
      <c r="V66">
        <v>0</v>
      </c>
      <c r="W66">
        <v>1</v>
      </c>
      <c r="X66">
        <v>0</v>
      </c>
      <c r="Y66">
        <v>0</v>
      </c>
      <c r="Z66">
        <v>0</v>
      </c>
      <c r="AA66">
        <v>0</v>
      </c>
      <c r="AB66">
        <v>0</v>
      </c>
      <c r="AC66">
        <v>0</v>
      </c>
      <c r="AD66">
        <v>0</v>
      </c>
      <c r="AE66">
        <v>0</v>
      </c>
      <c r="AF66">
        <v>0</v>
      </c>
      <c r="AG66">
        <v>0</v>
      </c>
      <c r="AH66">
        <v>1</v>
      </c>
      <c r="AI66">
        <v>0</v>
      </c>
      <c r="AJ66">
        <v>0</v>
      </c>
      <c r="AK66">
        <v>0</v>
      </c>
      <c r="AL66">
        <v>0</v>
      </c>
      <c r="AM66">
        <v>0</v>
      </c>
      <c r="AN66">
        <v>0</v>
      </c>
      <c r="AO66">
        <v>0</v>
      </c>
      <c r="AP66">
        <v>0</v>
      </c>
      <c r="AQ66">
        <v>0</v>
      </c>
    </row>
    <row r="67" spans="2:43" x14ac:dyDescent="0.3">
      <c r="B67">
        <v>12</v>
      </c>
      <c r="C67">
        <v>0</v>
      </c>
      <c r="D67">
        <v>0</v>
      </c>
      <c r="E67">
        <v>0</v>
      </c>
      <c r="F67">
        <v>0</v>
      </c>
      <c r="G67">
        <v>0</v>
      </c>
      <c r="H67">
        <v>0</v>
      </c>
      <c r="I67">
        <v>0</v>
      </c>
      <c r="J67">
        <v>0</v>
      </c>
      <c r="K67">
        <v>0</v>
      </c>
      <c r="L67">
        <v>0</v>
      </c>
      <c r="M67" cm="1">
        <f t="array" ref="M67:AQ67">1*(MOD($C$26:$AG$26,B67)=0)</f>
        <v>0</v>
      </c>
      <c r="N67">
        <v>0</v>
      </c>
      <c r="O67">
        <v>0</v>
      </c>
      <c r="P67">
        <v>0</v>
      </c>
      <c r="Q67">
        <v>0</v>
      </c>
      <c r="R67">
        <v>0</v>
      </c>
      <c r="S67">
        <v>0</v>
      </c>
      <c r="T67">
        <v>0</v>
      </c>
      <c r="U67">
        <v>0</v>
      </c>
      <c r="V67">
        <v>0</v>
      </c>
      <c r="W67">
        <v>0</v>
      </c>
      <c r="X67">
        <v>1</v>
      </c>
      <c r="Y67">
        <v>0</v>
      </c>
      <c r="Z67">
        <v>0</v>
      </c>
      <c r="AA67">
        <v>0</v>
      </c>
      <c r="AB67">
        <v>0</v>
      </c>
      <c r="AC67">
        <v>0</v>
      </c>
      <c r="AD67">
        <v>0</v>
      </c>
      <c r="AE67">
        <v>0</v>
      </c>
      <c r="AF67">
        <v>0</v>
      </c>
      <c r="AG67">
        <v>0</v>
      </c>
      <c r="AH67">
        <v>0</v>
      </c>
      <c r="AI67">
        <v>0</v>
      </c>
      <c r="AJ67">
        <v>1</v>
      </c>
      <c r="AK67">
        <v>0</v>
      </c>
      <c r="AL67">
        <v>0</v>
      </c>
      <c r="AM67">
        <v>0</v>
      </c>
      <c r="AN67">
        <v>0</v>
      </c>
      <c r="AO67">
        <v>0</v>
      </c>
      <c r="AP67">
        <v>0</v>
      </c>
      <c r="AQ67">
        <v>0</v>
      </c>
    </row>
    <row r="68" spans="2:43" x14ac:dyDescent="0.3">
      <c r="B68">
        <v>13</v>
      </c>
      <c r="C68">
        <v>0</v>
      </c>
      <c r="D68">
        <v>0</v>
      </c>
      <c r="E68">
        <v>0</v>
      </c>
      <c r="F68">
        <v>0</v>
      </c>
      <c r="G68">
        <v>0</v>
      </c>
      <c r="H68">
        <v>0</v>
      </c>
      <c r="I68">
        <v>0</v>
      </c>
      <c r="J68">
        <v>0</v>
      </c>
      <c r="K68">
        <v>0</v>
      </c>
      <c r="L68">
        <v>0</v>
      </c>
      <c r="M68" cm="1">
        <f t="array" ref="M68:AQ68">1*(MOD($C$26:$AG$26,B68)=0)</f>
        <v>0</v>
      </c>
      <c r="N68">
        <v>0</v>
      </c>
      <c r="O68">
        <v>0</v>
      </c>
      <c r="P68">
        <v>0</v>
      </c>
      <c r="Q68">
        <v>0</v>
      </c>
      <c r="R68">
        <v>0</v>
      </c>
      <c r="S68">
        <v>0</v>
      </c>
      <c r="T68">
        <v>0</v>
      </c>
      <c r="U68">
        <v>0</v>
      </c>
      <c r="V68">
        <v>0</v>
      </c>
      <c r="W68">
        <v>0</v>
      </c>
      <c r="X68">
        <v>0</v>
      </c>
      <c r="Y68">
        <v>1</v>
      </c>
      <c r="Z68">
        <v>0</v>
      </c>
      <c r="AA68">
        <v>0</v>
      </c>
      <c r="AB68">
        <v>0</v>
      </c>
      <c r="AC68">
        <v>0</v>
      </c>
      <c r="AD68">
        <v>0</v>
      </c>
      <c r="AE68">
        <v>0</v>
      </c>
      <c r="AF68">
        <v>0</v>
      </c>
      <c r="AG68">
        <v>0</v>
      </c>
      <c r="AH68">
        <v>0</v>
      </c>
      <c r="AI68">
        <v>0</v>
      </c>
      <c r="AJ68">
        <v>0</v>
      </c>
      <c r="AK68">
        <v>0</v>
      </c>
      <c r="AL68">
        <v>1</v>
      </c>
      <c r="AM68">
        <v>0</v>
      </c>
      <c r="AN68">
        <v>0</v>
      </c>
      <c r="AO68">
        <v>0</v>
      </c>
      <c r="AP68">
        <v>0</v>
      </c>
      <c r="AQ68">
        <v>0</v>
      </c>
    </row>
    <row r="69" spans="2:43" x14ac:dyDescent="0.3">
      <c r="B69">
        <v>14</v>
      </c>
      <c r="C69">
        <v>0</v>
      </c>
      <c r="D69">
        <v>0</v>
      </c>
      <c r="E69">
        <v>0</v>
      </c>
      <c r="F69">
        <v>0</v>
      </c>
      <c r="G69">
        <v>0</v>
      </c>
      <c r="H69">
        <v>0</v>
      </c>
      <c r="I69">
        <v>0</v>
      </c>
      <c r="J69">
        <v>0</v>
      </c>
      <c r="K69">
        <v>0</v>
      </c>
      <c r="L69">
        <v>0</v>
      </c>
      <c r="M69" cm="1">
        <f t="array" ref="M69:AQ69">1*(MOD($C$26:$AG$26,B69)=0)</f>
        <v>0</v>
      </c>
      <c r="N69">
        <v>0</v>
      </c>
      <c r="O69">
        <v>0</v>
      </c>
      <c r="P69">
        <v>0</v>
      </c>
      <c r="Q69">
        <v>0</v>
      </c>
      <c r="R69">
        <v>0</v>
      </c>
      <c r="S69">
        <v>0</v>
      </c>
      <c r="T69">
        <v>0</v>
      </c>
      <c r="U69">
        <v>0</v>
      </c>
      <c r="V69">
        <v>0</v>
      </c>
      <c r="W69">
        <v>0</v>
      </c>
      <c r="X69">
        <v>0</v>
      </c>
      <c r="Y69">
        <v>0</v>
      </c>
      <c r="Z69">
        <v>1</v>
      </c>
      <c r="AA69">
        <v>0</v>
      </c>
      <c r="AB69">
        <v>0</v>
      </c>
      <c r="AC69">
        <v>0</v>
      </c>
      <c r="AD69">
        <v>0</v>
      </c>
      <c r="AE69">
        <v>0</v>
      </c>
      <c r="AF69">
        <v>0</v>
      </c>
      <c r="AG69">
        <v>0</v>
      </c>
      <c r="AH69">
        <v>0</v>
      </c>
      <c r="AI69">
        <v>0</v>
      </c>
      <c r="AJ69">
        <v>0</v>
      </c>
      <c r="AK69">
        <v>0</v>
      </c>
      <c r="AL69">
        <v>0</v>
      </c>
      <c r="AM69">
        <v>0</v>
      </c>
      <c r="AN69">
        <v>1</v>
      </c>
      <c r="AO69">
        <v>0</v>
      </c>
      <c r="AP69">
        <v>0</v>
      </c>
      <c r="AQ69">
        <v>0</v>
      </c>
    </row>
    <row r="70" spans="2:43" x14ac:dyDescent="0.3">
      <c r="B70">
        <v>15</v>
      </c>
      <c r="C70">
        <v>0</v>
      </c>
      <c r="D70">
        <v>0</v>
      </c>
      <c r="E70">
        <v>0</v>
      </c>
      <c r="F70">
        <v>0</v>
      </c>
      <c r="G70">
        <v>0</v>
      </c>
      <c r="H70">
        <v>0</v>
      </c>
      <c r="I70">
        <v>0</v>
      </c>
      <c r="J70">
        <v>0</v>
      </c>
      <c r="K70">
        <v>0</v>
      </c>
      <c r="L70">
        <v>0</v>
      </c>
      <c r="M70" cm="1">
        <f t="array" ref="M70:AQ70">1*(MOD($C$26:$AG$26,B70)=0)</f>
        <v>0</v>
      </c>
      <c r="N70">
        <v>0</v>
      </c>
      <c r="O70">
        <v>0</v>
      </c>
      <c r="P70">
        <v>0</v>
      </c>
      <c r="Q70">
        <v>0</v>
      </c>
      <c r="R70">
        <v>0</v>
      </c>
      <c r="S70">
        <v>0</v>
      </c>
      <c r="T70">
        <v>0</v>
      </c>
      <c r="U70">
        <v>0</v>
      </c>
      <c r="V70">
        <v>0</v>
      </c>
      <c r="W70">
        <v>0</v>
      </c>
      <c r="X70">
        <v>0</v>
      </c>
      <c r="Y70">
        <v>0</v>
      </c>
      <c r="Z70">
        <v>0</v>
      </c>
      <c r="AA70">
        <v>1</v>
      </c>
      <c r="AB70">
        <v>0</v>
      </c>
      <c r="AC70">
        <v>0</v>
      </c>
      <c r="AD70">
        <v>0</v>
      </c>
      <c r="AE70">
        <v>0</v>
      </c>
      <c r="AF70">
        <v>0</v>
      </c>
      <c r="AG70">
        <v>0</v>
      </c>
      <c r="AH70">
        <v>0</v>
      </c>
      <c r="AI70">
        <v>0</v>
      </c>
      <c r="AJ70">
        <v>0</v>
      </c>
      <c r="AK70">
        <v>0</v>
      </c>
      <c r="AL70">
        <v>0</v>
      </c>
      <c r="AM70">
        <v>0</v>
      </c>
      <c r="AN70">
        <v>0</v>
      </c>
      <c r="AO70">
        <v>0</v>
      </c>
      <c r="AP70">
        <v>1</v>
      </c>
      <c r="AQ70">
        <v>0</v>
      </c>
    </row>
    <row r="71" spans="2:43" x14ac:dyDescent="0.3">
      <c r="B71">
        <v>16</v>
      </c>
      <c r="C71">
        <v>0</v>
      </c>
      <c r="D71">
        <v>0</v>
      </c>
      <c r="E71">
        <v>0</v>
      </c>
      <c r="F71">
        <v>0</v>
      </c>
      <c r="G71">
        <v>0</v>
      </c>
      <c r="H71">
        <v>0</v>
      </c>
      <c r="I71">
        <v>0</v>
      </c>
      <c r="J71">
        <v>0</v>
      </c>
      <c r="K71">
        <v>0</v>
      </c>
      <c r="L71">
        <v>0</v>
      </c>
      <c r="M71" cm="1">
        <f t="array" ref="M71:AQ71">1*(MOD($C$26:$AG$26,B71)=0)</f>
        <v>0</v>
      </c>
      <c r="N71">
        <v>0</v>
      </c>
      <c r="O71">
        <v>0</v>
      </c>
      <c r="P71">
        <v>0</v>
      </c>
      <c r="Q71">
        <v>0</v>
      </c>
      <c r="R71">
        <v>0</v>
      </c>
      <c r="S71">
        <v>0</v>
      </c>
      <c r="T71">
        <v>0</v>
      </c>
      <c r="U71">
        <v>0</v>
      </c>
      <c r="V71">
        <v>0</v>
      </c>
      <c r="W71">
        <v>0</v>
      </c>
      <c r="X71">
        <v>0</v>
      </c>
      <c r="Y71">
        <v>0</v>
      </c>
      <c r="Z71">
        <v>0</v>
      </c>
      <c r="AA71">
        <v>0</v>
      </c>
      <c r="AB71">
        <v>1</v>
      </c>
      <c r="AC71">
        <v>0</v>
      </c>
      <c r="AD71">
        <v>0</v>
      </c>
      <c r="AE71">
        <v>0</v>
      </c>
      <c r="AF71">
        <v>0</v>
      </c>
      <c r="AG71">
        <v>0</v>
      </c>
      <c r="AH71">
        <v>0</v>
      </c>
      <c r="AI71">
        <v>0</v>
      </c>
      <c r="AJ71">
        <v>0</v>
      </c>
      <c r="AK71">
        <v>0</v>
      </c>
      <c r="AL71">
        <v>0</v>
      </c>
      <c r="AM71">
        <v>0</v>
      </c>
      <c r="AN71">
        <v>0</v>
      </c>
      <c r="AO71">
        <v>0</v>
      </c>
      <c r="AP71">
        <v>0</v>
      </c>
      <c r="AQ71">
        <v>0</v>
      </c>
    </row>
    <row r="72" spans="2:43" x14ac:dyDescent="0.3">
      <c r="B72">
        <v>17</v>
      </c>
      <c r="C72">
        <v>0</v>
      </c>
      <c r="D72">
        <v>0</v>
      </c>
      <c r="E72">
        <v>0</v>
      </c>
      <c r="F72">
        <v>0</v>
      </c>
      <c r="G72">
        <v>0</v>
      </c>
      <c r="H72">
        <v>0</v>
      </c>
      <c r="I72">
        <v>0</v>
      </c>
      <c r="J72">
        <v>0</v>
      </c>
      <c r="K72">
        <v>0</v>
      </c>
      <c r="L72">
        <v>0</v>
      </c>
      <c r="M72" cm="1">
        <f t="array" ref="M72:AQ72">1*(MOD($C$26:$AG$26,B72)=0)</f>
        <v>0</v>
      </c>
      <c r="N72">
        <v>0</v>
      </c>
      <c r="O72">
        <v>0</v>
      </c>
      <c r="P72">
        <v>0</v>
      </c>
      <c r="Q72">
        <v>0</v>
      </c>
      <c r="R72">
        <v>0</v>
      </c>
      <c r="S72">
        <v>0</v>
      </c>
      <c r="T72">
        <v>0</v>
      </c>
      <c r="U72">
        <v>0</v>
      </c>
      <c r="V72">
        <v>0</v>
      </c>
      <c r="W72">
        <v>0</v>
      </c>
      <c r="X72">
        <v>0</v>
      </c>
      <c r="Y72">
        <v>0</v>
      </c>
      <c r="Z72">
        <v>0</v>
      </c>
      <c r="AA72">
        <v>0</v>
      </c>
      <c r="AB72">
        <v>0</v>
      </c>
      <c r="AC72">
        <v>1</v>
      </c>
      <c r="AD72">
        <v>0</v>
      </c>
      <c r="AE72">
        <v>0</v>
      </c>
      <c r="AF72">
        <v>0</v>
      </c>
      <c r="AG72">
        <v>0</v>
      </c>
      <c r="AH72">
        <v>0</v>
      </c>
      <c r="AI72">
        <v>0</v>
      </c>
      <c r="AJ72">
        <v>0</v>
      </c>
      <c r="AK72">
        <v>0</v>
      </c>
      <c r="AL72">
        <v>0</v>
      </c>
      <c r="AM72">
        <v>0</v>
      </c>
      <c r="AN72">
        <v>0</v>
      </c>
      <c r="AO72">
        <v>0</v>
      </c>
      <c r="AP72">
        <v>0</v>
      </c>
      <c r="AQ72">
        <v>0</v>
      </c>
    </row>
    <row r="73" spans="2:43" x14ac:dyDescent="0.3">
      <c r="B73">
        <v>18</v>
      </c>
      <c r="C73">
        <v>0</v>
      </c>
      <c r="D73">
        <v>0</v>
      </c>
      <c r="E73">
        <v>0</v>
      </c>
      <c r="F73">
        <v>0</v>
      </c>
      <c r="G73">
        <v>0</v>
      </c>
      <c r="H73">
        <v>0</v>
      </c>
      <c r="I73">
        <v>0</v>
      </c>
      <c r="J73">
        <v>0</v>
      </c>
      <c r="K73">
        <v>0</v>
      </c>
      <c r="L73">
        <v>0</v>
      </c>
      <c r="M73" cm="1">
        <f t="array" ref="M73:AQ73">1*(MOD($C$26:$AG$26,B73)=0)</f>
        <v>0</v>
      </c>
      <c r="N73">
        <v>0</v>
      </c>
      <c r="O73">
        <v>0</v>
      </c>
      <c r="P73">
        <v>0</v>
      </c>
      <c r="Q73">
        <v>0</v>
      </c>
      <c r="R73">
        <v>0</v>
      </c>
      <c r="S73">
        <v>0</v>
      </c>
      <c r="T73">
        <v>0</v>
      </c>
      <c r="U73">
        <v>0</v>
      </c>
      <c r="V73">
        <v>0</v>
      </c>
      <c r="W73">
        <v>0</v>
      </c>
      <c r="X73">
        <v>0</v>
      </c>
      <c r="Y73">
        <v>0</v>
      </c>
      <c r="Z73">
        <v>0</v>
      </c>
      <c r="AA73">
        <v>0</v>
      </c>
      <c r="AB73">
        <v>0</v>
      </c>
      <c r="AC73">
        <v>0</v>
      </c>
      <c r="AD73">
        <v>1</v>
      </c>
      <c r="AE73">
        <v>0</v>
      </c>
      <c r="AF73">
        <v>0</v>
      </c>
      <c r="AG73">
        <v>0</v>
      </c>
      <c r="AH73">
        <v>0</v>
      </c>
      <c r="AI73">
        <v>0</v>
      </c>
      <c r="AJ73">
        <v>0</v>
      </c>
      <c r="AK73">
        <v>0</v>
      </c>
      <c r="AL73">
        <v>0</v>
      </c>
      <c r="AM73">
        <v>0</v>
      </c>
      <c r="AN73">
        <v>0</v>
      </c>
      <c r="AO73">
        <v>0</v>
      </c>
      <c r="AP73">
        <v>0</v>
      </c>
      <c r="AQ73">
        <v>0</v>
      </c>
    </row>
    <row r="74" spans="2:43" x14ac:dyDescent="0.3">
      <c r="B74">
        <v>19</v>
      </c>
      <c r="C74">
        <v>0</v>
      </c>
      <c r="D74">
        <v>0</v>
      </c>
      <c r="E74">
        <v>0</v>
      </c>
      <c r="F74">
        <v>0</v>
      </c>
      <c r="G74">
        <v>0</v>
      </c>
      <c r="H74">
        <v>0</v>
      </c>
      <c r="I74">
        <v>0</v>
      </c>
      <c r="J74">
        <v>0</v>
      </c>
      <c r="K74">
        <v>0</v>
      </c>
      <c r="L74">
        <v>0</v>
      </c>
      <c r="M74" cm="1">
        <f t="array" ref="M74:AQ74">1*(MOD($C$26:$AG$26,B74)=0)</f>
        <v>0</v>
      </c>
      <c r="N74">
        <v>0</v>
      </c>
      <c r="O74">
        <v>0</v>
      </c>
      <c r="P74">
        <v>0</v>
      </c>
      <c r="Q74">
        <v>0</v>
      </c>
      <c r="R74">
        <v>0</v>
      </c>
      <c r="S74">
        <v>0</v>
      </c>
      <c r="T74">
        <v>0</v>
      </c>
      <c r="U74">
        <v>0</v>
      </c>
      <c r="V74">
        <v>0</v>
      </c>
      <c r="W74">
        <v>0</v>
      </c>
      <c r="X74">
        <v>0</v>
      </c>
      <c r="Y74">
        <v>0</v>
      </c>
      <c r="Z74">
        <v>0</v>
      </c>
      <c r="AA74">
        <v>0</v>
      </c>
      <c r="AB74">
        <v>0</v>
      </c>
      <c r="AC74">
        <v>0</v>
      </c>
      <c r="AD74">
        <v>0</v>
      </c>
      <c r="AE74">
        <v>1</v>
      </c>
      <c r="AF74">
        <v>0</v>
      </c>
      <c r="AG74">
        <v>0</v>
      </c>
      <c r="AH74">
        <v>0</v>
      </c>
      <c r="AI74">
        <v>0</v>
      </c>
      <c r="AJ74">
        <v>0</v>
      </c>
      <c r="AK74">
        <v>0</v>
      </c>
      <c r="AL74">
        <v>0</v>
      </c>
      <c r="AM74">
        <v>0</v>
      </c>
      <c r="AN74">
        <v>0</v>
      </c>
      <c r="AO74">
        <v>0</v>
      </c>
      <c r="AP74">
        <v>0</v>
      </c>
      <c r="AQ74">
        <v>0</v>
      </c>
    </row>
    <row r="75" spans="2:43" x14ac:dyDescent="0.3">
      <c r="B75">
        <v>20</v>
      </c>
      <c r="C75">
        <v>0</v>
      </c>
      <c r="D75">
        <v>0</v>
      </c>
      <c r="E75">
        <v>0</v>
      </c>
      <c r="F75">
        <v>0</v>
      </c>
      <c r="G75">
        <v>0</v>
      </c>
      <c r="H75">
        <v>0</v>
      </c>
      <c r="I75">
        <v>0</v>
      </c>
      <c r="J75">
        <v>0</v>
      </c>
      <c r="K75">
        <v>0</v>
      </c>
      <c r="L75">
        <v>0</v>
      </c>
      <c r="M75" cm="1">
        <f t="array" ref="M75:AQ75">1*(MOD($C$26:$AG$26,B75)=0)</f>
        <v>0</v>
      </c>
      <c r="N75">
        <v>0</v>
      </c>
      <c r="O75">
        <v>0</v>
      </c>
      <c r="P75">
        <v>0</v>
      </c>
      <c r="Q75">
        <v>0</v>
      </c>
      <c r="R75">
        <v>0</v>
      </c>
      <c r="S75">
        <v>0</v>
      </c>
      <c r="T75">
        <v>0</v>
      </c>
      <c r="U75">
        <v>0</v>
      </c>
      <c r="V75">
        <v>0</v>
      </c>
      <c r="W75">
        <v>0</v>
      </c>
      <c r="X75">
        <v>0</v>
      </c>
      <c r="Y75">
        <v>0</v>
      </c>
      <c r="Z75">
        <v>0</v>
      </c>
      <c r="AA75">
        <v>0</v>
      </c>
      <c r="AB75">
        <v>0</v>
      </c>
      <c r="AC75">
        <v>0</v>
      </c>
      <c r="AD75">
        <v>0</v>
      </c>
      <c r="AE75">
        <v>0</v>
      </c>
      <c r="AF75">
        <v>1</v>
      </c>
      <c r="AG75">
        <v>0</v>
      </c>
      <c r="AH75">
        <v>0</v>
      </c>
      <c r="AI75">
        <v>0</v>
      </c>
      <c r="AJ75">
        <v>0</v>
      </c>
      <c r="AK75">
        <v>0</v>
      </c>
      <c r="AL75">
        <v>0</v>
      </c>
      <c r="AM75">
        <v>0</v>
      </c>
      <c r="AN75">
        <v>0</v>
      </c>
      <c r="AO75">
        <v>0</v>
      </c>
      <c r="AP75">
        <v>0</v>
      </c>
      <c r="AQ75">
        <v>0</v>
      </c>
    </row>
    <row r="77" spans="2:43" x14ac:dyDescent="0.3">
      <c r="B77" t="s">
        <v>610</v>
      </c>
      <c r="D77" s="166" t="s">
        <v>614</v>
      </c>
    </row>
    <row r="78" spans="2:43" x14ac:dyDescent="0.3">
      <c r="D78" s="166" t="s">
        <v>615</v>
      </c>
    </row>
    <row r="79" spans="2:43" x14ac:dyDescent="0.3">
      <c r="B79" t="s">
        <v>613</v>
      </c>
      <c r="D79" s="166" t="s">
        <v>611</v>
      </c>
    </row>
    <row r="80" spans="2:43" x14ac:dyDescent="0.3">
      <c r="D80" t="str">
        <f ca="1">_xlfn.ARRAYTOTEXT(OFFSET(const_repeat_after,5,0,1,30),1)</f>
        <v>{0,0,0,0,1,0,0,0,0,1,0,0,0,0,1,0,0,0,0,1,0,0,0,0,1,0,0,0,0,1}</v>
      </c>
    </row>
    <row r="81" spans="2:4" x14ac:dyDescent="0.3">
      <c r="B81" t="s">
        <v>612</v>
      </c>
      <c r="D81" s="166" t="s">
        <v>677</v>
      </c>
    </row>
    <row r="82" spans="2:4" x14ac:dyDescent="0.3">
      <c r="D82" t="str">
        <f ca="1">_xlfn.ARRAYTOTEXT(OFFSET(const_repeat_after,2,-3,1,30),1)</f>
        <v>{0,0,0,0,1,0,1,0,1,0,1,0,1,0,1,0,1,0,1,0,1,0,1,0,1,0,1,0,1,0}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CE962-E45F-4A5D-B8EE-B407E4C998D1}">
  <sheetPr>
    <tabColor theme="3" tint="-0.249977111117893"/>
  </sheetPr>
  <dimension ref="G3:L9"/>
  <sheetViews>
    <sheetView workbookViewId="0">
      <selection activeCell="H9" sqref="H9"/>
    </sheetView>
  </sheetViews>
  <sheetFormatPr defaultRowHeight="14.4" x14ac:dyDescent="0.3"/>
  <cols>
    <col min="7" max="7" width="16" bestFit="1" customWidth="1"/>
    <col min="8" max="8" width="14.5546875" customWidth="1"/>
  </cols>
  <sheetData>
    <row r="3" spans="7:12" x14ac:dyDescent="0.3">
      <c r="L3" t="s">
        <v>788</v>
      </c>
    </row>
    <row r="5" spans="7:12" ht="43.2" x14ac:dyDescent="0.3">
      <c r="H5" s="152" t="str">
        <f>'ACC Inputs'!C6</f>
        <v>IOU WACC (Nominal, after-tax)</v>
      </c>
      <c r="I5" s="152" t="s">
        <v>774</v>
      </c>
    </row>
    <row r="6" spans="7:12" x14ac:dyDescent="0.3">
      <c r="G6" t="str">
        <f>'ACC Inputs'!B7</f>
        <v>PG&amp;E</v>
      </c>
      <c r="H6" s="270">
        <f>'ACC Inputs'!C7</f>
        <v>7.8100000000000003E-2</v>
      </c>
      <c r="I6" s="271">
        <v>0.44500000000000001</v>
      </c>
    </row>
    <row r="7" spans="7:12" x14ac:dyDescent="0.3">
      <c r="G7" t="str">
        <f>'ACC Inputs'!B8</f>
        <v>SCE</v>
      </c>
      <c r="H7" s="270">
        <f>'ACC Inputs'!C8</f>
        <v>7.6799999999999993E-2</v>
      </c>
      <c r="I7" s="271">
        <v>0.4</v>
      </c>
    </row>
    <row r="8" spans="7:12" x14ac:dyDescent="0.3">
      <c r="G8" t="str">
        <f>'ACC Inputs'!B9</f>
        <v>SDG&amp;E</v>
      </c>
      <c r="H8" s="270">
        <f>'ACC Inputs'!C9</f>
        <v>7.5499999999999998E-2</v>
      </c>
      <c r="I8" s="271">
        <v>0.155</v>
      </c>
    </row>
    <row r="9" spans="7:12" x14ac:dyDescent="0.3">
      <c r="G9" t="s">
        <v>775</v>
      </c>
      <c r="H9" s="270">
        <f>ROUND(SUMPRODUCT(H6:H8,I6:I8),4)</f>
        <v>7.7200000000000005E-2</v>
      </c>
    </row>
  </sheetData>
  <sheetProtection algorithmName="SHA-512" hashValue="VSbf88ZfS4x88U6JhuxXxwoWjii1dLzyrYWRG1Lsz3/+/ZsST/h9t85Y4SgjnLLp7V1MiEtDsSEmKhS3Huh4yA==" saltValue="ABBxDq2TRbP7N8NHCD5qBA==" spinCount="100000" sheet="1" objects="1" scenarios="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208A4-8FE1-964A-A304-9E012EA9022A}">
  <sheetPr codeName="Sheet4">
    <tabColor theme="8" tint="-0.249977111117893"/>
  </sheetPr>
  <dimension ref="A3:AM8795"/>
  <sheetViews>
    <sheetView topLeftCell="A30" zoomScale="80" zoomScaleNormal="80" workbookViewId="0">
      <selection activeCell="K44" sqref="K44"/>
    </sheetView>
  </sheetViews>
  <sheetFormatPr defaultColWidth="10.6640625" defaultRowHeight="14.4" x14ac:dyDescent="0.3"/>
  <cols>
    <col min="1" max="1" width="14" style="1" customWidth="1"/>
    <col min="2" max="2" width="6.6640625" style="1" customWidth="1"/>
    <col min="3" max="3" width="41.33203125" style="1" bestFit="1" customWidth="1"/>
    <col min="4" max="4" width="14.33203125" style="1" customWidth="1"/>
    <col min="5" max="7" width="12.6640625" style="1" customWidth="1"/>
    <col min="8" max="8" width="14.6640625" style="1" customWidth="1"/>
    <col min="9" max="9" width="12.6640625" style="1" customWidth="1"/>
    <col min="10" max="10" width="14.44140625" style="1" customWidth="1"/>
    <col min="11" max="35" width="12.6640625" style="1" customWidth="1"/>
    <col min="36" max="45" width="11.6640625" style="1" bestFit="1" customWidth="1"/>
    <col min="46" max="16384" width="10.6640625" style="1"/>
  </cols>
  <sheetData>
    <row r="3" spans="1:14" ht="31.2" x14ac:dyDescent="0.6">
      <c r="B3" s="70" t="s">
        <v>407</v>
      </c>
    </row>
    <row r="4" spans="1:14" x14ac:dyDescent="0.3">
      <c r="B4" s="1" t="s">
        <v>410</v>
      </c>
    </row>
    <row r="6" spans="1:14" ht="18" x14ac:dyDescent="0.35">
      <c r="B6" s="72" t="s">
        <v>432</v>
      </c>
    </row>
    <row r="7" spans="1:14" x14ac:dyDescent="0.3">
      <c r="B7" s="1" t="s">
        <v>414</v>
      </c>
    </row>
    <row r="8" spans="1:14" x14ac:dyDescent="0.3">
      <c r="B8" s="1" t="s">
        <v>433</v>
      </c>
    </row>
    <row r="10" spans="1:14" x14ac:dyDescent="0.3">
      <c r="B10" s="71" t="s">
        <v>411</v>
      </c>
    </row>
    <row r="11" spans="1:14" x14ac:dyDescent="0.3">
      <c r="B11" s="122" t="s">
        <v>434</v>
      </c>
    </row>
    <row r="12" spans="1:14" x14ac:dyDescent="0.3">
      <c r="B12" s="1" t="s">
        <v>415</v>
      </c>
    </row>
    <row r="13" spans="1:14" x14ac:dyDescent="0.3">
      <c r="H13" s="3"/>
      <c r="I13" s="3"/>
      <c r="J13" s="3"/>
      <c r="K13" s="3"/>
      <c r="L13" s="3"/>
      <c r="M13" s="3"/>
    </row>
    <row r="14" spans="1:14" ht="26.4" thickBot="1" x14ac:dyDescent="0.55000000000000004">
      <c r="A14" s="3"/>
      <c r="B14" s="3"/>
      <c r="C14" s="87" t="s">
        <v>406</v>
      </c>
      <c r="D14" s="87"/>
      <c r="E14" s="3"/>
      <c r="F14" s="3"/>
      <c r="G14" s="3"/>
      <c r="H14" s="3"/>
      <c r="I14" s="3"/>
      <c r="J14" s="3"/>
      <c r="K14" s="3"/>
      <c r="L14" s="3"/>
      <c r="M14" s="3"/>
    </row>
    <row r="15" spans="1:14" ht="12" customHeight="1" x14ac:dyDescent="0.3">
      <c r="B15" s="59"/>
      <c r="C15" s="91"/>
      <c r="D15" s="92"/>
      <c r="E15" s="92"/>
      <c r="F15" s="93"/>
      <c r="G15" s="93"/>
      <c r="H15" s="94"/>
      <c r="I15" s="3"/>
      <c r="M15" s="3"/>
    </row>
    <row r="16" spans="1:14" ht="21" x14ac:dyDescent="0.3">
      <c r="B16" s="59"/>
      <c r="C16" s="95" t="s">
        <v>403</v>
      </c>
      <c r="D16" s="90"/>
      <c r="E16" s="90"/>
      <c r="F16" s="3"/>
      <c r="G16" s="90" t="s">
        <v>405</v>
      </c>
      <c r="H16" s="96"/>
      <c r="J16" s="122"/>
      <c r="K16" s="122"/>
      <c r="L16" s="122"/>
      <c r="M16" s="122"/>
      <c r="N16" s="122"/>
    </row>
    <row r="17" spans="2:14" ht="13.2" customHeight="1" x14ac:dyDescent="0.3">
      <c r="B17" s="88"/>
      <c r="C17" s="97"/>
      <c r="D17" s="3"/>
      <c r="E17" s="6"/>
      <c r="F17" s="3"/>
      <c r="G17" s="3"/>
      <c r="H17" s="98"/>
      <c r="J17" s="122"/>
      <c r="K17" s="122"/>
      <c r="L17" s="122"/>
      <c r="M17" s="122"/>
      <c r="N17" s="122"/>
    </row>
    <row r="18" spans="2:14" ht="15" customHeight="1" x14ac:dyDescent="0.35">
      <c r="B18" s="88"/>
      <c r="C18" s="357"/>
      <c r="D18" s="358"/>
      <c r="E18" s="123"/>
      <c r="F18" s="3"/>
      <c r="G18" s="89" t="s">
        <v>431</v>
      </c>
      <c r="H18" s="100"/>
      <c r="J18" s="58" t="s">
        <v>0</v>
      </c>
      <c r="K18" s="122"/>
      <c r="L18" s="122"/>
      <c r="M18" s="122"/>
      <c r="N18" s="122"/>
    </row>
    <row r="19" spans="2:14" ht="15.6" x14ac:dyDescent="0.3">
      <c r="B19" s="4"/>
      <c r="C19" s="99" t="s">
        <v>6</v>
      </c>
      <c r="D19" s="361" t="s">
        <v>46</v>
      </c>
      <c r="E19" s="361"/>
      <c r="F19" s="3"/>
      <c r="G19" s="89"/>
      <c r="H19" s="135">
        <f ca="1">E63</f>
        <v>335.22153827663823</v>
      </c>
      <c r="J19" s="81" t="s">
        <v>4</v>
      </c>
      <c r="K19" s="169" t="s">
        <v>421</v>
      </c>
      <c r="L19" s="118"/>
      <c r="M19" s="122"/>
      <c r="N19" s="122"/>
    </row>
    <row r="20" spans="2:14" ht="15" customHeight="1" x14ac:dyDescent="0.3">
      <c r="B20" s="4"/>
      <c r="C20" s="357"/>
      <c r="D20" s="358"/>
      <c r="E20" s="3"/>
      <c r="F20" s="3"/>
      <c r="G20" s="3"/>
      <c r="H20" s="98"/>
      <c r="J20" s="80" t="s">
        <v>412</v>
      </c>
      <c r="K20" s="169" t="s">
        <v>422</v>
      </c>
      <c r="L20" s="118"/>
      <c r="M20" s="122"/>
      <c r="N20" s="122"/>
    </row>
    <row r="21" spans="2:14" ht="15.6" x14ac:dyDescent="0.3">
      <c r="B21" s="4"/>
      <c r="C21" s="99" t="s">
        <v>418</v>
      </c>
      <c r="D21" s="125" t="s">
        <v>421</v>
      </c>
      <c r="E21" s="3"/>
      <c r="F21" s="3"/>
      <c r="G21" s="89"/>
      <c r="H21" s="98"/>
      <c r="J21" s="82" t="s">
        <v>1</v>
      </c>
      <c r="K21" s="118"/>
      <c r="L21" s="118"/>
      <c r="M21" s="122"/>
      <c r="N21" s="122"/>
    </row>
    <row r="22" spans="2:14" x14ac:dyDescent="0.3">
      <c r="B22" s="3"/>
      <c r="C22" s="99" t="s">
        <v>417</v>
      </c>
      <c r="D22" s="78">
        <v>15</v>
      </c>
      <c r="E22" s="3"/>
      <c r="F22" s="3"/>
      <c r="G22" s="3"/>
      <c r="H22" s="98"/>
      <c r="J22" s="83" t="s">
        <v>2</v>
      </c>
      <c r="K22" s="118"/>
      <c r="L22" s="118"/>
      <c r="M22" s="122"/>
      <c r="N22" s="122"/>
    </row>
    <row r="23" spans="2:14" x14ac:dyDescent="0.3">
      <c r="B23" s="3"/>
      <c r="C23" s="99" t="s">
        <v>423</v>
      </c>
      <c r="D23" s="119">
        <f>IF(D21="ARB average",INDEX('Refrigerant Leakage'!$C$2:$C$40,MATCH(D19,'Refrigerant Leakage'!$B$2:$B$40,0)),D22)</f>
        <v>15</v>
      </c>
      <c r="E23" s="3"/>
      <c r="F23" s="3"/>
      <c r="G23" s="3"/>
      <c r="H23" s="98"/>
      <c r="J23" s="84" t="s">
        <v>3</v>
      </c>
      <c r="K23" s="118"/>
      <c r="L23" s="118"/>
      <c r="M23" s="122"/>
      <c r="N23" s="122"/>
    </row>
    <row r="24" spans="2:14" ht="15" customHeight="1" x14ac:dyDescent="0.3">
      <c r="B24" s="3"/>
      <c r="C24" s="357"/>
      <c r="D24" s="358"/>
      <c r="E24" s="3"/>
      <c r="F24" s="3"/>
      <c r="G24" s="3"/>
      <c r="H24" s="98"/>
      <c r="J24" s="122"/>
      <c r="K24" s="118"/>
      <c r="L24" s="118"/>
      <c r="M24" s="122"/>
      <c r="N24" s="122"/>
    </row>
    <row r="25" spans="2:14" x14ac:dyDescent="0.3">
      <c r="B25" s="77"/>
      <c r="C25" s="99" t="s">
        <v>387</v>
      </c>
      <c r="D25" s="78">
        <v>2020</v>
      </c>
      <c r="E25" s="3"/>
      <c r="F25" s="3"/>
      <c r="G25" s="3"/>
      <c r="H25" s="98"/>
      <c r="J25" s="122"/>
      <c r="K25" s="124"/>
      <c r="L25" s="118"/>
      <c r="M25" s="122"/>
      <c r="N25" s="122"/>
    </row>
    <row r="26" spans="2:14" ht="15" customHeight="1" x14ac:dyDescent="0.3">
      <c r="B26" s="77"/>
      <c r="C26" s="357"/>
      <c r="D26" s="358"/>
      <c r="E26" s="3"/>
      <c r="F26" s="3"/>
      <c r="G26" s="3"/>
      <c r="H26" s="98"/>
      <c r="J26" s="122"/>
      <c r="K26" s="124"/>
      <c r="L26" s="118"/>
      <c r="M26" s="122"/>
      <c r="N26" s="122"/>
    </row>
    <row r="27" spans="2:14" x14ac:dyDescent="0.3">
      <c r="B27" s="77"/>
      <c r="C27" s="99" t="s">
        <v>419</v>
      </c>
      <c r="D27" s="125" t="s">
        <v>422</v>
      </c>
      <c r="E27" s="3"/>
      <c r="F27" s="3"/>
      <c r="G27" s="3"/>
      <c r="H27" s="98"/>
      <c r="J27" s="122"/>
      <c r="K27" s="124"/>
      <c r="L27" s="118"/>
      <c r="M27" s="122"/>
      <c r="N27" s="122"/>
    </row>
    <row r="28" spans="2:14" x14ac:dyDescent="0.3">
      <c r="B28" s="3"/>
      <c r="C28" s="99" t="s">
        <v>420</v>
      </c>
      <c r="D28" s="142">
        <v>7.5</v>
      </c>
      <c r="E28" s="3"/>
      <c r="F28" s="3"/>
      <c r="G28" s="3"/>
      <c r="H28" s="98"/>
      <c r="J28" s="122"/>
      <c r="K28" s="118"/>
      <c r="L28" s="118"/>
      <c r="M28" s="122"/>
      <c r="N28" s="122"/>
    </row>
    <row r="29" spans="2:14" x14ac:dyDescent="0.3">
      <c r="B29" s="3"/>
      <c r="C29" s="99" t="s">
        <v>424</v>
      </c>
      <c r="D29" s="119">
        <f>IF(D27="ARB average",INDEX('Refrigerant Leakage'!$D$2:$D$40,MATCH(D19,'Refrigerant Leakage'!$B$2:$B$40,0)),D28)</f>
        <v>7.5</v>
      </c>
      <c r="E29" s="3"/>
      <c r="F29" s="3"/>
      <c r="G29" s="3"/>
      <c r="H29" s="98"/>
      <c r="J29" s="122"/>
      <c r="K29" s="118"/>
      <c r="L29" s="169" t="s">
        <v>427</v>
      </c>
      <c r="M29" s="122"/>
      <c r="N29" s="122"/>
    </row>
    <row r="30" spans="2:14" ht="15" customHeight="1" x14ac:dyDescent="0.3">
      <c r="B30" s="3"/>
      <c r="C30" s="357"/>
      <c r="D30" s="358"/>
      <c r="E30" s="3"/>
      <c r="F30" s="3"/>
      <c r="G30" s="3"/>
      <c r="H30" s="98"/>
      <c r="J30" s="122"/>
      <c r="K30" s="118"/>
      <c r="L30" s="169" t="s">
        <v>425</v>
      </c>
      <c r="M30" s="122"/>
      <c r="N30" s="122"/>
    </row>
    <row r="31" spans="2:14" x14ac:dyDescent="0.3">
      <c r="B31" s="3"/>
      <c r="C31" s="99" t="s">
        <v>7</v>
      </c>
      <c r="D31" s="79" t="s">
        <v>233</v>
      </c>
      <c r="E31" s="3"/>
      <c r="F31" s="3"/>
      <c r="G31" s="3"/>
      <c r="H31" s="98"/>
      <c r="J31" s="122"/>
      <c r="K31" s="118"/>
      <c r="L31" s="169" t="s">
        <v>426</v>
      </c>
      <c r="M31" s="122"/>
      <c r="N31" s="122"/>
    </row>
    <row r="32" spans="2:14" ht="15" customHeight="1" x14ac:dyDescent="0.3">
      <c r="B32" s="3"/>
      <c r="C32" s="357"/>
      <c r="D32" s="358"/>
      <c r="E32" s="3"/>
      <c r="F32" s="3"/>
      <c r="G32" s="3"/>
      <c r="H32" s="98"/>
      <c r="J32" s="122"/>
      <c r="K32" s="118"/>
      <c r="L32" s="169" t="s">
        <v>422</v>
      </c>
      <c r="M32" s="122"/>
      <c r="N32" s="122"/>
    </row>
    <row r="33" spans="2:16" x14ac:dyDescent="0.3">
      <c r="B33" s="3"/>
      <c r="C33" s="99" t="s">
        <v>428</v>
      </c>
      <c r="D33" s="79" t="s">
        <v>427</v>
      </c>
      <c r="E33" s="3"/>
      <c r="F33" s="3"/>
      <c r="G33" s="3"/>
      <c r="H33" s="98"/>
      <c r="J33" s="122"/>
      <c r="K33" s="118"/>
      <c r="L33" s="118"/>
      <c r="M33" s="122"/>
      <c r="N33" s="122"/>
    </row>
    <row r="34" spans="2:16" x14ac:dyDescent="0.3">
      <c r="B34" s="3"/>
      <c r="C34" s="99" t="s">
        <v>429</v>
      </c>
      <c r="D34" s="120">
        <v>7.7200000000000005E-2</v>
      </c>
      <c r="E34" s="3"/>
      <c r="F34" s="3"/>
      <c r="G34" s="3"/>
      <c r="H34" s="98"/>
      <c r="J34" s="122"/>
      <c r="K34" s="118"/>
      <c r="L34" s="118"/>
      <c r="M34" s="122"/>
      <c r="N34" s="122"/>
    </row>
    <row r="35" spans="2:16" x14ac:dyDescent="0.3">
      <c r="B35" s="3"/>
      <c r="C35" s="99" t="s">
        <v>430</v>
      </c>
      <c r="D35" s="121">
        <f>IF(D33&lt;&gt;"User-specified",INDEX('ACC Inputs'!$C$7:$C$9,MATCH(D33,'ACC Inputs'!$B$7:$B$9,0)),D34)</f>
        <v>7.8100000000000003E-2</v>
      </c>
      <c r="E35" s="3"/>
      <c r="F35" s="3"/>
      <c r="G35" s="3"/>
      <c r="H35" s="98"/>
      <c r="J35" s="122"/>
      <c r="K35" s="122"/>
      <c r="L35" s="122"/>
      <c r="M35" s="122"/>
      <c r="N35" s="122"/>
    </row>
    <row r="36" spans="2:16" ht="15" customHeight="1" x14ac:dyDescent="0.3">
      <c r="B36" s="3"/>
      <c r="C36" s="357"/>
      <c r="D36" s="358"/>
      <c r="E36" s="3"/>
      <c r="F36" s="3"/>
      <c r="G36" s="3"/>
      <c r="H36" s="98"/>
      <c r="J36" s="122"/>
      <c r="K36" s="122"/>
      <c r="L36" s="122"/>
      <c r="M36" s="122"/>
      <c r="N36" s="122"/>
    </row>
    <row r="37" spans="2:16" x14ac:dyDescent="0.3">
      <c r="B37" s="3"/>
      <c r="C37" s="99" t="s">
        <v>793</v>
      </c>
      <c r="D37" s="76" t="s">
        <v>500</v>
      </c>
      <c r="E37" s="3"/>
      <c r="F37" s="3"/>
      <c r="G37" s="3"/>
      <c r="H37" s="98"/>
      <c r="J37" s="122"/>
      <c r="K37" s="122"/>
      <c r="L37" s="122"/>
      <c r="M37" s="122"/>
      <c r="N37" s="122"/>
    </row>
    <row r="38" spans="2:16" ht="15" thickBot="1" x14ac:dyDescent="0.35">
      <c r="B38" s="3"/>
      <c r="C38" s="101"/>
      <c r="D38" s="102"/>
      <c r="E38" s="102"/>
      <c r="F38" s="102"/>
      <c r="G38" s="102"/>
      <c r="H38" s="103"/>
      <c r="J38" s="122"/>
      <c r="K38" s="122"/>
      <c r="L38" s="122"/>
      <c r="M38" s="122"/>
      <c r="N38" s="122"/>
    </row>
    <row r="39" spans="2:16" ht="15" customHeight="1" x14ac:dyDescent="0.3">
      <c r="B39" s="3"/>
      <c r="C39" s="3"/>
      <c r="D39" s="3"/>
      <c r="E39" s="3"/>
      <c r="F39" s="3"/>
      <c r="G39" s="3"/>
      <c r="H39" s="3"/>
    </row>
    <row r="40" spans="2:16" ht="15" customHeight="1" x14ac:dyDescent="0.3">
      <c r="B40" s="3"/>
      <c r="C40" s="3"/>
      <c r="D40" s="3"/>
      <c r="E40" s="3"/>
      <c r="F40" s="3"/>
      <c r="G40" s="3"/>
      <c r="H40" s="3"/>
    </row>
    <row r="41" spans="2:16" ht="23.4" x14ac:dyDescent="0.45">
      <c r="C41" s="75" t="s">
        <v>409</v>
      </c>
      <c r="D41" s="75"/>
      <c r="H41" s="3"/>
      <c r="K41" s="3"/>
      <c r="L41" s="3"/>
      <c r="M41" s="3"/>
      <c r="N41" s="3"/>
      <c r="O41" s="67"/>
      <c r="P41" s="3"/>
    </row>
    <row r="42" spans="2:16" x14ac:dyDescent="0.3">
      <c r="F42" s="3"/>
      <c r="G42" s="3"/>
      <c r="H42" s="3"/>
      <c r="K42" s="3"/>
      <c r="L42" s="3"/>
      <c r="M42" s="3"/>
      <c r="N42" s="3"/>
      <c r="O42" s="65"/>
      <c r="P42" s="3"/>
    </row>
    <row r="43" spans="2:16" s="3" customFormat="1" x14ac:dyDescent="0.3">
      <c r="B43" s="1"/>
      <c r="C43" s="360" t="s">
        <v>404</v>
      </c>
      <c r="D43" s="360"/>
      <c r="E43" s="360"/>
      <c r="G43" s="359" t="s">
        <v>382</v>
      </c>
      <c r="H43" s="359"/>
      <c r="I43" s="359"/>
    </row>
    <row r="44" spans="2:16" x14ac:dyDescent="0.3">
      <c r="C44" s="113" t="s">
        <v>392</v>
      </c>
      <c r="D44" s="3"/>
      <c r="E44" s="104">
        <f>D25</f>
        <v>2020</v>
      </c>
      <c r="F44" s="3"/>
      <c r="G44" s="3"/>
      <c r="H44" s="3">
        <v>2204.62</v>
      </c>
      <c r="I44" s="3" t="s">
        <v>383</v>
      </c>
    </row>
    <row r="45" spans="2:16" x14ac:dyDescent="0.3">
      <c r="C45" s="113" t="s">
        <v>390</v>
      </c>
      <c r="D45" s="3"/>
      <c r="E45" s="104">
        <f>D25+D23-1</f>
        <v>2034</v>
      </c>
      <c r="F45" s="3"/>
      <c r="G45" s="110" t="s">
        <v>384</v>
      </c>
      <c r="H45" s="3">
        <v>1</v>
      </c>
      <c r="I45" s="3" t="s">
        <v>385</v>
      </c>
    </row>
    <row r="46" spans="2:16" x14ac:dyDescent="0.3">
      <c r="C46" s="113" t="s">
        <v>391</v>
      </c>
      <c r="D46" s="3"/>
      <c r="E46" s="105">
        <f>INDEX('Refrigerant GWPs'!$G$2:$G$154,MATCH('E3 Dashboard'!$D$31,'Refrigerant GWPs'!$A$2:$A$154,0))</f>
        <v>2087.5</v>
      </c>
      <c r="F46" s="3"/>
      <c r="G46" s="3"/>
    </row>
    <row r="47" spans="2:16" x14ac:dyDescent="0.3">
      <c r="C47" s="117" t="s">
        <v>398</v>
      </c>
      <c r="D47" s="66"/>
      <c r="E47" s="139">
        <f>INDEX('Refrigerant Leakage'!$E$2:$E$40,MATCH('E3 Dashboard'!$D$19,'Refrigerant Leakage'!$B$2:$B$40,0))</f>
        <v>5.2999999999999999E-2</v>
      </c>
    </row>
    <row r="48" spans="2:16" x14ac:dyDescent="0.3">
      <c r="C48" s="113" t="s">
        <v>399</v>
      </c>
      <c r="D48" s="3"/>
      <c r="E48" s="106">
        <f>INDEX('Refrigerant Leakage'!$F$2:$F$40,MATCH('E3 Dashboard'!$D$19,'Refrigerant Leakage'!$B$2:$B$40,0))</f>
        <v>0.8</v>
      </c>
    </row>
    <row r="49" spans="3:39" x14ac:dyDescent="0.3">
      <c r="C49" s="113" t="s">
        <v>400</v>
      </c>
      <c r="D49" s="3"/>
      <c r="E49" s="107">
        <f>INDEX('Refrigerant Leakage'!$G$2:$G$40,MATCH('E3 Dashboard'!$D$19,'Refrigerant Leakage'!$B$2:$B$40,0))</f>
        <v>3</v>
      </c>
    </row>
    <row r="50" spans="3:39" x14ac:dyDescent="0.3">
      <c r="C50" s="113" t="s">
        <v>393</v>
      </c>
      <c r="D50" s="3"/>
      <c r="E50" s="108">
        <f>D29*E47/H44*E46</f>
        <v>0.37638289138264192</v>
      </c>
      <c r="G50" s="181" t="s">
        <v>631</v>
      </c>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row>
    <row r="51" spans="3:39" ht="15" customHeight="1" x14ac:dyDescent="0.3">
      <c r="C51" s="113" t="s">
        <v>394</v>
      </c>
      <c r="D51" s="3"/>
      <c r="E51" s="108">
        <f>(D29-D29*E47*E49)*E48/H44*E46</f>
        <v>4.7779322513630476</v>
      </c>
      <c r="G51" s="181" t="s">
        <v>597</v>
      </c>
      <c r="U51" s="69"/>
      <c r="W51" s="69"/>
    </row>
    <row r="52" spans="3:39" ht="15" customHeight="1" x14ac:dyDescent="0.3">
      <c r="C52" s="3"/>
      <c r="D52" s="3"/>
      <c r="E52" s="68"/>
      <c r="G52" s="181" t="s">
        <v>598</v>
      </c>
      <c r="U52" s="69"/>
      <c r="W52" s="69"/>
    </row>
    <row r="53" spans="3:39" ht="15" customHeight="1" x14ac:dyDescent="0.3">
      <c r="C53" s="3"/>
      <c r="D53" s="3"/>
      <c r="E53" s="137"/>
      <c r="U53" s="69"/>
      <c r="W53" s="69"/>
    </row>
    <row r="54" spans="3:39" ht="21" customHeight="1" x14ac:dyDescent="0.3">
      <c r="C54" s="359" t="s">
        <v>408</v>
      </c>
      <c r="D54" s="359"/>
      <c r="E54" s="359"/>
      <c r="F54" s="359"/>
      <c r="G54" s="359"/>
      <c r="H54" s="359"/>
      <c r="I54" s="359"/>
      <c r="J54" s="359"/>
      <c r="K54" s="359"/>
      <c r="L54" s="359"/>
      <c r="M54" s="359"/>
      <c r="N54" s="359"/>
      <c r="O54" s="359"/>
      <c r="P54" s="359"/>
      <c r="Q54" s="359"/>
      <c r="R54" s="359"/>
      <c r="S54" s="359"/>
      <c r="T54" s="359"/>
      <c r="U54" s="359"/>
      <c r="V54" s="359"/>
      <c r="W54" s="359"/>
      <c r="X54" s="359"/>
      <c r="Y54" s="359"/>
      <c r="Z54" s="359"/>
      <c r="AA54" s="359"/>
      <c r="AB54" s="359"/>
      <c r="AC54" s="359"/>
      <c r="AD54" s="359"/>
      <c r="AE54" s="359"/>
      <c r="AF54" s="359"/>
      <c r="AG54" s="359"/>
      <c r="AH54" s="359"/>
      <c r="AI54" s="359"/>
    </row>
    <row r="55" spans="3:39" ht="15" customHeight="1" x14ac:dyDescent="0.3">
      <c r="C55" s="3"/>
      <c r="D55" s="3"/>
      <c r="E55" s="73">
        <v>2020</v>
      </c>
      <c r="F55" s="73">
        <v>2021</v>
      </c>
      <c r="G55" s="73">
        <v>2022</v>
      </c>
      <c r="H55" s="73">
        <v>2023</v>
      </c>
      <c r="I55" s="73">
        <v>2024</v>
      </c>
      <c r="J55" s="73">
        <v>2025</v>
      </c>
      <c r="K55" s="73">
        <v>2026</v>
      </c>
      <c r="L55" s="73">
        <v>2027</v>
      </c>
      <c r="M55" s="73">
        <v>2028</v>
      </c>
      <c r="N55" s="73">
        <v>2029</v>
      </c>
      <c r="O55" s="73">
        <v>2030</v>
      </c>
      <c r="P55" s="73">
        <v>2031</v>
      </c>
      <c r="Q55" s="73">
        <v>2032</v>
      </c>
      <c r="R55" s="73">
        <v>2033</v>
      </c>
      <c r="S55" s="73">
        <v>2034</v>
      </c>
      <c r="T55" s="73">
        <v>2035</v>
      </c>
      <c r="U55" s="73">
        <v>2036</v>
      </c>
      <c r="V55" s="73">
        <v>2037</v>
      </c>
      <c r="W55" s="73">
        <v>2038</v>
      </c>
      <c r="X55" s="73">
        <v>2039</v>
      </c>
      <c r="Y55" s="73">
        <v>2040</v>
      </c>
      <c r="Z55" s="73">
        <v>2041</v>
      </c>
      <c r="AA55" s="73">
        <v>2042</v>
      </c>
      <c r="AB55" s="73">
        <v>2043</v>
      </c>
      <c r="AC55" s="73">
        <v>2044</v>
      </c>
      <c r="AD55" s="73">
        <v>2045</v>
      </c>
      <c r="AE55" s="73">
        <v>2046</v>
      </c>
      <c r="AF55" s="73">
        <v>2047</v>
      </c>
      <c r="AG55" s="73">
        <v>2048</v>
      </c>
      <c r="AH55" s="73">
        <v>2049</v>
      </c>
      <c r="AI55" s="73">
        <v>2050</v>
      </c>
    </row>
    <row r="56" spans="3:39" ht="15" customHeight="1" x14ac:dyDescent="0.3">
      <c r="C56" s="114" t="s">
        <v>395</v>
      </c>
      <c r="D56" s="3"/>
      <c r="E56" s="85">
        <f t="shared" ref="E56:AI56" si="0">IF(AND(E$55&gt;=$E$44,E$55&lt;=$E$45),$E$50,"")</f>
        <v>0.37638289138264192</v>
      </c>
      <c r="F56" s="85">
        <f t="shared" si="0"/>
        <v>0.37638289138264192</v>
      </c>
      <c r="G56" s="85">
        <f t="shared" si="0"/>
        <v>0.37638289138264192</v>
      </c>
      <c r="H56" s="85">
        <f t="shared" si="0"/>
        <v>0.37638289138264192</v>
      </c>
      <c r="I56" s="85">
        <f t="shared" si="0"/>
        <v>0.37638289138264192</v>
      </c>
      <c r="J56" s="85">
        <f t="shared" si="0"/>
        <v>0.37638289138264192</v>
      </c>
      <c r="K56" s="85">
        <f t="shared" si="0"/>
        <v>0.37638289138264192</v>
      </c>
      <c r="L56" s="85">
        <f t="shared" si="0"/>
        <v>0.37638289138264192</v>
      </c>
      <c r="M56" s="85">
        <f t="shared" si="0"/>
        <v>0.37638289138264192</v>
      </c>
      <c r="N56" s="85">
        <f t="shared" si="0"/>
        <v>0.37638289138264192</v>
      </c>
      <c r="O56" s="85">
        <f t="shared" si="0"/>
        <v>0.37638289138264192</v>
      </c>
      <c r="P56" s="85">
        <f t="shared" si="0"/>
        <v>0.37638289138264192</v>
      </c>
      <c r="Q56" s="85">
        <f t="shared" si="0"/>
        <v>0.37638289138264192</v>
      </c>
      <c r="R56" s="85">
        <f t="shared" si="0"/>
        <v>0.37638289138264192</v>
      </c>
      <c r="S56" s="85">
        <f t="shared" si="0"/>
        <v>0.37638289138264192</v>
      </c>
      <c r="T56" s="85" t="str">
        <f t="shared" si="0"/>
        <v/>
      </c>
      <c r="U56" s="85" t="str">
        <f t="shared" si="0"/>
        <v/>
      </c>
      <c r="V56" s="85" t="str">
        <f t="shared" si="0"/>
        <v/>
      </c>
      <c r="W56" s="85" t="str">
        <f t="shared" si="0"/>
        <v/>
      </c>
      <c r="X56" s="85" t="str">
        <f t="shared" si="0"/>
        <v/>
      </c>
      <c r="Y56" s="85" t="str">
        <f t="shared" si="0"/>
        <v/>
      </c>
      <c r="Z56" s="85" t="str">
        <f t="shared" si="0"/>
        <v/>
      </c>
      <c r="AA56" s="85" t="str">
        <f t="shared" si="0"/>
        <v/>
      </c>
      <c r="AB56" s="85" t="str">
        <f t="shared" si="0"/>
        <v/>
      </c>
      <c r="AC56" s="85" t="str">
        <f t="shared" si="0"/>
        <v/>
      </c>
      <c r="AD56" s="85" t="str">
        <f t="shared" si="0"/>
        <v/>
      </c>
      <c r="AE56" s="85" t="str">
        <f t="shared" si="0"/>
        <v/>
      </c>
      <c r="AF56" s="85" t="str">
        <f t="shared" si="0"/>
        <v/>
      </c>
      <c r="AG56" s="85" t="str">
        <f t="shared" si="0"/>
        <v/>
      </c>
      <c r="AH56" s="85" t="str">
        <f t="shared" si="0"/>
        <v/>
      </c>
      <c r="AI56" s="85" t="str">
        <f t="shared" si="0"/>
        <v/>
      </c>
    </row>
    <row r="57" spans="3:39" ht="15" customHeight="1" x14ac:dyDescent="0.3">
      <c r="C57" s="115" t="s">
        <v>396</v>
      </c>
      <c r="D57" s="2"/>
      <c r="E57" s="116" t="str">
        <f t="shared" ref="E57:AI57" si="1">IF(E$55=$E$45,$E$51,"")</f>
        <v/>
      </c>
      <c r="F57" s="116" t="str">
        <f t="shared" si="1"/>
        <v/>
      </c>
      <c r="G57" s="116" t="str">
        <f t="shared" si="1"/>
        <v/>
      </c>
      <c r="H57" s="116" t="str">
        <f t="shared" si="1"/>
        <v/>
      </c>
      <c r="I57" s="116" t="str">
        <f t="shared" si="1"/>
        <v/>
      </c>
      <c r="J57" s="116" t="str">
        <f t="shared" si="1"/>
        <v/>
      </c>
      <c r="K57" s="116" t="str">
        <f t="shared" si="1"/>
        <v/>
      </c>
      <c r="L57" s="116" t="str">
        <f t="shared" si="1"/>
        <v/>
      </c>
      <c r="M57" s="116" t="str">
        <f t="shared" si="1"/>
        <v/>
      </c>
      <c r="N57" s="116" t="str">
        <f t="shared" si="1"/>
        <v/>
      </c>
      <c r="O57" s="116" t="str">
        <f t="shared" si="1"/>
        <v/>
      </c>
      <c r="P57" s="116" t="str">
        <f t="shared" si="1"/>
        <v/>
      </c>
      <c r="Q57" s="116" t="str">
        <f t="shared" si="1"/>
        <v/>
      </c>
      <c r="R57" s="116" t="str">
        <f t="shared" si="1"/>
        <v/>
      </c>
      <c r="S57" s="116">
        <f t="shared" si="1"/>
        <v>4.7779322513630476</v>
      </c>
      <c r="T57" s="116" t="str">
        <f t="shared" si="1"/>
        <v/>
      </c>
      <c r="U57" s="116" t="str">
        <f t="shared" si="1"/>
        <v/>
      </c>
      <c r="V57" s="116" t="str">
        <f t="shared" si="1"/>
        <v/>
      </c>
      <c r="W57" s="116" t="str">
        <f t="shared" si="1"/>
        <v/>
      </c>
      <c r="X57" s="116" t="str">
        <f t="shared" si="1"/>
        <v/>
      </c>
      <c r="Y57" s="116" t="str">
        <f t="shared" si="1"/>
        <v/>
      </c>
      <c r="Z57" s="116" t="str">
        <f t="shared" si="1"/>
        <v/>
      </c>
      <c r="AA57" s="116" t="str">
        <f t="shared" si="1"/>
        <v/>
      </c>
      <c r="AB57" s="116" t="str">
        <f t="shared" si="1"/>
        <v/>
      </c>
      <c r="AC57" s="116" t="str">
        <f t="shared" si="1"/>
        <v/>
      </c>
      <c r="AD57" s="116" t="str">
        <f t="shared" si="1"/>
        <v/>
      </c>
      <c r="AE57" s="116" t="str">
        <f t="shared" si="1"/>
        <v/>
      </c>
      <c r="AF57" s="116" t="str">
        <f t="shared" si="1"/>
        <v/>
      </c>
      <c r="AG57" s="116" t="str">
        <f t="shared" si="1"/>
        <v/>
      </c>
      <c r="AH57" s="116" t="str">
        <f t="shared" si="1"/>
        <v/>
      </c>
      <c r="AI57" s="116" t="str">
        <f t="shared" si="1"/>
        <v/>
      </c>
    </row>
    <row r="58" spans="3:39" ht="15" customHeight="1" x14ac:dyDescent="0.3">
      <c r="C58" s="113" t="s">
        <v>397</v>
      </c>
      <c r="D58" s="3"/>
      <c r="E58" s="85">
        <f>IF(SUM(E56:E57)&gt;0,SUM(E56:E57),0)</f>
        <v>0.37638289138264192</v>
      </c>
      <c r="F58" s="85">
        <f t="shared" ref="F58:AI58" si="2">IF(SUM(F56:F57)&gt;0,SUM(F56:F57),0)</f>
        <v>0.37638289138264192</v>
      </c>
      <c r="G58" s="85">
        <f t="shared" si="2"/>
        <v>0.37638289138264192</v>
      </c>
      <c r="H58" s="85">
        <f t="shared" si="2"/>
        <v>0.37638289138264192</v>
      </c>
      <c r="I58" s="85">
        <f t="shared" si="2"/>
        <v>0.37638289138264192</v>
      </c>
      <c r="J58" s="85">
        <f t="shared" si="2"/>
        <v>0.37638289138264192</v>
      </c>
      <c r="K58" s="85">
        <f t="shared" si="2"/>
        <v>0.37638289138264192</v>
      </c>
      <c r="L58" s="85">
        <f t="shared" si="2"/>
        <v>0.37638289138264192</v>
      </c>
      <c r="M58" s="85">
        <f t="shared" si="2"/>
        <v>0.37638289138264192</v>
      </c>
      <c r="N58" s="85">
        <f t="shared" si="2"/>
        <v>0.37638289138264192</v>
      </c>
      <c r="O58" s="85">
        <f t="shared" si="2"/>
        <v>0.37638289138264192</v>
      </c>
      <c r="P58" s="85">
        <f t="shared" si="2"/>
        <v>0.37638289138264192</v>
      </c>
      <c r="Q58" s="85">
        <f t="shared" si="2"/>
        <v>0.37638289138264192</v>
      </c>
      <c r="R58" s="85">
        <f t="shared" si="2"/>
        <v>0.37638289138264192</v>
      </c>
      <c r="S58" s="85">
        <f t="shared" si="2"/>
        <v>5.1543151427456895</v>
      </c>
      <c r="T58" s="85">
        <f t="shared" si="2"/>
        <v>0</v>
      </c>
      <c r="U58" s="85">
        <f t="shared" si="2"/>
        <v>0</v>
      </c>
      <c r="V58" s="85">
        <f t="shared" si="2"/>
        <v>0</v>
      </c>
      <c r="W58" s="85">
        <f t="shared" si="2"/>
        <v>0</v>
      </c>
      <c r="X58" s="85">
        <f t="shared" si="2"/>
        <v>0</v>
      </c>
      <c r="Y58" s="85">
        <f t="shared" si="2"/>
        <v>0</v>
      </c>
      <c r="Z58" s="85">
        <f t="shared" si="2"/>
        <v>0</v>
      </c>
      <c r="AA58" s="85">
        <f t="shared" si="2"/>
        <v>0</v>
      </c>
      <c r="AB58" s="85">
        <f t="shared" si="2"/>
        <v>0</v>
      </c>
      <c r="AC58" s="85">
        <f t="shared" si="2"/>
        <v>0</v>
      </c>
      <c r="AD58" s="85">
        <f t="shared" si="2"/>
        <v>0</v>
      </c>
      <c r="AE58" s="85">
        <f t="shared" si="2"/>
        <v>0</v>
      </c>
      <c r="AF58" s="85">
        <f t="shared" si="2"/>
        <v>0</v>
      </c>
      <c r="AG58" s="85">
        <f t="shared" si="2"/>
        <v>0</v>
      </c>
      <c r="AH58" s="85">
        <f t="shared" si="2"/>
        <v>0</v>
      </c>
      <c r="AI58" s="85">
        <f t="shared" si="2"/>
        <v>0</v>
      </c>
    </row>
    <row r="59" spans="3:39" ht="15" customHeight="1" x14ac:dyDescent="0.3">
      <c r="C59" s="113"/>
      <c r="D59" s="3"/>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row>
    <row r="60" spans="3:39" ht="15" customHeight="1" x14ac:dyDescent="0.3">
      <c r="C60" s="113" t="s">
        <v>401</v>
      </c>
      <c r="D60" s="3"/>
      <c r="E60" s="86">
        <f ca="1">'ACC Inputs'!C4</f>
        <v>35.531047948539211</v>
      </c>
      <c r="F60" s="86">
        <f ca="1">'ACC Inputs'!D4</f>
        <v>38.288863440296694</v>
      </c>
      <c r="G60" s="86">
        <f ca="1">'ACC Inputs'!E4</f>
        <v>41.278529159346533</v>
      </c>
      <c r="H60" s="86">
        <f ca="1">'ACC Inputs'!F4</f>
        <v>44.474268286800218</v>
      </c>
      <c r="I60" s="86">
        <f ca="1">'ACC Inputs'!G4</f>
        <v>47.928860165159207</v>
      </c>
      <c r="J60" s="86">
        <f ca="1">'ACC Inputs'!H4</f>
        <v>51.639509301454098</v>
      </c>
      <c r="K60" s="86">
        <f ca="1">'ACC Inputs'!I4</f>
        <v>55.62669359579823</v>
      </c>
      <c r="L60" s="86">
        <f ca="1">'ACC Inputs'!J4</f>
        <v>59.913148018371714</v>
      </c>
      <c r="M60" s="86">
        <f ca="1">'ACC Inputs'!K4</f>
        <v>64.525089808277073</v>
      </c>
      <c r="N60" s="86">
        <f ca="1">'ACC Inputs'!L4</f>
        <v>69.503969730008734</v>
      </c>
      <c r="O60" s="86">
        <f ca="1">'ACC Inputs'!M4</f>
        <v>74.872411498825869</v>
      </c>
      <c r="P60" s="86">
        <f ca="1">'ACC Inputs'!N4</f>
        <v>79.762369837116665</v>
      </c>
      <c r="Q60" s="86">
        <f ca="1">'ACC Inputs'!O4</f>
        <v>85.160461551923504</v>
      </c>
      <c r="R60" s="86">
        <f ca="1">'ACC Inputs'!P4</f>
        <v>91.111961365459251</v>
      </c>
      <c r="S60" s="86">
        <f ca="1">'ACC Inputs'!Q4</f>
        <v>97.665831931139508</v>
      </c>
      <c r="T60" s="86">
        <f ca="1">'ACC Inputs'!R4</f>
        <v>104.87501331829199</v>
      </c>
      <c r="U60" s="86">
        <f ca="1">'ACC Inputs'!S4</f>
        <v>112.79673490231966</v>
      </c>
      <c r="V60" s="86">
        <f ca="1">'ACC Inputs'!T4</f>
        <v>121.49285138564194</v>
      </c>
      <c r="W60" s="86">
        <f ca="1">'ACC Inputs'!U4</f>
        <v>131.03020480736538</v>
      </c>
      <c r="X60" s="86">
        <f ca="1">'ACC Inputs'!V4</f>
        <v>141.48101454244278</v>
      </c>
      <c r="Y60" s="86">
        <f ca="1">'ACC Inputs'!W4</f>
        <v>152.92329744486591</v>
      </c>
      <c r="Z60" s="86">
        <f ca="1">'ACC Inputs'!X4</f>
        <v>165.44132045503056</v>
      </c>
      <c r="AA60" s="86">
        <f ca="1">'ACC Inputs'!Y4</f>
        <v>179.1260881697311</v>
      </c>
      <c r="AB60" s="86">
        <f ca="1">'ACC Inputs'!Z4</f>
        <v>194.07586806525649</v>
      </c>
      <c r="AC60" s="86">
        <f ca="1">'ACC Inputs'!AA4</f>
        <v>210.39675627082585</v>
      </c>
      <c r="AD60" s="86">
        <f ca="1">'ACC Inputs'!AB4</f>
        <v>228.20328701224855</v>
      </c>
      <c r="AE60" s="86">
        <f ca="1">'ACC Inputs'!AC4</f>
        <v>247.61908908544876</v>
      </c>
      <c r="AF60" s="86">
        <f ca="1">'ACC Inputs'!AD4</f>
        <v>268.77759297764732</v>
      </c>
      <c r="AG60" s="86">
        <f ca="1">'ACC Inputs'!AE4</f>
        <v>291.82279253203666</v>
      </c>
      <c r="AH60" s="86">
        <f ca="1">'ACC Inputs'!AF4</f>
        <v>316.91006535105544</v>
      </c>
      <c r="AI60" s="86">
        <f ca="1">'ACC Inputs'!AG4</f>
        <v>344.20705645581643</v>
      </c>
    </row>
    <row r="61" spans="3:39" ht="15" customHeight="1" x14ac:dyDescent="0.3">
      <c r="C61" s="113" t="s">
        <v>402</v>
      </c>
      <c r="D61" s="109"/>
      <c r="E61" s="109">
        <f t="shared" ref="E61:AI61" ca="1" si="3">IFERROR(E60*E58,"")</f>
        <v>13.373278560726476</v>
      </c>
      <c r="F61" s="109">
        <f t="shared" ca="1" si="3"/>
        <v>14.411273129413999</v>
      </c>
      <c r="G61" s="109">
        <f t="shared" ca="1" si="3"/>
        <v>15.536532157017543</v>
      </c>
      <c r="H61" s="109">
        <f t="shared" ca="1" si="3"/>
        <v>16.739353689913202</v>
      </c>
      <c r="I61" s="109">
        <f t="shared" ca="1" si="3"/>
        <v>18.039602969636952</v>
      </c>
      <c r="J61" s="109">
        <f t="shared" ca="1" si="3"/>
        <v>19.436227820462125</v>
      </c>
      <c r="K61" s="109">
        <f t="shared" ca="1" si="3"/>
        <v>20.936935773642826</v>
      </c>
      <c r="L61" s="109">
        <f t="shared" ca="1" si="3"/>
        <v>22.55028388299095</v>
      </c>
      <c r="M61" s="109">
        <f t="shared" ca="1" si="3"/>
        <v>24.286139868763964</v>
      </c>
      <c r="N61" s="109">
        <f t="shared" ca="1" si="3"/>
        <v>26.16010508955231</v>
      </c>
      <c r="O61" s="109">
        <f t="shared" ca="1" si="3"/>
        <v>28.180694724719046</v>
      </c>
      <c r="P61" s="109">
        <f t="shared" ca="1" si="3"/>
        <v>30.021191382825595</v>
      </c>
      <c r="Q61" s="109">
        <f t="shared" ca="1" si="3"/>
        <v>32.052940750393276</v>
      </c>
      <c r="R61" s="109">
        <f t="shared" ca="1" si="3"/>
        <v>34.292983458275117</v>
      </c>
      <c r="S61" s="109">
        <f t="shared" ca="1" si="3"/>
        <v>503.40047645152782</v>
      </c>
      <c r="T61" s="109">
        <f t="shared" ca="1" si="3"/>
        <v>0</v>
      </c>
      <c r="U61" s="109">
        <f t="shared" ca="1" si="3"/>
        <v>0</v>
      </c>
      <c r="V61" s="109">
        <f t="shared" ca="1" si="3"/>
        <v>0</v>
      </c>
      <c r="W61" s="109">
        <f t="shared" ca="1" si="3"/>
        <v>0</v>
      </c>
      <c r="X61" s="109">
        <f t="shared" ca="1" si="3"/>
        <v>0</v>
      </c>
      <c r="Y61" s="109">
        <f t="shared" ca="1" si="3"/>
        <v>0</v>
      </c>
      <c r="Z61" s="109">
        <f t="shared" ca="1" si="3"/>
        <v>0</v>
      </c>
      <c r="AA61" s="109">
        <f t="shared" ca="1" si="3"/>
        <v>0</v>
      </c>
      <c r="AB61" s="109">
        <f t="shared" ca="1" si="3"/>
        <v>0</v>
      </c>
      <c r="AC61" s="109">
        <f t="shared" ca="1" si="3"/>
        <v>0</v>
      </c>
      <c r="AD61" s="109">
        <f t="shared" ca="1" si="3"/>
        <v>0</v>
      </c>
      <c r="AE61" s="109">
        <f t="shared" ca="1" si="3"/>
        <v>0</v>
      </c>
      <c r="AF61" s="109">
        <f t="shared" ca="1" si="3"/>
        <v>0</v>
      </c>
      <c r="AG61" s="109">
        <f t="shared" ca="1" si="3"/>
        <v>0</v>
      </c>
      <c r="AH61" s="109">
        <f t="shared" ca="1" si="3"/>
        <v>0</v>
      </c>
      <c r="AI61" s="109">
        <f t="shared" ca="1" si="3"/>
        <v>0</v>
      </c>
    </row>
    <row r="62" spans="3:39" ht="15" customHeight="1" x14ac:dyDescent="0.3">
      <c r="C62" s="3"/>
      <c r="D62" s="3"/>
      <c r="E62" s="138"/>
      <c r="F62" s="138">
        <f ca="1">F61/(1+D35)^2</f>
        <v>12.398931398947987</v>
      </c>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row>
    <row r="63" spans="3:39" ht="20.100000000000001" customHeight="1" x14ac:dyDescent="0.3">
      <c r="C63" s="111" t="s">
        <v>413</v>
      </c>
      <c r="D63" s="111"/>
      <c r="E63" s="112">
        <f ca="1">NPV($D$35,OFFSET($E$61,0,$E$44-$E$55,1,$E$45-$E$44+1))/(1+$D$35)^('E3 Dashboard'!E44-'E3 Dashboard'!E55)</f>
        <v>335.22153827663823</v>
      </c>
      <c r="K63" s="5"/>
      <c r="P63" s="259"/>
    </row>
    <row r="64" spans="3:39" x14ac:dyDescent="0.3">
      <c r="E64" s="5"/>
      <c r="P64" s="259"/>
    </row>
    <row r="65" spans="1:16" x14ac:dyDescent="0.3">
      <c r="C65" s="133" t="s">
        <v>736</v>
      </c>
      <c r="E65" s="5"/>
    </row>
    <row r="66" spans="1:16" x14ac:dyDescent="0.3">
      <c r="C66" s="1" t="s">
        <v>737</v>
      </c>
      <c r="E66" s="5">
        <f ca="1">NPV(7.68%,G66:P66)</f>
        <v>144.44303102945148</v>
      </c>
      <c r="G66" s="259">
        <f ca="1">G56*G60</f>
        <v>15.536532157017543</v>
      </c>
      <c r="H66" s="259">
        <f t="shared" ref="H66:P66" ca="1" si="4">H56*H60</f>
        <v>16.739353689913202</v>
      </c>
      <c r="I66" s="259">
        <f t="shared" ca="1" si="4"/>
        <v>18.039602969636952</v>
      </c>
      <c r="J66" s="259">
        <f t="shared" ca="1" si="4"/>
        <v>19.436227820462125</v>
      </c>
      <c r="K66" s="259">
        <f t="shared" ca="1" si="4"/>
        <v>20.936935773642826</v>
      </c>
      <c r="L66" s="259">
        <f t="shared" ca="1" si="4"/>
        <v>22.55028388299095</v>
      </c>
      <c r="M66" s="259">
        <f t="shared" ca="1" si="4"/>
        <v>24.286139868763964</v>
      </c>
      <c r="N66" s="259">
        <f t="shared" ca="1" si="4"/>
        <v>26.16010508955231</v>
      </c>
      <c r="O66" s="259">
        <f t="shared" ca="1" si="4"/>
        <v>28.180694724719046</v>
      </c>
      <c r="P66" s="259">
        <f t="shared" ca="1" si="4"/>
        <v>30.021191382825595</v>
      </c>
    </row>
    <row r="67" spans="1:16" x14ac:dyDescent="0.3">
      <c r="C67" s="1" t="s">
        <v>738</v>
      </c>
      <c r="E67" s="5">
        <f ca="1">E66/(1+7.68%)^2</f>
        <v>124.57373892128675</v>
      </c>
      <c r="F67" s="5"/>
      <c r="G67" s="5"/>
      <c r="H67" s="5"/>
      <c r="I67" s="5"/>
      <c r="J67" s="5"/>
      <c r="K67" s="5"/>
    </row>
    <row r="68" spans="1:16" x14ac:dyDescent="0.3">
      <c r="C68" s="1" t="s">
        <v>739</v>
      </c>
      <c r="E68" s="259" t="e">
        <f ca="1">(P57*P60)/(1+7.68%)^12</f>
        <v>#VALUE!</v>
      </c>
      <c r="H68" s="3"/>
      <c r="I68" s="3"/>
      <c r="J68" s="3"/>
    </row>
    <row r="69" spans="1:16" x14ac:dyDescent="0.3">
      <c r="H69" s="3"/>
      <c r="I69" s="3"/>
      <c r="J69" s="3"/>
    </row>
    <row r="70" spans="1:16" x14ac:dyDescent="0.3">
      <c r="H70" s="3"/>
      <c r="I70" s="3"/>
      <c r="J70" s="3"/>
    </row>
    <row r="71" spans="1:16" x14ac:dyDescent="0.3">
      <c r="A71" s="1" t="s">
        <v>377</v>
      </c>
      <c r="H71" s="3"/>
      <c r="I71" s="3"/>
      <c r="J71" s="3"/>
    </row>
    <row r="72" spans="1:16" x14ac:dyDescent="0.3">
      <c r="A72" s="230" t="s">
        <v>709</v>
      </c>
      <c r="B72" s="232" t="s">
        <v>695</v>
      </c>
      <c r="C72" s="233"/>
      <c r="D72" s="233"/>
      <c r="E72" s="233"/>
      <c r="F72" s="233"/>
      <c r="G72" s="233"/>
      <c r="H72" s="234"/>
      <c r="I72" s="3"/>
      <c r="J72" s="3"/>
      <c r="K72" s="3"/>
    </row>
    <row r="73" spans="1:16" x14ac:dyDescent="0.3">
      <c r="A73" s="231"/>
      <c r="B73" s="235" t="s">
        <v>708</v>
      </c>
      <c r="C73" s="2"/>
      <c r="D73" s="2"/>
      <c r="E73" s="2"/>
      <c r="F73" s="2"/>
      <c r="G73" s="2"/>
      <c r="H73" s="236"/>
      <c r="I73" s="3"/>
      <c r="J73" s="3"/>
      <c r="K73" s="3"/>
    </row>
    <row r="74" spans="1:16" x14ac:dyDescent="0.3">
      <c r="A74" s="237" t="s">
        <v>710</v>
      </c>
      <c r="B74" s="238" t="s">
        <v>711</v>
      </c>
      <c r="C74" s="239"/>
      <c r="D74" s="239"/>
      <c r="E74" s="239"/>
      <c r="F74" s="239"/>
      <c r="G74" s="239"/>
      <c r="H74" s="240"/>
      <c r="I74" s="3"/>
      <c r="J74" s="3"/>
    </row>
    <row r="75" spans="1:16" x14ac:dyDescent="0.3">
      <c r="A75" s="237" t="s">
        <v>712</v>
      </c>
      <c r="B75" s="238" t="s">
        <v>713</v>
      </c>
      <c r="C75" s="239"/>
      <c r="D75" s="239"/>
      <c r="E75" s="239"/>
      <c r="F75" s="239"/>
      <c r="G75" s="239"/>
      <c r="H75" s="240"/>
      <c r="I75" s="3"/>
      <c r="J75" s="3"/>
    </row>
    <row r="76" spans="1:16" x14ac:dyDescent="0.3">
      <c r="H76" s="3"/>
      <c r="I76" s="3"/>
      <c r="J76" s="3"/>
    </row>
    <row r="77" spans="1:16" x14ac:dyDescent="0.3">
      <c r="H77" s="3"/>
      <c r="I77" s="3"/>
      <c r="J77" s="3"/>
    </row>
    <row r="78" spans="1:16" x14ac:dyDescent="0.3">
      <c r="H78" s="3"/>
      <c r="I78" s="3"/>
      <c r="J78" s="3"/>
    </row>
    <row r="79" spans="1:16" x14ac:dyDescent="0.3">
      <c r="H79" s="3"/>
      <c r="I79" s="3"/>
      <c r="J79" s="3"/>
    </row>
    <row r="80" spans="1:16" x14ac:dyDescent="0.3">
      <c r="H80" s="3"/>
      <c r="I80" s="3"/>
      <c r="J80" s="3"/>
    </row>
    <row r="81" spans="8:10" x14ac:dyDescent="0.3">
      <c r="H81" s="3"/>
      <c r="I81" s="3"/>
      <c r="J81" s="3"/>
    </row>
    <row r="82" spans="8:10" x14ac:dyDescent="0.3">
      <c r="H82" s="3"/>
      <c r="I82" s="3"/>
      <c r="J82" s="3"/>
    </row>
    <row r="83" spans="8:10" x14ac:dyDescent="0.3">
      <c r="H83" s="3"/>
      <c r="I83" s="3"/>
      <c r="J83" s="3"/>
    </row>
    <row r="84" spans="8:10" x14ac:dyDescent="0.3">
      <c r="H84" s="3"/>
      <c r="I84" s="3"/>
      <c r="J84" s="3"/>
    </row>
    <row r="85" spans="8:10" x14ac:dyDescent="0.3">
      <c r="H85" s="3"/>
      <c r="I85" s="3"/>
      <c r="J85" s="3"/>
    </row>
    <row r="86" spans="8:10" x14ac:dyDescent="0.3">
      <c r="H86" s="3"/>
      <c r="I86" s="3"/>
      <c r="J86" s="3"/>
    </row>
    <row r="87" spans="8:10" x14ac:dyDescent="0.3">
      <c r="H87" s="3"/>
      <c r="I87" s="3"/>
      <c r="J87" s="3"/>
    </row>
    <row r="88" spans="8:10" x14ac:dyDescent="0.3">
      <c r="H88" s="3"/>
      <c r="I88" s="3"/>
      <c r="J88" s="3"/>
    </row>
    <row r="89" spans="8:10" x14ac:dyDescent="0.3">
      <c r="H89" s="3"/>
      <c r="I89" s="3"/>
      <c r="J89" s="3"/>
    </row>
    <row r="90" spans="8:10" x14ac:dyDescent="0.3">
      <c r="H90" s="3"/>
      <c r="I90" s="3"/>
      <c r="J90" s="3"/>
    </row>
    <row r="91" spans="8:10" x14ac:dyDescent="0.3">
      <c r="H91" s="3"/>
      <c r="I91" s="3"/>
      <c r="J91" s="3"/>
    </row>
    <row r="92" spans="8:10" x14ac:dyDescent="0.3">
      <c r="H92" s="3"/>
      <c r="I92" s="3"/>
      <c r="J92" s="3"/>
    </row>
    <row r="93" spans="8:10" x14ac:dyDescent="0.3">
      <c r="H93" s="3"/>
      <c r="I93" s="3"/>
      <c r="J93" s="3"/>
    </row>
    <row r="94" spans="8:10" x14ac:dyDescent="0.3">
      <c r="H94" s="3"/>
      <c r="I94" s="3"/>
      <c r="J94" s="3"/>
    </row>
    <row r="95" spans="8:10" x14ac:dyDescent="0.3">
      <c r="H95" s="3"/>
      <c r="I95" s="3"/>
      <c r="J95" s="3"/>
    </row>
    <row r="96" spans="8:10" x14ac:dyDescent="0.3">
      <c r="H96" s="3"/>
      <c r="I96" s="3"/>
      <c r="J96" s="3"/>
    </row>
    <row r="97" spans="8:10" x14ac:dyDescent="0.3">
      <c r="H97" s="3"/>
      <c r="I97" s="3"/>
      <c r="J97" s="3"/>
    </row>
    <row r="98" spans="8:10" x14ac:dyDescent="0.3">
      <c r="H98" s="3"/>
      <c r="I98" s="3"/>
      <c r="J98" s="3"/>
    </row>
    <row r="99" spans="8:10" x14ac:dyDescent="0.3">
      <c r="H99" s="3"/>
      <c r="I99" s="3"/>
      <c r="J99" s="3"/>
    </row>
    <row r="100" spans="8:10" x14ac:dyDescent="0.3">
      <c r="H100" s="3"/>
      <c r="I100" s="3"/>
      <c r="J100" s="3"/>
    </row>
    <row r="101" spans="8:10" x14ac:dyDescent="0.3">
      <c r="H101" s="3"/>
      <c r="I101" s="3"/>
      <c r="J101" s="3"/>
    </row>
    <row r="102" spans="8:10" x14ac:dyDescent="0.3">
      <c r="H102" s="3"/>
      <c r="I102" s="3"/>
      <c r="J102" s="3"/>
    </row>
    <row r="103" spans="8:10" x14ac:dyDescent="0.3">
      <c r="H103" s="3"/>
      <c r="I103" s="3"/>
      <c r="J103" s="3"/>
    </row>
    <row r="104" spans="8:10" x14ac:dyDescent="0.3">
      <c r="H104" s="3"/>
      <c r="I104" s="3"/>
      <c r="J104" s="3"/>
    </row>
    <row r="105" spans="8:10" x14ac:dyDescent="0.3">
      <c r="H105" s="3"/>
      <c r="I105" s="3"/>
      <c r="J105" s="3"/>
    </row>
    <row r="106" spans="8:10" x14ac:dyDescent="0.3">
      <c r="H106" s="3"/>
      <c r="I106" s="3"/>
      <c r="J106" s="3"/>
    </row>
    <row r="107" spans="8:10" x14ac:dyDescent="0.3">
      <c r="H107" s="3"/>
      <c r="I107" s="3"/>
      <c r="J107" s="3"/>
    </row>
    <row r="108" spans="8:10" x14ac:dyDescent="0.3">
      <c r="H108" s="3"/>
      <c r="I108" s="3"/>
      <c r="J108" s="3"/>
    </row>
    <row r="109" spans="8:10" x14ac:dyDescent="0.3">
      <c r="H109" s="3"/>
      <c r="I109" s="3"/>
      <c r="J109" s="3"/>
    </row>
    <row r="110" spans="8:10" x14ac:dyDescent="0.3">
      <c r="H110" s="3"/>
      <c r="I110" s="3"/>
      <c r="J110" s="3"/>
    </row>
    <row r="111" spans="8:10" x14ac:dyDescent="0.3">
      <c r="H111" s="3"/>
      <c r="I111" s="3"/>
      <c r="J111" s="3"/>
    </row>
    <row r="112" spans="8:10" x14ac:dyDescent="0.3">
      <c r="H112" s="3"/>
      <c r="I112" s="3"/>
      <c r="J112" s="3"/>
    </row>
    <row r="113" spans="8:10" x14ac:dyDescent="0.3">
      <c r="H113" s="3"/>
      <c r="I113" s="3"/>
      <c r="J113" s="3"/>
    </row>
    <row r="114" spans="8:10" x14ac:dyDescent="0.3">
      <c r="H114" s="3"/>
      <c r="I114" s="3"/>
      <c r="J114" s="3"/>
    </row>
    <row r="115" spans="8:10" x14ac:dyDescent="0.3">
      <c r="H115" s="3"/>
      <c r="I115" s="3"/>
      <c r="J115" s="3"/>
    </row>
    <row r="116" spans="8:10" x14ac:dyDescent="0.3">
      <c r="H116" s="3"/>
      <c r="I116" s="3"/>
      <c r="J116" s="3"/>
    </row>
    <row r="117" spans="8:10" x14ac:dyDescent="0.3">
      <c r="H117" s="3"/>
      <c r="I117" s="3"/>
      <c r="J117" s="3"/>
    </row>
    <row r="118" spans="8:10" x14ac:dyDescent="0.3">
      <c r="H118" s="3"/>
      <c r="I118" s="3"/>
      <c r="J118" s="3"/>
    </row>
    <row r="119" spans="8:10" x14ac:dyDescent="0.3">
      <c r="H119" s="3"/>
      <c r="I119" s="3"/>
      <c r="J119" s="3"/>
    </row>
    <row r="120" spans="8:10" x14ac:dyDescent="0.3">
      <c r="H120" s="3"/>
      <c r="I120" s="3"/>
      <c r="J120" s="3"/>
    </row>
    <row r="121" spans="8:10" x14ac:dyDescent="0.3">
      <c r="H121" s="3"/>
      <c r="I121" s="3"/>
      <c r="J121" s="3"/>
    </row>
    <row r="122" spans="8:10" x14ac:dyDescent="0.3">
      <c r="H122" s="3"/>
      <c r="I122" s="3"/>
      <c r="J122" s="3"/>
    </row>
    <row r="123" spans="8:10" x14ac:dyDescent="0.3">
      <c r="H123" s="3"/>
      <c r="I123" s="3"/>
      <c r="J123" s="3"/>
    </row>
    <row r="124" spans="8:10" x14ac:dyDescent="0.3">
      <c r="H124" s="3"/>
      <c r="I124" s="3"/>
      <c r="J124" s="3"/>
    </row>
    <row r="125" spans="8:10" x14ac:dyDescent="0.3">
      <c r="H125" s="3"/>
      <c r="I125" s="3"/>
      <c r="J125" s="3"/>
    </row>
    <row r="126" spans="8:10" x14ac:dyDescent="0.3">
      <c r="H126" s="3"/>
      <c r="I126" s="3"/>
      <c r="J126" s="3"/>
    </row>
    <row r="127" spans="8:10" x14ac:dyDescent="0.3">
      <c r="H127" s="3"/>
      <c r="I127" s="3"/>
      <c r="J127" s="3"/>
    </row>
    <row r="128" spans="8:10" x14ac:dyDescent="0.3">
      <c r="H128" s="3"/>
      <c r="I128" s="3"/>
      <c r="J128" s="3"/>
    </row>
    <row r="129" spans="8:10" x14ac:dyDescent="0.3">
      <c r="H129" s="3"/>
      <c r="I129" s="3"/>
      <c r="J129" s="3"/>
    </row>
    <row r="130" spans="8:10" x14ac:dyDescent="0.3">
      <c r="H130" s="3"/>
      <c r="I130" s="3"/>
      <c r="J130" s="3"/>
    </row>
    <row r="131" spans="8:10" x14ac:dyDescent="0.3">
      <c r="H131" s="3"/>
      <c r="I131" s="3"/>
      <c r="J131" s="3"/>
    </row>
    <row r="132" spans="8:10" x14ac:dyDescent="0.3">
      <c r="H132" s="3"/>
      <c r="I132" s="3"/>
      <c r="J132" s="3"/>
    </row>
    <row r="133" spans="8:10" x14ac:dyDescent="0.3">
      <c r="H133" s="3"/>
      <c r="I133" s="3"/>
      <c r="J133" s="3"/>
    </row>
    <row r="134" spans="8:10" x14ac:dyDescent="0.3">
      <c r="H134" s="3"/>
      <c r="I134" s="3"/>
      <c r="J134" s="3"/>
    </row>
    <row r="135" spans="8:10" x14ac:dyDescent="0.3">
      <c r="H135" s="3"/>
      <c r="I135" s="3"/>
      <c r="J135" s="3"/>
    </row>
    <row r="136" spans="8:10" x14ac:dyDescent="0.3">
      <c r="H136" s="3"/>
      <c r="I136" s="3"/>
      <c r="J136" s="3"/>
    </row>
    <row r="137" spans="8:10" x14ac:dyDescent="0.3">
      <c r="H137" s="3"/>
      <c r="I137" s="3"/>
      <c r="J137" s="3"/>
    </row>
    <row r="138" spans="8:10" x14ac:dyDescent="0.3">
      <c r="H138" s="3"/>
      <c r="I138" s="3"/>
      <c r="J138" s="3"/>
    </row>
    <row r="139" spans="8:10" x14ac:dyDescent="0.3">
      <c r="H139" s="3"/>
      <c r="I139" s="3"/>
      <c r="J139" s="3"/>
    </row>
    <row r="140" spans="8:10" x14ac:dyDescent="0.3">
      <c r="H140" s="3"/>
      <c r="I140" s="3"/>
      <c r="J140" s="3"/>
    </row>
    <row r="141" spans="8:10" x14ac:dyDescent="0.3">
      <c r="H141" s="3"/>
      <c r="I141" s="3"/>
      <c r="J141" s="3"/>
    </row>
    <row r="142" spans="8:10" x14ac:dyDescent="0.3">
      <c r="H142" s="3"/>
      <c r="I142" s="3"/>
      <c r="J142" s="3"/>
    </row>
    <row r="143" spans="8:10" x14ac:dyDescent="0.3">
      <c r="H143" s="3"/>
      <c r="I143" s="3"/>
      <c r="J143" s="3"/>
    </row>
    <row r="144" spans="8:10" x14ac:dyDescent="0.3">
      <c r="H144" s="3"/>
      <c r="I144" s="3"/>
      <c r="J144" s="3"/>
    </row>
    <row r="145" spans="8:10" x14ac:dyDescent="0.3">
      <c r="H145" s="3"/>
      <c r="I145" s="3"/>
      <c r="J145" s="3"/>
    </row>
    <row r="146" spans="8:10" x14ac:dyDescent="0.3">
      <c r="H146" s="3"/>
      <c r="I146" s="3"/>
      <c r="J146" s="3"/>
    </row>
    <row r="147" spans="8:10" x14ac:dyDescent="0.3">
      <c r="H147" s="3"/>
      <c r="I147" s="3"/>
      <c r="J147" s="3"/>
    </row>
    <row r="148" spans="8:10" x14ac:dyDescent="0.3">
      <c r="H148" s="3"/>
      <c r="I148" s="3"/>
      <c r="J148" s="3"/>
    </row>
    <row r="149" spans="8:10" x14ac:dyDescent="0.3">
      <c r="H149" s="3"/>
      <c r="I149" s="3"/>
      <c r="J149" s="3"/>
    </row>
    <row r="150" spans="8:10" x14ac:dyDescent="0.3">
      <c r="H150" s="3"/>
      <c r="I150" s="3"/>
      <c r="J150" s="3"/>
    </row>
    <row r="151" spans="8:10" x14ac:dyDescent="0.3">
      <c r="H151" s="3"/>
      <c r="I151" s="3"/>
      <c r="J151" s="3"/>
    </row>
    <row r="152" spans="8:10" x14ac:dyDescent="0.3">
      <c r="H152" s="3"/>
      <c r="I152" s="3"/>
      <c r="J152" s="3"/>
    </row>
    <row r="153" spans="8:10" x14ac:dyDescent="0.3">
      <c r="H153" s="3"/>
      <c r="I153" s="3"/>
      <c r="J153" s="3"/>
    </row>
    <row r="154" spans="8:10" x14ac:dyDescent="0.3">
      <c r="H154" s="3"/>
      <c r="I154" s="3"/>
      <c r="J154" s="3"/>
    </row>
    <row r="155" spans="8:10" x14ac:dyDescent="0.3">
      <c r="H155" s="3"/>
      <c r="I155" s="3"/>
      <c r="J155" s="3"/>
    </row>
    <row r="156" spans="8:10" x14ac:dyDescent="0.3">
      <c r="H156" s="3"/>
      <c r="I156" s="3"/>
      <c r="J156" s="3"/>
    </row>
    <row r="157" spans="8:10" x14ac:dyDescent="0.3">
      <c r="H157" s="3"/>
      <c r="I157" s="3"/>
      <c r="J157" s="3"/>
    </row>
    <row r="158" spans="8:10" x14ac:dyDescent="0.3">
      <c r="H158" s="3"/>
      <c r="I158" s="3"/>
      <c r="J158" s="3"/>
    </row>
    <row r="159" spans="8:10" x14ac:dyDescent="0.3">
      <c r="H159" s="3"/>
      <c r="I159" s="3"/>
      <c r="J159" s="3"/>
    </row>
    <row r="160" spans="8:10" x14ac:dyDescent="0.3">
      <c r="H160" s="3"/>
      <c r="I160" s="3"/>
      <c r="J160" s="3"/>
    </row>
    <row r="161" spans="8:10" x14ac:dyDescent="0.3">
      <c r="H161" s="3"/>
      <c r="I161" s="3"/>
      <c r="J161" s="3"/>
    </row>
    <row r="162" spans="8:10" x14ac:dyDescent="0.3">
      <c r="H162" s="3"/>
      <c r="I162" s="3"/>
      <c r="J162" s="3"/>
    </row>
    <row r="163" spans="8:10" x14ac:dyDescent="0.3">
      <c r="H163" s="3"/>
      <c r="I163" s="3"/>
      <c r="J163" s="3"/>
    </row>
    <row r="164" spans="8:10" x14ac:dyDescent="0.3">
      <c r="H164" s="3"/>
      <c r="I164" s="3"/>
      <c r="J164" s="3"/>
    </row>
    <row r="165" spans="8:10" x14ac:dyDescent="0.3">
      <c r="H165" s="3"/>
      <c r="I165" s="3"/>
      <c r="J165" s="3"/>
    </row>
    <row r="166" spans="8:10" x14ac:dyDescent="0.3">
      <c r="H166" s="3"/>
      <c r="I166" s="3"/>
      <c r="J166" s="3"/>
    </row>
    <row r="167" spans="8:10" x14ac:dyDescent="0.3">
      <c r="H167" s="3"/>
      <c r="I167" s="3"/>
      <c r="J167" s="3"/>
    </row>
    <row r="168" spans="8:10" x14ac:dyDescent="0.3">
      <c r="H168" s="3"/>
      <c r="I168" s="3"/>
      <c r="J168" s="3"/>
    </row>
    <row r="169" spans="8:10" x14ac:dyDescent="0.3">
      <c r="H169" s="3"/>
      <c r="I169" s="3"/>
      <c r="J169" s="3"/>
    </row>
    <row r="170" spans="8:10" x14ac:dyDescent="0.3">
      <c r="H170" s="3"/>
      <c r="I170" s="3"/>
      <c r="J170" s="3"/>
    </row>
    <row r="171" spans="8:10" x14ac:dyDescent="0.3">
      <c r="H171" s="3"/>
      <c r="I171" s="3"/>
      <c r="J171" s="3"/>
    </row>
    <row r="172" spans="8:10" x14ac:dyDescent="0.3">
      <c r="H172" s="3"/>
      <c r="I172" s="3"/>
      <c r="J172" s="3"/>
    </row>
    <row r="173" spans="8:10" x14ac:dyDescent="0.3">
      <c r="H173" s="3"/>
      <c r="I173" s="3"/>
      <c r="J173" s="3"/>
    </row>
    <row r="174" spans="8:10" x14ac:dyDescent="0.3">
      <c r="H174" s="3"/>
      <c r="I174" s="3"/>
      <c r="J174" s="3"/>
    </row>
    <row r="175" spans="8:10" x14ac:dyDescent="0.3">
      <c r="H175" s="3"/>
      <c r="I175" s="3"/>
      <c r="J175" s="3"/>
    </row>
    <row r="176" spans="8:10" x14ac:dyDescent="0.3">
      <c r="H176" s="3"/>
      <c r="I176" s="3"/>
      <c r="J176" s="3"/>
    </row>
    <row r="177" spans="8:10" x14ac:dyDescent="0.3">
      <c r="H177" s="3"/>
      <c r="I177" s="3"/>
      <c r="J177" s="3"/>
    </row>
    <row r="178" spans="8:10" x14ac:dyDescent="0.3">
      <c r="H178" s="3"/>
      <c r="I178" s="3"/>
      <c r="J178" s="3"/>
    </row>
    <row r="179" spans="8:10" x14ac:dyDescent="0.3">
      <c r="H179" s="3"/>
      <c r="I179" s="3"/>
      <c r="J179" s="3"/>
    </row>
    <row r="180" spans="8:10" x14ac:dyDescent="0.3">
      <c r="H180" s="3"/>
      <c r="I180" s="3"/>
      <c r="J180" s="3"/>
    </row>
    <row r="181" spans="8:10" x14ac:dyDescent="0.3">
      <c r="H181" s="3"/>
      <c r="I181" s="3"/>
      <c r="J181" s="3"/>
    </row>
    <row r="182" spans="8:10" x14ac:dyDescent="0.3">
      <c r="H182" s="3"/>
      <c r="I182" s="3"/>
      <c r="J182" s="3"/>
    </row>
    <row r="183" spans="8:10" x14ac:dyDescent="0.3">
      <c r="H183" s="3"/>
      <c r="I183" s="3"/>
      <c r="J183" s="3"/>
    </row>
    <row r="184" spans="8:10" x14ac:dyDescent="0.3">
      <c r="H184" s="3"/>
      <c r="I184" s="3"/>
      <c r="J184" s="3"/>
    </row>
    <row r="185" spans="8:10" x14ac:dyDescent="0.3">
      <c r="H185" s="3"/>
      <c r="I185" s="3"/>
      <c r="J185" s="3"/>
    </row>
    <row r="186" spans="8:10" x14ac:dyDescent="0.3">
      <c r="H186" s="3"/>
      <c r="I186" s="3"/>
      <c r="J186" s="3"/>
    </row>
    <row r="187" spans="8:10" x14ac:dyDescent="0.3">
      <c r="H187" s="3"/>
      <c r="I187" s="3"/>
      <c r="J187" s="3"/>
    </row>
    <row r="188" spans="8:10" x14ac:dyDescent="0.3">
      <c r="H188" s="3"/>
      <c r="I188" s="3"/>
      <c r="J188" s="3"/>
    </row>
    <row r="189" spans="8:10" x14ac:dyDescent="0.3">
      <c r="H189" s="3"/>
      <c r="I189" s="3"/>
      <c r="J189" s="3"/>
    </row>
    <row r="190" spans="8:10" x14ac:dyDescent="0.3">
      <c r="H190" s="3"/>
      <c r="I190" s="3"/>
      <c r="J190" s="3"/>
    </row>
    <row r="191" spans="8:10" x14ac:dyDescent="0.3">
      <c r="H191" s="3"/>
      <c r="I191" s="3"/>
      <c r="J191" s="3"/>
    </row>
    <row r="192" spans="8:10" x14ac:dyDescent="0.3">
      <c r="H192" s="3"/>
      <c r="I192" s="3"/>
      <c r="J192" s="3"/>
    </row>
    <row r="193" spans="8:10" x14ac:dyDescent="0.3">
      <c r="H193" s="3"/>
      <c r="I193" s="3"/>
      <c r="J193" s="3"/>
    </row>
    <row r="194" spans="8:10" x14ac:dyDescent="0.3">
      <c r="H194" s="3"/>
      <c r="I194" s="3"/>
      <c r="J194" s="3"/>
    </row>
    <row r="195" spans="8:10" x14ac:dyDescent="0.3">
      <c r="H195" s="3"/>
      <c r="I195" s="3"/>
      <c r="J195" s="3"/>
    </row>
    <row r="196" spans="8:10" x14ac:dyDescent="0.3">
      <c r="H196" s="3"/>
      <c r="I196" s="3"/>
      <c r="J196" s="3"/>
    </row>
    <row r="197" spans="8:10" x14ac:dyDescent="0.3">
      <c r="H197" s="3"/>
      <c r="I197" s="3"/>
      <c r="J197" s="3"/>
    </row>
    <row r="198" spans="8:10" x14ac:dyDescent="0.3">
      <c r="H198" s="3"/>
      <c r="I198" s="3"/>
      <c r="J198" s="3"/>
    </row>
    <row r="199" spans="8:10" x14ac:dyDescent="0.3">
      <c r="H199" s="3"/>
      <c r="I199" s="3"/>
      <c r="J199" s="3"/>
    </row>
    <row r="200" spans="8:10" x14ac:dyDescent="0.3">
      <c r="H200" s="3"/>
      <c r="I200" s="3"/>
      <c r="J200" s="3"/>
    </row>
    <row r="201" spans="8:10" x14ac:dyDescent="0.3">
      <c r="H201" s="3"/>
      <c r="I201" s="3"/>
      <c r="J201" s="3"/>
    </row>
    <row r="202" spans="8:10" x14ac:dyDescent="0.3">
      <c r="H202" s="3"/>
      <c r="I202" s="3"/>
      <c r="J202" s="3"/>
    </row>
    <row r="203" spans="8:10" x14ac:dyDescent="0.3">
      <c r="H203" s="3"/>
      <c r="I203" s="3"/>
      <c r="J203" s="3"/>
    </row>
    <row r="204" spans="8:10" x14ac:dyDescent="0.3">
      <c r="H204" s="3"/>
      <c r="I204" s="3"/>
      <c r="J204" s="3"/>
    </row>
    <row r="205" spans="8:10" x14ac:dyDescent="0.3">
      <c r="H205" s="3"/>
      <c r="I205" s="3"/>
      <c r="J205" s="3"/>
    </row>
    <row r="206" spans="8:10" x14ac:dyDescent="0.3">
      <c r="H206" s="3"/>
      <c r="I206" s="3"/>
      <c r="J206" s="3"/>
    </row>
    <row r="207" spans="8:10" x14ac:dyDescent="0.3">
      <c r="H207" s="3"/>
      <c r="I207" s="3"/>
      <c r="J207" s="3"/>
    </row>
    <row r="208" spans="8:10" x14ac:dyDescent="0.3">
      <c r="H208" s="3"/>
      <c r="I208" s="3"/>
      <c r="J208" s="3"/>
    </row>
    <row r="209" spans="8:10" x14ac:dyDescent="0.3">
      <c r="H209" s="3"/>
      <c r="I209" s="3"/>
      <c r="J209" s="3"/>
    </row>
    <row r="210" spans="8:10" x14ac:dyDescent="0.3">
      <c r="H210" s="3"/>
      <c r="I210" s="3"/>
      <c r="J210" s="3"/>
    </row>
    <row r="211" spans="8:10" x14ac:dyDescent="0.3">
      <c r="H211" s="3"/>
      <c r="I211" s="3"/>
      <c r="J211" s="3"/>
    </row>
    <row r="212" spans="8:10" x14ac:dyDescent="0.3">
      <c r="H212" s="3"/>
      <c r="I212" s="3"/>
      <c r="J212" s="3"/>
    </row>
    <row r="213" spans="8:10" x14ac:dyDescent="0.3">
      <c r="H213" s="3"/>
      <c r="I213" s="3"/>
      <c r="J213" s="3"/>
    </row>
    <row r="214" spans="8:10" x14ac:dyDescent="0.3">
      <c r="H214" s="3"/>
      <c r="I214" s="3"/>
      <c r="J214" s="3"/>
    </row>
    <row r="215" spans="8:10" x14ac:dyDescent="0.3">
      <c r="H215" s="3"/>
      <c r="I215" s="3"/>
      <c r="J215" s="3"/>
    </row>
    <row r="216" spans="8:10" x14ac:dyDescent="0.3">
      <c r="H216" s="3"/>
      <c r="I216" s="3"/>
      <c r="J216" s="3"/>
    </row>
    <row r="217" spans="8:10" x14ac:dyDescent="0.3">
      <c r="H217" s="3"/>
      <c r="I217" s="3"/>
      <c r="J217" s="3"/>
    </row>
    <row r="218" spans="8:10" x14ac:dyDescent="0.3">
      <c r="H218" s="3"/>
      <c r="I218" s="3"/>
      <c r="J218" s="3"/>
    </row>
    <row r="219" spans="8:10" x14ac:dyDescent="0.3">
      <c r="H219" s="3"/>
      <c r="I219" s="3"/>
      <c r="J219" s="3"/>
    </row>
    <row r="220" spans="8:10" x14ac:dyDescent="0.3">
      <c r="H220" s="3"/>
      <c r="I220" s="3"/>
      <c r="J220" s="3"/>
    </row>
    <row r="221" spans="8:10" x14ac:dyDescent="0.3">
      <c r="H221" s="3"/>
      <c r="I221" s="3"/>
      <c r="J221" s="3"/>
    </row>
    <row r="222" spans="8:10" x14ac:dyDescent="0.3">
      <c r="H222" s="3"/>
      <c r="I222" s="3"/>
      <c r="J222" s="3"/>
    </row>
    <row r="223" spans="8:10" x14ac:dyDescent="0.3">
      <c r="H223" s="3"/>
      <c r="I223" s="3"/>
      <c r="J223" s="3"/>
    </row>
    <row r="224" spans="8:10" x14ac:dyDescent="0.3">
      <c r="H224" s="3"/>
      <c r="I224" s="3"/>
      <c r="J224" s="3"/>
    </row>
    <row r="225" spans="8:10" x14ac:dyDescent="0.3">
      <c r="H225" s="3"/>
      <c r="I225" s="3"/>
      <c r="J225" s="3"/>
    </row>
    <row r="226" spans="8:10" x14ac:dyDescent="0.3">
      <c r="H226" s="3"/>
      <c r="I226" s="3"/>
      <c r="J226" s="3"/>
    </row>
    <row r="227" spans="8:10" x14ac:dyDescent="0.3">
      <c r="H227" s="3"/>
      <c r="I227" s="3"/>
      <c r="J227" s="3"/>
    </row>
    <row r="228" spans="8:10" x14ac:dyDescent="0.3">
      <c r="H228" s="3"/>
      <c r="I228" s="3"/>
      <c r="J228" s="3"/>
    </row>
    <row r="229" spans="8:10" x14ac:dyDescent="0.3">
      <c r="H229" s="3"/>
      <c r="I229" s="3"/>
      <c r="J229" s="3"/>
    </row>
    <row r="230" spans="8:10" x14ac:dyDescent="0.3">
      <c r="H230" s="3"/>
      <c r="I230" s="3"/>
      <c r="J230" s="3"/>
    </row>
    <row r="231" spans="8:10" x14ac:dyDescent="0.3">
      <c r="H231" s="3"/>
      <c r="I231" s="3"/>
      <c r="J231" s="3"/>
    </row>
    <row r="232" spans="8:10" x14ac:dyDescent="0.3">
      <c r="H232" s="3"/>
      <c r="I232" s="3"/>
      <c r="J232" s="3"/>
    </row>
    <row r="233" spans="8:10" x14ac:dyDescent="0.3">
      <c r="H233" s="3"/>
      <c r="I233" s="3"/>
      <c r="J233" s="3"/>
    </row>
    <row r="234" spans="8:10" x14ac:dyDescent="0.3">
      <c r="H234" s="3"/>
      <c r="I234" s="3"/>
      <c r="J234" s="3"/>
    </row>
    <row r="235" spans="8:10" x14ac:dyDescent="0.3">
      <c r="H235" s="3"/>
      <c r="I235" s="3"/>
      <c r="J235" s="3"/>
    </row>
    <row r="236" spans="8:10" x14ac:dyDescent="0.3">
      <c r="H236" s="3"/>
      <c r="I236" s="3"/>
      <c r="J236" s="3"/>
    </row>
    <row r="237" spans="8:10" x14ac:dyDescent="0.3">
      <c r="H237" s="3"/>
      <c r="I237" s="3"/>
      <c r="J237" s="3"/>
    </row>
    <row r="238" spans="8:10" x14ac:dyDescent="0.3">
      <c r="H238" s="3"/>
      <c r="I238" s="3"/>
      <c r="J238" s="3"/>
    </row>
    <row r="239" spans="8:10" x14ac:dyDescent="0.3">
      <c r="H239" s="3"/>
      <c r="I239" s="3"/>
      <c r="J239" s="3"/>
    </row>
    <row r="240" spans="8:10" x14ac:dyDescent="0.3">
      <c r="H240" s="3"/>
      <c r="I240" s="3"/>
      <c r="J240" s="3"/>
    </row>
    <row r="241" spans="8:10" x14ac:dyDescent="0.3">
      <c r="H241" s="3"/>
      <c r="I241" s="3"/>
      <c r="J241" s="3"/>
    </row>
    <row r="242" spans="8:10" x14ac:dyDescent="0.3">
      <c r="H242" s="3"/>
      <c r="I242" s="3"/>
      <c r="J242" s="3"/>
    </row>
    <row r="243" spans="8:10" x14ac:dyDescent="0.3">
      <c r="H243" s="3"/>
      <c r="I243" s="3"/>
      <c r="J243" s="3"/>
    </row>
    <row r="244" spans="8:10" x14ac:dyDescent="0.3">
      <c r="H244" s="3"/>
      <c r="I244" s="3"/>
      <c r="J244" s="3"/>
    </row>
    <row r="245" spans="8:10" x14ac:dyDescent="0.3">
      <c r="H245" s="3"/>
      <c r="I245" s="3"/>
      <c r="J245" s="3"/>
    </row>
    <row r="246" spans="8:10" x14ac:dyDescent="0.3">
      <c r="H246" s="3"/>
      <c r="I246" s="3"/>
      <c r="J246" s="3"/>
    </row>
    <row r="247" spans="8:10" x14ac:dyDescent="0.3">
      <c r="H247" s="3"/>
      <c r="I247" s="3"/>
      <c r="J247" s="3"/>
    </row>
    <row r="248" spans="8:10" x14ac:dyDescent="0.3">
      <c r="H248" s="3"/>
      <c r="I248" s="3"/>
      <c r="J248" s="3"/>
    </row>
    <row r="249" spans="8:10" x14ac:dyDescent="0.3">
      <c r="H249" s="3"/>
      <c r="I249" s="3"/>
      <c r="J249" s="3"/>
    </row>
    <row r="250" spans="8:10" x14ac:dyDescent="0.3">
      <c r="H250" s="3"/>
      <c r="I250" s="3"/>
      <c r="J250" s="3"/>
    </row>
    <row r="251" spans="8:10" x14ac:dyDescent="0.3">
      <c r="H251" s="3"/>
      <c r="I251" s="3"/>
      <c r="J251" s="3"/>
    </row>
    <row r="252" spans="8:10" x14ac:dyDescent="0.3">
      <c r="H252" s="3"/>
      <c r="I252" s="3"/>
      <c r="J252" s="3"/>
    </row>
    <row r="253" spans="8:10" x14ac:dyDescent="0.3">
      <c r="H253" s="3"/>
      <c r="I253" s="3"/>
      <c r="J253" s="3"/>
    </row>
    <row r="254" spans="8:10" x14ac:dyDescent="0.3">
      <c r="H254" s="3"/>
      <c r="I254" s="3"/>
      <c r="J254" s="3"/>
    </row>
    <row r="255" spans="8:10" x14ac:dyDescent="0.3">
      <c r="H255" s="3"/>
      <c r="I255" s="3"/>
      <c r="J255" s="3"/>
    </row>
    <row r="256" spans="8:10" x14ac:dyDescent="0.3">
      <c r="H256" s="3"/>
      <c r="I256" s="3"/>
      <c r="J256" s="3"/>
    </row>
    <row r="257" spans="8:10" x14ac:dyDescent="0.3">
      <c r="H257" s="3"/>
      <c r="I257" s="3"/>
      <c r="J257" s="3"/>
    </row>
    <row r="258" spans="8:10" x14ac:dyDescent="0.3">
      <c r="H258" s="3"/>
      <c r="I258" s="3"/>
      <c r="J258" s="3"/>
    </row>
    <row r="259" spans="8:10" x14ac:dyDescent="0.3">
      <c r="H259" s="3"/>
      <c r="I259" s="3"/>
      <c r="J259" s="3"/>
    </row>
    <row r="260" spans="8:10" x14ac:dyDescent="0.3">
      <c r="H260" s="3"/>
      <c r="I260" s="3"/>
      <c r="J260" s="3"/>
    </row>
    <row r="261" spans="8:10" x14ac:dyDescent="0.3">
      <c r="H261" s="3"/>
      <c r="I261" s="3"/>
      <c r="J261" s="3"/>
    </row>
    <row r="262" spans="8:10" x14ac:dyDescent="0.3">
      <c r="H262" s="3"/>
      <c r="I262" s="3"/>
      <c r="J262" s="3"/>
    </row>
    <row r="263" spans="8:10" x14ac:dyDescent="0.3">
      <c r="H263" s="3"/>
      <c r="I263" s="3"/>
      <c r="J263" s="3"/>
    </row>
    <row r="264" spans="8:10" x14ac:dyDescent="0.3">
      <c r="H264" s="3"/>
      <c r="I264" s="3"/>
      <c r="J264" s="3"/>
    </row>
    <row r="265" spans="8:10" x14ac:dyDescent="0.3">
      <c r="H265" s="3"/>
      <c r="I265" s="3"/>
      <c r="J265" s="3"/>
    </row>
    <row r="266" spans="8:10" x14ac:dyDescent="0.3">
      <c r="H266" s="3"/>
      <c r="I266" s="3"/>
      <c r="J266" s="3"/>
    </row>
    <row r="267" spans="8:10" x14ac:dyDescent="0.3">
      <c r="H267" s="3"/>
      <c r="I267" s="3"/>
      <c r="J267" s="3"/>
    </row>
    <row r="268" spans="8:10" x14ac:dyDescent="0.3">
      <c r="H268" s="3"/>
      <c r="I268" s="3"/>
      <c r="J268" s="3"/>
    </row>
    <row r="269" spans="8:10" x14ac:dyDescent="0.3">
      <c r="H269" s="3"/>
      <c r="I269" s="3"/>
      <c r="J269" s="3"/>
    </row>
    <row r="270" spans="8:10" x14ac:dyDescent="0.3">
      <c r="H270" s="3"/>
      <c r="I270" s="3"/>
      <c r="J270" s="3"/>
    </row>
    <row r="271" spans="8:10" x14ac:dyDescent="0.3">
      <c r="H271" s="3"/>
      <c r="I271" s="3"/>
      <c r="J271" s="3"/>
    </row>
    <row r="272" spans="8:10" x14ac:dyDescent="0.3">
      <c r="H272" s="3"/>
      <c r="I272" s="3"/>
      <c r="J272" s="3"/>
    </row>
    <row r="273" spans="8:10" x14ac:dyDescent="0.3">
      <c r="H273" s="3"/>
      <c r="I273" s="3"/>
      <c r="J273" s="3"/>
    </row>
    <row r="274" spans="8:10" x14ac:dyDescent="0.3">
      <c r="H274" s="3"/>
      <c r="I274" s="3"/>
      <c r="J274" s="3"/>
    </row>
    <row r="275" spans="8:10" x14ac:dyDescent="0.3">
      <c r="H275" s="3"/>
      <c r="I275" s="3"/>
      <c r="J275" s="3"/>
    </row>
    <row r="276" spans="8:10" x14ac:dyDescent="0.3">
      <c r="H276" s="3"/>
      <c r="I276" s="3"/>
      <c r="J276" s="3"/>
    </row>
    <row r="277" spans="8:10" x14ac:dyDescent="0.3">
      <c r="H277" s="3"/>
      <c r="I277" s="3"/>
      <c r="J277" s="3"/>
    </row>
    <row r="278" spans="8:10" x14ac:dyDescent="0.3">
      <c r="H278" s="3"/>
      <c r="I278" s="3"/>
      <c r="J278" s="3"/>
    </row>
    <row r="279" spans="8:10" x14ac:dyDescent="0.3">
      <c r="H279" s="3"/>
      <c r="I279" s="3"/>
      <c r="J279" s="3"/>
    </row>
    <row r="280" spans="8:10" x14ac:dyDescent="0.3">
      <c r="H280" s="3"/>
      <c r="I280" s="3"/>
      <c r="J280" s="3"/>
    </row>
    <row r="281" spans="8:10" x14ac:dyDescent="0.3">
      <c r="H281" s="3"/>
      <c r="I281" s="3"/>
      <c r="J281" s="3"/>
    </row>
    <row r="282" spans="8:10" x14ac:dyDescent="0.3">
      <c r="H282" s="3"/>
      <c r="I282" s="3"/>
      <c r="J282" s="3"/>
    </row>
    <row r="283" spans="8:10" x14ac:dyDescent="0.3">
      <c r="H283" s="3"/>
      <c r="I283" s="3"/>
      <c r="J283" s="3"/>
    </row>
    <row r="284" spans="8:10" x14ac:dyDescent="0.3">
      <c r="H284" s="3"/>
      <c r="I284" s="3"/>
      <c r="J284" s="3"/>
    </row>
    <row r="285" spans="8:10" x14ac:dyDescent="0.3">
      <c r="H285" s="3"/>
      <c r="I285" s="3"/>
      <c r="J285" s="3"/>
    </row>
    <row r="286" spans="8:10" x14ac:dyDescent="0.3">
      <c r="H286" s="3"/>
      <c r="I286" s="3"/>
      <c r="J286" s="3"/>
    </row>
    <row r="287" spans="8:10" x14ac:dyDescent="0.3">
      <c r="H287" s="3"/>
      <c r="I287" s="3"/>
      <c r="J287" s="3"/>
    </row>
    <row r="288" spans="8:10" x14ac:dyDescent="0.3">
      <c r="H288" s="3"/>
      <c r="I288" s="3"/>
      <c r="J288" s="3"/>
    </row>
    <row r="289" spans="8:10" x14ac:dyDescent="0.3">
      <c r="H289" s="3"/>
      <c r="I289" s="3"/>
      <c r="J289" s="3"/>
    </row>
    <row r="290" spans="8:10" x14ac:dyDescent="0.3">
      <c r="H290" s="3"/>
      <c r="I290" s="3"/>
      <c r="J290" s="3"/>
    </row>
    <row r="291" spans="8:10" x14ac:dyDescent="0.3">
      <c r="H291" s="3"/>
      <c r="I291" s="3"/>
      <c r="J291" s="3"/>
    </row>
    <row r="292" spans="8:10" x14ac:dyDescent="0.3">
      <c r="H292" s="3"/>
      <c r="I292" s="3"/>
      <c r="J292" s="3"/>
    </row>
    <row r="293" spans="8:10" x14ac:dyDescent="0.3">
      <c r="H293" s="3"/>
      <c r="I293" s="3"/>
      <c r="J293" s="3"/>
    </row>
    <row r="294" spans="8:10" x14ac:dyDescent="0.3">
      <c r="H294" s="3"/>
      <c r="I294" s="3"/>
      <c r="J294" s="3"/>
    </row>
    <row r="295" spans="8:10" x14ac:dyDescent="0.3">
      <c r="H295" s="3"/>
      <c r="I295" s="3"/>
      <c r="J295" s="3"/>
    </row>
    <row r="296" spans="8:10" x14ac:dyDescent="0.3">
      <c r="H296" s="3"/>
      <c r="I296" s="3"/>
      <c r="J296" s="3"/>
    </row>
    <row r="297" spans="8:10" x14ac:dyDescent="0.3">
      <c r="H297" s="3"/>
      <c r="I297" s="3"/>
      <c r="J297" s="3"/>
    </row>
    <row r="298" spans="8:10" x14ac:dyDescent="0.3">
      <c r="H298" s="3"/>
      <c r="I298" s="3"/>
      <c r="J298" s="3"/>
    </row>
    <row r="299" spans="8:10" x14ac:dyDescent="0.3">
      <c r="H299" s="3"/>
      <c r="I299" s="3"/>
      <c r="J299" s="3"/>
    </row>
    <row r="300" spans="8:10" x14ac:dyDescent="0.3">
      <c r="H300" s="3"/>
      <c r="I300" s="3"/>
      <c r="J300" s="3"/>
    </row>
    <row r="301" spans="8:10" x14ac:dyDescent="0.3">
      <c r="H301" s="3"/>
      <c r="I301" s="3"/>
      <c r="J301" s="3"/>
    </row>
    <row r="302" spans="8:10" x14ac:dyDescent="0.3">
      <c r="H302" s="3"/>
      <c r="I302" s="3"/>
      <c r="J302" s="3"/>
    </row>
    <row r="303" spans="8:10" x14ac:dyDescent="0.3">
      <c r="H303" s="3"/>
      <c r="I303" s="3"/>
      <c r="J303" s="3"/>
    </row>
    <row r="304" spans="8:10" x14ac:dyDescent="0.3">
      <c r="H304" s="3"/>
      <c r="I304" s="3"/>
      <c r="J304" s="3"/>
    </row>
    <row r="305" spans="8:10" x14ac:dyDescent="0.3">
      <c r="H305" s="3"/>
      <c r="I305" s="3"/>
      <c r="J305" s="3"/>
    </row>
    <row r="306" spans="8:10" x14ac:dyDescent="0.3">
      <c r="H306" s="3"/>
      <c r="I306" s="3"/>
      <c r="J306" s="3"/>
    </row>
    <row r="307" spans="8:10" x14ac:dyDescent="0.3">
      <c r="H307" s="3"/>
      <c r="I307" s="3"/>
      <c r="J307" s="3"/>
    </row>
    <row r="308" spans="8:10" x14ac:dyDescent="0.3">
      <c r="H308" s="3"/>
      <c r="I308" s="3"/>
      <c r="J308" s="3"/>
    </row>
    <row r="309" spans="8:10" x14ac:dyDescent="0.3">
      <c r="H309" s="3"/>
      <c r="I309" s="3"/>
      <c r="J309" s="3"/>
    </row>
    <row r="310" spans="8:10" x14ac:dyDescent="0.3">
      <c r="H310" s="3"/>
      <c r="I310" s="3"/>
      <c r="J310" s="3"/>
    </row>
    <row r="311" spans="8:10" x14ac:dyDescent="0.3">
      <c r="H311" s="3"/>
      <c r="I311" s="3"/>
      <c r="J311" s="3"/>
    </row>
    <row r="312" spans="8:10" x14ac:dyDescent="0.3">
      <c r="H312" s="3"/>
      <c r="I312" s="3"/>
      <c r="J312" s="3"/>
    </row>
    <row r="313" spans="8:10" x14ac:dyDescent="0.3">
      <c r="H313" s="3"/>
      <c r="I313" s="3"/>
      <c r="J313" s="3"/>
    </row>
    <row r="314" spans="8:10" x14ac:dyDescent="0.3">
      <c r="H314" s="3"/>
      <c r="I314" s="3"/>
      <c r="J314" s="3"/>
    </row>
    <row r="315" spans="8:10" x14ac:dyDescent="0.3">
      <c r="H315" s="3"/>
      <c r="I315" s="3"/>
      <c r="J315" s="3"/>
    </row>
    <row r="316" spans="8:10" x14ac:dyDescent="0.3">
      <c r="H316" s="3"/>
      <c r="I316" s="3"/>
      <c r="J316" s="3"/>
    </row>
    <row r="317" spans="8:10" x14ac:dyDescent="0.3">
      <c r="H317" s="3"/>
      <c r="I317" s="3"/>
      <c r="J317" s="3"/>
    </row>
    <row r="318" spans="8:10" x14ac:dyDescent="0.3">
      <c r="H318" s="3"/>
      <c r="I318" s="3"/>
      <c r="J318" s="3"/>
    </row>
    <row r="319" spans="8:10" x14ac:dyDescent="0.3">
      <c r="H319" s="3"/>
      <c r="I319" s="3"/>
      <c r="J319" s="3"/>
    </row>
    <row r="320" spans="8:10" x14ac:dyDescent="0.3">
      <c r="H320" s="3"/>
      <c r="I320" s="3"/>
      <c r="J320" s="3"/>
    </row>
    <row r="321" spans="8:10" x14ac:dyDescent="0.3">
      <c r="H321" s="3"/>
      <c r="I321" s="3"/>
      <c r="J321" s="3"/>
    </row>
    <row r="322" spans="8:10" x14ac:dyDescent="0.3">
      <c r="H322" s="3"/>
      <c r="I322" s="3"/>
      <c r="J322" s="3"/>
    </row>
    <row r="323" spans="8:10" x14ac:dyDescent="0.3">
      <c r="H323" s="3"/>
      <c r="I323" s="3"/>
      <c r="J323" s="3"/>
    </row>
    <row r="324" spans="8:10" x14ac:dyDescent="0.3">
      <c r="H324" s="3"/>
      <c r="I324" s="3"/>
      <c r="J324" s="3"/>
    </row>
    <row r="325" spans="8:10" x14ac:dyDescent="0.3">
      <c r="H325" s="3"/>
      <c r="I325" s="3"/>
      <c r="J325" s="3"/>
    </row>
    <row r="326" spans="8:10" x14ac:dyDescent="0.3">
      <c r="H326" s="3"/>
      <c r="I326" s="3"/>
      <c r="J326" s="3"/>
    </row>
    <row r="327" spans="8:10" x14ac:dyDescent="0.3">
      <c r="H327" s="3"/>
      <c r="I327" s="3"/>
      <c r="J327" s="3"/>
    </row>
    <row r="328" spans="8:10" x14ac:dyDescent="0.3">
      <c r="H328" s="3"/>
      <c r="I328" s="3"/>
      <c r="J328" s="3"/>
    </row>
    <row r="329" spans="8:10" x14ac:dyDescent="0.3">
      <c r="H329" s="3"/>
      <c r="I329" s="3"/>
      <c r="J329" s="3"/>
    </row>
    <row r="330" spans="8:10" x14ac:dyDescent="0.3">
      <c r="H330" s="3"/>
      <c r="I330" s="3"/>
      <c r="J330" s="3"/>
    </row>
    <row r="331" spans="8:10" x14ac:dyDescent="0.3">
      <c r="H331" s="3"/>
      <c r="I331" s="3"/>
      <c r="J331" s="3"/>
    </row>
    <row r="332" spans="8:10" x14ac:dyDescent="0.3">
      <c r="H332" s="3"/>
      <c r="I332" s="3"/>
      <c r="J332" s="3"/>
    </row>
    <row r="333" spans="8:10" x14ac:dyDescent="0.3">
      <c r="H333" s="3"/>
      <c r="I333" s="3"/>
      <c r="J333" s="3"/>
    </row>
    <row r="334" spans="8:10" x14ac:dyDescent="0.3">
      <c r="H334" s="3"/>
      <c r="I334" s="3"/>
      <c r="J334" s="3"/>
    </row>
    <row r="335" spans="8:10" x14ac:dyDescent="0.3">
      <c r="H335" s="3"/>
      <c r="I335" s="3"/>
      <c r="J335" s="3"/>
    </row>
    <row r="336" spans="8:10" x14ac:dyDescent="0.3">
      <c r="H336" s="3"/>
      <c r="I336" s="3"/>
      <c r="J336" s="3"/>
    </row>
    <row r="337" spans="8:10" x14ac:dyDescent="0.3">
      <c r="H337" s="3"/>
      <c r="I337" s="3"/>
      <c r="J337" s="3"/>
    </row>
    <row r="338" spans="8:10" x14ac:dyDescent="0.3">
      <c r="H338" s="3"/>
      <c r="I338" s="3"/>
      <c r="J338" s="3"/>
    </row>
    <row r="339" spans="8:10" x14ac:dyDescent="0.3">
      <c r="H339" s="3"/>
      <c r="I339" s="3"/>
      <c r="J339" s="3"/>
    </row>
    <row r="340" spans="8:10" x14ac:dyDescent="0.3">
      <c r="H340" s="3"/>
      <c r="I340" s="3"/>
      <c r="J340" s="3"/>
    </row>
    <row r="341" spans="8:10" x14ac:dyDescent="0.3">
      <c r="H341" s="3"/>
      <c r="I341" s="3"/>
      <c r="J341" s="3"/>
    </row>
    <row r="342" spans="8:10" x14ac:dyDescent="0.3">
      <c r="H342" s="3"/>
      <c r="I342" s="3"/>
      <c r="J342" s="3"/>
    </row>
    <row r="343" spans="8:10" x14ac:dyDescent="0.3">
      <c r="H343" s="3"/>
      <c r="I343" s="3"/>
      <c r="J343" s="3"/>
    </row>
    <row r="344" spans="8:10" x14ac:dyDescent="0.3">
      <c r="H344" s="3"/>
      <c r="I344" s="3"/>
      <c r="J344" s="3"/>
    </row>
    <row r="345" spans="8:10" x14ac:dyDescent="0.3">
      <c r="H345" s="3"/>
      <c r="I345" s="3"/>
      <c r="J345" s="3"/>
    </row>
    <row r="346" spans="8:10" x14ac:dyDescent="0.3">
      <c r="H346" s="3"/>
      <c r="I346" s="3"/>
      <c r="J346" s="3"/>
    </row>
    <row r="347" spans="8:10" x14ac:dyDescent="0.3">
      <c r="H347" s="3"/>
      <c r="I347" s="3"/>
      <c r="J347" s="3"/>
    </row>
    <row r="348" spans="8:10" x14ac:dyDescent="0.3">
      <c r="H348" s="3"/>
      <c r="I348" s="3"/>
      <c r="J348" s="3"/>
    </row>
    <row r="349" spans="8:10" x14ac:dyDescent="0.3">
      <c r="H349" s="3"/>
      <c r="I349" s="3"/>
      <c r="J349" s="3"/>
    </row>
    <row r="350" spans="8:10" x14ac:dyDescent="0.3">
      <c r="H350" s="3"/>
      <c r="I350" s="3"/>
      <c r="J350" s="3"/>
    </row>
    <row r="351" spans="8:10" x14ac:dyDescent="0.3">
      <c r="H351" s="3"/>
      <c r="I351" s="3"/>
      <c r="J351" s="3"/>
    </row>
    <row r="352" spans="8:10" x14ac:dyDescent="0.3">
      <c r="H352" s="3"/>
      <c r="I352" s="3"/>
      <c r="J352" s="3"/>
    </row>
    <row r="353" spans="8:10" x14ac:dyDescent="0.3">
      <c r="H353" s="3"/>
      <c r="I353" s="3"/>
      <c r="J353" s="3"/>
    </row>
    <row r="354" spans="8:10" x14ac:dyDescent="0.3">
      <c r="H354" s="3"/>
      <c r="I354" s="3"/>
      <c r="J354" s="3"/>
    </row>
    <row r="355" spans="8:10" x14ac:dyDescent="0.3">
      <c r="H355" s="3"/>
      <c r="I355" s="3"/>
      <c r="J355" s="3"/>
    </row>
    <row r="356" spans="8:10" x14ac:dyDescent="0.3">
      <c r="H356" s="3"/>
      <c r="I356" s="3"/>
      <c r="J356" s="3"/>
    </row>
    <row r="357" spans="8:10" x14ac:dyDescent="0.3">
      <c r="H357" s="3"/>
      <c r="I357" s="3"/>
      <c r="J357" s="3"/>
    </row>
    <row r="358" spans="8:10" x14ac:dyDescent="0.3">
      <c r="H358" s="3"/>
      <c r="I358" s="3"/>
      <c r="J358" s="3"/>
    </row>
    <row r="359" spans="8:10" x14ac:dyDescent="0.3">
      <c r="H359" s="3"/>
      <c r="I359" s="3"/>
      <c r="J359" s="3"/>
    </row>
    <row r="360" spans="8:10" x14ac:dyDescent="0.3">
      <c r="H360" s="3"/>
      <c r="I360" s="3"/>
      <c r="J360" s="3"/>
    </row>
    <row r="361" spans="8:10" x14ac:dyDescent="0.3">
      <c r="H361" s="3"/>
      <c r="I361" s="3"/>
      <c r="J361" s="3"/>
    </row>
    <row r="362" spans="8:10" x14ac:dyDescent="0.3">
      <c r="H362" s="3"/>
      <c r="I362" s="3"/>
      <c r="J362" s="3"/>
    </row>
    <row r="363" spans="8:10" x14ac:dyDescent="0.3">
      <c r="H363" s="3"/>
      <c r="I363" s="3"/>
      <c r="J363" s="3"/>
    </row>
    <row r="364" spans="8:10" x14ac:dyDescent="0.3">
      <c r="H364" s="3"/>
      <c r="I364" s="3"/>
      <c r="J364" s="3"/>
    </row>
    <row r="365" spans="8:10" x14ac:dyDescent="0.3">
      <c r="H365" s="3"/>
      <c r="I365" s="3"/>
      <c r="J365" s="3"/>
    </row>
    <row r="366" spans="8:10" x14ac:dyDescent="0.3">
      <c r="H366" s="3"/>
      <c r="I366" s="3"/>
      <c r="J366" s="3"/>
    </row>
    <row r="367" spans="8:10" x14ac:dyDescent="0.3">
      <c r="H367" s="3"/>
      <c r="I367" s="3"/>
      <c r="J367" s="3"/>
    </row>
    <row r="368" spans="8:10" x14ac:dyDescent="0.3">
      <c r="H368" s="3"/>
      <c r="I368" s="3"/>
      <c r="J368" s="3"/>
    </row>
    <row r="369" spans="8:10" x14ac:dyDescent="0.3">
      <c r="H369" s="3"/>
      <c r="I369" s="3"/>
      <c r="J369" s="3"/>
    </row>
    <row r="370" spans="8:10" x14ac:dyDescent="0.3">
      <c r="H370" s="3"/>
      <c r="I370" s="3"/>
      <c r="J370" s="3"/>
    </row>
    <row r="371" spans="8:10" x14ac:dyDescent="0.3">
      <c r="H371" s="3"/>
      <c r="I371" s="3"/>
      <c r="J371" s="3"/>
    </row>
    <row r="372" spans="8:10" x14ac:dyDescent="0.3">
      <c r="H372" s="3"/>
      <c r="I372" s="3"/>
      <c r="J372" s="3"/>
    </row>
    <row r="373" spans="8:10" x14ac:dyDescent="0.3">
      <c r="H373" s="3"/>
      <c r="I373" s="3"/>
      <c r="J373" s="3"/>
    </row>
    <row r="374" spans="8:10" x14ac:dyDescent="0.3">
      <c r="H374" s="3"/>
      <c r="I374" s="3"/>
      <c r="J374" s="3"/>
    </row>
    <row r="375" spans="8:10" x14ac:dyDescent="0.3">
      <c r="H375" s="3"/>
      <c r="I375" s="3"/>
      <c r="J375" s="3"/>
    </row>
    <row r="376" spans="8:10" x14ac:dyDescent="0.3">
      <c r="H376" s="3"/>
      <c r="I376" s="3"/>
      <c r="J376" s="3"/>
    </row>
    <row r="377" spans="8:10" x14ac:dyDescent="0.3">
      <c r="H377" s="3"/>
      <c r="I377" s="3"/>
      <c r="J377" s="3"/>
    </row>
    <row r="378" spans="8:10" x14ac:dyDescent="0.3">
      <c r="H378" s="3"/>
      <c r="I378" s="3"/>
      <c r="J378" s="3"/>
    </row>
    <row r="379" spans="8:10" x14ac:dyDescent="0.3">
      <c r="H379" s="3"/>
      <c r="I379" s="3"/>
      <c r="J379" s="3"/>
    </row>
    <row r="380" spans="8:10" x14ac:dyDescent="0.3">
      <c r="H380" s="3"/>
      <c r="I380" s="3"/>
      <c r="J380" s="3"/>
    </row>
    <row r="381" spans="8:10" x14ac:dyDescent="0.3">
      <c r="H381" s="3"/>
      <c r="I381" s="3"/>
      <c r="J381" s="3"/>
    </row>
    <row r="382" spans="8:10" x14ac:dyDescent="0.3">
      <c r="H382" s="3"/>
      <c r="I382" s="3"/>
      <c r="J382" s="3"/>
    </row>
    <row r="383" spans="8:10" x14ac:dyDescent="0.3">
      <c r="H383" s="3"/>
      <c r="I383" s="3"/>
      <c r="J383" s="3"/>
    </row>
    <row r="384" spans="8:10" x14ac:dyDescent="0.3">
      <c r="H384" s="3"/>
      <c r="I384" s="3"/>
      <c r="J384" s="3"/>
    </row>
    <row r="385" spans="8:10" x14ac:dyDescent="0.3">
      <c r="H385" s="3"/>
      <c r="I385" s="3"/>
      <c r="J385" s="3"/>
    </row>
    <row r="386" spans="8:10" x14ac:dyDescent="0.3">
      <c r="H386" s="3"/>
      <c r="I386" s="3"/>
      <c r="J386" s="3"/>
    </row>
    <row r="387" spans="8:10" x14ac:dyDescent="0.3">
      <c r="H387" s="3"/>
      <c r="I387" s="3"/>
      <c r="J387" s="3"/>
    </row>
    <row r="388" spans="8:10" x14ac:dyDescent="0.3">
      <c r="H388" s="3"/>
      <c r="I388" s="3"/>
      <c r="J388" s="3"/>
    </row>
    <row r="389" spans="8:10" x14ac:dyDescent="0.3">
      <c r="H389" s="3"/>
      <c r="I389" s="3"/>
      <c r="J389" s="3"/>
    </row>
    <row r="390" spans="8:10" x14ac:dyDescent="0.3">
      <c r="H390" s="3"/>
      <c r="I390" s="3"/>
      <c r="J390" s="3"/>
    </row>
    <row r="391" spans="8:10" x14ac:dyDescent="0.3">
      <c r="H391" s="3"/>
      <c r="I391" s="3"/>
      <c r="J391" s="3"/>
    </row>
    <row r="392" spans="8:10" x14ac:dyDescent="0.3">
      <c r="H392" s="3"/>
      <c r="I392" s="3"/>
      <c r="J392" s="3"/>
    </row>
    <row r="393" spans="8:10" x14ac:dyDescent="0.3">
      <c r="H393" s="3"/>
      <c r="I393" s="3"/>
      <c r="J393" s="3"/>
    </row>
    <row r="394" spans="8:10" x14ac:dyDescent="0.3">
      <c r="H394" s="3"/>
      <c r="I394" s="3"/>
      <c r="J394" s="3"/>
    </row>
    <row r="395" spans="8:10" x14ac:dyDescent="0.3">
      <c r="H395" s="3"/>
      <c r="I395" s="3"/>
      <c r="J395" s="3"/>
    </row>
    <row r="396" spans="8:10" x14ac:dyDescent="0.3">
      <c r="H396" s="3"/>
      <c r="I396" s="3"/>
      <c r="J396" s="3"/>
    </row>
    <row r="397" spans="8:10" x14ac:dyDescent="0.3">
      <c r="H397" s="3"/>
      <c r="I397" s="3"/>
      <c r="J397" s="3"/>
    </row>
    <row r="398" spans="8:10" x14ac:dyDescent="0.3">
      <c r="H398" s="3"/>
      <c r="I398" s="3"/>
      <c r="J398" s="3"/>
    </row>
    <row r="399" spans="8:10" x14ac:dyDescent="0.3">
      <c r="H399" s="3"/>
      <c r="I399" s="3"/>
      <c r="J399" s="3"/>
    </row>
    <row r="400" spans="8:10" x14ac:dyDescent="0.3">
      <c r="H400" s="3"/>
      <c r="I400" s="3"/>
      <c r="J400" s="3"/>
    </row>
    <row r="401" spans="8:10" x14ac:dyDescent="0.3">
      <c r="H401" s="3"/>
      <c r="I401" s="3"/>
      <c r="J401" s="3"/>
    </row>
    <row r="402" spans="8:10" x14ac:dyDescent="0.3">
      <c r="H402" s="3"/>
      <c r="I402" s="3"/>
      <c r="J402" s="3"/>
    </row>
    <row r="403" spans="8:10" x14ac:dyDescent="0.3">
      <c r="H403" s="3"/>
      <c r="I403" s="3"/>
      <c r="J403" s="3"/>
    </row>
    <row r="404" spans="8:10" x14ac:dyDescent="0.3">
      <c r="H404" s="3"/>
      <c r="I404" s="3"/>
      <c r="J404" s="3"/>
    </row>
    <row r="405" spans="8:10" x14ac:dyDescent="0.3">
      <c r="H405" s="3"/>
      <c r="I405" s="3"/>
      <c r="J405" s="3"/>
    </row>
    <row r="406" spans="8:10" x14ac:dyDescent="0.3">
      <c r="H406" s="3"/>
      <c r="I406" s="3"/>
      <c r="J406" s="3"/>
    </row>
    <row r="407" spans="8:10" x14ac:dyDescent="0.3">
      <c r="H407" s="3"/>
      <c r="I407" s="3"/>
      <c r="J407" s="3"/>
    </row>
    <row r="408" spans="8:10" x14ac:dyDescent="0.3">
      <c r="H408" s="3"/>
      <c r="I408" s="3"/>
      <c r="J408" s="3"/>
    </row>
    <row r="409" spans="8:10" x14ac:dyDescent="0.3">
      <c r="H409" s="3"/>
      <c r="I409" s="3"/>
      <c r="J409" s="3"/>
    </row>
    <row r="410" spans="8:10" x14ac:dyDescent="0.3">
      <c r="H410" s="3"/>
      <c r="I410" s="3"/>
      <c r="J410" s="3"/>
    </row>
    <row r="411" spans="8:10" x14ac:dyDescent="0.3">
      <c r="H411" s="3"/>
      <c r="I411" s="3"/>
      <c r="J411" s="3"/>
    </row>
    <row r="412" spans="8:10" x14ac:dyDescent="0.3">
      <c r="H412" s="3"/>
      <c r="I412" s="3"/>
      <c r="J412" s="3"/>
    </row>
    <row r="413" spans="8:10" x14ac:dyDescent="0.3">
      <c r="H413" s="3"/>
      <c r="I413" s="3"/>
      <c r="J413" s="3"/>
    </row>
    <row r="414" spans="8:10" x14ac:dyDescent="0.3">
      <c r="H414" s="3"/>
      <c r="I414" s="3"/>
      <c r="J414" s="3"/>
    </row>
    <row r="415" spans="8:10" x14ac:dyDescent="0.3">
      <c r="H415" s="3"/>
      <c r="I415" s="3"/>
      <c r="J415" s="3"/>
    </row>
    <row r="416" spans="8:10" x14ac:dyDescent="0.3">
      <c r="H416" s="3"/>
      <c r="I416" s="3"/>
      <c r="J416" s="3"/>
    </row>
    <row r="417" spans="8:10" x14ac:dyDescent="0.3">
      <c r="H417" s="3"/>
      <c r="I417" s="3"/>
      <c r="J417" s="3"/>
    </row>
    <row r="418" spans="8:10" x14ac:dyDescent="0.3">
      <c r="H418" s="3"/>
      <c r="I418" s="3"/>
      <c r="J418" s="3"/>
    </row>
    <row r="419" spans="8:10" x14ac:dyDescent="0.3">
      <c r="H419" s="3"/>
      <c r="I419" s="3"/>
      <c r="J419" s="3"/>
    </row>
    <row r="420" spans="8:10" x14ac:dyDescent="0.3">
      <c r="H420" s="3"/>
      <c r="I420" s="3"/>
      <c r="J420" s="3"/>
    </row>
    <row r="421" spans="8:10" x14ac:dyDescent="0.3">
      <c r="H421" s="3"/>
      <c r="I421" s="3"/>
      <c r="J421" s="3"/>
    </row>
    <row r="422" spans="8:10" x14ac:dyDescent="0.3">
      <c r="H422" s="3"/>
      <c r="I422" s="3"/>
      <c r="J422" s="3"/>
    </row>
    <row r="423" spans="8:10" x14ac:dyDescent="0.3">
      <c r="H423" s="3"/>
      <c r="I423" s="3"/>
      <c r="J423" s="3"/>
    </row>
    <row r="424" spans="8:10" x14ac:dyDescent="0.3">
      <c r="H424" s="3"/>
      <c r="I424" s="3"/>
      <c r="J424" s="3"/>
    </row>
    <row r="425" spans="8:10" x14ac:dyDescent="0.3">
      <c r="H425" s="3"/>
      <c r="I425" s="3"/>
      <c r="J425" s="3"/>
    </row>
    <row r="426" spans="8:10" x14ac:dyDescent="0.3">
      <c r="H426" s="3"/>
      <c r="I426" s="3"/>
      <c r="J426" s="3"/>
    </row>
    <row r="427" spans="8:10" x14ac:dyDescent="0.3">
      <c r="H427" s="3"/>
      <c r="I427" s="3"/>
      <c r="J427" s="3"/>
    </row>
    <row r="428" spans="8:10" x14ac:dyDescent="0.3">
      <c r="H428" s="3"/>
      <c r="I428" s="3"/>
      <c r="J428" s="3"/>
    </row>
    <row r="429" spans="8:10" x14ac:dyDescent="0.3">
      <c r="H429" s="3"/>
      <c r="I429" s="3"/>
      <c r="J429" s="3"/>
    </row>
    <row r="430" spans="8:10" x14ac:dyDescent="0.3">
      <c r="H430" s="3"/>
      <c r="I430" s="3"/>
      <c r="J430" s="3"/>
    </row>
    <row r="431" spans="8:10" x14ac:dyDescent="0.3">
      <c r="H431" s="3"/>
      <c r="I431" s="3"/>
      <c r="J431" s="3"/>
    </row>
    <row r="432" spans="8:10" x14ac:dyDescent="0.3">
      <c r="H432" s="3"/>
      <c r="I432" s="3"/>
      <c r="J432" s="3"/>
    </row>
    <row r="433" spans="8:10" x14ac:dyDescent="0.3">
      <c r="H433" s="3"/>
      <c r="I433" s="3"/>
      <c r="J433" s="3"/>
    </row>
    <row r="434" spans="8:10" x14ac:dyDescent="0.3">
      <c r="H434" s="3"/>
      <c r="I434" s="3"/>
      <c r="J434" s="3"/>
    </row>
    <row r="435" spans="8:10" x14ac:dyDescent="0.3">
      <c r="H435" s="3"/>
      <c r="I435" s="3"/>
      <c r="J435" s="3"/>
    </row>
    <row r="436" spans="8:10" x14ac:dyDescent="0.3">
      <c r="H436" s="3"/>
      <c r="I436" s="3"/>
      <c r="J436" s="3"/>
    </row>
    <row r="437" spans="8:10" x14ac:dyDescent="0.3">
      <c r="H437" s="3"/>
      <c r="I437" s="3"/>
      <c r="J437" s="3"/>
    </row>
    <row r="438" spans="8:10" x14ac:dyDescent="0.3">
      <c r="H438" s="3"/>
      <c r="I438" s="3"/>
      <c r="J438" s="3"/>
    </row>
    <row r="439" spans="8:10" x14ac:dyDescent="0.3">
      <c r="H439" s="3"/>
      <c r="I439" s="3"/>
      <c r="J439" s="3"/>
    </row>
    <row r="440" spans="8:10" x14ac:dyDescent="0.3">
      <c r="H440" s="3"/>
      <c r="I440" s="3"/>
      <c r="J440" s="3"/>
    </row>
    <row r="441" spans="8:10" x14ac:dyDescent="0.3">
      <c r="H441" s="3"/>
      <c r="I441" s="3"/>
      <c r="J441" s="3"/>
    </row>
    <row r="442" spans="8:10" x14ac:dyDescent="0.3">
      <c r="H442" s="3"/>
      <c r="I442" s="3"/>
      <c r="J442" s="3"/>
    </row>
    <row r="443" spans="8:10" x14ac:dyDescent="0.3">
      <c r="H443" s="3"/>
      <c r="I443" s="3"/>
      <c r="J443" s="3"/>
    </row>
    <row r="444" spans="8:10" x14ac:dyDescent="0.3">
      <c r="H444" s="3"/>
      <c r="I444" s="3"/>
      <c r="J444" s="3"/>
    </row>
    <row r="445" spans="8:10" x14ac:dyDescent="0.3">
      <c r="H445" s="3"/>
      <c r="I445" s="3"/>
      <c r="J445" s="3"/>
    </row>
    <row r="446" spans="8:10" x14ac:dyDescent="0.3">
      <c r="H446" s="3"/>
      <c r="I446" s="3"/>
      <c r="J446" s="3"/>
    </row>
    <row r="447" spans="8:10" x14ac:dyDescent="0.3">
      <c r="H447" s="3"/>
      <c r="I447" s="3"/>
      <c r="J447" s="3"/>
    </row>
    <row r="448" spans="8:10" x14ac:dyDescent="0.3">
      <c r="H448" s="3"/>
      <c r="I448" s="3"/>
      <c r="J448" s="3"/>
    </row>
    <row r="449" spans="8:10" x14ac:dyDescent="0.3">
      <c r="H449" s="3"/>
      <c r="I449" s="3"/>
      <c r="J449" s="3"/>
    </row>
    <row r="450" spans="8:10" x14ac:dyDescent="0.3">
      <c r="H450" s="3"/>
      <c r="I450" s="3"/>
      <c r="J450" s="3"/>
    </row>
    <row r="451" spans="8:10" x14ac:dyDescent="0.3">
      <c r="H451" s="3"/>
      <c r="I451" s="3"/>
      <c r="J451" s="3"/>
    </row>
    <row r="452" spans="8:10" x14ac:dyDescent="0.3">
      <c r="H452" s="3"/>
      <c r="I452" s="3"/>
      <c r="J452" s="3"/>
    </row>
    <row r="453" spans="8:10" x14ac:dyDescent="0.3">
      <c r="H453" s="3"/>
      <c r="I453" s="3"/>
      <c r="J453" s="3"/>
    </row>
    <row r="454" spans="8:10" x14ac:dyDescent="0.3">
      <c r="H454" s="3"/>
      <c r="I454" s="3"/>
      <c r="J454" s="3"/>
    </row>
    <row r="455" spans="8:10" x14ac:dyDescent="0.3">
      <c r="H455" s="3"/>
      <c r="I455" s="3"/>
      <c r="J455" s="3"/>
    </row>
    <row r="456" spans="8:10" x14ac:dyDescent="0.3">
      <c r="H456" s="3"/>
      <c r="I456" s="3"/>
      <c r="J456" s="3"/>
    </row>
    <row r="457" spans="8:10" x14ac:dyDescent="0.3">
      <c r="H457" s="3"/>
      <c r="I457" s="3"/>
      <c r="J457" s="3"/>
    </row>
    <row r="458" spans="8:10" x14ac:dyDescent="0.3">
      <c r="H458" s="3"/>
      <c r="I458" s="3"/>
      <c r="J458" s="3"/>
    </row>
    <row r="459" spans="8:10" x14ac:dyDescent="0.3">
      <c r="H459" s="3"/>
      <c r="I459" s="3"/>
      <c r="J459" s="3"/>
    </row>
    <row r="460" spans="8:10" x14ac:dyDescent="0.3">
      <c r="H460" s="3"/>
      <c r="I460" s="3"/>
      <c r="J460" s="3"/>
    </row>
    <row r="461" spans="8:10" x14ac:dyDescent="0.3">
      <c r="H461" s="3"/>
      <c r="I461" s="3"/>
      <c r="J461" s="3"/>
    </row>
    <row r="462" spans="8:10" x14ac:dyDescent="0.3">
      <c r="H462" s="3"/>
      <c r="I462" s="3"/>
      <c r="J462" s="3"/>
    </row>
    <row r="463" spans="8:10" x14ac:dyDescent="0.3">
      <c r="H463" s="3"/>
      <c r="I463" s="3"/>
      <c r="J463" s="3"/>
    </row>
    <row r="464" spans="8:10" x14ac:dyDescent="0.3">
      <c r="H464" s="3"/>
      <c r="I464" s="3"/>
      <c r="J464" s="3"/>
    </row>
    <row r="465" spans="8:10" x14ac:dyDescent="0.3">
      <c r="H465" s="3"/>
      <c r="I465" s="3"/>
      <c r="J465" s="3"/>
    </row>
    <row r="466" spans="8:10" x14ac:dyDescent="0.3">
      <c r="H466" s="3"/>
      <c r="I466" s="3"/>
      <c r="J466" s="3"/>
    </row>
    <row r="467" spans="8:10" x14ac:dyDescent="0.3">
      <c r="H467" s="3"/>
      <c r="I467" s="3"/>
      <c r="J467" s="3"/>
    </row>
    <row r="468" spans="8:10" x14ac:dyDescent="0.3">
      <c r="H468" s="3"/>
      <c r="I468" s="3"/>
      <c r="J468" s="3"/>
    </row>
    <row r="469" spans="8:10" x14ac:dyDescent="0.3">
      <c r="H469" s="3"/>
      <c r="I469" s="3"/>
      <c r="J469" s="3"/>
    </row>
    <row r="470" spans="8:10" x14ac:dyDescent="0.3">
      <c r="H470" s="3"/>
      <c r="I470" s="3"/>
      <c r="J470" s="3"/>
    </row>
    <row r="471" spans="8:10" x14ac:dyDescent="0.3">
      <c r="H471" s="3"/>
      <c r="I471" s="3"/>
      <c r="J471" s="3"/>
    </row>
    <row r="472" spans="8:10" x14ac:dyDescent="0.3">
      <c r="H472" s="3"/>
      <c r="I472" s="3"/>
      <c r="J472" s="3"/>
    </row>
    <row r="473" spans="8:10" x14ac:dyDescent="0.3">
      <c r="H473" s="3"/>
      <c r="I473" s="3"/>
      <c r="J473" s="3"/>
    </row>
    <row r="474" spans="8:10" x14ac:dyDescent="0.3">
      <c r="H474" s="3"/>
      <c r="I474" s="3"/>
      <c r="J474" s="3"/>
    </row>
    <row r="475" spans="8:10" x14ac:dyDescent="0.3">
      <c r="H475" s="3"/>
      <c r="I475" s="3"/>
      <c r="J475" s="3"/>
    </row>
    <row r="476" spans="8:10" x14ac:dyDescent="0.3">
      <c r="H476" s="3"/>
      <c r="I476" s="3"/>
      <c r="J476" s="3"/>
    </row>
    <row r="477" spans="8:10" x14ac:dyDescent="0.3">
      <c r="H477" s="3"/>
      <c r="I477" s="3"/>
      <c r="J477" s="3"/>
    </row>
    <row r="478" spans="8:10" x14ac:dyDescent="0.3">
      <c r="H478" s="3"/>
      <c r="I478" s="3"/>
      <c r="J478" s="3"/>
    </row>
    <row r="479" spans="8:10" x14ac:dyDescent="0.3">
      <c r="H479" s="3"/>
      <c r="I479" s="3"/>
      <c r="J479" s="3"/>
    </row>
    <row r="480" spans="8:10" x14ac:dyDescent="0.3">
      <c r="H480" s="3"/>
      <c r="I480" s="3"/>
      <c r="J480" s="3"/>
    </row>
    <row r="481" spans="8:10" x14ac:dyDescent="0.3">
      <c r="H481" s="3"/>
      <c r="I481" s="3"/>
      <c r="J481" s="3"/>
    </row>
    <row r="482" spans="8:10" x14ac:dyDescent="0.3">
      <c r="H482" s="3"/>
      <c r="I482" s="3"/>
      <c r="J482" s="3"/>
    </row>
    <row r="483" spans="8:10" x14ac:dyDescent="0.3">
      <c r="H483" s="3"/>
      <c r="I483" s="3"/>
      <c r="J483" s="3"/>
    </row>
    <row r="484" spans="8:10" x14ac:dyDescent="0.3">
      <c r="H484" s="3"/>
      <c r="I484" s="3"/>
      <c r="J484" s="3"/>
    </row>
    <row r="485" spans="8:10" x14ac:dyDescent="0.3">
      <c r="H485" s="3"/>
      <c r="I485" s="3"/>
      <c r="J485" s="3"/>
    </row>
    <row r="486" spans="8:10" x14ac:dyDescent="0.3">
      <c r="H486" s="3"/>
      <c r="I486" s="3"/>
      <c r="J486" s="3"/>
    </row>
    <row r="487" spans="8:10" x14ac:dyDescent="0.3">
      <c r="H487" s="3"/>
      <c r="I487" s="3"/>
      <c r="J487" s="3"/>
    </row>
    <row r="488" spans="8:10" x14ac:dyDescent="0.3">
      <c r="H488" s="3"/>
      <c r="I488" s="3"/>
      <c r="J488" s="3"/>
    </row>
    <row r="489" spans="8:10" x14ac:dyDescent="0.3">
      <c r="H489" s="3"/>
      <c r="I489" s="3"/>
      <c r="J489" s="3"/>
    </row>
    <row r="490" spans="8:10" x14ac:dyDescent="0.3">
      <c r="H490" s="3"/>
      <c r="I490" s="3"/>
      <c r="J490" s="3"/>
    </row>
    <row r="491" spans="8:10" x14ac:dyDescent="0.3">
      <c r="H491" s="3"/>
      <c r="I491" s="3"/>
      <c r="J491" s="3"/>
    </row>
    <row r="492" spans="8:10" x14ac:dyDescent="0.3">
      <c r="H492" s="3"/>
      <c r="I492" s="3"/>
      <c r="J492" s="3"/>
    </row>
    <row r="493" spans="8:10" x14ac:dyDescent="0.3">
      <c r="H493" s="3"/>
      <c r="I493" s="3"/>
      <c r="J493" s="3"/>
    </row>
    <row r="494" spans="8:10" x14ac:dyDescent="0.3">
      <c r="H494" s="3"/>
      <c r="I494" s="3"/>
      <c r="J494" s="3"/>
    </row>
    <row r="495" spans="8:10" x14ac:dyDescent="0.3">
      <c r="H495" s="3"/>
      <c r="I495" s="3"/>
      <c r="J495" s="3"/>
    </row>
    <row r="496" spans="8:10" x14ac:dyDescent="0.3">
      <c r="H496" s="3"/>
      <c r="I496" s="3"/>
      <c r="J496" s="3"/>
    </row>
    <row r="497" spans="8:10" x14ac:dyDescent="0.3">
      <c r="H497" s="3"/>
      <c r="I497" s="3"/>
      <c r="J497" s="3"/>
    </row>
    <row r="498" spans="8:10" x14ac:dyDescent="0.3">
      <c r="H498" s="3"/>
      <c r="I498" s="3"/>
      <c r="J498" s="3"/>
    </row>
    <row r="499" spans="8:10" x14ac:dyDescent="0.3">
      <c r="H499" s="3"/>
      <c r="I499" s="3"/>
      <c r="J499" s="3"/>
    </row>
    <row r="500" spans="8:10" x14ac:dyDescent="0.3">
      <c r="H500" s="3"/>
      <c r="I500" s="3"/>
      <c r="J500" s="3"/>
    </row>
    <row r="501" spans="8:10" x14ac:dyDescent="0.3">
      <c r="H501" s="3"/>
      <c r="I501" s="3"/>
      <c r="J501" s="3"/>
    </row>
    <row r="502" spans="8:10" x14ac:dyDescent="0.3">
      <c r="H502" s="3"/>
      <c r="I502" s="3"/>
      <c r="J502" s="3"/>
    </row>
    <row r="503" spans="8:10" x14ac:dyDescent="0.3">
      <c r="H503" s="3"/>
      <c r="I503" s="3"/>
      <c r="J503" s="3"/>
    </row>
    <row r="504" spans="8:10" x14ac:dyDescent="0.3">
      <c r="H504" s="3"/>
      <c r="I504" s="3"/>
      <c r="J504" s="3"/>
    </row>
    <row r="505" spans="8:10" x14ac:dyDescent="0.3">
      <c r="H505" s="3"/>
      <c r="I505" s="3"/>
      <c r="J505" s="3"/>
    </row>
    <row r="506" spans="8:10" x14ac:dyDescent="0.3">
      <c r="H506" s="3"/>
      <c r="I506" s="3"/>
      <c r="J506" s="3"/>
    </row>
    <row r="507" spans="8:10" x14ac:dyDescent="0.3">
      <c r="H507" s="3"/>
      <c r="I507" s="3"/>
      <c r="J507" s="3"/>
    </row>
    <row r="508" spans="8:10" x14ac:dyDescent="0.3">
      <c r="H508" s="3"/>
      <c r="I508" s="3"/>
      <c r="J508" s="3"/>
    </row>
    <row r="509" spans="8:10" x14ac:dyDescent="0.3">
      <c r="H509" s="3"/>
      <c r="I509" s="3"/>
      <c r="J509" s="3"/>
    </row>
    <row r="510" spans="8:10" x14ac:dyDescent="0.3">
      <c r="H510" s="3"/>
      <c r="I510" s="3"/>
      <c r="J510" s="3"/>
    </row>
    <row r="511" spans="8:10" x14ac:dyDescent="0.3">
      <c r="H511" s="3"/>
      <c r="I511" s="3"/>
      <c r="J511" s="3"/>
    </row>
    <row r="512" spans="8:10" x14ac:dyDescent="0.3">
      <c r="H512" s="3"/>
      <c r="I512" s="3"/>
      <c r="J512" s="3"/>
    </row>
    <row r="513" spans="8:10" x14ac:dyDescent="0.3">
      <c r="H513" s="3"/>
      <c r="I513" s="3"/>
      <c r="J513" s="3"/>
    </row>
    <row r="514" spans="8:10" x14ac:dyDescent="0.3">
      <c r="H514" s="3"/>
      <c r="I514" s="3"/>
      <c r="J514" s="3"/>
    </row>
    <row r="515" spans="8:10" x14ac:dyDescent="0.3">
      <c r="H515" s="3"/>
      <c r="I515" s="3"/>
      <c r="J515" s="3"/>
    </row>
    <row r="516" spans="8:10" x14ac:dyDescent="0.3">
      <c r="H516" s="3"/>
      <c r="I516" s="3"/>
      <c r="J516" s="3"/>
    </row>
    <row r="517" spans="8:10" x14ac:dyDescent="0.3">
      <c r="H517" s="3"/>
      <c r="I517" s="3"/>
      <c r="J517" s="3"/>
    </row>
    <row r="518" spans="8:10" x14ac:dyDescent="0.3">
      <c r="H518" s="3"/>
      <c r="I518" s="3"/>
      <c r="J518" s="3"/>
    </row>
    <row r="519" spans="8:10" x14ac:dyDescent="0.3">
      <c r="H519" s="3"/>
      <c r="I519" s="3"/>
      <c r="J519" s="3"/>
    </row>
    <row r="520" spans="8:10" x14ac:dyDescent="0.3">
      <c r="H520" s="3"/>
      <c r="I520" s="3"/>
      <c r="J520" s="3"/>
    </row>
    <row r="521" spans="8:10" x14ac:dyDescent="0.3">
      <c r="H521" s="3"/>
      <c r="I521" s="3"/>
      <c r="J521" s="3"/>
    </row>
    <row r="522" spans="8:10" x14ac:dyDescent="0.3">
      <c r="H522" s="3"/>
      <c r="I522" s="3"/>
      <c r="J522" s="3"/>
    </row>
    <row r="523" spans="8:10" x14ac:dyDescent="0.3">
      <c r="H523" s="3"/>
      <c r="I523" s="3"/>
      <c r="J523" s="3"/>
    </row>
    <row r="524" spans="8:10" x14ac:dyDescent="0.3">
      <c r="H524" s="3"/>
      <c r="I524" s="3"/>
      <c r="J524" s="3"/>
    </row>
    <row r="525" spans="8:10" x14ac:dyDescent="0.3">
      <c r="H525" s="3"/>
      <c r="I525" s="3"/>
      <c r="J525" s="3"/>
    </row>
    <row r="526" spans="8:10" x14ac:dyDescent="0.3">
      <c r="H526" s="3"/>
      <c r="I526" s="3"/>
      <c r="J526" s="3"/>
    </row>
    <row r="527" spans="8:10" x14ac:dyDescent="0.3">
      <c r="H527" s="3"/>
      <c r="I527" s="3"/>
      <c r="J527" s="3"/>
    </row>
    <row r="528" spans="8:10" x14ac:dyDescent="0.3">
      <c r="H528" s="3"/>
      <c r="I528" s="3"/>
      <c r="J528" s="3"/>
    </row>
    <row r="529" spans="8:10" x14ac:dyDescent="0.3">
      <c r="H529" s="3"/>
      <c r="I529" s="3"/>
      <c r="J529" s="3"/>
    </row>
    <row r="530" spans="8:10" x14ac:dyDescent="0.3">
      <c r="H530" s="3"/>
      <c r="I530" s="3"/>
      <c r="J530" s="3"/>
    </row>
    <row r="531" spans="8:10" x14ac:dyDescent="0.3">
      <c r="H531" s="3"/>
      <c r="I531" s="3"/>
      <c r="J531" s="3"/>
    </row>
    <row r="532" spans="8:10" x14ac:dyDescent="0.3">
      <c r="H532" s="3"/>
      <c r="I532" s="3"/>
      <c r="J532" s="3"/>
    </row>
    <row r="533" spans="8:10" x14ac:dyDescent="0.3">
      <c r="H533" s="3"/>
      <c r="I533" s="3"/>
      <c r="J533" s="3"/>
    </row>
    <row r="534" spans="8:10" x14ac:dyDescent="0.3">
      <c r="H534" s="3"/>
      <c r="I534" s="3"/>
      <c r="J534" s="3"/>
    </row>
    <row r="535" spans="8:10" x14ac:dyDescent="0.3">
      <c r="H535" s="3"/>
      <c r="I535" s="3"/>
      <c r="J535" s="3"/>
    </row>
    <row r="536" spans="8:10" x14ac:dyDescent="0.3">
      <c r="H536" s="3"/>
      <c r="I536" s="3"/>
      <c r="J536" s="3"/>
    </row>
    <row r="537" spans="8:10" x14ac:dyDescent="0.3">
      <c r="H537" s="3"/>
      <c r="I537" s="3"/>
      <c r="J537" s="3"/>
    </row>
    <row r="538" spans="8:10" x14ac:dyDescent="0.3">
      <c r="H538" s="3"/>
      <c r="I538" s="3"/>
      <c r="J538" s="3"/>
    </row>
    <row r="539" spans="8:10" x14ac:dyDescent="0.3">
      <c r="H539" s="3"/>
      <c r="I539" s="3"/>
      <c r="J539" s="3"/>
    </row>
    <row r="540" spans="8:10" x14ac:dyDescent="0.3">
      <c r="H540" s="3"/>
      <c r="I540" s="3"/>
      <c r="J540" s="3"/>
    </row>
    <row r="541" spans="8:10" x14ac:dyDescent="0.3">
      <c r="H541" s="3"/>
      <c r="I541" s="3"/>
      <c r="J541" s="3"/>
    </row>
    <row r="542" spans="8:10" x14ac:dyDescent="0.3">
      <c r="H542" s="3"/>
      <c r="I542" s="3"/>
      <c r="J542" s="3"/>
    </row>
    <row r="543" spans="8:10" x14ac:dyDescent="0.3">
      <c r="H543" s="3"/>
      <c r="I543" s="3"/>
      <c r="J543" s="3"/>
    </row>
    <row r="544" spans="8:10" x14ac:dyDescent="0.3">
      <c r="H544" s="3"/>
      <c r="I544" s="3"/>
      <c r="J544" s="3"/>
    </row>
    <row r="545" spans="8:10" x14ac:dyDescent="0.3">
      <c r="H545" s="3"/>
      <c r="I545" s="3"/>
      <c r="J545" s="3"/>
    </row>
    <row r="546" spans="8:10" x14ac:dyDescent="0.3">
      <c r="H546" s="3"/>
      <c r="I546" s="3"/>
      <c r="J546" s="3"/>
    </row>
    <row r="547" spans="8:10" x14ac:dyDescent="0.3">
      <c r="H547" s="3"/>
      <c r="I547" s="3"/>
      <c r="J547" s="3"/>
    </row>
    <row r="548" spans="8:10" x14ac:dyDescent="0.3">
      <c r="H548" s="3"/>
      <c r="I548" s="3"/>
      <c r="J548" s="3"/>
    </row>
    <row r="549" spans="8:10" x14ac:dyDescent="0.3">
      <c r="H549" s="3"/>
      <c r="I549" s="3"/>
      <c r="J549" s="3"/>
    </row>
    <row r="550" spans="8:10" x14ac:dyDescent="0.3">
      <c r="H550" s="3"/>
      <c r="I550" s="3"/>
      <c r="J550" s="3"/>
    </row>
    <row r="551" spans="8:10" x14ac:dyDescent="0.3">
      <c r="H551" s="3"/>
      <c r="I551" s="3"/>
      <c r="J551" s="3"/>
    </row>
    <row r="552" spans="8:10" x14ac:dyDescent="0.3">
      <c r="H552" s="3"/>
      <c r="I552" s="3"/>
      <c r="J552" s="3"/>
    </row>
    <row r="553" spans="8:10" x14ac:dyDescent="0.3">
      <c r="H553" s="3"/>
      <c r="I553" s="3"/>
      <c r="J553" s="3"/>
    </row>
    <row r="554" spans="8:10" x14ac:dyDescent="0.3">
      <c r="H554" s="3"/>
      <c r="I554" s="3"/>
      <c r="J554" s="3"/>
    </row>
    <row r="555" spans="8:10" x14ac:dyDescent="0.3">
      <c r="H555" s="3"/>
      <c r="I555" s="3"/>
      <c r="J555" s="3"/>
    </row>
    <row r="556" spans="8:10" x14ac:dyDescent="0.3">
      <c r="H556" s="3"/>
      <c r="I556" s="3"/>
      <c r="J556" s="3"/>
    </row>
    <row r="557" spans="8:10" x14ac:dyDescent="0.3">
      <c r="H557" s="3"/>
      <c r="I557" s="3"/>
      <c r="J557" s="3"/>
    </row>
    <row r="558" spans="8:10" x14ac:dyDescent="0.3">
      <c r="H558" s="3"/>
      <c r="I558" s="3"/>
      <c r="J558" s="3"/>
    </row>
    <row r="559" spans="8:10" x14ac:dyDescent="0.3">
      <c r="H559" s="3"/>
      <c r="I559" s="3"/>
      <c r="J559" s="3"/>
    </row>
    <row r="560" spans="8:10" x14ac:dyDescent="0.3">
      <c r="H560" s="3"/>
      <c r="I560" s="3"/>
      <c r="J560" s="3"/>
    </row>
    <row r="561" spans="8:10" x14ac:dyDescent="0.3">
      <c r="H561" s="3"/>
      <c r="I561" s="3"/>
      <c r="J561" s="3"/>
    </row>
    <row r="562" spans="8:10" x14ac:dyDescent="0.3">
      <c r="H562" s="3"/>
      <c r="I562" s="3"/>
      <c r="J562" s="3"/>
    </row>
    <row r="563" spans="8:10" x14ac:dyDescent="0.3">
      <c r="H563" s="3"/>
      <c r="I563" s="3"/>
      <c r="J563" s="3"/>
    </row>
    <row r="564" spans="8:10" x14ac:dyDescent="0.3">
      <c r="H564" s="3"/>
      <c r="I564" s="3"/>
      <c r="J564" s="3"/>
    </row>
    <row r="565" spans="8:10" x14ac:dyDescent="0.3">
      <c r="H565" s="3"/>
      <c r="I565" s="3"/>
      <c r="J565" s="3"/>
    </row>
    <row r="566" spans="8:10" x14ac:dyDescent="0.3">
      <c r="H566" s="3"/>
      <c r="I566" s="3"/>
      <c r="J566" s="3"/>
    </row>
    <row r="567" spans="8:10" x14ac:dyDescent="0.3">
      <c r="H567" s="3"/>
      <c r="I567" s="3"/>
      <c r="J567" s="3"/>
    </row>
    <row r="568" spans="8:10" x14ac:dyDescent="0.3">
      <c r="H568" s="3"/>
      <c r="I568" s="3"/>
      <c r="J568" s="3"/>
    </row>
    <row r="569" spans="8:10" x14ac:dyDescent="0.3">
      <c r="H569" s="3"/>
      <c r="I569" s="3"/>
      <c r="J569" s="3"/>
    </row>
    <row r="570" spans="8:10" x14ac:dyDescent="0.3">
      <c r="H570" s="3"/>
      <c r="I570" s="3"/>
      <c r="J570" s="3"/>
    </row>
    <row r="571" spans="8:10" x14ac:dyDescent="0.3">
      <c r="H571" s="3"/>
      <c r="I571" s="3"/>
      <c r="J571" s="3"/>
    </row>
    <row r="572" spans="8:10" x14ac:dyDescent="0.3">
      <c r="H572" s="3"/>
      <c r="I572" s="3"/>
      <c r="J572" s="3"/>
    </row>
    <row r="573" spans="8:10" x14ac:dyDescent="0.3">
      <c r="H573" s="3"/>
      <c r="I573" s="3"/>
      <c r="J573" s="3"/>
    </row>
    <row r="574" spans="8:10" x14ac:dyDescent="0.3">
      <c r="H574" s="3"/>
      <c r="I574" s="3"/>
      <c r="J574" s="3"/>
    </row>
    <row r="575" spans="8:10" x14ac:dyDescent="0.3">
      <c r="H575" s="3"/>
      <c r="I575" s="3"/>
      <c r="J575" s="3"/>
    </row>
    <row r="576" spans="8:10" x14ac:dyDescent="0.3">
      <c r="H576" s="3"/>
      <c r="I576" s="3"/>
      <c r="J576" s="3"/>
    </row>
    <row r="577" spans="8:10" x14ac:dyDescent="0.3">
      <c r="H577" s="3"/>
      <c r="I577" s="3"/>
      <c r="J577" s="3"/>
    </row>
    <row r="578" spans="8:10" x14ac:dyDescent="0.3">
      <c r="H578" s="3"/>
      <c r="I578" s="3"/>
      <c r="J578" s="3"/>
    </row>
    <row r="579" spans="8:10" x14ac:dyDescent="0.3">
      <c r="H579" s="3"/>
      <c r="I579" s="3"/>
      <c r="J579" s="3"/>
    </row>
    <row r="580" spans="8:10" x14ac:dyDescent="0.3">
      <c r="H580" s="3"/>
      <c r="I580" s="3"/>
      <c r="J580" s="3"/>
    </row>
    <row r="581" spans="8:10" x14ac:dyDescent="0.3">
      <c r="H581" s="3"/>
      <c r="I581" s="3"/>
      <c r="J581" s="3"/>
    </row>
    <row r="582" spans="8:10" x14ac:dyDescent="0.3">
      <c r="H582" s="3"/>
      <c r="I582" s="3"/>
      <c r="J582" s="3"/>
    </row>
    <row r="583" spans="8:10" x14ac:dyDescent="0.3">
      <c r="H583" s="3"/>
      <c r="I583" s="3"/>
      <c r="J583" s="3"/>
    </row>
    <row r="584" spans="8:10" x14ac:dyDescent="0.3">
      <c r="H584" s="3"/>
      <c r="I584" s="3"/>
      <c r="J584" s="3"/>
    </row>
    <row r="585" spans="8:10" x14ac:dyDescent="0.3">
      <c r="H585" s="3"/>
      <c r="I585" s="3"/>
      <c r="J585" s="3"/>
    </row>
    <row r="586" spans="8:10" x14ac:dyDescent="0.3">
      <c r="H586" s="3"/>
      <c r="I586" s="3"/>
      <c r="J586" s="3"/>
    </row>
    <row r="587" spans="8:10" x14ac:dyDescent="0.3">
      <c r="H587" s="3"/>
      <c r="I587" s="3"/>
      <c r="J587" s="3"/>
    </row>
    <row r="588" spans="8:10" x14ac:dyDescent="0.3">
      <c r="H588" s="3"/>
      <c r="I588" s="3"/>
      <c r="J588" s="3"/>
    </row>
    <row r="589" spans="8:10" x14ac:dyDescent="0.3">
      <c r="H589" s="3"/>
      <c r="I589" s="3"/>
      <c r="J589" s="3"/>
    </row>
    <row r="590" spans="8:10" x14ac:dyDescent="0.3">
      <c r="H590" s="3"/>
      <c r="I590" s="3"/>
      <c r="J590" s="3"/>
    </row>
    <row r="591" spans="8:10" x14ac:dyDescent="0.3">
      <c r="H591" s="3"/>
      <c r="I591" s="3"/>
      <c r="J591" s="3"/>
    </row>
    <row r="592" spans="8:10" x14ac:dyDescent="0.3">
      <c r="H592" s="3"/>
      <c r="I592" s="3"/>
      <c r="J592" s="3"/>
    </row>
    <row r="593" spans="8:10" x14ac:dyDescent="0.3">
      <c r="H593" s="3"/>
      <c r="I593" s="3"/>
      <c r="J593" s="3"/>
    </row>
    <row r="594" spans="8:10" x14ac:dyDescent="0.3">
      <c r="H594" s="3"/>
      <c r="I594" s="3"/>
      <c r="J594" s="3"/>
    </row>
    <row r="595" spans="8:10" x14ac:dyDescent="0.3">
      <c r="H595" s="3"/>
      <c r="I595" s="3"/>
      <c r="J595" s="3"/>
    </row>
    <row r="596" spans="8:10" x14ac:dyDescent="0.3">
      <c r="H596" s="3"/>
      <c r="I596" s="3"/>
      <c r="J596" s="3"/>
    </row>
    <row r="597" spans="8:10" x14ac:dyDescent="0.3">
      <c r="H597" s="3"/>
      <c r="I597" s="3"/>
      <c r="J597" s="3"/>
    </row>
    <row r="598" spans="8:10" x14ac:dyDescent="0.3">
      <c r="H598" s="3"/>
      <c r="I598" s="3"/>
      <c r="J598" s="3"/>
    </row>
    <row r="599" spans="8:10" x14ac:dyDescent="0.3">
      <c r="H599" s="3"/>
      <c r="I599" s="3"/>
      <c r="J599" s="3"/>
    </row>
    <row r="600" spans="8:10" x14ac:dyDescent="0.3">
      <c r="H600" s="3"/>
      <c r="I600" s="3"/>
      <c r="J600" s="3"/>
    </row>
    <row r="601" spans="8:10" x14ac:dyDescent="0.3">
      <c r="H601" s="3"/>
      <c r="I601" s="3"/>
      <c r="J601" s="3"/>
    </row>
    <row r="602" spans="8:10" x14ac:dyDescent="0.3">
      <c r="H602" s="3"/>
      <c r="I602" s="3"/>
      <c r="J602" s="3"/>
    </row>
    <row r="603" spans="8:10" x14ac:dyDescent="0.3">
      <c r="H603" s="3"/>
      <c r="I603" s="3"/>
      <c r="J603" s="3"/>
    </row>
    <row r="604" spans="8:10" x14ac:dyDescent="0.3">
      <c r="H604" s="3"/>
      <c r="I604" s="3"/>
      <c r="J604" s="3"/>
    </row>
    <row r="605" spans="8:10" x14ac:dyDescent="0.3">
      <c r="H605" s="3"/>
      <c r="I605" s="3"/>
      <c r="J605" s="3"/>
    </row>
    <row r="606" spans="8:10" x14ac:dyDescent="0.3">
      <c r="H606" s="3"/>
      <c r="I606" s="3"/>
      <c r="J606" s="3"/>
    </row>
    <row r="607" spans="8:10" x14ac:dyDescent="0.3">
      <c r="H607" s="3"/>
      <c r="I607" s="3"/>
      <c r="J607" s="3"/>
    </row>
    <row r="608" spans="8:10" x14ac:dyDescent="0.3">
      <c r="H608" s="3"/>
      <c r="I608" s="3"/>
      <c r="J608" s="3"/>
    </row>
    <row r="609" spans="8:10" x14ac:dyDescent="0.3">
      <c r="H609" s="3"/>
      <c r="I609" s="3"/>
      <c r="J609" s="3"/>
    </row>
    <row r="610" spans="8:10" x14ac:dyDescent="0.3">
      <c r="H610" s="3"/>
      <c r="I610" s="3"/>
      <c r="J610" s="3"/>
    </row>
    <row r="611" spans="8:10" x14ac:dyDescent="0.3">
      <c r="H611" s="3"/>
      <c r="I611" s="3"/>
      <c r="J611" s="3"/>
    </row>
    <row r="612" spans="8:10" x14ac:dyDescent="0.3">
      <c r="H612" s="3"/>
      <c r="I612" s="3"/>
      <c r="J612" s="3"/>
    </row>
    <row r="613" spans="8:10" x14ac:dyDescent="0.3">
      <c r="H613" s="3"/>
      <c r="I613" s="3"/>
      <c r="J613" s="3"/>
    </row>
    <row r="614" spans="8:10" x14ac:dyDescent="0.3">
      <c r="H614" s="3"/>
      <c r="I614" s="3"/>
      <c r="J614" s="3"/>
    </row>
    <row r="615" spans="8:10" x14ac:dyDescent="0.3">
      <c r="H615" s="3"/>
      <c r="I615" s="3"/>
      <c r="J615" s="3"/>
    </row>
    <row r="616" spans="8:10" x14ac:dyDescent="0.3">
      <c r="H616" s="3"/>
      <c r="I616" s="3"/>
      <c r="J616" s="3"/>
    </row>
    <row r="617" spans="8:10" x14ac:dyDescent="0.3">
      <c r="H617" s="3"/>
      <c r="I617" s="3"/>
      <c r="J617" s="3"/>
    </row>
    <row r="618" spans="8:10" x14ac:dyDescent="0.3">
      <c r="H618" s="3"/>
      <c r="I618" s="3"/>
      <c r="J618" s="3"/>
    </row>
    <row r="619" spans="8:10" x14ac:dyDescent="0.3">
      <c r="H619" s="3"/>
      <c r="I619" s="3"/>
      <c r="J619" s="3"/>
    </row>
    <row r="620" spans="8:10" x14ac:dyDescent="0.3">
      <c r="H620" s="3"/>
      <c r="I620" s="3"/>
      <c r="J620" s="3"/>
    </row>
    <row r="621" spans="8:10" x14ac:dyDescent="0.3">
      <c r="H621" s="3"/>
      <c r="I621" s="3"/>
      <c r="J621" s="3"/>
    </row>
    <row r="622" spans="8:10" x14ac:dyDescent="0.3">
      <c r="H622" s="3"/>
      <c r="I622" s="3"/>
      <c r="J622" s="3"/>
    </row>
    <row r="623" spans="8:10" x14ac:dyDescent="0.3">
      <c r="H623" s="3"/>
      <c r="I623" s="3"/>
      <c r="J623" s="3"/>
    </row>
    <row r="624" spans="8:10" x14ac:dyDescent="0.3">
      <c r="H624" s="3"/>
      <c r="I624" s="3"/>
      <c r="J624" s="3"/>
    </row>
    <row r="625" spans="8:10" x14ac:dyDescent="0.3">
      <c r="H625" s="3"/>
      <c r="I625" s="3"/>
      <c r="J625" s="3"/>
    </row>
    <row r="626" spans="8:10" x14ac:dyDescent="0.3">
      <c r="H626" s="3"/>
      <c r="I626" s="3"/>
      <c r="J626" s="3"/>
    </row>
    <row r="627" spans="8:10" x14ac:dyDescent="0.3">
      <c r="H627" s="3"/>
      <c r="I627" s="3"/>
      <c r="J627" s="3"/>
    </row>
    <row r="628" spans="8:10" x14ac:dyDescent="0.3">
      <c r="H628" s="3"/>
      <c r="I628" s="3"/>
      <c r="J628" s="3"/>
    </row>
    <row r="629" spans="8:10" x14ac:dyDescent="0.3">
      <c r="H629" s="3"/>
      <c r="I629" s="3"/>
      <c r="J629" s="3"/>
    </row>
    <row r="630" spans="8:10" x14ac:dyDescent="0.3">
      <c r="H630" s="3"/>
      <c r="I630" s="3"/>
      <c r="J630" s="3"/>
    </row>
    <row r="631" spans="8:10" x14ac:dyDescent="0.3">
      <c r="H631" s="3"/>
      <c r="I631" s="3"/>
      <c r="J631" s="3"/>
    </row>
    <row r="632" spans="8:10" x14ac:dyDescent="0.3">
      <c r="H632" s="3"/>
      <c r="I632" s="3"/>
      <c r="J632" s="3"/>
    </row>
    <row r="633" spans="8:10" x14ac:dyDescent="0.3">
      <c r="H633" s="3"/>
      <c r="I633" s="3"/>
      <c r="J633" s="3"/>
    </row>
    <row r="634" spans="8:10" x14ac:dyDescent="0.3">
      <c r="H634" s="3"/>
      <c r="I634" s="3"/>
      <c r="J634" s="3"/>
    </row>
    <row r="635" spans="8:10" x14ac:dyDescent="0.3">
      <c r="H635" s="3"/>
      <c r="I635" s="3"/>
      <c r="J635" s="3"/>
    </row>
    <row r="636" spans="8:10" x14ac:dyDescent="0.3">
      <c r="H636" s="3"/>
      <c r="I636" s="3"/>
      <c r="J636" s="3"/>
    </row>
    <row r="637" spans="8:10" x14ac:dyDescent="0.3">
      <c r="H637" s="3"/>
      <c r="I637" s="3"/>
      <c r="J637" s="3"/>
    </row>
    <row r="638" spans="8:10" x14ac:dyDescent="0.3">
      <c r="H638" s="3"/>
      <c r="I638" s="3"/>
      <c r="J638" s="3"/>
    </row>
    <row r="639" spans="8:10" x14ac:dyDescent="0.3">
      <c r="H639" s="3"/>
      <c r="I639" s="3"/>
      <c r="J639" s="3"/>
    </row>
    <row r="640" spans="8:10" x14ac:dyDescent="0.3">
      <c r="H640" s="3"/>
      <c r="I640" s="3"/>
      <c r="J640" s="3"/>
    </row>
    <row r="641" spans="8:10" x14ac:dyDescent="0.3">
      <c r="H641" s="3"/>
      <c r="I641" s="3"/>
      <c r="J641" s="3"/>
    </row>
    <row r="642" spans="8:10" x14ac:dyDescent="0.3">
      <c r="H642" s="3"/>
      <c r="I642" s="3"/>
      <c r="J642" s="3"/>
    </row>
    <row r="643" spans="8:10" x14ac:dyDescent="0.3">
      <c r="H643" s="3"/>
      <c r="I643" s="3"/>
      <c r="J643" s="3"/>
    </row>
    <row r="644" spans="8:10" x14ac:dyDescent="0.3">
      <c r="H644" s="3"/>
      <c r="I644" s="3"/>
      <c r="J644" s="3"/>
    </row>
    <row r="645" spans="8:10" x14ac:dyDescent="0.3">
      <c r="H645" s="3"/>
      <c r="I645" s="3"/>
      <c r="J645" s="3"/>
    </row>
    <row r="646" spans="8:10" x14ac:dyDescent="0.3">
      <c r="H646" s="3"/>
      <c r="I646" s="3"/>
      <c r="J646" s="3"/>
    </row>
    <row r="647" spans="8:10" x14ac:dyDescent="0.3">
      <c r="H647" s="3"/>
      <c r="I647" s="3"/>
      <c r="J647" s="3"/>
    </row>
    <row r="648" spans="8:10" x14ac:dyDescent="0.3">
      <c r="H648" s="3"/>
      <c r="I648" s="3"/>
      <c r="J648" s="3"/>
    </row>
    <row r="649" spans="8:10" x14ac:dyDescent="0.3">
      <c r="H649" s="3"/>
      <c r="I649" s="3"/>
      <c r="J649" s="3"/>
    </row>
    <row r="650" spans="8:10" x14ac:dyDescent="0.3">
      <c r="H650" s="3"/>
      <c r="I650" s="3"/>
      <c r="J650" s="3"/>
    </row>
    <row r="651" spans="8:10" x14ac:dyDescent="0.3">
      <c r="H651" s="3"/>
      <c r="I651" s="3"/>
      <c r="J651" s="3"/>
    </row>
    <row r="652" spans="8:10" x14ac:dyDescent="0.3">
      <c r="H652" s="3"/>
      <c r="I652" s="3"/>
      <c r="J652" s="3"/>
    </row>
    <row r="653" spans="8:10" x14ac:dyDescent="0.3">
      <c r="H653" s="3"/>
      <c r="I653" s="3"/>
      <c r="J653" s="3"/>
    </row>
    <row r="654" spans="8:10" x14ac:dyDescent="0.3">
      <c r="H654" s="3"/>
      <c r="I654" s="3"/>
      <c r="J654" s="3"/>
    </row>
    <row r="655" spans="8:10" x14ac:dyDescent="0.3">
      <c r="H655" s="3"/>
      <c r="I655" s="3"/>
      <c r="J655" s="3"/>
    </row>
    <row r="656" spans="8:10" x14ac:dyDescent="0.3">
      <c r="H656" s="3"/>
      <c r="I656" s="3"/>
      <c r="J656" s="3"/>
    </row>
    <row r="657" spans="8:10" x14ac:dyDescent="0.3">
      <c r="H657" s="3"/>
      <c r="I657" s="3"/>
      <c r="J657" s="3"/>
    </row>
    <row r="658" spans="8:10" x14ac:dyDescent="0.3">
      <c r="H658" s="3"/>
      <c r="I658" s="3"/>
      <c r="J658" s="3"/>
    </row>
    <row r="659" spans="8:10" x14ac:dyDescent="0.3">
      <c r="H659" s="3"/>
      <c r="I659" s="3"/>
      <c r="J659" s="3"/>
    </row>
    <row r="660" spans="8:10" x14ac:dyDescent="0.3">
      <c r="H660" s="3"/>
      <c r="I660" s="3"/>
      <c r="J660" s="3"/>
    </row>
    <row r="661" spans="8:10" x14ac:dyDescent="0.3">
      <c r="H661" s="3"/>
      <c r="I661" s="3"/>
      <c r="J661" s="3"/>
    </row>
    <row r="662" spans="8:10" x14ac:dyDescent="0.3">
      <c r="H662" s="3"/>
      <c r="I662" s="3"/>
      <c r="J662" s="3"/>
    </row>
    <row r="663" spans="8:10" x14ac:dyDescent="0.3">
      <c r="H663" s="3"/>
      <c r="I663" s="3"/>
      <c r="J663" s="3"/>
    </row>
    <row r="664" spans="8:10" x14ac:dyDescent="0.3">
      <c r="H664" s="3"/>
      <c r="I664" s="3"/>
      <c r="J664" s="3"/>
    </row>
    <row r="665" spans="8:10" x14ac:dyDescent="0.3">
      <c r="H665" s="3"/>
      <c r="I665" s="3"/>
      <c r="J665" s="3"/>
    </row>
    <row r="666" spans="8:10" x14ac:dyDescent="0.3">
      <c r="H666" s="3"/>
      <c r="I666" s="3"/>
      <c r="J666" s="3"/>
    </row>
    <row r="667" spans="8:10" x14ac:dyDescent="0.3">
      <c r="H667" s="3"/>
      <c r="I667" s="3"/>
      <c r="J667" s="3"/>
    </row>
    <row r="668" spans="8:10" x14ac:dyDescent="0.3">
      <c r="H668" s="3"/>
      <c r="I668" s="3"/>
      <c r="J668" s="3"/>
    </row>
    <row r="669" spans="8:10" x14ac:dyDescent="0.3">
      <c r="H669" s="3"/>
      <c r="I669" s="3"/>
      <c r="J669" s="3"/>
    </row>
    <row r="670" spans="8:10" x14ac:dyDescent="0.3">
      <c r="H670" s="3"/>
      <c r="I670" s="3"/>
      <c r="J670" s="3"/>
    </row>
    <row r="671" spans="8:10" x14ac:dyDescent="0.3">
      <c r="H671" s="3"/>
      <c r="I671" s="3"/>
      <c r="J671" s="3"/>
    </row>
    <row r="672" spans="8:10" x14ac:dyDescent="0.3">
      <c r="H672" s="3"/>
      <c r="I672" s="3"/>
      <c r="J672" s="3"/>
    </row>
    <row r="673" spans="8:10" x14ac:dyDescent="0.3">
      <c r="H673" s="3"/>
      <c r="I673" s="3"/>
      <c r="J673" s="3"/>
    </row>
    <row r="674" spans="8:10" x14ac:dyDescent="0.3">
      <c r="H674" s="3"/>
      <c r="I674" s="3"/>
      <c r="J674" s="3"/>
    </row>
    <row r="675" spans="8:10" x14ac:dyDescent="0.3">
      <c r="H675" s="3"/>
      <c r="I675" s="3"/>
      <c r="J675" s="3"/>
    </row>
    <row r="676" spans="8:10" x14ac:dyDescent="0.3">
      <c r="H676" s="3"/>
      <c r="I676" s="3"/>
      <c r="J676" s="3"/>
    </row>
    <row r="677" spans="8:10" x14ac:dyDescent="0.3">
      <c r="H677" s="3"/>
      <c r="I677" s="3"/>
      <c r="J677" s="3"/>
    </row>
    <row r="678" spans="8:10" x14ac:dyDescent="0.3">
      <c r="H678" s="3"/>
      <c r="I678" s="3"/>
      <c r="J678" s="3"/>
    </row>
    <row r="679" spans="8:10" x14ac:dyDescent="0.3">
      <c r="H679" s="3"/>
      <c r="I679" s="3"/>
      <c r="J679" s="3"/>
    </row>
    <row r="680" spans="8:10" x14ac:dyDescent="0.3">
      <c r="H680" s="3"/>
      <c r="I680" s="3"/>
      <c r="J680" s="3"/>
    </row>
    <row r="681" spans="8:10" x14ac:dyDescent="0.3">
      <c r="H681" s="3"/>
      <c r="I681" s="3"/>
      <c r="J681" s="3"/>
    </row>
    <row r="682" spans="8:10" x14ac:dyDescent="0.3">
      <c r="H682" s="3"/>
      <c r="I682" s="3"/>
      <c r="J682" s="3"/>
    </row>
    <row r="683" spans="8:10" x14ac:dyDescent="0.3">
      <c r="H683" s="3"/>
      <c r="I683" s="3"/>
      <c r="J683" s="3"/>
    </row>
    <row r="684" spans="8:10" x14ac:dyDescent="0.3">
      <c r="H684" s="3"/>
      <c r="I684" s="3"/>
      <c r="J684" s="3"/>
    </row>
    <row r="685" spans="8:10" x14ac:dyDescent="0.3">
      <c r="H685" s="3"/>
      <c r="I685" s="3"/>
      <c r="J685" s="3"/>
    </row>
    <row r="686" spans="8:10" x14ac:dyDescent="0.3">
      <c r="H686" s="3"/>
      <c r="I686" s="3"/>
      <c r="J686" s="3"/>
    </row>
    <row r="687" spans="8:10" x14ac:dyDescent="0.3">
      <c r="H687" s="3"/>
      <c r="I687" s="3"/>
      <c r="J687" s="3"/>
    </row>
    <row r="688" spans="8:10" x14ac:dyDescent="0.3">
      <c r="H688" s="3"/>
      <c r="I688" s="3"/>
      <c r="J688" s="3"/>
    </row>
    <row r="689" spans="8:10" x14ac:dyDescent="0.3">
      <c r="H689" s="3"/>
      <c r="I689" s="3"/>
      <c r="J689" s="3"/>
    </row>
    <row r="690" spans="8:10" x14ac:dyDescent="0.3">
      <c r="H690" s="3"/>
      <c r="I690" s="3"/>
      <c r="J690" s="3"/>
    </row>
    <row r="691" spans="8:10" x14ac:dyDescent="0.3">
      <c r="H691" s="3"/>
      <c r="I691" s="3"/>
      <c r="J691" s="3"/>
    </row>
    <row r="692" spans="8:10" x14ac:dyDescent="0.3">
      <c r="H692" s="3"/>
      <c r="I692" s="3"/>
      <c r="J692" s="3"/>
    </row>
    <row r="693" spans="8:10" x14ac:dyDescent="0.3">
      <c r="H693" s="3"/>
      <c r="I693" s="3"/>
      <c r="J693" s="3"/>
    </row>
    <row r="694" spans="8:10" x14ac:dyDescent="0.3">
      <c r="H694" s="3"/>
      <c r="I694" s="3"/>
      <c r="J694" s="3"/>
    </row>
    <row r="695" spans="8:10" x14ac:dyDescent="0.3">
      <c r="H695" s="3"/>
      <c r="I695" s="3"/>
      <c r="J695" s="3"/>
    </row>
    <row r="696" spans="8:10" x14ac:dyDescent="0.3">
      <c r="H696" s="3"/>
      <c r="I696" s="3"/>
      <c r="J696" s="3"/>
    </row>
    <row r="697" spans="8:10" x14ac:dyDescent="0.3">
      <c r="H697" s="3"/>
      <c r="I697" s="3"/>
      <c r="J697" s="3"/>
    </row>
    <row r="698" spans="8:10" x14ac:dyDescent="0.3">
      <c r="H698" s="3"/>
      <c r="I698" s="3"/>
      <c r="J698" s="3"/>
    </row>
    <row r="699" spans="8:10" x14ac:dyDescent="0.3">
      <c r="H699" s="3"/>
      <c r="I699" s="3"/>
      <c r="J699" s="3"/>
    </row>
    <row r="700" spans="8:10" x14ac:dyDescent="0.3">
      <c r="H700" s="3"/>
      <c r="I700" s="3"/>
      <c r="J700" s="3"/>
    </row>
    <row r="701" spans="8:10" x14ac:dyDescent="0.3">
      <c r="H701" s="3"/>
      <c r="I701" s="3"/>
      <c r="J701" s="3"/>
    </row>
    <row r="702" spans="8:10" x14ac:dyDescent="0.3">
      <c r="H702" s="3"/>
      <c r="I702" s="3"/>
      <c r="J702" s="3"/>
    </row>
    <row r="703" spans="8:10" x14ac:dyDescent="0.3">
      <c r="H703" s="3"/>
      <c r="I703" s="3"/>
      <c r="J703" s="3"/>
    </row>
    <row r="704" spans="8:10" x14ac:dyDescent="0.3">
      <c r="H704" s="3"/>
      <c r="I704" s="3"/>
      <c r="J704" s="3"/>
    </row>
    <row r="705" spans="8:10" x14ac:dyDescent="0.3">
      <c r="H705" s="3"/>
      <c r="I705" s="3"/>
      <c r="J705" s="3"/>
    </row>
    <row r="706" spans="8:10" x14ac:dyDescent="0.3">
      <c r="H706" s="3"/>
      <c r="I706" s="3"/>
      <c r="J706" s="3"/>
    </row>
    <row r="707" spans="8:10" x14ac:dyDescent="0.3">
      <c r="H707" s="3"/>
      <c r="I707" s="3"/>
      <c r="J707" s="3"/>
    </row>
    <row r="708" spans="8:10" x14ac:dyDescent="0.3">
      <c r="H708" s="3"/>
      <c r="I708" s="3"/>
      <c r="J708" s="3"/>
    </row>
    <row r="709" spans="8:10" x14ac:dyDescent="0.3">
      <c r="H709" s="3"/>
      <c r="I709" s="3"/>
      <c r="J709" s="3"/>
    </row>
    <row r="710" spans="8:10" x14ac:dyDescent="0.3">
      <c r="H710" s="3"/>
      <c r="I710" s="3"/>
      <c r="J710" s="3"/>
    </row>
    <row r="711" spans="8:10" x14ac:dyDescent="0.3">
      <c r="H711" s="3"/>
      <c r="I711" s="3"/>
      <c r="J711" s="3"/>
    </row>
    <row r="712" spans="8:10" x14ac:dyDescent="0.3">
      <c r="H712" s="3"/>
      <c r="I712" s="3"/>
      <c r="J712" s="3"/>
    </row>
    <row r="713" spans="8:10" x14ac:dyDescent="0.3">
      <c r="H713" s="3"/>
      <c r="I713" s="3"/>
      <c r="J713" s="3"/>
    </row>
    <row r="714" spans="8:10" x14ac:dyDescent="0.3">
      <c r="H714" s="3"/>
      <c r="I714" s="3"/>
      <c r="J714" s="3"/>
    </row>
    <row r="715" spans="8:10" x14ac:dyDescent="0.3">
      <c r="H715" s="3"/>
      <c r="I715" s="3"/>
      <c r="J715" s="3"/>
    </row>
    <row r="716" spans="8:10" x14ac:dyDescent="0.3">
      <c r="H716" s="3"/>
      <c r="I716" s="3"/>
      <c r="J716" s="3"/>
    </row>
    <row r="717" spans="8:10" x14ac:dyDescent="0.3">
      <c r="H717" s="3"/>
      <c r="I717" s="3"/>
      <c r="J717" s="3"/>
    </row>
    <row r="718" spans="8:10" x14ac:dyDescent="0.3">
      <c r="H718" s="3"/>
      <c r="I718" s="3"/>
      <c r="J718" s="3"/>
    </row>
    <row r="719" spans="8:10" x14ac:dyDescent="0.3">
      <c r="H719" s="3"/>
      <c r="I719" s="3"/>
      <c r="J719" s="3"/>
    </row>
    <row r="720" spans="8:10" x14ac:dyDescent="0.3">
      <c r="H720" s="3"/>
      <c r="I720" s="3"/>
      <c r="J720" s="3"/>
    </row>
    <row r="721" spans="8:10" x14ac:dyDescent="0.3">
      <c r="H721" s="3"/>
      <c r="I721" s="3"/>
      <c r="J721" s="3"/>
    </row>
    <row r="722" spans="8:10" x14ac:dyDescent="0.3">
      <c r="H722" s="3"/>
      <c r="I722" s="3"/>
      <c r="J722" s="3"/>
    </row>
    <row r="723" spans="8:10" x14ac:dyDescent="0.3">
      <c r="H723" s="3"/>
      <c r="I723" s="3"/>
      <c r="J723" s="3"/>
    </row>
    <row r="724" spans="8:10" x14ac:dyDescent="0.3">
      <c r="H724" s="3"/>
      <c r="I724" s="3"/>
      <c r="J724" s="3"/>
    </row>
    <row r="725" spans="8:10" x14ac:dyDescent="0.3">
      <c r="H725" s="3"/>
      <c r="I725" s="3"/>
      <c r="J725" s="3"/>
    </row>
    <row r="726" spans="8:10" x14ac:dyDescent="0.3">
      <c r="H726" s="3"/>
      <c r="I726" s="3"/>
      <c r="J726" s="3"/>
    </row>
    <row r="727" spans="8:10" x14ac:dyDescent="0.3">
      <c r="H727" s="3"/>
      <c r="I727" s="3"/>
      <c r="J727" s="3"/>
    </row>
    <row r="728" spans="8:10" x14ac:dyDescent="0.3">
      <c r="H728" s="3"/>
      <c r="I728" s="3"/>
      <c r="J728" s="3"/>
    </row>
    <row r="729" spans="8:10" x14ac:dyDescent="0.3">
      <c r="H729" s="3"/>
      <c r="I729" s="3"/>
      <c r="J729" s="3"/>
    </row>
    <row r="730" spans="8:10" x14ac:dyDescent="0.3">
      <c r="H730" s="3"/>
      <c r="I730" s="3"/>
      <c r="J730" s="3"/>
    </row>
    <row r="731" spans="8:10" x14ac:dyDescent="0.3">
      <c r="H731" s="3"/>
      <c r="I731" s="3"/>
      <c r="J731" s="3"/>
    </row>
    <row r="732" spans="8:10" x14ac:dyDescent="0.3">
      <c r="H732" s="3"/>
      <c r="I732" s="3"/>
      <c r="J732" s="3"/>
    </row>
    <row r="733" spans="8:10" x14ac:dyDescent="0.3">
      <c r="H733" s="3"/>
      <c r="I733" s="3"/>
      <c r="J733" s="3"/>
    </row>
    <row r="734" spans="8:10" x14ac:dyDescent="0.3">
      <c r="H734" s="3"/>
      <c r="I734" s="3"/>
      <c r="J734" s="3"/>
    </row>
    <row r="735" spans="8:10" x14ac:dyDescent="0.3">
      <c r="H735" s="3"/>
      <c r="I735" s="3"/>
      <c r="J735" s="3"/>
    </row>
    <row r="736" spans="8:10" x14ac:dyDescent="0.3">
      <c r="H736" s="3"/>
      <c r="I736" s="3"/>
      <c r="J736" s="3"/>
    </row>
    <row r="737" spans="8:10" x14ac:dyDescent="0.3">
      <c r="H737" s="3"/>
      <c r="I737" s="3"/>
      <c r="J737" s="3"/>
    </row>
    <row r="738" spans="8:10" x14ac:dyDescent="0.3">
      <c r="H738" s="3"/>
      <c r="I738" s="3"/>
      <c r="J738" s="3"/>
    </row>
    <row r="739" spans="8:10" x14ac:dyDescent="0.3">
      <c r="H739" s="3"/>
      <c r="I739" s="3"/>
      <c r="J739" s="3"/>
    </row>
    <row r="740" spans="8:10" x14ac:dyDescent="0.3">
      <c r="H740" s="3"/>
      <c r="I740" s="3"/>
      <c r="J740" s="3"/>
    </row>
    <row r="741" spans="8:10" x14ac:dyDescent="0.3">
      <c r="H741" s="3"/>
      <c r="I741" s="3"/>
      <c r="J741" s="3"/>
    </row>
    <row r="742" spans="8:10" x14ac:dyDescent="0.3">
      <c r="H742" s="3"/>
      <c r="I742" s="3"/>
      <c r="J742" s="3"/>
    </row>
    <row r="743" spans="8:10" x14ac:dyDescent="0.3">
      <c r="H743" s="3"/>
      <c r="I743" s="3"/>
      <c r="J743" s="3"/>
    </row>
    <row r="744" spans="8:10" x14ac:dyDescent="0.3">
      <c r="H744" s="3"/>
      <c r="I744" s="3"/>
      <c r="J744" s="3"/>
    </row>
    <row r="745" spans="8:10" x14ac:dyDescent="0.3">
      <c r="H745" s="3"/>
      <c r="I745" s="3"/>
      <c r="J745" s="3"/>
    </row>
    <row r="746" spans="8:10" x14ac:dyDescent="0.3">
      <c r="H746" s="3"/>
      <c r="I746" s="3"/>
      <c r="J746" s="3"/>
    </row>
    <row r="747" spans="8:10" x14ac:dyDescent="0.3">
      <c r="H747" s="3"/>
      <c r="I747" s="3"/>
      <c r="J747" s="3"/>
    </row>
    <row r="748" spans="8:10" x14ac:dyDescent="0.3">
      <c r="H748" s="3"/>
      <c r="I748" s="3"/>
      <c r="J748" s="3"/>
    </row>
    <row r="749" spans="8:10" x14ac:dyDescent="0.3">
      <c r="H749" s="3"/>
      <c r="I749" s="3"/>
      <c r="J749" s="3"/>
    </row>
    <row r="750" spans="8:10" x14ac:dyDescent="0.3">
      <c r="H750" s="3"/>
      <c r="I750" s="3"/>
      <c r="J750" s="3"/>
    </row>
    <row r="751" spans="8:10" x14ac:dyDescent="0.3">
      <c r="H751" s="3"/>
      <c r="I751" s="3"/>
      <c r="J751" s="3"/>
    </row>
    <row r="752" spans="8:10" x14ac:dyDescent="0.3">
      <c r="H752" s="3"/>
      <c r="I752" s="3"/>
      <c r="J752" s="3"/>
    </row>
    <row r="753" spans="8:10" x14ac:dyDescent="0.3">
      <c r="H753" s="3"/>
      <c r="I753" s="3"/>
      <c r="J753" s="3"/>
    </row>
    <row r="754" spans="8:10" x14ac:dyDescent="0.3">
      <c r="H754" s="3"/>
      <c r="I754" s="3"/>
      <c r="J754" s="3"/>
    </row>
    <row r="755" spans="8:10" x14ac:dyDescent="0.3">
      <c r="H755" s="3"/>
      <c r="I755" s="3"/>
      <c r="J755" s="3"/>
    </row>
    <row r="756" spans="8:10" x14ac:dyDescent="0.3">
      <c r="H756" s="3"/>
      <c r="I756" s="3"/>
      <c r="J756" s="3"/>
    </row>
    <row r="757" spans="8:10" x14ac:dyDescent="0.3">
      <c r="H757" s="3"/>
      <c r="I757" s="3"/>
      <c r="J757" s="3"/>
    </row>
    <row r="758" spans="8:10" x14ac:dyDescent="0.3">
      <c r="H758" s="3"/>
      <c r="I758" s="3"/>
      <c r="J758" s="3"/>
    </row>
    <row r="759" spans="8:10" x14ac:dyDescent="0.3">
      <c r="H759" s="3"/>
      <c r="I759" s="3"/>
      <c r="J759" s="3"/>
    </row>
    <row r="760" spans="8:10" x14ac:dyDescent="0.3">
      <c r="H760" s="3"/>
      <c r="I760" s="3"/>
      <c r="J760" s="3"/>
    </row>
    <row r="761" spans="8:10" x14ac:dyDescent="0.3">
      <c r="H761" s="3"/>
      <c r="I761" s="3"/>
      <c r="J761" s="3"/>
    </row>
    <row r="762" spans="8:10" x14ac:dyDescent="0.3">
      <c r="H762" s="3"/>
      <c r="I762" s="3"/>
      <c r="J762" s="3"/>
    </row>
    <row r="763" spans="8:10" x14ac:dyDescent="0.3">
      <c r="H763" s="3"/>
      <c r="I763" s="3"/>
      <c r="J763" s="3"/>
    </row>
    <row r="764" spans="8:10" x14ac:dyDescent="0.3">
      <c r="H764" s="3"/>
      <c r="I764" s="3"/>
      <c r="J764" s="3"/>
    </row>
    <row r="765" spans="8:10" x14ac:dyDescent="0.3">
      <c r="H765" s="3"/>
      <c r="I765" s="3"/>
      <c r="J765" s="3"/>
    </row>
    <row r="766" spans="8:10" x14ac:dyDescent="0.3">
      <c r="H766" s="3"/>
      <c r="I766" s="3"/>
      <c r="J766" s="3"/>
    </row>
    <row r="767" spans="8:10" x14ac:dyDescent="0.3">
      <c r="H767" s="3"/>
      <c r="I767" s="3"/>
      <c r="J767" s="3"/>
    </row>
    <row r="768" spans="8:10" x14ac:dyDescent="0.3">
      <c r="H768" s="3"/>
      <c r="I768" s="3"/>
      <c r="J768" s="3"/>
    </row>
    <row r="769" spans="8:10" x14ac:dyDescent="0.3">
      <c r="H769" s="3"/>
      <c r="I769" s="3"/>
      <c r="J769" s="3"/>
    </row>
    <row r="770" spans="8:10" x14ac:dyDescent="0.3">
      <c r="H770" s="3"/>
      <c r="I770" s="3"/>
      <c r="J770" s="3"/>
    </row>
    <row r="771" spans="8:10" x14ac:dyDescent="0.3">
      <c r="H771" s="3"/>
      <c r="I771" s="3"/>
      <c r="J771" s="3"/>
    </row>
    <row r="772" spans="8:10" x14ac:dyDescent="0.3">
      <c r="H772" s="3"/>
      <c r="I772" s="3"/>
      <c r="J772" s="3"/>
    </row>
    <row r="773" spans="8:10" x14ac:dyDescent="0.3">
      <c r="H773" s="3"/>
      <c r="I773" s="3"/>
      <c r="J773" s="3"/>
    </row>
    <row r="774" spans="8:10" x14ac:dyDescent="0.3">
      <c r="H774" s="3"/>
      <c r="I774" s="3"/>
      <c r="J774" s="3"/>
    </row>
    <row r="775" spans="8:10" x14ac:dyDescent="0.3">
      <c r="H775" s="3"/>
      <c r="I775" s="3"/>
      <c r="J775" s="3"/>
    </row>
    <row r="776" spans="8:10" x14ac:dyDescent="0.3">
      <c r="H776" s="3"/>
      <c r="I776" s="3"/>
      <c r="J776" s="3"/>
    </row>
    <row r="777" spans="8:10" x14ac:dyDescent="0.3">
      <c r="H777" s="3"/>
      <c r="I777" s="3"/>
      <c r="J777" s="3"/>
    </row>
    <row r="778" spans="8:10" x14ac:dyDescent="0.3">
      <c r="H778" s="3"/>
      <c r="I778" s="3"/>
      <c r="J778" s="3"/>
    </row>
    <row r="779" spans="8:10" x14ac:dyDescent="0.3">
      <c r="H779" s="3"/>
      <c r="I779" s="3"/>
      <c r="J779" s="3"/>
    </row>
    <row r="780" spans="8:10" x14ac:dyDescent="0.3">
      <c r="H780" s="3"/>
      <c r="I780" s="3"/>
      <c r="J780" s="3"/>
    </row>
    <row r="781" spans="8:10" x14ac:dyDescent="0.3">
      <c r="H781" s="3"/>
      <c r="I781" s="3"/>
      <c r="J781" s="3"/>
    </row>
    <row r="782" spans="8:10" x14ac:dyDescent="0.3">
      <c r="H782" s="3"/>
      <c r="I782" s="3"/>
      <c r="J782" s="3"/>
    </row>
    <row r="783" spans="8:10" x14ac:dyDescent="0.3">
      <c r="H783" s="3"/>
      <c r="I783" s="3"/>
      <c r="J783" s="3"/>
    </row>
    <row r="784" spans="8:10" x14ac:dyDescent="0.3">
      <c r="H784" s="3"/>
      <c r="I784" s="3"/>
      <c r="J784" s="3"/>
    </row>
    <row r="785" spans="8:10" x14ac:dyDescent="0.3">
      <c r="H785" s="3"/>
      <c r="I785" s="3"/>
      <c r="J785" s="3"/>
    </row>
    <row r="786" spans="8:10" x14ac:dyDescent="0.3">
      <c r="H786" s="3"/>
      <c r="I786" s="3"/>
      <c r="J786" s="3"/>
    </row>
    <row r="787" spans="8:10" x14ac:dyDescent="0.3">
      <c r="H787" s="3"/>
      <c r="I787" s="3"/>
      <c r="J787" s="3"/>
    </row>
    <row r="788" spans="8:10" x14ac:dyDescent="0.3">
      <c r="H788" s="3"/>
      <c r="I788" s="3"/>
      <c r="J788" s="3"/>
    </row>
    <row r="789" spans="8:10" x14ac:dyDescent="0.3">
      <c r="H789" s="3"/>
      <c r="I789" s="3"/>
      <c r="J789" s="3"/>
    </row>
    <row r="790" spans="8:10" x14ac:dyDescent="0.3">
      <c r="H790" s="3"/>
      <c r="I790" s="3"/>
      <c r="J790" s="3"/>
    </row>
    <row r="791" spans="8:10" x14ac:dyDescent="0.3">
      <c r="H791" s="3"/>
      <c r="I791" s="3"/>
      <c r="J791" s="3"/>
    </row>
    <row r="792" spans="8:10" x14ac:dyDescent="0.3">
      <c r="H792" s="3"/>
      <c r="I792" s="3"/>
      <c r="J792" s="3"/>
    </row>
    <row r="793" spans="8:10" x14ac:dyDescent="0.3">
      <c r="H793" s="3"/>
      <c r="I793" s="3"/>
      <c r="J793" s="3"/>
    </row>
    <row r="794" spans="8:10" x14ac:dyDescent="0.3">
      <c r="H794" s="3"/>
      <c r="I794" s="3"/>
      <c r="J794" s="3"/>
    </row>
    <row r="795" spans="8:10" x14ac:dyDescent="0.3">
      <c r="H795" s="3"/>
      <c r="I795" s="3"/>
      <c r="J795" s="3"/>
    </row>
    <row r="796" spans="8:10" x14ac:dyDescent="0.3">
      <c r="H796" s="3"/>
      <c r="I796" s="3"/>
      <c r="J796" s="3"/>
    </row>
    <row r="797" spans="8:10" x14ac:dyDescent="0.3">
      <c r="H797" s="3"/>
      <c r="I797" s="3"/>
      <c r="J797" s="3"/>
    </row>
    <row r="798" spans="8:10" x14ac:dyDescent="0.3">
      <c r="H798" s="3"/>
      <c r="I798" s="3"/>
      <c r="J798" s="3"/>
    </row>
    <row r="799" spans="8:10" x14ac:dyDescent="0.3">
      <c r="H799" s="3"/>
      <c r="I799" s="3"/>
      <c r="J799" s="3"/>
    </row>
    <row r="800" spans="8:10" x14ac:dyDescent="0.3">
      <c r="H800" s="3"/>
      <c r="I800" s="3"/>
      <c r="J800" s="3"/>
    </row>
    <row r="801" spans="8:10" x14ac:dyDescent="0.3">
      <c r="H801" s="3"/>
      <c r="I801" s="3"/>
      <c r="J801" s="3"/>
    </row>
    <row r="802" spans="8:10" x14ac:dyDescent="0.3">
      <c r="H802" s="3"/>
      <c r="I802" s="3"/>
      <c r="J802" s="3"/>
    </row>
    <row r="803" spans="8:10" x14ac:dyDescent="0.3">
      <c r="H803" s="3"/>
      <c r="I803" s="3"/>
      <c r="J803" s="3"/>
    </row>
    <row r="804" spans="8:10" x14ac:dyDescent="0.3">
      <c r="H804" s="3"/>
      <c r="I804" s="3"/>
      <c r="J804" s="3"/>
    </row>
    <row r="805" spans="8:10" x14ac:dyDescent="0.3">
      <c r="H805" s="3"/>
      <c r="I805" s="3"/>
      <c r="J805" s="3"/>
    </row>
    <row r="806" spans="8:10" x14ac:dyDescent="0.3">
      <c r="H806" s="3"/>
      <c r="I806" s="3"/>
      <c r="J806" s="3"/>
    </row>
    <row r="807" spans="8:10" x14ac:dyDescent="0.3">
      <c r="H807" s="3"/>
      <c r="I807" s="3"/>
      <c r="J807" s="3"/>
    </row>
    <row r="808" spans="8:10" x14ac:dyDescent="0.3">
      <c r="H808" s="3"/>
      <c r="I808" s="3"/>
      <c r="J808" s="3"/>
    </row>
    <row r="809" spans="8:10" x14ac:dyDescent="0.3">
      <c r="H809" s="3"/>
      <c r="I809" s="3"/>
      <c r="J809" s="3"/>
    </row>
    <row r="810" spans="8:10" x14ac:dyDescent="0.3">
      <c r="H810" s="3"/>
      <c r="I810" s="3"/>
      <c r="J810" s="3"/>
    </row>
    <row r="811" spans="8:10" x14ac:dyDescent="0.3">
      <c r="H811" s="3"/>
      <c r="I811" s="3"/>
      <c r="J811" s="3"/>
    </row>
    <row r="812" spans="8:10" x14ac:dyDescent="0.3">
      <c r="H812" s="3"/>
      <c r="I812" s="3"/>
      <c r="J812" s="3"/>
    </row>
    <row r="813" spans="8:10" x14ac:dyDescent="0.3">
      <c r="H813" s="3"/>
      <c r="I813" s="3"/>
      <c r="J813" s="3"/>
    </row>
    <row r="814" spans="8:10" x14ac:dyDescent="0.3">
      <c r="H814" s="3"/>
      <c r="I814" s="3"/>
      <c r="J814" s="3"/>
    </row>
    <row r="815" spans="8:10" x14ac:dyDescent="0.3">
      <c r="H815" s="3"/>
      <c r="I815" s="3"/>
      <c r="J815" s="3"/>
    </row>
    <row r="816" spans="8:10" x14ac:dyDescent="0.3">
      <c r="H816" s="3"/>
      <c r="I816" s="3"/>
      <c r="J816" s="3"/>
    </row>
    <row r="817" spans="8:10" x14ac:dyDescent="0.3">
      <c r="H817" s="3"/>
      <c r="I817" s="3"/>
      <c r="J817" s="3"/>
    </row>
    <row r="818" spans="8:10" x14ac:dyDescent="0.3">
      <c r="H818" s="3"/>
      <c r="I818" s="3"/>
      <c r="J818" s="3"/>
    </row>
    <row r="819" spans="8:10" x14ac:dyDescent="0.3">
      <c r="H819" s="3"/>
      <c r="I819" s="3"/>
      <c r="J819" s="3"/>
    </row>
    <row r="820" spans="8:10" x14ac:dyDescent="0.3">
      <c r="H820" s="3"/>
      <c r="I820" s="3"/>
      <c r="J820" s="3"/>
    </row>
    <row r="821" spans="8:10" x14ac:dyDescent="0.3">
      <c r="H821" s="3"/>
      <c r="I821" s="3"/>
      <c r="J821" s="3"/>
    </row>
    <row r="822" spans="8:10" x14ac:dyDescent="0.3">
      <c r="H822" s="3"/>
      <c r="I822" s="3"/>
      <c r="J822" s="3"/>
    </row>
    <row r="823" spans="8:10" x14ac:dyDescent="0.3">
      <c r="H823" s="3"/>
      <c r="I823" s="3"/>
      <c r="J823" s="3"/>
    </row>
    <row r="824" spans="8:10" x14ac:dyDescent="0.3">
      <c r="H824" s="3"/>
      <c r="I824" s="3"/>
      <c r="J824" s="3"/>
    </row>
    <row r="825" spans="8:10" x14ac:dyDescent="0.3">
      <c r="H825" s="3"/>
      <c r="I825" s="3"/>
      <c r="J825" s="3"/>
    </row>
    <row r="826" spans="8:10" x14ac:dyDescent="0.3">
      <c r="H826" s="3"/>
      <c r="I826" s="3"/>
      <c r="J826" s="3"/>
    </row>
    <row r="827" spans="8:10" x14ac:dyDescent="0.3">
      <c r="H827" s="3"/>
      <c r="I827" s="3"/>
      <c r="J827" s="3"/>
    </row>
    <row r="828" spans="8:10" x14ac:dyDescent="0.3">
      <c r="H828" s="3"/>
      <c r="I828" s="3"/>
      <c r="J828" s="3"/>
    </row>
    <row r="829" spans="8:10" x14ac:dyDescent="0.3">
      <c r="H829" s="3"/>
      <c r="I829" s="3"/>
      <c r="J829" s="3"/>
    </row>
    <row r="830" spans="8:10" x14ac:dyDescent="0.3">
      <c r="H830" s="3"/>
      <c r="I830" s="3"/>
      <c r="J830" s="3"/>
    </row>
    <row r="831" spans="8:10" x14ac:dyDescent="0.3">
      <c r="H831" s="3"/>
      <c r="I831" s="3"/>
      <c r="J831" s="3"/>
    </row>
    <row r="832" spans="8:10" x14ac:dyDescent="0.3">
      <c r="H832" s="3"/>
      <c r="I832" s="3"/>
      <c r="J832" s="3"/>
    </row>
    <row r="833" spans="8:10" x14ac:dyDescent="0.3">
      <c r="H833" s="3"/>
      <c r="I833" s="3"/>
      <c r="J833" s="3"/>
    </row>
    <row r="834" spans="8:10" x14ac:dyDescent="0.3">
      <c r="H834" s="3"/>
      <c r="I834" s="3"/>
      <c r="J834" s="3"/>
    </row>
    <row r="835" spans="8:10" x14ac:dyDescent="0.3">
      <c r="H835" s="3"/>
      <c r="I835" s="3"/>
      <c r="J835" s="3"/>
    </row>
    <row r="836" spans="8:10" x14ac:dyDescent="0.3">
      <c r="H836" s="3"/>
      <c r="I836" s="3"/>
      <c r="J836" s="3"/>
    </row>
    <row r="837" spans="8:10" x14ac:dyDescent="0.3">
      <c r="H837" s="3"/>
      <c r="I837" s="3"/>
      <c r="J837" s="3"/>
    </row>
    <row r="838" spans="8:10" x14ac:dyDescent="0.3">
      <c r="H838" s="3"/>
      <c r="I838" s="3"/>
      <c r="J838" s="3"/>
    </row>
    <row r="839" spans="8:10" x14ac:dyDescent="0.3">
      <c r="H839" s="3"/>
      <c r="I839" s="3"/>
      <c r="J839" s="3"/>
    </row>
    <row r="840" spans="8:10" x14ac:dyDescent="0.3">
      <c r="H840" s="3"/>
      <c r="I840" s="3"/>
      <c r="J840" s="3"/>
    </row>
    <row r="841" spans="8:10" x14ac:dyDescent="0.3">
      <c r="H841" s="3"/>
      <c r="I841" s="3"/>
      <c r="J841" s="3"/>
    </row>
    <row r="842" spans="8:10" x14ac:dyDescent="0.3">
      <c r="H842" s="3"/>
      <c r="I842" s="3"/>
      <c r="J842" s="3"/>
    </row>
    <row r="843" spans="8:10" x14ac:dyDescent="0.3">
      <c r="H843" s="3"/>
      <c r="I843" s="3"/>
      <c r="J843" s="3"/>
    </row>
    <row r="844" spans="8:10" x14ac:dyDescent="0.3">
      <c r="H844" s="3"/>
      <c r="I844" s="3"/>
      <c r="J844" s="3"/>
    </row>
    <row r="845" spans="8:10" x14ac:dyDescent="0.3">
      <c r="H845" s="3"/>
      <c r="I845" s="3"/>
      <c r="J845" s="3"/>
    </row>
    <row r="846" spans="8:10" x14ac:dyDescent="0.3">
      <c r="H846" s="3"/>
      <c r="I846" s="3"/>
      <c r="J846" s="3"/>
    </row>
    <row r="847" spans="8:10" x14ac:dyDescent="0.3">
      <c r="H847" s="3"/>
      <c r="I847" s="3"/>
      <c r="J847" s="3"/>
    </row>
    <row r="848" spans="8:10" x14ac:dyDescent="0.3">
      <c r="H848" s="3"/>
      <c r="I848" s="3"/>
      <c r="J848" s="3"/>
    </row>
    <row r="849" spans="8:10" x14ac:dyDescent="0.3">
      <c r="H849" s="3"/>
      <c r="I849" s="3"/>
      <c r="J849" s="3"/>
    </row>
    <row r="850" spans="8:10" x14ac:dyDescent="0.3">
      <c r="H850" s="3"/>
      <c r="I850" s="3"/>
      <c r="J850" s="3"/>
    </row>
    <row r="851" spans="8:10" x14ac:dyDescent="0.3">
      <c r="H851" s="3"/>
      <c r="I851" s="3"/>
      <c r="J851" s="3"/>
    </row>
    <row r="852" spans="8:10" x14ac:dyDescent="0.3">
      <c r="H852" s="3"/>
      <c r="I852" s="3"/>
      <c r="J852" s="3"/>
    </row>
    <row r="853" spans="8:10" x14ac:dyDescent="0.3">
      <c r="H853" s="3"/>
      <c r="I853" s="3"/>
      <c r="J853" s="3"/>
    </row>
    <row r="854" spans="8:10" x14ac:dyDescent="0.3">
      <c r="H854" s="3"/>
      <c r="I854" s="3"/>
      <c r="J854" s="3"/>
    </row>
    <row r="855" spans="8:10" x14ac:dyDescent="0.3">
      <c r="H855" s="3"/>
      <c r="I855" s="3"/>
      <c r="J855" s="3"/>
    </row>
    <row r="856" spans="8:10" x14ac:dyDescent="0.3">
      <c r="H856" s="3"/>
      <c r="I856" s="3"/>
      <c r="J856" s="3"/>
    </row>
    <row r="857" spans="8:10" x14ac:dyDescent="0.3">
      <c r="H857" s="3"/>
      <c r="I857" s="3"/>
      <c r="J857" s="3"/>
    </row>
    <row r="858" spans="8:10" x14ac:dyDescent="0.3">
      <c r="H858" s="3"/>
      <c r="I858" s="3"/>
      <c r="J858" s="3"/>
    </row>
    <row r="859" spans="8:10" x14ac:dyDescent="0.3">
      <c r="H859" s="3"/>
      <c r="I859" s="3"/>
      <c r="J859" s="3"/>
    </row>
    <row r="860" spans="8:10" x14ac:dyDescent="0.3">
      <c r="H860" s="3"/>
      <c r="I860" s="3"/>
      <c r="J860" s="3"/>
    </row>
    <row r="861" spans="8:10" x14ac:dyDescent="0.3">
      <c r="H861" s="3"/>
      <c r="I861" s="3"/>
      <c r="J861" s="3"/>
    </row>
    <row r="862" spans="8:10" x14ac:dyDescent="0.3">
      <c r="H862" s="3"/>
      <c r="I862" s="3"/>
      <c r="J862" s="3"/>
    </row>
    <row r="863" spans="8:10" x14ac:dyDescent="0.3">
      <c r="H863" s="3"/>
      <c r="I863" s="3"/>
      <c r="J863" s="3"/>
    </row>
    <row r="864" spans="8:10" x14ac:dyDescent="0.3">
      <c r="H864" s="3"/>
      <c r="I864" s="3"/>
      <c r="J864" s="3"/>
    </row>
    <row r="865" spans="8:10" x14ac:dyDescent="0.3">
      <c r="H865" s="3"/>
      <c r="I865" s="3"/>
      <c r="J865" s="3"/>
    </row>
    <row r="866" spans="8:10" x14ac:dyDescent="0.3">
      <c r="H866" s="3"/>
      <c r="I866" s="3"/>
      <c r="J866" s="3"/>
    </row>
    <row r="867" spans="8:10" x14ac:dyDescent="0.3">
      <c r="H867" s="3"/>
      <c r="I867" s="3"/>
      <c r="J867" s="3"/>
    </row>
    <row r="868" spans="8:10" x14ac:dyDescent="0.3">
      <c r="H868" s="3"/>
      <c r="I868" s="3"/>
      <c r="J868" s="3"/>
    </row>
    <row r="869" spans="8:10" x14ac:dyDescent="0.3">
      <c r="H869" s="3"/>
      <c r="I869" s="3"/>
      <c r="J869" s="3"/>
    </row>
    <row r="870" spans="8:10" x14ac:dyDescent="0.3">
      <c r="H870" s="3"/>
      <c r="I870" s="3"/>
      <c r="J870" s="3"/>
    </row>
    <row r="871" spans="8:10" x14ac:dyDescent="0.3">
      <c r="H871" s="3"/>
      <c r="I871" s="3"/>
      <c r="J871" s="3"/>
    </row>
    <row r="872" spans="8:10" x14ac:dyDescent="0.3">
      <c r="H872" s="3"/>
      <c r="I872" s="3"/>
      <c r="J872" s="3"/>
    </row>
    <row r="873" spans="8:10" x14ac:dyDescent="0.3">
      <c r="H873" s="3"/>
      <c r="I873" s="3"/>
      <c r="J873" s="3"/>
    </row>
    <row r="874" spans="8:10" x14ac:dyDescent="0.3">
      <c r="H874" s="3"/>
      <c r="I874" s="3"/>
      <c r="J874" s="3"/>
    </row>
    <row r="875" spans="8:10" x14ac:dyDescent="0.3">
      <c r="H875" s="3"/>
      <c r="I875" s="3"/>
      <c r="J875" s="3"/>
    </row>
    <row r="876" spans="8:10" x14ac:dyDescent="0.3">
      <c r="H876" s="3"/>
      <c r="I876" s="3"/>
      <c r="J876" s="3"/>
    </row>
    <row r="877" spans="8:10" x14ac:dyDescent="0.3">
      <c r="H877" s="3"/>
      <c r="I877" s="3"/>
      <c r="J877" s="3"/>
    </row>
    <row r="878" spans="8:10" x14ac:dyDescent="0.3">
      <c r="H878" s="3"/>
      <c r="I878" s="3"/>
      <c r="J878" s="3"/>
    </row>
    <row r="879" spans="8:10" x14ac:dyDescent="0.3">
      <c r="H879" s="3"/>
      <c r="I879" s="3"/>
      <c r="J879" s="3"/>
    </row>
    <row r="880" spans="8:10" x14ac:dyDescent="0.3">
      <c r="H880" s="3"/>
      <c r="I880" s="3"/>
      <c r="J880" s="3"/>
    </row>
    <row r="881" spans="8:10" x14ac:dyDescent="0.3">
      <c r="H881" s="3"/>
      <c r="I881" s="3"/>
      <c r="J881" s="3"/>
    </row>
    <row r="882" spans="8:10" x14ac:dyDescent="0.3">
      <c r="H882" s="3"/>
      <c r="I882" s="3"/>
      <c r="J882" s="3"/>
    </row>
    <row r="883" spans="8:10" x14ac:dyDescent="0.3">
      <c r="H883" s="3"/>
      <c r="I883" s="3"/>
      <c r="J883" s="3"/>
    </row>
    <row r="884" spans="8:10" x14ac:dyDescent="0.3">
      <c r="H884" s="3"/>
      <c r="I884" s="3"/>
      <c r="J884" s="3"/>
    </row>
    <row r="885" spans="8:10" x14ac:dyDescent="0.3">
      <c r="H885" s="3"/>
      <c r="I885" s="3"/>
      <c r="J885" s="3"/>
    </row>
    <row r="886" spans="8:10" x14ac:dyDescent="0.3">
      <c r="H886" s="3"/>
      <c r="I886" s="3"/>
      <c r="J886" s="3"/>
    </row>
    <row r="887" spans="8:10" x14ac:dyDescent="0.3">
      <c r="H887" s="3"/>
      <c r="I887" s="3"/>
      <c r="J887" s="3"/>
    </row>
    <row r="888" spans="8:10" x14ac:dyDescent="0.3">
      <c r="H888" s="3"/>
      <c r="I888" s="3"/>
      <c r="J888" s="3"/>
    </row>
    <row r="889" spans="8:10" x14ac:dyDescent="0.3">
      <c r="H889" s="3"/>
      <c r="I889" s="3"/>
      <c r="J889" s="3"/>
    </row>
    <row r="890" spans="8:10" x14ac:dyDescent="0.3">
      <c r="H890" s="3"/>
      <c r="I890" s="3"/>
      <c r="J890" s="3"/>
    </row>
    <row r="891" spans="8:10" x14ac:dyDescent="0.3">
      <c r="H891" s="3"/>
      <c r="I891" s="3"/>
      <c r="J891" s="3"/>
    </row>
    <row r="892" spans="8:10" x14ac:dyDescent="0.3">
      <c r="H892" s="3"/>
      <c r="I892" s="3"/>
      <c r="J892" s="3"/>
    </row>
    <row r="893" spans="8:10" x14ac:dyDescent="0.3">
      <c r="H893" s="3"/>
      <c r="I893" s="3"/>
      <c r="J893" s="3"/>
    </row>
    <row r="894" spans="8:10" x14ac:dyDescent="0.3">
      <c r="H894" s="3"/>
      <c r="I894" s="3"/>
      <c r="J894" s="3"/>
    </row>
    <row r="895" spans="8:10" x14ac:dyDescent="0.3">
      <c r="H895" s="3"/>
      <c r="I895" s="3"/>
      <c r="J895" s="3"/>
    </row>
    <row r="896" spans="8:10" x14ac:dyDescent="0.3">
      <c r="H896" s="3"/>
      <c r="I896" s="3"/>
      <c r="J896" s="3"/>
    </row>
    <row r="897" spans="8:10" x14ac:dyDescent="0.3">
      <c r="H897" s="3"/>
      <c r="I897" s="3"/>
      <c r="J897" s="3"/>
    </row>
    <row r="898" spans="8:10" x14ac:dyDescent="0.3">
      <c r="H898" s="3"/>
      <c r="I898" s="3"/>
      <c r="J898" s="3"/>
    </row>
    <row r="899" spans="8:10" x14ac:dyDescent="0.3">
      <c r="H899" s="3"/>
      <c r="I899" s="3"/>
      <c r="J899" s="3"/>
    </row>
    <row r="900" spans="8:10" x14ac:dyDescent="0.3">
      <c r="H900" s="3"/>
      <c r="I900" s="3"/>
      <c r="J900" s="3"/>
    </row>
    <row r="901" spans="8:10" x14ac:dyDescent="0.3">
      <c r="H901" s="3"/>
      <c r="I901" s="3"/>
      <c r="J901" s="3"/>
    </row>
    <row r="902" spans="8:10" x14ac:dyDescent="0.3">
      <c r="H902" s="3"/>
      <c r="I902" s="3"/>
      <c r="J902" s="3"/>
    </row>
    <row r="903" spans="8:10" x14ac:dyDescent="0.3">
      <c r="H903" s="3"/>
      <c r="I903" s="3"/>
      <c r="J903" s="3"/>
    </row>
    <row r="904" spans="8:10" x14ac:dyDescent="0.3">
      <c r="H904" s="3"/>
      <c r="I904" s="3"/>
      <c r="J904" s="3"/>
    </row>
    <row r="905" spans="8:10" x14ac:dyDescent="0.3">
      <c r="H905" s="3"/>
      <c r="I905" s="3"/>
      <c r="J905" s="3"/>
    </row>
    <row r="906" spans="8:10" x14ac:dyDescent="0.3">
      <c r="H906" s="3"/>
      <c r="I906" s="3"/>
      <c r="J906" s="3"/>
    </row>
    <row r="907" spans="8:10" x14ac:dyDescent="0.3">
      <c r="H907" s="3"/>
      <c r="I907" s="3"/>
      <c r="J907" s="3"/>
    </row>
    <row r="908" spans="8:10" x14ac:dyDescent="0.3">
      <c r="H908" s="3"/>
      <c r="I908" s="3"/>
      <c r="J908" s="3"/>
    </row>
    <row r="909" spans="8:10" x14ac:dyDescent="0.3">
      <c r="H909" s="3"/>
      <c r="I909" s="3"/>
      <c r="J909" s="3"/>
    </row>
    <row r="910" spans="8:10" x14ac:dyDescent="0.3">
      <c r="H910" s="3"/>
      <c r="I910" s="3"/>
      <c r="J910" s="3"/>
    </row>
    <row r="911" spans="8:10" x14ac:dyDescent="0.3">
      <c r="H911" s="3"/>
      <c r="I911" s="3"/>
      <c r="J911" s="3"/>
    </row>
    <row r="912" spans="8:10" x14ac:dyDescent="0.3">
      <c r="H912" s="3"/>
      <c r="I912" s="3"/>
      <c r="J912" s="3"/>
    </row>
    <row r="913" spans="8:10" x14ac:dyDescent="0.3">
      <c r="H913" s="3"/>
      <c r="I913" s="3"/>
      <c r="J913" s="3"/>
    </row>
    <row r="914" spans="8:10" x14ac:dyDescent="0.3">
      <c r="H914" s="3"/>
      <c r="I914" s="3"/>
      <c r="J914" s="3"/>
    </row>
    <row r="915" spans="8:10" x14ac:dyDescent="0.3">
      <c r="H915" s="3"/>
      <c r="I915" s="3"/>
      <c r="J915" s="3"/>
    </row>
    <row r="916" spans="8:10" x14ac:dyDescent="0.3">
      <c r="H916" s="3"/>
      <c r="I916" s="3"/>
      <c r="J916" s="3"/>
    </row>
    <row r="917" spans="8:10" x14ac:dyDescent="0.3">
      <c r="H917" s="3"/>
      <c r="I917" s="3"/>
      <c r="J917" s="3"/>
    </row>
    <row r="918" spans="8:10" x14ac:dyDescent="0.3">
      <c r="H918" s="3"/>
      <c r="I918" s="3"/>
      <c r="J918" s="3"/>
    </row>
    <row r="919" spans="8:10" x14ac:dyDescent="0.3">
      <c r="H919" s="3"/>
      <c r="I919" s="3"/>
      <c r="J919" s="3"/>
    </row>
    <row r="920" spans="8:10" x14ac:dyDescent="0.3">
      <c r="H920" s="3"/>
      <c r="I920" s="3"/>
      <c r="J920" s="3"/>
    </row>
    <row r="921" spans="8:10" x14ac:dyDescent="0.3">
      <c r="H921" s="3"/>
      <c r="I921" s="3"/>
      <c r="J921" s="3"/>
    </row>
    <row r="922" spans="8:10" x14ac:dyDescent="0.3">
      <c r="H922" s="3"/>
      <c r="I922" s="3"/>
      <c r="J922" s="3"/>
    </row>
    <row r="923" spans="8:10" x14ac:dyDescent="0.3">
      <c r="H923" s="3"/>
      <c r="I923" s="3"/>
      <c r="J923" s="3"/>
    </row>
    <row r="924" spans="8:10" x14ac:dyDescent="0.3">
      <c r="H924" s="3"/>
      <c r="I924" s="3"/>
      <c r="J924" s="3"/>
    </row>
    <row r="925" spans="8:10" x14ac:dyDescent="0.3">
      <c r="H925" s="3"/>
      <c r="I925" s="3"/>
      <c r="J925" s="3"/>
    </row>
    <row r="926" spans="8:10" x14ac:dyDescent="0.3">
      <c r="H926" s="3"/>
      <c r="I926" s="3"/>
      <c r="J926" s="3"/>
    </row>
    <row r="927" spans="8:10" x14ac:dyDescent="0.3">
      <c r="H927" s="3"/>
      <c r="I927" s="3"/>
      <c r="J927" s="3"/>
    </row>
    <row r="928" spans="8:10" x14ac:dyDescent="0.3">
      <c r="H928" s="3"/>
      <c r="I928" s="3"/>
      <c r="J928" s="3"/>
    </row>
    <row r="929" spans="8:10" x14ac:dyDescent="0.3">
      <c r="H929" s="3"/>
      <c r="I929" s="3"/>
      <c r="J929" s="3"/>
    </row>
    <row r="930" spans="8:10" x14ac:dyDescent="0.3">
      <c r="H930" s="3"/>
      <c r="I930" s="3"/>
      <c r="J930" s="3"/>
    </row>
    <row r="931" spans="8:10" x14ac:dyDescent="0.3">
      <c r="H931" s="3"/>
      <c r="I931" s="3"/>
      <c r="J931" s="3"/>
    </row>
    <row r="932" spans="8:10" x14ac:dyDescent="0.3">
      <c r="H932" s="3"/>
      <c r="I932" s="3"/>
      <c r="J932" s="3"/>
    </row>
    <row r="933" spans="8:10" x14ac:dyDescent="0.3">
      <c r="H933" s="3"/>
      <c r="I933" s="3"/>
      <c r="J933" s="3"/>
    </row>
    <row r="934" spans="8:10" x14ac:dyDescent="0.3">
      <c r="H934" s="3"/>
      <c r="I934" s="3"/>
      <c r="J934" s="3"/>
    </row>
    <row r="935" spans="8:10" x14ac:dyDescent="0.3">
      <c r="H935" s="3"/>
      <c r="I935" s="3"/>
      <c r="J935" s="3"/>
    </row>
    <row r="936" spans="8:10" x14ac:dyDescent="0.3">
      <c r="H936" s="3"/>
      <c r="I936" s="3"/>
      <c r="J936" s="3"/>
    </row>
    <row r="937" spans="8:10" x14ac:dyDescent="0.3">
      <c r="H937" s="3"/>
      <c r="I937" s="3"/>
      <c r="J937" s="3"/>
    </row>
    <row r="938" spans="8:10" x14ac:dyDescent="0.3">
      <c r="H938" s="3"/>
      <c r="I938" s="3"/>
      <c r="J938" s="3"/>
    </row>
    <row r="939" spans="8:10" x14ac:dyDescent="0.3">
      <c r="H939" s="3"/>
      <c r="I939" s="3"/>
      <c r="J939" s="3"/>
    </row>
    <row r="940" spans="8:10" x14ac:dyDescent="0.3">
      <c r="H940" s="3"/>
      <c r="I940" s="3"/>
      <c r="J940" s="3"/>
    </row>
    <row r="941" spans="8:10" x14ac:dyDescent="0.3">
      <c r="H941" s="3"/>
      <c r="I941" s="3"/>
      <c r="J941" s="3"/>
    </row>
    <row r="942" spans="8:10" x14ac:dyDescent="0.3">
      <c r="H942" s="3"/>
      <c r="I942" s="3"/>
      <c r="J942" s="3"/>
    </row>
    <row r="943" spans="8:10" x14ac:dyDescent="0.3">
      <c r="H943" s="3"/>
      <c r="I943" s="3"/>
      <c r="J943" s="3"/>
    </row>
    <row r="944" spans="8:10" x14ac:dyDescent="0.3">
      <c r="H944" s="3"/>
      <c r="I944" s="3"/>
      <c r="J944" s="3"/>
    </row>
    <row r="945" spans="8:10" x14ac:dyDescent="0.3">
      <c r="H945" s="3"/>
      <c r="I945" s="3"/>
      <c r="J945" s="3"/>
    </row>
    <row r="946" spans="8:10" x14ac:dyDescent="0.3">
      <c r="H946" s="3"/>
      <c r="I946" s="3"/>
      <c r="J946" s="3"/>
    </row>
    <row r="947" spans="8:10" x14ac:dyDescent="0.3">
      <c r="H947" s="3"/>
      <c r="I947" s="3"/>
      <c r="J947" s="3"/>
    </row>
    <row r="948" spans="8:10" x14ac:dyDescent="0.3">
      <c r="H948" s="3"/>
      <c r="I948" s="3"/>
      <c r="J948" s="3"/>
    </row>
    <row r="949" spans="8:10" x14ac:dyDescent="0.3">
      <c r="H949" s="3"/>
      <c r="I949" s="3"/>
      <c r="J949" s="3"/>
    </row>
    <row r="950" spans="8:10" x14ac:dyDescent="0.3">
      <c r="H950" s="3"/>
      <c r="I950" s="3"/>
      <c r="J950" s="3"/>
    </row>
    <row r="951" spans="8:10" x14ac:dyDescent="0.3">
      <c r="H951" s="3"/>
      <c r="I951" s="3"/>
      <c r="J951" s="3"/>
    </row>
    <row r="952" spans="8:10" x14ac:dyDescent="0.3">
      <c r="H952" s="3"/>
      <c r="I952" s="3"/>
      <c r="J952" s="3"/>
    </row>
    <row r="953" spans="8:10" x14ac:dyDescent="0.3">
      <c r="H953" s="3"/>
      <c r="I953" s="3"/>
      <c r="J953" s="3"/>
    </row>
    <row r="954" spans="8:10" x14ac:dyDescent="0.3">
      <c r="H954" s="3"/>
      <c r="I954" s="3"/>
      <c r="J954" s="3"/>
    </row>
    <row r="955" spans="8:10" x14ac:dyDescent="0.3">
      <c r="H955" s="3"/>
      <c r="I955" s="3"/>
      <c r="J955" s="3"/>
    </row>
    <row r="956" spans="8:10" x14ac:dyDescent="0.3">
      <c r="H956" s="3"/>
      <c r="I956" s="3"/>
      <c r="J956" s="3"/>
    </row>
    <row r="957" spans="8:10" x14ac:dyDescent="0.3">
      <c r="H957" s="3"/>
      <c r="I957" s="3"/>
      <c r="J957" s="3"/>
    </row>
    <row r="958" spans="8:10" x14ac:dyDescent="0.3">
      <c r="H958" s="3"/>
      <c r="I958" s="3"/>
      <c r="J958" s="3"/>
    </row>
    <row r="959" spans="8:10" x14ac:dyDescent="0.3">
      <c r="H959" s="3"/>
      <c r="I959" s="3"/>
      <c r="J959" s="3"/>
    </row>
    <row r="960" spans="8:10" x14ac:dyDescent="0.3">
      <c r="H960" s="3"/>
      <c r="I960" s="3"/>
      <c r="J960" s="3"/>
    </row>
    <row r="961" spans="8:10" x14ac:dyDescent="0.3">
      <c r="H961" s="3"/>
      <c r="I961" s="3"/>
      <c r="J961" s="3"/>
    </row>
    <row r="962" spans="8:10" x14ac:dyDescent="0.3">
      <c r="H962" s="3"/>
      <c r="I962" s="3"/>
      <c r="J962" s="3"/>
    </row>
    <row r="963" spans="8:10" x14ac:dyDescent="0.3">
      <c r="H963" s="3"/>
      <c r="I963" s="3"/>
      <c r="J963" s="3"/>
    </row>
    <row r="964" spans="8:10" x14ac:dyDescent="0.3">
      <c r="H964" s="3"/>
      <c r="I964" s="3"/>
      <c r="J964" s="3"/>
    </row>
    <row r="965" spans="8:10" x14ac:dyDescent="0.3">
      <c r="H965" s="3"/>
      <c r="I965" s="3"/>
      <c r="J965" s="3"/>
    </row>
    <row r="966" spans="8:10" x14ac:dyDescent="0.3">
      <c r="H966" s="3"/>
      <c r="I966" s="3"/>
      <c r="J966" s="3"/>
    </row>
    <row r="967" spans="8:10" x14ac:dyDescent="0.3">
      <c r="H967" s="3"/>
      <c r="I967" s="3"/>
      <c r="J967" s="3"/>
    </row>
    <row r="968" spans="8:10" x14ac:dyDescent="0.3">
      <c r="H968" s="3"/>
      <c r="I968" s="3"/>
      <c r="J968" s="3"/>
    </row>
    <row r="969" spans="8:10" x14ac:dyDescent="0.3">
      <c r="H969" s="3"/>
      <c r="I969" s="3"/>
      <c r="J969" s="3"/>
    </row>
    <row r="970" spans="8:10" x14ac:dyDescent="0.3">
      <c r="H970" s="3"/>
      <c r="I970" s="3"/>
      <c r="J970" s="3"/>
    </row>
    <row r="971" spans="8:10" x14ac:dyDescent="0.3">
      <c r="H971" s="3"/>
      <c r="I971" s="3"/>
      <c r="J971" s="3"/>
    </row>
    <row r="972" spans="8:10" x14ac:dyDescent="0.3">
      <c r="H972" s="3"/>
      <c r="I972" s="3"/>
      <c r="J972" s="3"/>
    </row>
    <row r="973" spans="8:10" x14ac:dyDescent="0.3">
      <c r="H973" s="3"/>
      <c r="I973" s="3"/>
      <c r="J973" s="3"/>
    </row>
    <row r="974" spans="8:10" x14ac:dyDescent="0.3">
      <c r="H974" s="3"/>
      <c r="I974" s="3"/>
      <c r="J974" s="3"/>
    </row>
    <row r="975" spans="8:10" x14ac:dyDescent="0.3">
      <c r="H975" s="3"/>
      <c r="I975" s="3"/>
      <c r="J975" s="3"/>
    </row>
    <row r="976" spans="8:10" x14ac:dyDescent="0.3">
      <c r="H976" s="3"/>
      <c r="I976" s="3"/>
      <c r="J976" s="3"/>
    </row>
    <row r="977" spans="8:10" x14ac:dyDescent="0.3">
      <c r="H977" s="3"/>
      <c r="I977" s="3"/>
      <c r="J977" s="3"/>
    </row>
    <row r="978" spans="8:10" x14ac:dyDescent="0.3">
      <c r="H978" s="3"/>
      <c r="I978" s="3"/>
      <c r="J978" s="3"/>
    </row>
    <row r="979" spans="8:10" x14ac:dyDescent="0.3">
      <c r="H979" s="3"/>
      <c r="I979" s="3"/>
      <c r="J979" s="3"/>
    </row>
    <row r="980" spans="8:10" x14ac:dyDescent="0.3">
      <c r="H980" s="3"/>
      <c r="I980" s="3"/>
      <c r="J980" s="3"/>
    </row>
    <row r="981" spans="8:10" x14ac:dyDescent="0.3">
      <c r="H981" s="3"/>
      <c r="I981" s="3"/>
      <c r="J981" s="3"/>
    </row>
    <row r="982" spans="8:10" x14ac:dyDescent="0.3">
      <c r="H982" s="3"/>
      <c r="I982" s="3"/>
      <c r="J982" s="3"/>
    </row>
    <row r="983" spans="8:10" x14ac:dyDescent="0.3">
      <c r="H983" s="3"/>
      <c r="I983" s="3"/>
      <c r="J983" s="3"/>
    </row>
    <row r="984" spans="8:10" x14ac:dyDescent="0.3">
      <c r="H984" s="3"/>
      <c r="I984" s="3"/>
      <c r="J984" s="3"/>
    </row>
    <row r="985" spans="8:10" x14ac:dyDescent="0.3">
      <c r="H985" s="3"/>
      <c r="I985" s="3"/>
      <c r="J985" s="3"/>
    </row>
    <row r="986" spans="8:10" x14ac:dyDescent="0.3">
      <c r="H986" s="3"/>
      <c r="I986" s="3"/>
      <c r="J986" s="3"/>
    </row>
    <row r="987" spans="8:10" x14ac:dyDescent="0.3">
      <c r="H987" s="3"/>
      <c r="I987" s="3"/>
      <c r="J987" s="3"/>
    </row>
    <row r="988" spans="8:10" x14ac:dyDescent="0.3">
      <c r="H988" s="3"/>
      <c r="I988" s="3"/>
      <c r="J988" s="3"/>
    </row>
    <row r="989" spans="8:10" x14ac:dyDescent="0.3">
      <c r="H989" s="3"/>
      <c r="I989" s="3"/>
      <c r="J989" s="3"/>
    </row>
    <row r="990" spans="8:10" x14ac:dyDescent="0.3">
      <c r="H990" s="3"/>
      <c r="I990" s="3"/>
      <c r="J990" s="3"/>
    </row>
    <row r="991" spans="8:10" x14ac:dyDescent="0.3">
      <c r="H991" s="3"/>
      <c r="I991" s="3"/>
      <c r="J991" s="3"/>
    </row>
    <row r="992" spans="8:10" x14ac:dyDescent="0.3">
      <c r="H992" s="3"/>
      <c r="I992" s="3"/>
      <c r="J992" s="3"/>
    </row>
    <row r="993" spans="8:10" x14ac:dyDescent="0.3">
      <c r="H993" s="3"/>
      <c r="I993" s="3"/>
      <c r="J993" s="3"/>
    </row>
    <row r="994" spans="8:10" x14ac:dyDescent="0.3">
      <c r="H994" s="3"/>
      <c r="I994" s="3"/>
      <c r="J994" s="3"/>
    </row>
    <row r="995" spans="8:10" x14ac:dyDescent="0.3">
      <c r="H995" s="3"/>
      <c r="I995" s="3"/>
      <c r="J995" s="3"/>
    </row>
    <row r="996" spans="8:10" x14ac:dyDescent="0.3">
      <c r="H996" s="3"/>
      <c r="I996" s="3"/>
      <c r="J996" s="3"/>
    </row>
    <row r="997" spans="8:10" x14ac:dyDescent="0.3">
      <c r="H997" s="3"/>
      <c r="I997" s="3"/>
      <c r="J997" s="3"/>
    </row>
    <row r="998" spans="8:10" x14ac:dyDescent="0.3">
      <c r="H998" s="3"/>
      <c r="I998" s="3"/>
      <c r="J998" s="3"/>
    </row>
    <row r="999" spans="8:10" x14ac:dyDescent="0.3">
      <c r="H999" s="3"/>
      <c r="I999" s="3"/>
      <c r="J999" s="3"/>
    </row>
    <row r="1000" spans="8:10" x14ac:dyDescent="0.3">
      <c r="H1000" s="3"/>
      <c r="I1000" s="3"/>
      <c r="J1000" s="3"/>
    </row>
    <row r="1001" spans="8:10" x14ac:dyDescent="0.3">
      <c r="H1001" s="3"/>
      <c r="I1001" s="3"/>
      <c r="J1001" s="3"/>
    </row>
    <row r="1002" spans="8:10" x14ac:dyDescent="0.3">
      <c r="H1002" s="3"/>
      <c r="I1002" s="3"/>
      <c r="J1002" s="3"/>
    </row>
    <row r="1003" spans="8:10" x14ac:dyDescent="0.3">
      <c r="H1003" s="3"/>
      <c r="I1003" s="3"/>
      <c r="J1003" s="3"/>
    </row>
    <row r="1004" spans="8:10" x14ac:dyDescent="0.3">
      <c r="H1004" s="3"/>
      <c r="I1004" s="3"/>
      <c r="J1004" s="3"/>
    </row>
    <row r="1005" spans="8:10" x14ac:dyDescent="0.3">
      <c r="H1005" s="3"/>
      <c r="I1005" s="3"/>
      <c r="J1005" s="3"/>
    </row>
    <row r="1006" spans="8:10" x14ac:dyDescent="0.3">
      <c r="H1006" s="3"/>
      <c r="I1006" s="3"/>
      <c r="J1006" s="3"/>
    </row>
    <row r="1007" spans="8:10" x14ac:dyDescent="0.3">
      <c r="H1007" s="3"/>
      <c r="I1007" s="3"/>
      <c r="J1007" s="3"/>
    </row>
    <row r="1008" spans="8:10" x14ac:dyDescent="0.3">
      <c r="H1008" s="3"/>
      <c r="I1008" s="3"/>
      <c r="J1008" s="3"/>
    </row>
    <row r="1009" spans="8:10" x14ac:dyDescent="0.3">
      <c r="H1009" s="3"/>
      <c r="I1009" s="3"/>
      <c r="J1009" s="3"/>
    </row>
    <row r="1010" spans="8:10" x14ac:dyDescent="0.3">
      <c r="H1010" s="3"/>
      <c r="I1010" s="3"/>
      <c r="J1010" s="3"/>
    </row>
    <row r="1011" spans="8:10" x14ac:dyDescent="0.3">
      <c r="H1011" s="3"/>
      <c r="I1011" s="3"/>
      <c r="J1011" s="3"/>
    </row>
    <row r="1012" spans="8:10" x14ac:dyDescent="0.3">
      <c r="H1012" s="3"/>
      <c r="I1012" s="3"/>
      <c r="J1012" s="3"/>
    </row>
    <row r="1013" spans="8:10" x14ac:dyDescent="0.3">
      <c r="H1013" s="3"/>
      <c r="I1013" s="3"/>
      <c r="J1013" s="3"/>
    </row>
    <row r="1014" spans="8:10" x14ac:dyDescent="0.3">
      <c r="H1014" s="3"/>
      <c r="I1014" s="3"/>
      <c r="J1014" s="3"/>
    </row>
    <row r="1015" spans="8:10" x14ac:dyDescent="0.3">
      <c r="H1015" s="3"/>
      <c r="I1015" s="3"/>
      <c r="J1015" s="3"/>
    </row>
    <row r="1016" spans="8:10" x14ac:dyDescent="0.3">
      <c r="H1016" s="3"/>
      <c r="I1016" s="3"/>
      <c r="J1016" s="3"/>
    </row>
    <row r="1017" spans="8:10" x14ac:dyDescent="0.3">
      <c r="H1017" s="3"/>
      <c r="I1017" s="3"/>
      <c r="J1017" s="3"/>
    </row>
    <row r="1018" spans="8:10" x14ac:dyDescent="0.3">
      <c r="H1018" s="3"/>
      <c r="I1018" s="3"/>
      <c r="J1018" s="3"/>
    </row>
    <row r="1019" spans="8:10" x14ac:dyDescent="0.3">
      <c r="H1019" s="3"/>
      <c r="I1019" s="3"/>
      <c r="J1019" s="3"/>
    </row>
    <row r="1020" spans="8:10" x14ac:dyDescent="0.3">
      <c r="H1020" s="3"/>
      <c r="I1020" s="3"/>
      <c r="J1020" s="3"/>
    </row>
    <row r="1021" spans="8:10" x14ac:dyDescent="0.3">
      <c r="H1021" s="3"/>
      <c r="I1021" s="3"/>
      <c r="J1021" s="3"/>
    </row>
    <row r="1022" spans="8:10" x14ac:dyDescent="0.3">
      <c r="H1022" s="3"/>
      <c r="I1022" s="3"/>
      <c r="J1022" s="3"/>
    </row>
    <row r="1023" spans="8:10" x14ac:dyDescent="0.3">
      <c r="H1023" s="3"/>
      <c r="I1023" s="3"/>
      <c r="J1023" s="3"/>
    </row>
    <row r="1024" spans="8:10" x14ac:dyDescent="0.3">
      <c r="H1024" s="3"/>
      <c r="I1024" s="3"/>
      <c r="J1024" s="3"/>
    </row>
    <row r="1025" spans="8:10" x14ac:dyDescent="0.3">
      <c r="H1025" s="3"/>
      <c r="I1025" s="3"/>
      <c r="J1025" s="3"/>
    </row>
    <row r="1026" spans="8:10" x14ac:dyDescent="0.3">
      <c r="H1026" s="3"/>
      <c r="I1026" s="3"/>
      <c r="J1026" s="3"/>
    </row>
    <row r="1027" spans="8:10" x14ac:dyDescent="0.3">
      <c r="H1027" s="3"/>
      <c r="I1027" s="3"/>
      <c r="J1027" s="3"/>
    </row>
    <row r="1028" spans="8:10" x14ac:dyDescent="0.3">
      <c r="H1028" s="3"/>
      <c r="I1028" s="3"/>
      <c r="J1028" s="3"/>
    </row>
    <row r="1029" spans="8:10" x14ac:dyDescent="0.3">
      <c r="H1029" s="3"/>
      <c r="I1029" s="3"/>
      <c r="J1029" s="3"/>
    </row>
    <row r="1030" spans="8:10" x14ac:dyDescent="0.3">
      <c r="H1030" s="3"/>
      <c r="I1030" s="3"/>
      <c r="J1030" s="3"/>
    </row>
    <row r="1031" spans="8:10" x14ac:dyDescent="0.3">
      <c r="H1031" s="3"/>
      <c r="I1031" s="3"/>
      <c r="J1031" s="3"/>
    </row>
    <row r="1032" spans="8:10" x14ac:dyDescent="0.3">
      <c r="H1032" s="3"/>
      <c r="I1032" s="3"/>
      <c r="J1032" s="3"/>
    </row>
    <row r="1033" spans="8:10" x14ac:dyDescent="0.3">
      <c r="H1033" s="3"/>
      <c r="I1033" s="3"/>
      <c r="J1033" s="3"/>
    </row>
    <row r="1034" spans="8:10" x14ac:dyDescent="0.3">
      <c r="H1034" s="3"/>
      <c r="I1034" s="3"/>
      <c r="J1034" s="3"/>
    </row>
    <row r="1035" spans="8:10" x14ac:dyDescent="0.3">
      <c r="H1035" s="3"/>
      <c r="I1035" s="3"/>
      <c r="J1035" s="3"/>
    </row>
    <row r="1036" spans="8:10" x14ac:dyDescent="0.3">
      <c r="H1036" s="3"/>
      <c r="I1036" s="3"/>
      <c r="J1036" s="3"/>
    </row>
    <row r="1037" spans="8:10" x14ac:dyDescent="0.3">
      <c r="H1037" s="3"/>
      <c r="I1037" s="3"/>
      <c r="J1037" s="3"/>
    </row>
    <row r="1038" spans="8:10" x14ac:dyDescent="0.3">
      <c r="H1038" s="3"/>
      <c r="I1038" s="3"/>
      <c r="J1038" s="3"/>
    </row>
    <row r="1039" spans="8:10" x14ac:dyDescent="0.3">
      <c r="H1039" s="3"/>
      <c r="I1039" s="3"/>
      <c r="J1039" s="3"/>
    </row>
    <row r="1040" spans="8:10" x14ac:dyDescent="0.3">
      <c r="H1040" s="3"/>
      <c r="I1040" s="3"/>
      <c r="J1040" s="3"/>
    </row>
    <row r="1041" spans="8:10" x14ac:dyDescent="0.3">
      <c r="H1041" s="3"/>
      <c r="I1041" s="3"/>
      <c r="J1041" s="3"/>
    </row>
    <row r="1042" spans="8:10" x14ac:dyDescent="0.3">
      <c r="H1042" s="3"/>
      <c r="I1042" s="3"/>
      <c r="J1042" s="3"/>
    </row>
    <row r="1043" spans="8:10" x14ac:dyDescent="0.3">
      <c r="H1043" s="3"/>
      <c r="I1043" s="3"/>
      <c r="J1043" s="3"/>
    </row>
    <row r="1044" spans="8:10" x14ac:dyDescent="0.3">
      <c r="H1044" s="3"/>
      <c r="I1044" s="3"/>
      <c r="J1044" s="3"/>
    </row>
    <row r="1045" spans="8:10" x14ac:dyDescent="0.3">
      <c r="H1045" s="3"/>
      <c r="I1045" s="3"/>
      <c r="J1045" s="3"/>
    </row>
    <row r="1046" spans="8:10" x14ac:dyDescent="0.3">
      <c r="H1046" s="3"/>
      <c r="I1046" s="3"/>
      <c r="J1046" s="3"/>
    </row>
    <row r="1047" spans="8:10" x14ac:dyDescent="0.3">
      <c r="H1047" s="3"/>
      <c r="I1047" s="3"/>
      <c r="J1047" s="3"/>
    </row>
    <row r="1048" spans="8:10" x14ac:dyDescent="0.3">
      <c r="H1048" s="3"/>
      <c r="I1048" s="3"/>
      <c r="J1048" s="3"/>
    </row>
    <row r="1049" spans="8:10" x14ac:dyDescent="0.3">
      <c r="H1049" s="3"/>
      <c r="I1049" s="3"/>
      <c r="J1049" s="3"/>
    </row>
    <row r="1050" spans="8:10" x14ac:dyDescent="0.3">
      <c r="H1050" s="3"/>
      <c r="I1050" s="3"/>
      <c r="J1050" s="3"/>
    </row>
    <row r="1051" spans="8:10" x14ac:dyDescent="0.3">
      <c r="H1051" s="3"/>
      <c r="I1051" s="3"/>
      <c r="J1051" s="3"/>
    </row>
    <row r="1052" spans="8:10" x14ac:dyDescent="0.3">
      <c r="H1052" s="3"/>
      <c r="I1052" s="3"/>
      <c r="J1052" s="3"/>
    </row>
    <row r="1053" spans="8:10" x14ac:dyDescent="0.3">
      <c r="H1053" s="3"/>
      <c r="I1053" s="3"/>
      <c r="J1053" s="3"/>
    </row>
    <row r="1054" spans="8:10" x14ac:dyDescent="0.3">
      <c r="H1054" s="3"/>
      <c r="I1054" s="3"/>
      <c r="J1054" s="3"/>
    </row>
    <row r="1055" spans="8:10" x14ac:dyDescent="0.3">
      <c r="H1055" s="3"/>
      <c r="I1055" s="3"/>
      <c r="J1055" s="3"/>
    </row>
    <row r="1056" spans="8:10" x14ac:dyDescent="0.3">
      <c r="H1056" s="3"/>
      <c r="I1056" s="3"/>
      <c r="J1056" s="3"/>
    </row>
    <row r="1057" spans="8:10" x14ac:dyDescent="0.3">
      <c r="H1057" s="3"/>
      <c r="I1057" s="3"/>
      <c r="J1057" s="3"/>
    </row>
    <row r="1058" spans="8:10" x14ac:dyDescent="0.3">
      <c r="H1058" s="3"/>
      <c r="I1058" s="3"/>
      <c r="J1058" s="3"/>
    </row>
    <row r="1059" spans="8:10" x14ac:dyDescent="0.3">
      <c r="H1059" s="3"/>
      <c r="I1059" s="3"/>
      <c r="J1059" s="3"/>
    </row>
    <row r="1060" spans="8:10" x14ac:dyDescent="0.3">
      <c r="H1060" s="3"/>
      <c r="I1060" s="3"/>
      <c r="J1060" s="3"/>
    </row>
    <row r="1061" spans="8:10" x14ac:dyDescent="0.3">
      <c r="H1061" s="3"/>
      <c r="I1061" s="3"/>
      <c r="J1061" s="3"/>
    </row>
    <row r="1062" spans="8:10" x14ac:dyDescent="0.3">
      <c r="H1062" s="3"/>
      <c r="I1062" s="3"/>
      <c r="J1062" s="3"/>
    </row>
    <row r="1063" spans="8:10" x14ac:dyDescent="0.3">
      <c r="H1063" s="3"/>
      <c r="I1063" s="3"/>
      <c r="J1063" s="3"/>
    </row>
    <row r="1064" spans="8:10" x14ac:dyDescent="0.3">
      <c r="H1064" s="3"/>
      <c r="I1064" s="3"/>
      <c r="J1064" s="3"/>
    </row>
    <row r="1065" spans="8:10" x14ac:dyDescent="0.3">
      <c r="H1065" s="3"/>
      <c r="I1065" s="3"/>
      <c r="J1065" s="3"/>
    </row>
    <row r="1066" spans="8:10" x14ac:dyDescent="0.3">
      <c r="H1066" s="3"/>
      <c r="I1066" s="3"/>
      <c r="J1066" s="3"/>
    </row>
    <row r="1067" spans="8:10" x14ac:dyDescent="0.3">
      <c r="H1067" s="3"/>
      <c r="I1067" s="3"/>
      <c r="J1067" s="3"/>
    </row>
    <row r="1068" spans="8:10" x14ac:dyDescent="0.3">
      <c r="H1068" s="3"/>
      <c r="I1068" s="3"/>
      <c r="J1068" s="3"/>
    </row>
    <row r="1069" spans="8:10" x14ac:dyDescent="0.3">
      <c r="H1069" s="3"/>
      <c r="I1069" s="3"/>
      <c r="J1069" s="3"/>
    </row>
    <row r="1070" spans="8:10" x14ac:dyDescent="0.3">
      <c r="H1070" s="3"/>
      <c r="I1070" s="3"/>
      <c r="J1070" s="3"/>
    </row>
    <row r="1071" spans="8:10" x14ac:dyDescent="0.3">
      <c r="H1071" s="3"/>
      <c r="I1071" s="3"/>
      <c r="J1071" s="3"/>
    </row>
    <row r="1072" spans="8:10" x14ac:dyDescent="0.3">
      <c r="H1072" s="3"/>
      <c r="I1072" s="3"/>
      <c r="J1072" s="3"/>
    </row>
    <row r="1073" spans="8:10" x14ac:dyDescent="0.3">
      <c r="H1073" s="3"/>
      <c r="I1073" s="3"/>
      <c r="J1073" s="3"/>
    </row>
    <row r="1074" spans="8:10" x14ac:dyDescent="0.3">
      <c r="H1074" s="3"/>
      <c r="I1074" s="3"/>
      <c r="J1074" s="3"/>
    </row>
    <row r="1075" spans="8:10" x14ac:dyDescent="0.3">
      <c r="H1075" s="3"/>
      <c r="I1075" s="3"/>
      <c r="J1075" s="3"/>
    </row>
    <row r="1076" spans="8:10" x14ac:dyDescent="0.3">
      <c r="H1076" s="3"/>
      <c r="I1076" s="3"/>
      <c r="J1076" s="3"/>
    </row>
    <row r="1077" spans="8:10" x14ac:dyDescent="0.3">
      <c r="H1077" s="3"/>
      <c r="I1077" s="3"/>
      <c r="J1077" s="3"/>
    </row>
    <row r="1078" spans="8:10" x14ac:dyDescent="0.3">
      <c r="H1078" s="3"/>
      <c r="I1078" s="3"/>
      <c r="J1078" s="3"/>
    </row>
    <row r="1079" spans="8:10" x14ac:dyDescent="0.3">
      <c r="H1079" s="3"/>
      <c r="I1079" s="3"/>
      <c r="J1079" s="3"/>
    </row>
    <row r="1080" spans="8:10" x14ac:dyDescent="0.3">
      <c r="H1080" s="3"/>
      <c r="I1080" s="3"/>
      <c r="J1080" s="3"/>
    </row>
    <row r="1081" spans="8:10" x14ac:dyDescent="0.3">
      <c r="H1081" s="3"/>
      <c r="I1081" s="3"/>
      <c r="J1081" s="3"/>
    </row>
    <row r="1082" spans="8:10" x14ac:dyDescent="0.3">
      <c r="H1082" s="3"/>
      <c r="I1082" s="3"/>
      <c r="J1082" s="3"/>
    </row>
    <row r="1083" spans="8:10" x14ac:dyDescent="0.3">
      <c r="H1083" s="3"/>
      <c r="I1083" s="3"/>
      <c r="J1083" s="3"/>
    </row>
    <row r="1084" spans="8:10" x14ac:dyDescent="0.3">
      <c r="H1084" s="3"/>
      <c r="I1084" s="3"/>
      <c r="J1084" s="3"/>
    </row>
    <row r="1085" spans="8:10" x14ac:dyDescent="0.3">
      <c r="H1085" s="3"/>
      <c r="I1085" s="3"/>
      <c r="J1085" s="3"/>
    </row>
    <row r="1086" spans="8:10" x14ac:dyDescent="0.3">
      <c r="H1086" s="3"/>
      <c r="I1086" s="3"/>
      <c r="J1086" s="3"/>
    </row>
    <row r="1087" spans="8:10" x14ac:dyDescent="0.3">
      <c r="H1087" s="3"/>
      <c r="I1087" s="3"/>
      <c r="J1087" s="3"/>
    </row>
    <row r="1088" spans="8:10" x14ac:dyDescent="0.3">
      <c r="H1088" s="3"/>
      <c r="I1088" s="3"/>
      <c r="J1088" s="3"/>
    </row>
    <row r="1089" spans="8:10" x14ac:dyDescent="0.3">
      <c r="H1089" s="3"/>
      <c r="I1089" s="3"/>
      <c r="J1089" s="3"/>
    </row>
    <row r="1090" spans="8:10" x14ac:dyDescent="0.3">
      <c r="H1090" s="3"/>
      <c r="I1090" s="3"/>
      <c r="J1090" s="3"/>
    </row>
    <row r="1091" spans="8:10" x14ac:dyDescent="0.3">
      <c r="H1091" s="3"/>
      <c r="I1091" s="3"/>
      <c r="J1091" s="3"/>
    </row>
    <row r="1092" spans="8:10" x14ac:dyDescent="0.3">
      <c r="H1092" s="3"/>
      <c r="I1092" s="3"/>
      <c r="J1092" s="3"/>
    </row>
    <row r="1093" spans="8:10" x14ac:dyDescent="0.3">
      <c r="H1093" s="3"/>
      <c r="I1093" s="3"/>
      <c r="J1093" s="3"/>
    </row>
    <row r="1094" spans="8:10" x14ac:dyDescent="0.3">
      <c r="H1094" s="3"/>
      <c r="I1094" s="3"/>
      <c r="J1094" s="3"/>
    </row>
    <row r="1095" spans="8:10" x14ac:dyDescent="0.3">
      <c r="H1095" s="3"/>
      <c r="I1095" s="3"/>
      <c r="J1095" s="3"/>
    </row>
    <row r="1096" spans="8:10" x14ac:dyDescent="0.3">
      <c r="H1096" s="3"/>
      <c r="I1096" s="3"/>
      <c r="J1096" s="3"/>
    </row>
    <row r="1097" spans="8:10" x14ac:dyDescent="0.3">
      <c r="H1097" s="3"/>
      <c r="I1097" s="3"/>
      <c r="J1097" s="3"/>
    </row>
    <row r="1098" spans="8:10" x14ac:dyDescent="0.3">
      <c r="H1098" s="3"/>
      <c r="I1098" s="3"/>
      <c r="J1098" s="3"/>
    </row>
    <row r="1099" spans="8:10" x14ac:dyDescent="0.3">
      <c r="H1099" s="3"/>
      <c r="I1099" s="3"/>
      <c r="J1099" s="3"/>
    </row>
    <row r="1100" spans="8:10" x14ac:dyDescent="0.3">
      <c r="H1100" s="3"/>
      <c r="I1100" s="3"/>
      <c r="J1100" s="3"/>
    </row>
    <row r="1101" spans="8:10" x14ac:dyDescent="0.3">
      <c r="H1101" s="3"/>
      <c r="I1101" s="3"/>
      <c r="J1101" s="3"/>
    </row>
    <row r="1102" spans="8:10" x14ac:dyDescent="0.3">
      <c r="H1102" s="3"/>
      <c r="I1102" s="3"/>
      <c r="J1102" s="3"/>
    </row>
    <row r="1103" spans="8:10" x14ac:dyDescent="0.3">
      <c r="H1103" s="3"/>
      <c r="I1103" s="3"/>
      <c r="J1103" s="3"/>
    </row>
    <row r="1104" spans="8:10" x14ac:dyDescent="0.3">
      <c r="H1104" s="3"/>
      <c r="I1104" s="3"/>
      <c r="J1104" s="3"/>
    </row>
    <row r="1105" spans="8:10" x14ac:dyDescent="0.3">
      <c r="H1105" s="3"/>
      <c r="I1105" s="3"/>
      <c r="J1105" s="3"/>
    </row>
    <row r="1106" spans="8:10" x14ac:dyDescent="0.3">
      <c r="H1106" s="3"/>
      <c r="I1106" s="3"/>
      <c r="J1106" s="3"/>
    </row>
    <row r="1107" spans="8:10" x14ac:dyDescent="0.3">
      <c r="H1107" s="3"/>
      <c r="I1107" s="3"/>
      <c r="J1107" s="3"/>
    </row>
    <row r="1108" spans="8:10" x14ac:dyDescent="0.3">
      <c r="H1108" s="3"/>
      <c r="I1108" s="3"/>
      <c r="J1108" s="3"/>
    </row>
    <row r="1109" spans="8:10" x14ac:dyDescent="0.3">
      <c r="H1109" s="3"/>
      <c r="I1109" s="3"/>
      <c r="J1109" s="3"/>
    </row>
    <row r="1110" spans="8:10" x14ac:dyDescent="0.3">
      <c r="H1110" s="3"/>
      <c r="I1110" s="3"/>
      <c r="J1110" s="3"/>
    </row>
    <row r="1111" spans="8:10" x14ac:dyDescent="0.3">
      <c r="H1111" s="3"/>
      <c r="I1111" s="3"/>
      <c r="J1111" s="3"/>
    </row>
    <row r="1112" spans="8:10" x14ac:dyDescent="0.3">
      <c r="H1112" s="3"/>
      <c r="I1112" s="3"/>
      <c r="J1112" s="3"/>
    </row>
    <row r="1113" spans="8:10" x14ac:dyDescent="0.3">
      <c r="H1113" s="3"/>
      <c r="I1113" s="3"/>
      <c r="J1113" s="3"/>
    </row>
    <row r="1114" spans="8:10" x14ac:dyDescent="0.3">
      <c r="H1114" s="3"/>
      <c r="I1114" s="3"/>
      <c r="J1114" s="3"/>
    </row>
    <row r="1115" spans="8:10" x14ac:dyDescent="0.3">
      <c r="H1115" s="3"/>
      <c r="I1115" s="3"/>
      <c r="J1115" s="3"/>
    </row>
    <row r="1116" spans="8:10" x14ac:dyDescent="0.3">
      <c r="H1116" s="3"/>
      <c r="I1116" s="3"/>
      <c r="J1116" s="3"/>
    </row>
    <row r="1117" spans="8:10" x14ac:dyDescent="0.3">
      <c r="H1117" s="3"/>
      <c r="I1117" s="3"/>
      <c r="J1117" s="3"/>
    </row>
    <row r="1118" spans="8:10" x14ac:dyDescent="0.3">
      <c r="H1118" s="3"/>
      <c r="I1118" s="3"/>
      <c r="J1118" s="3"/>
    </row>
    <row r="1119" spans="8:10" x14ac:dyDescent="0.3">
      <c r="H1119" s="3"/>
      <c r="I1119" s="3"/>
      <c r="J1119" s="3"/>
    </row>
    <row r="1120" spans="8:10" x14ac:dyDescent="0.3">
      <c r="H1120" s="3"/>
      <c r="I1120" s="3"/>
      <c r="J1120" s="3"/>
    </row>
    <row r="1121" spans="8:10" x14ac:dyDescent="0.3">
      <c r="H1121" s="3"/>
      <c r="I1121" s="3"/>
      <c r="J1121" s="3"/>
    </row>
    <row r="1122" spans="8:10" x14ac:dyDescent="0.3">
      <c r="H1122" s="3"/>
      <c r="I1122" s="3"/>
      <c r="J1122" s="3"/>
    </row>
    <row r="1123" spans="8:10" x14ac:dyDescent="0.3">
      <c r="H1123" s="3"/>
      <c r="I1123" s="3"/>
      <c r="J1123" s="3"/>
    </row>
    <row r="1124" spans="8:10" x14ac:dyDescent="0.3">
      <c r="H1124" s="3"/>
      <c r="I1124" s="3"/>
      <c r="J1124" s="3"/>
    </row>
    <row r="1125" spans="8:10" x14ac:dyDescent="0.3">
      <c r="H1125" s="3"/>
      <c r="I1125" s="3"/>
      <c r="J1125" s="3"/>
    </row>
    <row r="1126" spans="8:10" x14ac:dyDescent="0.3">
      <c r="H1126" s="3"/>
      <c r="I1126" s="3"/>
      <c r="J1126" s="3"/>
    </row>
    <row r="1127" spans="8:10" x14ac:dyDescent="0.3">
      <c r="H1127" s="3"/>
      <c r="I1127" s="3"/>
      <c r="J1127" s="3"/>
    </row>
    <row r="1128" spans="8:10" x14ac:dyDescent="0.3">
      <c r="H1128" s="3"/>
      <c r="I1128" s="3"/>
      <c r="J1128" s="3"/>
    </row>
    <row r="1129" spans="8:10" x14ac:dyDescent="0.3">
      <c r="H1129" s="3"/>
      <c r="I1129" s="3"/>
      <c r="J1129" s="3"/>
    </row>
    <row r="1130" spans="8:10" x14ac:dyDescent="0.3">
      <c r="H1130" s="3"/>
      <c r="I1130" s="3"/>
      <c r="J1130" s="3"/>
    </row>
    <row r="1131" spans="8:10" x14ac:dyDescent="0.3">
      <c r="H1131" s="3"/>
      <c r="I1131" s="3"/>
      <c r="J1131" s="3"/>
    </row>
    <row r="1132" spans="8:10" x14ac:dyDescent="0.3">
      <c r="H1132" s="3"/>
      <c r="I1132" s="3"/>
      <c r="J1132" s="3"/>
    </row>
    <row r="1133" spans="8:10" x14ac:dyDescent="0.3">
      <c r="H1133" s="3"/>
      <c r="I1133" s="3"/>
      <c r="J1133" s="3"/>
    </row>
    <row r="1134" spans="8:10" x14ac:dyDescent="0.3">
      <c r="H1134" s="3"/>
      <c r="I1134" s="3"/>
      <c r="J1134" s="3"/>
    </row>
    <row r="1135" spans="8:10" x14ac:dyDescent="0.3">
      <c r="H1135" s="3"/>
      <c r="I1135" s="3"/>
      <c r="J1135" s="3"/>
    </row>
    <row r="1136" spans="8:10" x14ac:dyDescent="0.3">
      <c r="H1136" s="3"/>
      <c r="I1136" s="3"/>
      <c r="J1136" s="3"/>
    </row>
    <row r="1137" spans="8:10" x14ac:dyDescent="0.3">
      <c r="H1137" s="3"/>
      <c r="I1137" s="3"/>
      <c r="J1137" s="3"/>
    </row>
    <row r="1138" spans="8:10" x14ac:dyDescent="0.3">
      <c r="H1138" s="3"/>
      <c r="I1138" s="3"/>
      <c r="J1138" s="3"/>
    </row>
    <row r="1139" spans="8:10" x14ac:dyDescent="0.3">
      <c r="H1139" s="3"/>
      <c r="I1139" s="3"/>
      <c r="J1139" s="3"/>
    </row>
    <row r="1140" spans="8:10" x14ac:dyDescent="0.3">
      <c r="H1140" s="3"/>
      <c r="I1140" s="3"/>
      <c r="J1140" s="3"/>
    </row>
    <row r="1141" spans="8:10" x14ac:dyDescent="0.3">
      <c r="H1141" s="3"/>
      <c r="I1141" s="3"/>
      <c r="J1141" s="3"/>
    </row>
    <row r="1142" spans="8:10" x14ac:dyDescent="0.3">
      <c r="H1142" s="3"/>
      <c r="I1142" s="3"/>
      <c r="J1142" s="3"/>
    </row>
    <row r="1143" spans="8:10" x14ac:dyDescent="0.3">
      <c r="H1143" s="3"/>
      <c r="I1143" s="3"/>
      <c r="J1143" s="3"/>
    </row>
    <row r="1144" spans="8:10" x14ac:dyDescent="0.3">
      <c r="H1144" s="3"/>
      <c r="I1144" s="3"/>
      <c r="J1144" s="3"/>
    </row>
    <row r="1145" spans="8:10" x14ac:dyDescent="0.3">
      <c r="H1145" s="3"/>
      <c r="I1145" s="3"/>
      <c r="J1145" s="3"/>
    </row>
    <row r="1146" spans="8:10" x14ac:dyDescent="0.3">
      <c r="H1146" s="3"/>
      <c r="I1146" s="3"/>
      <c r="J1146" s="3"/>
    </row>
    <row r="1147" spans="8:10" x14ac:dyDescent="0.3">
      <c r="H1147" s="3"/>
      <c r="I1147" s="3"/>
      <c r="J1147" s="3"/>
    </row>
    <row r="1148" spans="8:10" x14ac:dyDescent="0.3">
      <c r="H1148" s="3"/>
      <c r="I1148" s="3"/>
      <c r="J1148" s="3"/>
    </row>
    <row r="1149" spans="8:10" x14ac:dyDescent="0.3">
      <c r="H1149" s="3"/>
      <c r="I1149" s="3"/>
      <c r="J1149" s="3"/>
    </row>
    <row r="1150" spans="8:10" x14ac:dyDescent="0.3">
      <c r="H1150" s="3"/>
      <c r="I1150" s="3"/>
      <c r="J1150" s="3"/>
    </row>
    <row r="1151" spans="8:10" x14ac:dyDescent="0.3">
      <c r="H1151" s="3"/>
      <c r="I1151" s="3"/>
      <c r="J1151" s="3"/>
    </row>
    <row r="1152" spans="8:10" x14ac:dyDescent="0.3">
      <c r="H1152" s="3"/>
      <c r="I1152" s="3"/>
      <c r="J1152" s="3"/>
    </row>
    <row r="1153" spans="8:10" x14ac:dyDescent="0.3">
      <c r="H1153" s="3"/>
      <c r="I1153" s="3"/>
      <c r="J1153" s="3"/>
    </row>
    <row r="1154" spans="8:10" x14ac:dyDescent="0.3">
      <c r="H1154" s="3"/>
      <c r="I1154" s="3"/>
      <c r="J1154" s="3"/>
    </row>
    <row r="1155" spans="8:10" x14ac:dyDescent="0.3">
      <c r="H1155" s="3"/>
      <c r="I1155" s="3"/>
      <c r="J1155" s="3"/>
    </row>
    <row r="1156" spans="8:10" x14ac:dyDescent="0.3">
      <c r="H1156" s="3"/>
      <c r="I1156" s="3"/>
      <c r="J1156" s="3"/>
    </row>
    <row r="1157" spans="8:10" x14ac:dyDescent="0.3">
      <c r="H1157" s="3"/>
      <c r="I1157" s="3"/>
      <c r="J1157" s="3"/>
    </row>
    <row r="1158" spans="8:10" x14ac:dyDescent="0.3">
      <c r="H1158" s="3"/>
      <c r="I1158" s="3"/>
      <c r="J1158" s="3"/>
    </row>
    <row r="1159" spans="8:10" x14ac:dyDescent="0.3">
      <c r="H1159" s="3"/>
      <c r="I1159" s="3"/>
      <c r="J1159" s="3"/>
    </row>
    <row r="1160" spans="8:10" x14ac:dyDescent="0.3">
      <c r="H1160" s="3"/>
      <c r="I1160" s="3"/>
      <c r="J1160" s="3"/>
    </row>
    <row r="1161" spans="8:10" x14ac:dyDescent="0.3">
      <c r="H1161" s="3"/>
      <c r="I1161" s="3"/>
      <c r="J1161" s="3"/>
    </row>
    <row r="1162" spans="8:10" x14ac:dyDescent="0.3">
      <c r="H1162" s="3"/>
      <c r="I1162" s="3"/>
      <c r="J1162" s="3"/>
    </row>
    <row r="1163" spans="8:10" x14ac:dyDescent="0.3">
      <c r="H1163" s="3"/>
      <c r="I1163" s="3"/>
      <c r="J1163" s="3"/>
    </row>
    <row r="1164" spans="8:10" x14ac:dyDescent="0.3">
      <c r="H1164" s="3"/>
      <c r="I1164" s="3"/>
      <c r="J1164" s="3"/>
    </row>
    <row r="1165" spans="8:10" x14ac:dyDescent="0.3">
      <c r="H1165" s="3"/>
      <c r="I1165" s="3"/>
      <c r="J1165" s="3"/>
    </row>
    <row r="1166" spans="8:10" x14ac:dyDescent="0.3">
      <c r="H1166" s="3"/>
      <c r="I1166" s="3"/>
      <c r="J1166" s="3"/>
    </row>
    <row r="1167" spans="8:10" x14ac:dyDescent="0.3">
      <c r="H1167" s="3"/>
      <c r="I1167" s="3"/>
      <c r="J1167" s="3"/>
    </row>
    <row r="1168" spans="8:10" x14ac:dyDescent="0.3">
      <c r="H1168" s="3"/>
      <c r="I1168" s="3"/>
      <c r="J1168" s="3"/>
    </row>
    <row r="1169" spans="8:10" x14ac:dyDescent="0.3">
      <c r="H1169" s="3"/>
      <c r="I1169" s="3"/>
      <c r="J1169" s="3"/>
    </row>
    <row r="1170" spans="8:10" x14ac:dyDescent="0.3">
      <c r="H1170" s="3"/>
      <c r="I1170" s="3"/>
      <c r="J1170" s="3"/>
    </row>
    <row r="1171" spans="8:10" x14ac:dyDescent="0.3">
      <c r="H1171" s="3"/>
      <c r="I1171" s="3"/>
      <c r="J1171" s="3"/>
    </row>
    <row r="1172" spans="8:10" x14ac:dyDescent="0.3">
      <c r="H1172" s="3"/>
      <c r="I1172" s="3"/>
      <c r="J1172" s="3"/>
    </row>
    <row r="1173" spans="8:10" x14ac:dyDescent="0.3">
      <c r="H1173" s="3"/>
      <c r="I1173" s="3"/>
      <c r="J1173" s="3"/>
    </row>
    <row r="1174" spans="8:10" x14ac:dyDescent="0.3">
      <c r="H1174" s="3"/>
      <c r="I1174" s="3"/>
      <c r="J1174" s="3"/>
    </row>
    <row r="1175" spans="8:10" x14ac:dyDescent="0.3">
      <c r="H1175" s="3"/>
      <c r="I1175" s="3"/>
      <c r="J1175" s="3"/>
    </row>
    <row r="1176" spans="8:10" x14ac:dyDescent="0.3">
      <c r="H1176" s="3"/>
      <c r="I1176" s="3"/>
      <c r="J1176" s="3"/>
    </row>
    <row r="1177" spans="8:10" x14ac:dyDescent="0.3">
      <c r="H1177" s="3"/>
      <c r="I1177" s="3"/>
      <c r="J1177" s="3"/>
    </row>
    <row r="1178" spans="8:10" x14ac:dyDescent="0.3">
      <c r="H1178" s="3"/>
      <c r="I1178" s="3"/>
      <c r="J1178" s="3"/>
    </row>
    <row r="1179" spans="8:10" x14ac:dyDescent="0.3">
      <c r="H1179" s="3"/>
      <c r="I1179" s="3"/>
      <c r="J1179" s="3"/>
    </row>
    <row r="1180" spans="8:10" x14ac:dyDescent="0.3">
      <c r="H1180" s="3"/>
      <c r="I1180" s="3"/>
      <c r="J1180" s="3"/>
    </row>
    <row r="1181" spans="8:10" x14ac:dyDescent="0.3">
      <c r="H1181" s="3"/>
      <c r="I1181" s="3"/>
      <c r="J1181" s="3"/>
    </row>
    <row r="1182" spans="8:10" x14ac:dyDescent="0.3">
      <c r="H1182" s="3"/>
      <c r="I1182" s="3"/>
      <c r="J1182" s="3"/>
    </row>
    <row r="1183" spans="8:10" x14ac:dyDescent="0.3">
      <c r="H1183" s="3"/>
      <c r="I1183" s="3"/>
      <c r="J1183" s="3"/>
    </row>
    <row r="1184" spans="8:10" x14ac:dyDescent="0.3">
      <c r="H1184" s="3"/>
      <c r="I1184" s="3"/>
      <c r="J1184" s="3"/>
    </row>
    <row r="1185" spans="8:10" x14ac:dyDescent="0.3">
      <c r="H1185" s="3"/>
      <c r="I1185" s="3"/>
      <c r="J1185" s="3"/>
    </row>
    <row r="1186" spans="8:10" x14ac:dyDescent="0.3">
      <c r="H1186" s="3"/>
      <c r="I1186" s="3"/>
      <c r="J1186" s="3"/>
    </row>
    <row r="1187" spans="8:10" x14ac:dyDescent="0.3">
      <c r="H1187" s="3"/>
      <c r="I1187" s="3"/>
      <c r="J1187" s="3"/>
    </row>
    <row r="1188" spans="8:10" x14ac:dyDescent="0.3">
      <c r="H1188" s="3"/>
      <c r="I1188" s="3"/>
      <c r="J1188" s="3"/>
    </row>
    <row r="1189" spans="8:10" x14ac:dyDescent="0.3">
      <c r="H1189" s="3"/>
      <c r="I1189" s="3"/>
      <c r="J1189" s="3"/>
    </row>
    <row r="1190" spans="8:10" x14ac:dyDescent="0.3">
      <c r="H1190" s="3"/>
      <c r="I1190" s="3"/>
      <c r="J1190" s="3"/>
    </row>
    <row r="1191" spans="8:10" x14ac:dyDescent="0.3">
      <c r="H1191" s="3"/>
      <c r="I1191" s="3"/>
      <c r="J1191" s="3"/>
    </row>
    <row r="1192" spans="8:10" x14ac:dyDescent="0.3">
      <c r="H1192" s="3"/>
      <c r="I1192" s="3"/>
      <c r="J1192" s="3"/>
    </row>
    <row r="1193" spans="8:10" x14ac:dyDescent="0.3">
      <c r="H1193" s="3"/>
      <c r="I1193" s="3"/>
      <c r="J1193" s="3"/>
    </row>
    <row r="1194" spans="8:10" x14ac:dyDescent="0.3">
      <c r="H1194" s="3"/>
      <c r="I1194" s="3"/>
      <c r="J1194" s="3"/>
    </row>
    <row r="1195" spans="8:10" x14ac:dyDescent="0.3">
      <c r="H1195" s="3"/>
      <c r="I1195" s="3"/>
      <c r="J1195" s="3"/>
    </row>
    <row r="1196" spans="8:10" x14ac:dyDescent="0.3">
      <c r="H1196" s="3"/>
      <c r="I1196" s="3"/>
      <c r="J1196" s="3"/>
    </row>
    <row r="1197" spans="8:10" x14ac:dyDescent="0.3">
      <c r="H1197" s="3"/>
      <c r="I1197" s="3"/>
      <c r="J1197" s="3"/>
    </row>
    <row r="1198" spans="8:10" x14ac:dyDescent="0.3">
      <c r="H1198" s="3"/>
      <c r="I1198" s="3"/>
      <c r="J1198" s="3"/>
    </row>
    <row r="1199" spans="8:10" x14ac:dyDescent="0.3">
      <c r="H1199" s="3"/>
      <c r="I1199" s="3"/>
      <c r="J1199" s="3"/>
    </row>
    <row r="1200" spans="8:10" x14ac:dyDescent="0.3">
      <c r="H1200" s="3"/>
      <c r="I1200" s="3"/>
      <c r="J1200" s="3"/>
    </row>
    <row r="1201" spans="8:10" x14ac:dyDescent="0.3">
      <c r="H1201" s="3"/>
      <c r="I1201" s="3"/>
      <c r="J1201" s="3"/>
    </row>
    <row r="1202" spans="8:10" x14ac:dyDescent="0.3">
      <c r="H1202" s="3"/>
      <c r="I1202" s="3"/>
      <c r="J1202" s="3"/>
    </row>
    <row r="1203" spans="8:10" x14ac:dyDescent="0.3">
      <c r="H1203" s="3"/>
      <c r="I1203" s="3"/>
      <c r="J1203" s="3"/>
    </row>
    <row r="1204" spans="8:10" x14ac:dyDescent="0.3">
      <c r="H1204" s="3"/>
      <c r="I1204" s="3"/>
      <c r="J1204" s="3"/>
    </row>
    <row r="1205" spans="8:10" x14ac:dyDescent="0.3">
      <c r="H1205" s="3"/>
      <c r="I1205" s="3"/>
      <c r="J1205" s="3"/>
    </row>
    <row r="1206" spans="8:10" x14ac:dyDescent="0.3">
      <c r="H1206" s="3"/>
      <c r="I1206" s="3"/>
      <c r="J1206" s="3"/>
    </row>
    <row r="1207" spans="8:10" x14ac:dyDescent="0.3">
      <c r="H1207" s="3"/>
      <c r="I1207" s="3"/>
      <c r="J1207" s="3"/>
    </row>
    <row r="1208" spans="8:10" x14ac:dyDescent="0.3">
      <c r="H1208" s="3"/>
      <c r="I1208" s="3"/>
      <c r="J1208" s="3"/>
    </row>
    <row r="1209" spans="8:10" x14ac:dyDescent="0.3">
      <c r="H1209" s="3"/>
      <c r="I1209" s="3"/>
      <c r="J1209" s="3"/>
    </row>
    <row r="1210" spans="8:10" x14ac:dyDescent="0.3">
      <c r="H1210" s="3"/>
      <c r="I1210" s="3"/>
      <c r="J1210" s="3"/>
    </row>
    <row r="1211" spans="8:10" x14ac:dyDescent="0.3">
      <c r="H1211" s="3"/>
      <c r="I1211" s="3"/>
      <c r="J1211" s="3"/>
    </row>
    <row r="1212" spans="8:10" x14ac:dyDescent="0.3">
      <c r="H1212" s="3"/>
      <c r="I1212" s="3"/>
      <c r="J1212" s="3"/>
    </row>
    <row r="1213" spans="8:10" x14ac:dyDescent="0.3">
      <c r="H1213" s="3"/>
      <c r="I1213" s="3"/>
      <c r="J1213" s="3"/>
    </row>
    <row r="1214" spans="8:10" x14ac:dyDescent="0.3">
      <c r="H1214" s="3"/>
      <c r="I1214" s="3"/>
      <c r="J1214" s="3"/>
    </row>
    <row r="1215" spans="8:10" x14ac:dyDescent="0.3">
      <c r="H1215" s="3"/>
      <c r="I1215" s="3"/>
      <c r="J1215" s="3"/>
    </row>
    <row r="1216" spans="8:10" x14ac:dyDescent="0.3">
      <c r="H1216" s="3"/>
      <c r="I1216" s="3"/>
      <c r="J1216" s="3"/>
    </row>
    <row r="1217" spans="8:10" x14ac:dyDescent="0.3">
      <c r="H1217" s="3"/>
      <c r="I1217" s="3"/>
      <c r="J1217" s="3"/>
    </row>
    <row r="1218" spans="8:10" x14ac:dyDescent="0.3">
      <c r="H1218" s="3"/>
      <c r="I1218" s="3"/>
      <c r="J1218" s="3"/>
    </row>
    <row r="1219" spans="8:10" x14ac:dyDescent="0.3">
      <c r="H1219" s="3"/>
      <c r="I1219" s="3"/>
      <c r="J1219" s="3"/>
    </row>
    <row r="1220" spans="8:10" x14ac:dyDescent="0.3">
      <c r="H1220" s="3"/>
      <c r="I1220" s="3"/>
      <c r="J1220" s="3"/>
    </row>
    <row r="1221" spans="8:10" x14ac:dyDescent="0.3">
      <c r="H1221" s="3"/>
      <c r="I1221" s="3"/>
      <c r="J1221" s="3"/>
    </row>
    <row r="1222" spans="8:10" x14ac:dyDescent="0.3">
      <c r="H1222" s="3"/>
      <c r="I1222" s="3"/>
      <c r="J1222" s="3"/>
    </row>
    <row r="1223" spans="8:10" x14ac:dyDescent="0.3">
      <c r="H1223" s="3"/>
      <c r="I1223" s="3"/>
      <c r="J1223" s="3"/>
    </row>
    <row r="1224" spans="8:10" x14ac:dyDescent="0.3">
      <c r="H1224" s="3"/>
      <c r="I1224" s="3"/>
      <c r="J1224" s="3"/>
    </row>
    <row r="1225" spans="8:10" x14ac:dyDescent="0.3">
      <c r="H1225" s="3"/>
      <c r="I1225" s="3"/>
      <c r="J1225" s="3"/>
    </row>
    <row r="1226" spans="8:10" x14ac:dyDescent="0.3">
      <c r="H1226" s="3"/>
      <c r="I1226" s="3"/>
      <c r="J1226" s="3"/>
    </row>
    <row r="1227" spans="8:10" x14ac:dyDescent="0.3">
      <c r="H1227" s="3"/>
      <c r="I1227" s="3"/>
      <c r="J1227" s="3"/>
    </row>
    <row r="1228" spans="8:10" x14ac:dyDescent="0.3">
      <c r="H1228" s="3"/>
      <c r="I1228" s="3"/>
      <c r="J1228" s="3"/>
    </row>
    <row r="1229" spans="8:10" x14ac:dyDescent="0.3">
      <c r="H1229" s="3"/>
      <c r="I1229" s="3"/>
      <c r="J1229" s="3"/>
    </row>
    <row r="1230" spans="8:10" x14ac:dyDescent="0.3">
      <c r="H1230" s="3"/>
      <c r="I1230" s="3"/>
      <c r="J1230" s="3"/>
    </row>
    <row r="1231" spans="8:10" x14ac:dyDescent="0.3">
      <c r="H1231" s="3"/>
      <c r="I1231" s="3"/>
      <c r="J1231" s="3"/>
    </row>
    <row r="1232" spans="8:10" x14ac:dyDescent="0.3">
      <c r="H1232" s="3"/>
      <c r="I1232" s="3"/>
      <c r="J1232" s="3"/>
    </row>
    <row r="1233" spans="8:10" x14ac:dyDescent="0.3">
      <c r="H1233" s="3"/>
      <c r="I1233" s="3"/>
      <c r="J1233" s="3"/>
    </row>
    <row r="1234" spans="8:10" x14ac:dyDescent="0.3">
      <c r="H1234" s="3"/>
      <c r="I1234" s="3"/>
      <c r="J1234" s="3"/>
    </row>
    <row r="1235" spans="8:10" x14ac:dyDescent="0.3">
      <c r="H1235" s="3"/>
      <c r="I1235" s="3"/>
      <c r="J1235" s="3"/>
    </row>
    <row r="1236" spans="8:10" x14ac:dyDescent="0.3">
      <c r="H1236" s="3"/>
      <c r="I1236" s="3"/>
      <c r="J1236" s="3"/>
    </row>
    <row r="1237" spans="8:10" x14ac:dyDescent="0.3">
      <c r="H1237" s="3"/>
      <c r="I1237" s="3"/>
      <c r="J1237" s="3"/>
    </row>
    <row r="1238" spans="8:10" x14ac:dyDescent="0.3">
      <c r="H1238" s="3"/>
      <c r="I1238" s="3"/>
      <c r="J1238" s="3"/>
    </row>
    <row r="1239" spans="8:10" x14ac:dyDescent="0.3">
      <c r="H1239" s="3"/>
      <c r="I1239" s="3"/>
      <c r="J1239" s="3"/>
    </row>
    <row r="1240" spans="8:10" x14ac:dyDescent="0.3">
      <c r="H1240" s="3"/>
      <c r="I1240" s="3"/>
      <c r="J1240" s="3"/>
    </row>
    <row r="1241" spans="8:10" x14ac:dyDescent="0.3">
      <c r="H1241" s="3"/>
      <c r="I1241" s="3"/>
      <c r="J1241" s="3"/>
    </row>
    <row r="1242" spans="8:10" x14ac:dyDescent="0.3">
      <c r="H1242" s="3"/>
      <c r="I1242" s="3"/>
      <c r="J1242" s="3"/>
    </row>
    <row r="1243" spans="8:10" x14ac:dyDescent="0.3">
      <c r="H1243" s="3"/>
      <c r="I1243" s="3"/>
      <c r="J1243" s="3"/>
    </row>
    <row r="1244" spans="8:10" x14ac:dyDescent="0.3">
      <c r="H1244" s="3"/>
      <c r="I1244" s="3"/>
      <c r="J1244" s="3"/>
    </row>
    <row r="1245" spans="8:10" x14ac:dyDescent="0.3">
      <c r="H1245" s="3"/>
      <c r="I1245" s="3"/>
      <c r="J1245" s="3"/>
    </row>
    <row r="1246" spans="8:10" x14ac:dyDescent="0.3">
      <c r="H1246" s="3"/>
      <c r="I1246" s="3"/>
      <c r="J1246" s="3"/>
    </row>
    <row r="1247" spans="8:10" x14ac:dyDescent="0.3">
      <c r="H1247" s="3"/>
      <c r="I1247" s="3"/>
      <c r="J1247" s="3"/>
    </row>
    <row r="1248" spans="8:10" x14ac:dyDescent="0.3">
      <c r="H1248" s="3"/>
      <c r="I1248" s="3"/>
      <c r="J1248" s="3"/>
    </row>
    <row r="1249" spans="8:10" x14ac:dyDescent="0.3">
      <c r="H1249" s="3"/>
      <c r="I1249" s="3"/>
      <c r="J1249" s="3"/>
    </row>
    <row r="1250" spans="8:10" x14ac:dyDescent="0.3">
      <c r="H1250" s="3"/>
      <c r="I1250" s="3"/>
      <c r="J1250" s="3"/>
    </row>
    <row r="1251" spans="8:10" x14ac:dyDescent="0.3">
      <c r="H1251" s="3"/>
      <c r="I1251" s="3"/>
      <c r="J1251" s="3"/>
    </row>
    <row r="1252" spans="8:10" x14ac:dyDescent="0.3">
      <c r="H1252" s="3"/>
      <c r="I1252" s="3"/>
      <c r="J1252" s="3"/>
    </row>
    <row r="1253" spans="8:10" x14ac:dyDescent="0.3">
      <c r="H1253" s="3"/>
      <c r="I1253" s="3"/>
      <c r="J1253" s="3"/>
    </row>
    <row r="1254" spans="8:10" x14ac:dyDescent="0.3">
      <c r="H1254" s="3"/>
      <c r="I1254" s="3"/>
      <c r="J1254" s="3"/>
    </row>
    <row r="1255" spans="8:10" x14ac:dyDescent="0.3">
      <c r="H1255" s="3"/>
      <c r="I1255" s="3"/>
      <c r="J1255" s="3"/>
    </row>
    <row r="1256" spans="8:10" x14ac:dyDescent="0.3">
      <c r="H1256" s="3"/>
      <c r="I1256" s="3"/>
      <c r="J1256" s="3"/>
    </row>
    <row r="1257" spans="8:10" x14ac:dyDescent="0.3">
      <c r="H1257" s="3"/>
      <c r="I1257" s="3"/>
      <c r="J1257" s="3"/>
    </row>
    <row r="1258" spans="8:10" x14ac:dyDescent="0.3">
      <c r="H1258" s="3"/>
      <c r="I1258" s="3"/>
      <c r="J1258" s="3"/>
    </row>
    <row r="1259" spans="8:10" x14ac:dyDescent="0.3">
      <c r="H1259" s="3"/>
      <c r="I1259" s="3"/>
      <c r="J1259" s="3"/>
    </row>
    <row r="1260" spans="8:10" x14ac:dyDescent="0.3">
      <c r="H1260" s="3"/>
      <c r="I1260" s="3"/>
      <c r="J1260" s="3"/>
    </row>
    <row r="1261" spans="8:10" x14ac:dyDescent="0.3">
      <c r="H1261" s="3"/>
      <c r="I1261" s="3"/>
      <c r="J1261" s="3"/>
    </row>
    <row r="1262" spans="8:10" x14ac:dyDescent="0.3">
      <c r="H1262" s="3"/>
      <c r="I1262" s="3"/>
      <c r="J1262" s="3"/>
    </row>
    <row r="1263" spans="8:10" x14ac:dyDescent="0.3">
      <c r="H1263" s="3"/>
      <c r="I1263" s="3"/>
      <c r="J1263" s="3"/>
    </row>
    <row r="1264" spans="8:10" x14ac:dyDescent="0.3">
      <c r="H1264" s="3"/>
      <c r="I1264" s="3"/>
      <c r="J1264" s="3"/>
    </row>
    <row r="1265" spans="8:10" x14ac:dyDescent="0.3">
      <c r="H1265" s="3"/>
      <c r="I1265" s="3"/>
      <c r="J1265" s="3"/>
    </row>
    <row r="1266" spans="8:10" x14ac:dyDescent="0.3">
      <c r="H1266" s="3"/>
      <c r="I1266" s="3"/>
      <c r="J1266" s="3"/>
    </row>
    <row r="1267" spans="8:10" x14ac:dyDescent="0.3">
      <c r="H1267" s="3"/>
      <c r="I1267" s="3"/>
      <c r="J1267" s="3"/>
    </row>
    <row r="1268" spans="8:10" x14ac:dyDescent="0.3">
      <c r="H1268" s="3"/>
      <c r="I1268" s="3"/>
      <c r="J1268" s="3"/>
    </row>
    <row r="1269" spans="8:10" x14ac:dyDescent="0.3">
      <c r="H1269" s="3"/>
      <c r="I1269" s="3"/>
      <c r="J1269" s="3"/>
    </row>
    <row r="1270" spans="8:10" x14ac:dyDescent="0.3">
      <c r="H1270" s="3"/>
      <c r="I1270" s="3"/>
      <c r="J1270" s="3"/>
    </row>
    <row r="1271" spans="8:10" x14ac:dyDescent="0.3">
      <c r="H1271" s="3"/>
      <c r="I1271" s="3"/>
      <c r="J1271" s="3"/>
    </row>
    <row r="1272" spans="8:10" x14ac:dyDescent="0.3">
      <c r="H1272" s="3"/>
      <c r="I1272" s="3"/>
      <c r="J1272" s="3"/>
    </row>
    <row r="1273" spans="8:10" x14ac:dyDescent="0.3">
      <c r="H1273" s="3"/>
      <c r="I1273" s="3"/>
      <c r="J1273" s="3"/>
    </row>
    <row r="1274" spans="8:10" x14ac:dyDescent="0.3">
      <c r="H1274" s="3"/>
      <c r="I1274" s="3"/>
      <c r="J1274" s="3"/>
    </row>
    <row r="1275" spans="8:10" x14ac:dyDescent="0.3">
      <c r="H1275" s="3"/>
      <c r="I1275" s="3"/>
      <c r="J1275" s="3"/>
    </row>
    <row r="1276" spans="8:10" x14ac:dyDescent="0.3">
      <c r="H1276" s="3"/>
      <c r="I1276" s="3"/>
      <c r="J1276" s="3"/>
    </row>
    <row r="1277" spans="8:10" x14ac:dyDescent="0.3">
      <c r="H1277" s="3"/>
      <c r="I1277" s="3"/>
      <c r="J1277" s="3"/>
    </row>
    <row r="1278" spans="8:10" x14ac:dyDescent="0.3">
      <c r="H1278" s="3"/>
      <c r="I1278" s="3"/>
      <c r="J1278" s="3"/>
    </row>
    <row r="1279" spans="8:10" x14ac:dyDescent="0.3">
      <c r="H1279" s="3"/>
      <c r="I1279" s="3"/>
      <c r="J1279" s="3"/>
    </row>
    <row r="1280" spans="8:10" x14ac:dyDescent="0.3">
      <c r="H1280" s="3"/>
      <c r="I1280" s="3"/>
      <c r="J1280" s="3"/>
    </row>
    <row r="1281" spans="8:10" x14ac:dyDescent="0.3">
      <c r="H1281" s="3"/>
      <c r="I1281" s="3"/>
      <c r="J1281" s="3"/>
    </row>
    <row r="1282" spans="8:10" x14ac:dyDescent="0.3">
      <c r="H1282" s="3"/>
      <c r="I1282" s="3"/>
      <c r="J1282" s="3"/>
    </row>
    <row r="1283" spans="8:10" x14ac:dyDescent="0.3">
      <c r="H1283" s="3"/>
      <c r="I1283" s="3"/>
      <c r="J1283" s="3"/>
    </row>
    <row r="1284" spans="8:10" x14ac:dyDescent="0.3">
      <c r="H1284" s="3"/>
      <c r="I1284" s="3"/>
      <c r="J1284" s="3"/>
    </row>
    <row r="1285" spans="8:10" x14ac:dyDescent="0.3">
      <c r="H1285" s="3"/>
      <c r="I1285" s="3"/>
      <c r="J1285" s="3"/>
    </row>
    <row r="1286" spans="8:10" x14ac:dyDescent="0.3">
      <c r="H1286" s="3"/>
      <c r="I1286" s="3"/>
      <c r="J1286" s="3"/>
    </row>
    <row r="1287" spans="8:10" x14ac:dyDescent="0.3">
      <c r="H1287" s="3"/>
      <c r="I1287" s="3"/>
      <c r="J1287" s="3"/>
    </row>
    <row r="1288" spans="8:10" x14ac:dyDescent="0.3">
      <c r="H1288" s="3"/>
      <c r="I1288" s="3"/>
      <c r="J1288" s="3"/>
    </row>
    <row r="1289" spans="8:10" x14ac:dyDescent="0.3">
      <c r="H1289" s="3"/>
      <c r="I1289" s="3"/>
      <c r="J1289" s="3"/>
    </row>
    <row r="1290" spans="8:10" x14ac:dyDescent="0.3">
      <c r="H1290" s="3"/>
      <c r="I1290" s="3"/>
      <c r="J1290" s="3"/>
    </row>
    <row r="1291" spans="8:10" x14ac:dyDescent="0.3">
      <c r="H1291" s="3"/>
      <c r="I1291" s="3"/>
      <c r="J1291" s="3"/>
    </row>
    <row r="1292" spans="8:10" x14ac:dyDescent="0.3">
      <c r="H1292" s="3"/>
      <c r="I1292" s="3"/>
      <c r="J1292" s="3"/>
    </row>
    <row r="1293" spans="8:10" x14ac:dyDescent="0.3">
      <c r="H1293" s="3"/>
      <c r="I1293" s="3"/>
      <c r="J1293" s="3"/>
    </row>
    <row r="1294" spans="8:10" x14ac:dyDescent="0.3">
      <c r="H1294" s="3"/>
      <c r="I1294" s="3"/>
      <c r="J1294" s="3"/>
    </row>
    <row r="1295" spans="8:10" x14ac:dyDescent="0.3">
      <c r="H1295" s="3"/>
      <c r="I1295" s="3"/>
      <c r="J1295" s="3"/>
    </row>
    <row r="1296" spans="8:10" x14ac:dyDescent="0.3">
      <c r="H1296" s="3"/>
      <c r="I1296" s="3"/>
      <c r="J1296" s="3"/>
    </row>
    <row r="1297" spans="8:10" x14ac:dyDescent="0.3">
      <c r="H1297" s="3"/>
      <c r="I1297" s="3"/>
      <c r="J1297" s="3"/>
    </row>
    <row r="1298" spans="8:10" x14ac:dyDescent="0.3">
      <c r="H1298" s="3"/>
      <c r="I1298" s="3"/>
      <c r="J1298" s="3"/>
    </row>
    <row r="1299" spans="8:10" x14ac:dyDescent="0.3">
      <c r="H1299" s="3"/>
      <c r="I1299" s="3"/>
      <c r="J1299" s="3"/>
    </row>
    <row r="1300" spans="8:10" x14ac:dyDescent="0.3">
      <c r="H1300" s="3"/>
      <c r="I1300" s="3"/>
      <c r="J1300" s="3"/>
    </row>
    <row r="1301" spans="8:10" x14ac:dyDescent="0.3">
      <c r="H1301" s="3"/>
      <c r="I1301" s="3"/>
      <c r="J1301" s="3"/>
    </row>
    <row r="1302" spans="8:10" x14ac:dyDescent="0.3">
      <c r="H1302" s="3"/>
      <c r="I1302" s="3"/>
      <c r="J1302" s="3"/>
    </row>
    <row r="1303" spans="8:10" x14ac:dyDescent="0.3">
      <c r="H1303" s="3"/>
      <c r="I1303" s="3"/>
      <c r="J1303" s="3"/>
    </row>
    <row r="1304" spans="8:10" x14ac:dyDescent="0.3">
      <c r="H1304" s="3"/>
      <c r="I1304" s="3"/>
      <c r="J1304" s="3"/>
    </row>
    <row r="1305" spans="8:10" x14ac:dyDescent="0.3">
      <c r="H1305" s="3"/>
      <c r="I1305" s="3"/>
      <c r="J1305" s="3"/>
    </row>
    <row r="1306" spans="8:10" x14ac:dyDescent="0.3">
      <c r="H1306" s="3"/>
      <c r="I1306" s="3"/>
      <c r="J1306" s="3"/>
    </row>
    <row r="1307" spans="8:10" x14ac:dyDescent="0.3">
      <c r="H1307" s="3"/>
      <c r="I1307" s="3"/>
      <c r="J1307" s="3"/>
    </row>
    <row r="1308" spans="8:10" x14ac:dyDescent="0.3">
      <c r="H1308" s="3"/>
      <c r="I1308" s="3"/>
      <c r="J1308" s="3"/>
    </row>
    <row r="1309" spans="8:10" x14ac:dyDescent="0.3">
      <c r="H1309" s="3"/>
      <c r="I1309" s="3"/>
      <c r="J1309" s="3"/>
    </row>
    <row r="1310" spans="8:10" x14ac:dyDescent="0.3">
      <c r="H1310" s="3"/>
      <c r="I1310" s="3"/>
      <c r="J1310" s="3"/>
    </row>
    <row r="1311" spans="8:10" x14ac:dyDescent="0.3">
      <c r="H1311" s="3"/>
      <c r="I1311" s="3"/>
      <c r="J1311" s="3"/>
    </row>
    <row r="1312" spans="8:10" x14ac:dyDescent="0.3">
      <c r="H1312" s="3"/>
      <c r="I1312" s="3"/>
      <c r="J1312" s="3"/>
    </row>
    <row r="1313" spans="8:10" x14ac:dyDescent="0.3">
      <c r="H1313" s="3"/>
      <c r="I1313" s="3"/>
      <c r="J1313" s="3"/>
    </row>
    <row r="1314" spans="8:10" x14ac:dyDescent="0.3">
      <c r="H1314" s="3"/>
      <c r="I1314" s="3"/>
      <c r="J1314" s="3"/>
    </row>
    <row r="1315" spans="8:10" x14ac:dyDescent="0.3">
      <c r="H1315" s="3"/>
      <c r="I1315" s="3"/>
      <c r="J1315" s="3"/>
    </row>
    <row r="1316" spans="8:10" x14ac:dyDescent="0.3">
      <c r="H1316" s="3"/>
      <c r="I1316" s="3"/>
      <c r="J1316" s="3"/>
    </row>
    <row r="1317" spans="8:10" x14ac:dyDescent="0.3">
      <c r="H1317" s="3"/>
      <c r="I1317" s="3"/>
      <c r="J1317" s="3"/>
    </row>
    <row r="1318" spans="8:10" x14ac:dyDescent="0.3">
      <c r="H1318" s="3"/>
      <c r="I1318" s="3"/>
      <c r="J1318" s="3"/>
    </row>
    <row r="1319" spans="8:10" x14ac:dyDescent="0.3">
      <c r="H1319" s="3"/>
      <c r="I1319" s="3"/>
      <c r="J1319" s="3"/>
    </row>
    <row r="1320" spans="8:10" x14ac:dyDescent="0.3">
      <c r="H1320" s="3"/>
      <c r="I1320" s="3"/>
      <c r="J1320" s="3"/>
    </row>
    <row r="1321" spans="8:10" x14ac:dyDescent="0.3">
      <c r="H1321" s="3"/>
      <c r="I1321" s="3"/>
      <c r="J1321" s="3"/>
    </row>
    <row r="1322" spans="8:10" x14ac:dyDescent="0.3">
      <c r="H1322" s="3"/>
      <c r="I1322" s="3"/>
      <c r="J1322" s="3"/>
    </row>
    <row r="1323" spans="8:10" x14ac:dyDescent="0.3">
      <c r="H1323" s="3"/>
      <c r="I1323" s="3"/>
      <c r="J1323" s="3"/>
    </row>
    <row r="1324" spans="8:10" x14ac:dyDescent="0.3">
      <c r="H1324" s="3"/>
      <c r="I1324" s="3"/>
      <c r="J1324" s="3"/>
    </row>
    <row r="1325" spans="8:10" x14ac:dyDescent="0.3">
      <c r="H1325" s="3"/>
      <c r="I1325" s="3"/>
      <c r="J1325" s="3"/>
    </row>
    <row r="1326" spans="8:10" x14ac:dyDescent="0.3">
      <c r="H1326" s="3"/>
      <c r="I1326" s="3"/>
      <c r="J1326" s="3"/>
    </row>
    <row r="1327" spans="8:10" x14ac:dyDescent="0.3">
      <c r="H1327" s="3"/>
      <c r="I1327" s="3"/>
      <c r="J1327" s="3"/>
    </row>
    <row r="1328" spans="8:10" x14ac:dyDescent="0.3">
      <c r="H1328" s="3"/>
      <c r="I1328" s="3"/>
      <c r="J1328" s="3"/>
    </row>
    <row r="1329" spans="8:10" x14ac:dyDescent="0.3">
      <c r="H1329" s="3"/>
      <c r="I1329" s="3"/>
      <c r="J1329" s="3"/>
    </row>
    <row r="1330" spans="8:10" x14ac:dyDescent="0.3">
      <c r="H1330" s="3"/>
      <c r="I1330" s="3"/>
      <c r="J1330" s="3"/>
    </row>
    <row r="1331" spans="8:10" x14ac:dyDescent="0.3">
      <c r="H1331" s="3"/>
      <c r="I1331" s="3"/>
      <c r="J1331" s="3"/>
    </row>
    <row r="1332" spans="8:10" x14ac:dyDescent="0.3">
      <c r="H1332" s="3"/>
      <c r="I1332" s="3"/>
      <c r="J1332" s="3"/>
    </row>
    <row r="1333" spans="8:10" x14ac:dyDescent="0.3">
      <c r="H1333" s="3"/>
      <c r="I1333" s="3"/>
      <c r="J1333" s="3"/>
    </row>
    <row r="1334" spans="8:10" x14ac:dyDescent="0.3">
      <c r="H1334" s="3"/>
      <c r="I1334" s="3"/>
      <c r="J1334" s="3"/>
    </row>
    <row r="1335" spans="8:10" x14ac:dyDescent="0.3">
      <c r="H1335" s="3"/>
      <c r="I1335" s="3"/>
      <c r="J1335" s="3"/>
    </row>
    <row r="1336" spans="8:10" x14ac:dyDescent="0.3">
      <c r="H1336" s="3"/>
      <c r="I1336" s="3"/>
      <c r="J1336" s="3"/>
    </row>
    <row r="1337" spans="8:10" x14ac:dyDescent="0.3">
      <c r="H1337" s="3"/>
      <c r="I1337" s="3"/>
      <c r="J1337" s="3"/>
    </row>
    <row r="1338" spans="8:10" x14ac:dyDescent="0.3">
      <c r="H1338" s="3"/>
      <c r="I1338" s="3"/>
      <c r="J1338" s="3"/>
    </row>
    <row r="1339" spans="8:10" x14ac:dyDescent="0.3">
      <c r="H1339" s="3"/>
      <c r="I1339" s="3"/>
      <c r="J1339" s="3"/>
    </row>
    <row r="1340" spans="8:10" x14ac:dyDescent="0.3">
      <c r="H1340" s="3"/>
      <c r="I1340" s="3"/>
      <c r="J1340" s="3"/>
    </row>
    <row r="1341" spans="8:10" x14ac:dyDescent="0.3">
      <c r="H1341" s="3"/>
      <c r="I1341" s="3"/>
      <c r="J1341" s="3"/>
    </row>
    <row r="1342" spans="8:10" x14ac:dyDescent="0.3">
      <c r="H1342" s="3"/>
      <c r="I1342" s="3"/>
      <c r="J1342" s="3"/>
    </row>
    <row r="1343" spans="8:10" x14ac:dyDescent="0.3">
      <c r="H1343" s="3"/>
      <c r="I1343" s="3"/>
      <c r="J1343" s="3"/>
    </row>
    <row r="1344" spans="8:10" x14ac:dyDescent="0.3">
      <c r="H1344" s="3"/>
      <c r="I1344" s="3"/>
      <c r="J1344" s="3"/>
    </row>
    <row r="1345" spans="8:10" x14ac:dyDescent="0.3">
      <c r="H1345" s="3"/>
      <c r="I1345" s="3"/>
      <c r="J1345" s="3"/>
    </row>
    <row r="1346" spans="8:10" x14ac:dyDescent="0.3">
      <c r="H1346" s="3"/>
      <c r="I1346" s="3"/>
      <c r="J1346" s="3"/>
    </row>
    <row r="1347" spans="8:10" x14ac:dyDescent="0.3">
      <c r="H1347" s="3"/>
      <c r="I1347" s="3"/>
      <c r="J1347" s="3"/>
    </row>
    <row r="1348" spans="8:10" x14ac:dyDescent="0.3">
      <c r="H1348" s="3"/>
      <c r="I1348" s="3"/>
      <c r="J1348" s="3"/>
    </row>
    <row r="1349" spans="8:10" x14ac:dyDescent="0.3">
      <c r="H1349" s="3"/>
      <c r="I1349" s="3"/>
      <c r="J1349" s="3"/>
    </row>
    <row r="1350" spans="8:10" x14ac:dyDescent="0.3">
      <c r="H1350" s="3"/>
      <c r="I1350" s="3"/>
      <c r="J1350" s="3"/>
    </row>
    <row r="1351" spans="8:10" x14ac:dyDescent="0.3">
      <c r="H1351" s="3"/>
      <c r="I1351" s="3"/>
      <c r="J1351" s="3"/>
    </row>
    <row r="1352" spans="8:10" x14ac:dyDescent="0.3">
      <c r="H1352" s="3"/>
      <c r="I1352" s="3"/>
      <c r="J1352" s="3"/>
    </row>
    <row r="1353" spans="8:10" x14ac:dyDescent="0.3">
      <c r="H1353" s="3"/>
      <c r="I1353" s="3"/>
      <c r="J1353" s="3"/>
    </row>
    <row r="1354" spans="8:10" x14ac:dyDescent="0.3">
      <c r="H1354" s="3"/>
      <c r="I1354" s="3"/>
      <c r="J1354" s="3"/>
    </row>
    <row r="1355" spans="8:10" x14ac:dyDescent="0.3">
      <c r="H1355" s="3"/>
      <c r="I1355" s="3"/>
      <c r="J1355" s="3"/>
    </row>
    <row r="1356" spans="8:10" x14ac:dyDescent="0.3">
      <c r="H1356" s="3"/>
      <c r="I1356" s="3"/>
      <c r="J1356" s="3"/>
    </row>
    <row r="1357" spans="8:10" x14ac:dyDescent="0.3">
      <c r="H1357" s="3"/>
      <c r="I1357" s="3"/>
      <c r="J1357" s="3"/>
    </row>
    <row r="1358" spans="8:10" x14ac:dyDescent="0.3">
      <c r="H1358" s="3"/>
      <c r="I1358" s="3"/>
      <c r="J1358" s="3"/>
    </row>
    <row r="1359" spans="8:10" x14ac:dyDescent="0.3">
      <c r="H1359" s="3"/>
      <c r="I1359" s="3"/>
      <c r="J1359" s="3"/>
    </row>
    <row r="1360" spans="8:10" x14ac:dyDescent="0.3">
      <c r="H1360" s="3"/>
      <c r="I1360" s="3"/>
      <c r="J1360" s="3"/>
    </row>
    <row r="1361" spans="8:10" x14ac:dyDescent="0.3">
      <c r="H1361" s="3"/>
      <c r="I1361" s="3"/>
      <c r="J1361" s="3"/>
    </row>
    <row r="1362" spans="8:10" x14ac:dyDescent="0.3">
      <c r="H1362" s="3"/>
      <c r="I1362" s="3"/>
      <c r="J1362" s="3"/>
    </row>
    <row r="1363" spans="8:10" x14ac:dyDescent="0.3">
      <c r="H1363" s="3"/>
      <c r="I1363" s="3"/>
      <c r="J1363" s="3"/>
    </row>
    <row r="1364" spans="8:10" x14ac:dyDescent="0.3">
      <c r="H1364" s="3"/>
      <c r="I1364" s="3"/>
      <c r="J1364" s="3"/>
    </row>
    <row r="1365" spans="8:10" x14ac:dyDescent="0.3">
      <c r="H1365" s="3"/>
      <c r="I1365" s="3"/>
      <c r="J1365" s="3"/>
    </row>
    <row r="1366" spans="8:10" x14ac:dyDescent="0.3">
      <c r="H1366" s="3"/>
      <c r="I1366" s="3"/>
      <c r="J1366" s="3"/>
    </row>
    <row r="1367" spans="8:10" x14ac:dyDescent="0.3">
      <c r="H1367" s="3"/>
      <c r="I1367" s="3"/>
      <c r="J1367" s="3"/>
    </row>
    <row r="1368" spans="8:10" x14ac:dyDescent="0.3">
      <c r="H1368" s="3"/>
      <c r="I1368" s="3"/>
      <c r="J1368" s="3"/>
    </row>
    <row r="1369" spans="8:10" x14ac:dyDescent="0.3">
      <c r="H1369" s="3"/>
      <c r="I1369" s="3"/>
      <c r="J1369" s="3"/>
    </row>
    <row r="1370" spans="8:10" x14ac:dyDescent="0.3">
      <c r="H1370" s="3"/>
      <c r="I1370" s="3"/>
      <c r="J1370" s="3"/>
    </row>
    <row r="1371" spans="8:10" x14ac:dyDescent="0.3">
      <c r="H1371" s="3"/>
      <c r="I1371" s="3"/>
      <c r="J1371" s="3"/>
    </row>
    <row r="1372" spans="8:10" x14ac:dyDescent="0.3">
      <c r="H1372" s="3"/>
      <c r="I1372" s="3"/>
      <c r="J1372" s="3"/>
    </row>
    <row r="1373" spans="8:10" x14ac:dyDescent="0.3">
      <c r="H1373" s="3"/>
      <c r="I1373" s="3"/>
      <c r="J1373" s="3"/>
    </row>
    <row r="1374" spans="8:10" x14ac:dyDescent="0.3">
      <c r="H1374" s="3"/>
      <c r="I1374" s="3"/>
      <c r="J1374" s="3"/>
    </row>
    <row r="1375" spans="8:10" x14ac:dyDescent="0.3">
      <c r="H1375" s="3"/>
      <c r="I1375" s="3"/>
      <c r="J1375" s="3"/>
    </row>
    <row r="1376" spans="8:10" x14ac:dyDescent="0.3">
      <c r="H1376" s="3"/>
      <c r="I1376" s="3"/>
      <c r="J1376" s="3"/>
    </row>
    <row r="1377" spans="8:10" x14ac:dyDescent="0.3">
      <c r="H1377" s="3"/>
      <c r="I1377" s="3"/>
      <c r="J1377" s="3"/>
    </row>
    <row r="1378" spans="8:10" x14ac:dyDescent="0.3">
      <c r="H1378" s="3"/>
      <c r="I1378" s="3"/>
      <c r="J1378" s="3"/>
    </row>
    <row r="1379" spans="8:10" x14ac:dyDescent="0.3">
      <c r="H1379" s="3"/>
      <c r="I1379" s="3"/>
      <c r="J1379" s="3"/>
    </row>
    <row r="1380" spans="8:10" x14ac:dyDescent="0.3">
      <c r="H1380" s="3"/>
      <c r="I1380" s="3"/>
      <c r="J1380" s="3"/>
    </row>
    <row r="1381" spans="8:10" x14ac:dyDescent="0.3">
      <c r="H1381" s="3"/>
      <c r="I1381" s="3"/>
      <c r="J1381" s="3"/>
    </row>
    <row r="1382" spans="8:10" x14ac:dyDescent="0.3">
      <c r="H1382" s="3"/>
      <c r="I1382" s="3"/>
      <c r="J1382" s="3"/>
    </row>
    <row r="1383" spans="8:10" x14ac:dyDescent="0.3">
      <c r="H1383" s="3"/>
      <c r="I1383" s="3"/>
      <c r="J1383" s="3"/>
    </row>
    <row r="1384" spans="8:10" x14ac:dyDescent="0.3">
      <c r="H1384" s="3"/>
      <c r="I1384" s="3"/>
      <c r="J1384" s="3"/>
    </row>
    <row r="1385" spans="8:10" x14ac:dyDescent="0.3">
      <c r="H1385" s="3"/>
      <c r="I1385" s="3"/>
      <c r="J1385" s="3"/>
    </row>
    <row r="1386" spans="8:10" x14ac:dyDescent="0.3">
      <c r="H1386" s="3"/>
      <c r="I1386" s="3"/>
      <c r="J1386" s="3"/>
    </row>
    <row r="1387" spans="8:10" x14ac:dyDescent="0.3">
      <c r="H1387" s="3"/>
      <c r="I1387" s="3"/>
      <c r="J1387" s="3"/>
    </row>
    <row r="1388" spans="8:10" x14ac:dyDescent="0.3">
      <c r="H1388" s="3"/>
      <c r="I1388" s="3"/>
      <c r="J1388" s="3"/>
    </row>
    <row r="1389" spans="8:10" x14ac:dyDescent="0.3">
      <c r="H1389" s="3"/>
      <c r="I1389" s="3"/>
      <c r="J1389" s="3"/>
    </row>
    <row r="1390" spans="8:10" x14ac:dyDescent="0.3">
      <c r="H1390" s="3"/>
      <c r="I1390" s="3"/>
      <c r="J1390" s="3"/>
    </row>
    <row r="1391" spans="8:10" x14ac:dyDescent="0.3">
      <c r="H1391" s="3"/>
      <c r="I1391" s="3"/>
      <c r="J1391" s="3"/>
    </row>
    <row r="1392" spans="8:10" x14ac:dyDescent="0.3">
      <c r="H1392" s="3"/>
      <c r="I1392" s="3"/>
      <c r="J1392" s="3"/>
    </row>
    <row r="1393" spans="8:10" x14ac:dyDescent="0.3">
      <c r="H1393" s="3"/>
      <c r="I1393" s="3"/>
      <c r="J1393" s="3"/>
    </row>
    <row r="1394" spans="8:10" x14ac:dyDescent="0.3">
      <c r="H1394" s="3"/>
      <c r="I1394" s="3"/>
      <c r="J1394" s="3"/>
    </row>
    <row r="1395" spans="8:10" x14ac:dyDescent="0.3">
      <c r="H1395" s="3"/>
      <c r="I1395" s="3"/>
      <c r="J1395" s="3"/>
    </row>
    <row r="1396" spans="8:10" x14ac:dyDescent="0.3">
      <c r="H1396" s="3"/>
      <c r="I1396" s="3"/>
      <c r="J1396" s="3"/>
    </row>
    <row r="1397" spans="8:10" x14ac:dyDescent="0.3">
      <c r="H1397" s="3"/>
      <c r="I1397" s="3"/>
      <c r="J1397" s="3"/>
    </row>
    <row r="1398" spans="8:10" x14ac:dyDescent="0.3">
      <c r="H1398" s="3"/>
      <c r="I1398" s="3"/>
      <c r="J1398" s="3"/>
    </row>
    <row r="1399" spans="8:10" x14ac:dyDescent="0.3">
      <c r="H1399" s="3"/>
      <c r="I1399" s="3"/>
      <c r="J1399" s="3"/>
    </row>
    <row r="1400" spans="8:10" x14ac:dyDescent="0.3">
      <c r="H1400" s="3"/>
      <c r="I1400" s="3"/>
      <c r="J1400" s="3"/>
    </row>
    <row r="1401" spans="8:10" x14ac:dyDescent="0.3">
      <c r="H1401" s="3"/>
      <c r="I1401" s="3"/>
      <c r="J1401" s="3"/>
    </row>
    <row r="1402" spans="8:10" x14ac:dyDescent="0.3">
      <c r="H1402" s="3"/>
      <c r="I1402" s="3"/>
      <c r="J1402" s="3"/>
    </row>
    <row r="1403" spans="8:10" x14ac:dyDescent="0.3">
      <c r="H1403" s="3"/>
      <c r="I1403" s="3"/>
      <c r="J1403" s="3"/>
    </row>
    <row r="1404" spans="8:10" x14ac:dyDescent="0.3">
      <c r="H1404" s="3"/>
      <c r="I1404" s="3"/>
      <c r="J1404" s="3"/>
    </row>
    <row r="1405" spans="8:10" x14ac:dyDescent="0.3">
      <c r="H1405" s="3"/>
      <c r="I1405" s="3"/>
      <c r="J1405" s="3"/>
    </row>
    <row r="1406" spans="8:10" x14ac:dyDescent="0.3">
      <c r="H1406" s="3"/>
      <c r="I1406" s="3"/>
      <c r="J1406" s="3"/>
    </row>
    <row r="1407" spans="8:10" x14ac:dyDescent="0.3">
      <c r="H1407" s="3"/>
      <c r="I1407" s="3"/>
      <c r="J1407" s="3"/>
    </row>
    <row r="1408" spans="8:10" x14ac:dyDescent="0.3">
      <c r="H1408" s="3"/>
      <c r="I1408" s="3"/>
      <c r="J1408" s="3"/>
    </row>
    <row r="1409" spans="8:10" x14ac:dyDescent="0.3">
      <c r="H1409" s="3"/>
      <c r="I1409" s="3"/>
      <c r="J1409" s="3"/>
    </row>
    <row r="1410" spans="8:10" x14ac:dyDescent="0.3">
      <c r="H1410" s="3"/>
      <c r="I1410" s="3"/>
      <c r="J1410" s="3"/>
    </row>
    <row r="1411" spans="8:10" x14ac:dyDescent="0.3">
      <c r="H1411" s="3"/>
      <c r="I1411" s="3"/>
      <c r="J1411" s="3"/>
    </row>
    <row r="1412" spans="8:10" x14ac:dyDescent="0.3">
      <c r="H1412" s="3"/>
      <c r="I1412" s="3"/>
      <c r="J1412" s="3"/>
    </row>
    <row r="1413" spans="8:10" x14ac:dyDescent="0.3">
      <c r="H1413" s="3"/>
      <c r="I1413" s="3"/>
      <c r="J1413" s="3"/>
    </row>
    <row r="1414" spans="8:10" x14ac:dyDescent="0.3">
      <c r="H1414" s="3"/>
      <c r="I1414" s="3"/>
      <c r="J1414" s="3"/>
    </row>
    <row r="1415" spans="8:10" x14ac:dyDescent="0.3">
      <c r="H1415" s="3"/>
      <c r="I1415" s="3"/>
      <c r="J1415" s="3"/>
    </row>
    <row r="1416" spans="8:10" x14ac:dyDescent="0.3">
      <c r="H1416" s="3"/>
      <c r="I1416" s="3"/>
      <c r="J1416" s="3"/>
    </row>
    <row r="1417" spans="8:10" x14ac:dyDescent="0.3">
      <c r="H1417" s="3"/>
      <c r="I1417" s="3"/>
      <c r="J1417" s="3"/>
    </row>
    <row r="1418" spans="8:10" x14ac:dyDescent="0.3">
      <c r="H1418" s="3"/>
      <c r="I1418" s="3"/>
      <c r="J1418" s="3"/>
    </row>
    <row r="1419" spans="8:10" x14ac:dyDescent="0.3">
      <c r="H1419" s="3"/>
      <c r="I1419" s="3"/>
      <c r="J1419" s="3"/>
    </row>
    <row r="1420" spans="8:10" x14ac:dyDescent="0.3">
      <c r="H1420" s="3"/>
      <c r="I1420" s="3"/>
      <c r="J1420" s="3"/>
    </row>
    <row r="1421" spans="8:10" x14ac:dyDescent="0.3">
      <c r="H1421" s="3"/>
      <c r="I1421" s="3"/>
      <c r="J1421" s="3"/>
    </row>
    <row r="1422" spans="8:10" x14ac:dyDescent="0.3">
      <c r="H1422" s="3"/>
      <c r="I1422" s="3"/>
      <c r="J1422" s="3"/>
    </row>
    <row r="1423" spans="8:10" x14ac:dyDescent="0.3">
      <c r="H1423" s="3"/>
      <c r="I1423" s="3"/>
      <c r="J1423" s="3"/>
    </row>
    <row r="1424" spans="8:10" x14ac:dyDescent="0.3">
      <c r="H1424" s="3"/>
      <c r="I1424" s="3"/>
      <c r="J1424" s="3"/>
    </row>
    <row r="1425" spans="8:10" x14ac:dyDescent="0.3">
      <c r="H1425" s="3"/>
      <c r="I1425" s="3"/>
      <c r="J1425" s="3"/>
    </row>
    <row r="1426" spans="8:10" x14ac:dyDescent="0.3">
      <c r="H1426" s="3"/>
      <c r="I1426" s="3"/>
      <c r="J1426" s="3"/>
    </row>
    <row r="1427" spans="8:10" x14ac:dyDescent="0.3">
      <c r="H1427" s="3"/>
      <c r="I1427" s="3"/>
      <c r="J1427" s="3"/>
    </row>
    <row r="1428" spans="8:10" x14ac:dyDescent="0.3">
      <c r="H1428" s="3"/>
      <c r="I1428" s="3"/>
      <c r="J1428" s="3"/>
    </row>
    <row r="1429" spans="8:10" x14ac:dyDescent="0.3">
      <c r="H1429" s="3"/>
      <c r="I1429" s="3"/>
      <c r="J1429" s="3"/>
    </row>
    <row r="1430" spans="8:10" x14ac:dyDescent="0.3">
      <c r="H1430" s="3"/>
      <c r="I1430" s="3"/>
      <c r="J1430" s="3"/>
    </row>
    <row r="1431" spans="8:10" x14ac:dyDescent="0.3">
      <c r="H1431" s="3"/>
      <c r="I1431" s="3"/>
      <c r="J1431" s="3"/>
    </row>
    <row r="1432" spans="8:10" x14ac:dyDescent="0.3">
      <c r="H1432" s="3"/>
      <c r="I1432" s="3"/>
      <c r="J1432" s="3"/>
    </row>
    <row r="1433" spans="8:10" x14ac:dyDescent="0.3">
      <c r="H1433" s="3"/>
      <c r="I1433" s="3"/>
      <c r="J1433" s="3"/>
    </row>
    <row r="1434" spans="8:10" x14ac:dyDescent="0.3">
      <c r="H1434" s="3"/>
      <c r="I1434" s="3"/>
      <c r="J1434" s="3"/>
    </row>
    <row r="1435" spans="8:10" x14ac:dyDescent="0.3">
      <c r="H1435" s="3"/>
      <c r="I1435" s="3"/>
      <c r="J1435" s="3"/>
    </row>
    <row r="1436" spans="8:10" x14ac:dyDescent="0.3">
      <c r="H1436" s="3"/>
      <c r="I1436" s="3"/>
      <c r="J1436" s="3"/>
    </row>
    <row r="1437" spans="8:10" x14ac:dyDescent="0.3">
      <c r="H1437" s="3"/>
      <c r="I1437" s="3"/>
      <c r="J1437" s="3"/>
    </row>
    <row r="1438" spans="8:10" x14ac:dyDescent="0.3">
      <c r="H1438" s="3"/>
      <c r="I1438" s="3"/>
      <c r="J1438" s="3"/>
    </row>
    <row r="1439" spans="8:10" x14ac:dyDescent="0.3">
      <c r="H1439" s="3"/>
      <c r="I1439" s="3"/>
      <c r="J1439" s="3"/>
    </row>
    <row r="1440" spans="8:10" x14ac:dyDescent="0.3">
      <c r="H1440" s="3"/>
      <c r="I1440" s="3"/>
      <c r="J1440" s="3"/>
    </row>
    <row r="1441" spans="8:10" x14ac:dyDescent="0.3">
      <c r="H1441" s="3"/>
      <c r="I1441" s="3"/>
      <c r="J1441" s="3"/>
    </row>
    <row r="1442" spans="8:10" x14ac:dyDescent="0.3">
      <c r="H1442" s="3"/>
      <c r="I1442" s="3"/>
      <c r="J1442" s="3"/>
    </row>
    <row r="1443" spans="8:10" x14ac:dyDescent="0.3">
      <c r="H1443" s="3"/>
      <c r="I1443" s="3"/>
      <c r="J1443" s="3"/>
    </row>
    <row r="1444" spans="8:10" x14ac:dyDescent="0.3">
      <c r="H1444" s="3"/>
      <c r="I1444" s="3"/>
      <c r="J1444" s="3"/>
    </row>
    <row r="1445" spans="8:10" x14ac:dyDescent="0.3">
      <c r="H1445" s="3"/>
      <c r="I1445" s="3"/>
      <c r="J1445" s="3"/>
    </row>
    <row r="1446" spans="8:10" x14ac:dyDescent="0.3">
      <c r="H1446" s="3"/>
      <c r="I1446" s="3"/>
      <c r="J1446" s="3"/>
    </row>
    <row r="1447" spans="8:10" x14ac:dyDescent="0.3">
      <c r="H1447" s="3"/>
      <c r="I1447" s="3"/>
      <c r="J1447" s="3"/>
    </row>
    <row r="1448" spans="8:10" x14ac:dyDescent="0.3">
      <c r="H1448" s="3"/>
      <c r="I1448" s="3"/>
      <c r="J1448" s="3"/>
    </row>
    <row r="1449" spans="8:10" x14ac:dyDescent="0.3">
      <c r="H1449" s="3"/>
      <c r="I1449" s="3"/>
      <c r="J1449" s="3"/>
    </row>
    <row r="1450" spans="8:10" x14ac:dyDescent="0.3">
      <c r="H1450" s="3"/>
      <c r="I1450" s="3"/>
      <c r="J1450" s="3"/>
    </row>
    <row r="1451" spans="8:10" x14ac:dyDescent="0.3">
      <c r="H1451" s="3"/>
      <c r="I1451" s="3"/>
      <c r="J1451" s="3"/>
    </row>
    <row r="1452" spans="8:10" x14ac:dyDescent="0.3">
      <c r="H1452" s="3"/>
      <c r="I1452" s="3"/>
      <c r="J1452" s="3"/>
    </row>
    <row r="1453" spans="8:10" x14ac:dyDescent="0.3">
      <c r="H1453" s="3"/>
      <c r="I1453" s="3"/>
      <c r="J1453" s="3"/>
    </row>
    <row r="1454" spans="8:10" x14ac:dyDescent="0.3">
      <c r="H1454" s="3"/>
      <c r="I1454" s="3"/>
      <c r="J1454" s="3"/>
    </row>
    <row r="1455" spans="8:10" x14ac:dyDescent="0.3">
      <c r="H1455" s="3"/>
      <c r="I1455" s="3"/>
      <c r="J1455" s="3"/>
    </row>
    <row r="1456" spans="8:10" x14ac:dyDescent="0.3">
      <c r="H1456" s="3"/>
      <c r="I1456" s="3"/>
      <c r="J1456" s="3"/>
    </row>
    <row r="1457" spans="8:10" x14ac:dyDescent="0.3">
      <c r="H1457" s="3"/>
      <c r="I1457" s="3"/>
      <c r="J1457" s="3"/>
    </row>
    <row r="1458" spans="8:10" x14ac:dyDescent="0.3">
      <c r="H1458" s="3"/>
      <c r="I1458" s="3"/>
      <c r="J1458" s="3"/>
    </row>
    <row r="1459" spans="8:10" x14ac:dyDescent="0.3">
      <c r="H1459" s="3"/>
      <c r="I1459" s="3"/>
      <c r="J1459" s="3"/>
    </row>
    <row r="1460" spans="8:10" x14ac:dyDescent="0.3">
      <c r="H1460" s="3"/>
      <c r="I1460" s="3"/>
      <c r="J1460" s="3"/>
    </row>
    <row r="1461" spans="8:10" x14ac:dyDescent="0.3">
      <c r="H1461" s="3"/>
      <c r="I1461" s="3"/>
      <c r="J1461" s="3"/>
    </row>
    <row r="1462" spans="8:10" x14ac:dyDescent="0.3">
      <c r="H1462" s="3"/>
      <c r="I1462" s="3"/>
      <c r="J1462" s="3"/>
    </row>
    <row r="1463" spans="8:10" x14ac:dyDescent="0.3">
      <c r="H1463" s="3"/>
      <c r="I1463" s="3"/>
      <c r="J1463" s="3"/>
    </row>
    <row r="1464" spans="8:10" x14ac:dyDescent="0.3">
      <c r="H1464" s="3"/>
      <c r="I1464" s="3"/>
      <c r="J1464" s="3"/>
    </row>
    <row r="1465" spans="8:10" x14ac:dyDescent="0.3">
      <c r="H1465" s="3"/>
      <c r="I1465" s="3"/>
      <c r="J1465" s="3"/>
    </row>
    <row r="1466" spans="8:10" x14ac:dyDescent="0.3">
      <c r="H1466" s="3"/>
      <c r="I1466" s="3"/>
      <c r="J1466" s="3"/>
    </row>
    <row r="1467" spans="8:10" x14ac:dyDescent="0.3">
      <c r="H1467" s="3"/>
      <c r="I1467" s="3"/>
      <c r="J1467" s="3"/>
    </row>
    <row r="1468" spans="8:10" x14ac:dyDescent="0.3">
      <c r="H1468" s="3"/>
      <c r="I1468" s="3"/>
      <c r="J1468" s="3"/>
    </row>
    <row r="1469" spans="8:10" x14ac:dyDescent="0.3">
      <c r="H1469" s="3"/>
      <c r="I1469" s="3"/>
      <c r="J1469" s="3"/>
    </row>
    <row r="1470" spans="8:10" x14ac:dyDescent="0.3">
      <c r="H1470" s="3"/>
      <c r="I1470" s="3"/>
      <c r="J1470" s="3"/>
    </row>
    <row r="1471" spans="8:10" x14ac:dyDescent="0.3">
      <c r="H1471" s="3"/>
      <c r="I1471" s="3"/>
      <c r="J1471" s="3"/>
    </row>
    <row r="1472" spans="8:10" x14ac:dyDescent="0.3">
      <c r="H1472" s="3"/>
      <c r="I1472" s="3"/>
      <c r="J1472" s="3"/>
    </row>
    <row r="1473" spans="8:10" x14ac:dyDescent="0.3">
      <c r="H1473" s="3"/>
      <c r="I1473" s="3"/>
      <c r="J1473" s="3"/>
    </row>
    <row r="1474" spans="8:10" x14ac:dyDescent="0.3">
      <c r="H1474" s="3"/>
      <c r="I1474" s="3"/>
      <c r="J1474" s="3"/>
    </row>
    <row r="1475" spans="8:10" x14ac:dyDescent="0.3">
      <c r="H1475" s="3"/>
      <c r="I1475" s="3"/>
      <c r="J1475" s="3"/>
    </row>
    <row r="1476" spans="8:10" x14ac:dyDescent="0.3">
      <c r="H1476" s="3"/>
      <c r="I1476" s="3"/>
      <c r="J1476" s="3"/>
    </row>
    <row r="1477" spans="8:10" x14ac:dyDescent="0.3">
      <c r="H1477" s="3"/>
      <c r="I1477" s="3"/>
      <c r="J1477" s="3"/>
    </row>
    <row r="1478" spans="8:10" x14ac:dyDescent="0.3">
      <c r="H1478" s="3"/>
      <c r="I1478" s="3"/>
      <c r="J1478" s="3"/>
    </row>
    <row r="1479" spans="8:10" x14ac:dyDescent="0.3">
      <c r="H1479" s="3"/>
      <c r="I1479" s="3"/>
      <c r="J1479" s="3"/>
    </row>
    <row r="1480" spans="8:10" x14ac:dyDescent="0.3">
      <c r="H1480" s="3"/>
      <c r="I1480" s="3"/>
      <c r="J1480" s="3"/>
    </row>
    <row r="1481" spans="8:10" x14ac:dyDescent="0.3">
      <c r="H1481" s="3"/>
      <c r="I1481" s="3"/>
      <c r="J1481" s="3"/>
    </row>
    <row r="1482" spans="8:10" x14ac:dyDescent="0.3">
      <c r="H1482" s="3"/>
      <c r="I1482" s="3"/>
      <c r="J1482" s="3"/>
    </row>
    <row r="1483" spans="8:10" x14ac:dyDescent="0.3">
      <c r="H1483" s="3"/>
      <c r="I1483" s="3"/>
      <c r="J1483" s="3"/>
    </row>
    <row r="1484" spans="8:10" x14ac:dyDescent="0.3">
      <c r="H1484" s="3"/>
      <c r="I1484" s="3"/>
      <c r="J1484" s="3"/>
    </row>
    <row r="1485" spans="8:10" x14ac:dyDescent="0.3">
      <c r="H1485" s="3"/>
      <c r="I1485" s="3"/>
      <c r="J1485" s="3"/>
    </row>
    <row r="1486" spans="8:10" x14ac:dyDescent="0.3">
      <c r="H1486" s="3"/>
      <c r="I1486" s="3"/>
      <c r="J1486" s="3"/>
    </row>
    <row r="1487" spans="8:10" x14ac:dyDescent="0.3">
      <c r="H1487" s="3"/>
      <c r="I1487" s="3"/>
      <c r="J1487" s="3"/>
    </row>
    <row r="1488" spans="8:10" x14ac:dyDescent="0.3">
      <c r="H1488" s="3"/>
      <c r="I1488" s="3"/>
      <c r="J1488" s="3"/>
    </row>
    <row r="1489" spans="8:10" x14ac:dyDescent="0.3">
      <c r="H1489" s="3"/>
      <c r="I1489" s="3"/>
      <c r="J1489" s="3"/>
    </row>
    <row r="1490" spans="8:10" x14ac:dyDescent="0.3">
      <c r="H1490" s="3"/>
      <c r="I1490" s="3"/>
      <c r="J1490" s="3"/>
    </row>
    <row r="1491" spans="8:10" x14ac:dyDescent="0.3">
      <c r="H1491" s="3"/>
      <c r="I1491" s="3"/>
      <c r="J1491" s="3"/>
    </row>
    <row r="1492" spans="8:10" x14ac:dyDescent="0.3">
      <c r="H1492" s="3"/>
      <c r="I1492" s="3"/>
      <c r="J1492" s="3"/>
    </row>
    <row r="1493" spans="8:10" x14ac:dyDescent="0.3">
      <c r="H1493" s="3"/>
      <c r="I1493" s="3"/>
      <c r="J1493" s="3"/>
    </row>
    <row r="1494" spans="8:10" x14ac:dyDescent="0.3">
      <c r="H1494" s="3"/>
      <c r="I1494" s="3"/>
      <c r="J1494" s="3"/>
    </row>
    <row r="1495" spans="8:10" x14ac:dyDescent="0.3">
      <c r="H1495" s="3"/>
      <c r="I1495" s="3"/>
      <c r="J1495" s="3"/>
    </row>
    <row r="1496" spans="8:10" x14ac:dyDescent="0.3">
      <c r="H1496" s="3"/>
      <c r="I1496" s="3"/>
      <c r="J1496" s="3"/>
    </row>
    <row r="1497" spans="8:10" x14ac:dyDescent="0.3">
      <c r="H1497" s="3"/>
      <c r="I1497" s="3"/>
      <c r="J1497" s="3"/>
    </row>
    <row r="1498" spans="8:10" x14ac:dyDescent="0.3">
      <c r="H1498" s="3"/>
      <c r="I1498" s="3"/>
      <c r="J1498" s="3"/>
    </row>
    <row r="1499" spans="8:10" x14ac:dyDescent="0.3">
      <c r="H1499" s="3"/>
      <c r="I1499" s="3"/>
      <c r="J1499" s="3"/>
    </row>
    <row r="1500" spans="8:10" x14ac:dyDescent="0.3">
      <c r="H1500" s="3"/>
      <c r="I1500" s="3"/>
      <c r="J1500" s="3"/>
    </row>
    <row r="1501" spans="8:10" x14ac:dyDescent="0.3">
      <c r="H1501" s="3"/>
      <c r="I1501" s="3"/>
      <c r="J1501" s="3"/>
    </row>
    <row r="1502" spans="8:10" x14ac:dyDescent="0.3">
      <c r="H1502" s="3"/>
      <c r="I1502" s="3"/>
      <c r="J1502" s="3"/>
    </row>
    <row r="1503" spans="8:10" x14ac:dyDescent="0.3">
      <c r="H1503" s="3"/>
      <c r="I1503" s="3"/>
      <c r="J1503" s="3"/>
    </row>
    <row r="1504" spans="8:10" x14ac:dyDescent="0.3">
      <c r="H1504" s="3"/>
      <c r="I1504" s="3"/>
      <c r="J1504" s="3"/>
    </row>
    <row r="1505" spans="8:10" x14ac:dyDescent="0.3">
      <c r="H1505" s="3"/>
      <c r="I1505" s="3"/>
      <c r="J1505" s="3"/>
    </row>
    <row r="1506" spans="8:10" x14ac:dyDescent="0.3">
      <c r="H1506" s="3"/>
      <c r="I1506" s="3"/>
      <c r="J1506" s="3"/>
    </row>
    <row r="1507" spans="8:10" x14ac:dyDescent="0.3">
      <c r="H1507" s="3"/>
      <c r="I1507" s="3"/>
      <c r="J1507" s="3"/>
    </row>
    <row r="1508" spans="8:10" x14ac:dyDescent="0.3">
      <c r="H1508" s="3"/>
      <c r="I1508" s="3"/>
      <c r="J1508" s="3"/>
    </row>
    <row r="1509" spans="8:10" x14ac:dyDescent="0.3">
      <c r="H1509" s="3"/>
      <c r="I1509" s="3"/>
      <c r="J1509" s="3"/>
    </row>
    <row r="1510" spans="8:10" x14ac:dyDescent="0.3">
      <c r="H1510" s="3"/>
      <c r="I1510" s="3"/>
      <c r="J1510" s="3"/>
    </row>
    <row r="1511" spans="8:10" x14ac:dyDescent="0.3">
      <c r="H1511" s="3"/>
      <c r="I1511" s="3"/>
      <c r="J1511" s="3"/>
    </row>
    <row r="1512" spans="8:10" x14ac:dyDescent="0.3">
      <c r="H1512" s="3"/>
      <c r="I1512" s="3"/>
      <c r="J1512" s="3"/>
    </row>
    <row r="1513" spans="8:10" x14ac:dyDescent="0.3">
      <c r="H1513" s="3"/>
      <c r="I1513" s="3"/>
      <c r="J1513" s="3"/>
    </row>
    <row r="1514" spans="8:10" x14ac:dyDescent="0.3">
      <c r="H1514" s="3"/>
      <c r="I1514" s="3"/>
      <c r="J1514" s="3"/>
    </row>
    <row r="1515" spans="8:10" x14ac:dyDescent="0.3">
      <c r="H1515" s="3"/>
      <c r="I1515" s="3"/>
      <c r="J1515" s="3"/>
    </row>
    <row r="1516" spans="8:10" x14ac:dyDescent="0.3">
      <c r="H1516" s="3"/>
      <c r="I1516" s="3"/>
      <c r="J1516" s="3"/>
    </row>
    <row r="1517" spans="8:10" x14ac:dyDescent="0.3">
      <c r="H1517" s="3"/>
      <c r="I1517" s="3"/>
      <c r="J1517" s="3"/>
    </row>
    <row r="1518" spans="8:10" x14ac:dyDescent="0.3">
      <c r="H1518" s="3"/>
      <c r="I1518" s="3"/>
      <c r="J1518" s="3"/>
    </row>
    <row r="1519" spans="8:10" x14ac:dyDescent="0.3">
      <c r="H1519" s="3"/>
      <c r="I1519" s="3"/>
      <c r="J1519" s="3"/>
    </row>
    <row r="1520" spans="8:10" x14ac:dyDescent="0.3">
      <c r="H1520" s="3"/>
      <c r="I1520" s="3"/>
      <c r="J1520" s="3"/>
    </row>
    <row r="1521" spans="8:10" x14ac:dyDescent="0.3">
      <c r="H1521" s="3"/>
      <c r="I1521" s="3"/>
      <c r="J1521" s="3"/>
    </row>
    <row r="1522" spans="8:10" x14ac:dyDescent="0.3">
      <c r="H1522" s="3"/>
      <c r="I1522" s="3"/>
      <c r="J1522" s="3"/>
    </row>
    <row r="1523" spans="8:10" x14ac:dyDescent="0.3">
      <c r="H1523" s="3"/>
      <c r="I1523" s="3"/>
      <c r="J1523" s="3"/>
    </row>
    <row r="1524" spans="8:10" x14ac:dyDescent="0.3">
      <c r="H1524" s="3"/>
      <c r="I1524" s="3"/>
      <c r="J1524" s="3"/>
    </row>
    <row r="1525" spans="8:10" x14ac:dyDescent="0.3">
      <c r="H1525" s="3"/>
      <c r="I1525" s="3"/>
      <c r="J1525" s="3"/>
    </row>
    <row r="1526" spans="8:10" x14ac:dyDescent="0.3">
      <c r="H1526" s="3"/>
      <c r="I1526" s="3"/>
      <c r="J1526" s="3"/>
    </row>
    <row r="1527" spans="8:10" x14ac:dyDescent="0.3">
      <c r="H1527" s="3"/>
      <c r="I1527" s="3"/>
      <c r="J1527" s="3"/>
    </row>
    <row r="1528" spans="8:10" x14ac:dyDescent="0.3">
      <c r="H1528" s="3"/>
      <c r="I1528" s="3"/>
      <c r="J1528" s="3"/>
    </row>
    <row r="1529" spans="8:10" x14ac:dyDescent="0.3">
      <c r="H1529" s="3"/>
      <c r="I1529" s="3"/>
      <c r="J1529" s="3"/>
    </row>
    <row r="1530" spans="8:10" x14ac:dyDescent="0.3">
      <c r="H1530" s="3"/>
      <c r="I1530" s="3"/>
      <c r="J1530" s="3"/>
    </row>
    <row r="1531" spans="8:10" x14ac:dyDescent="0.3">
      <c r="H1531" s="3"/>
      <c r="I1531" s="3"/>
      <c r="J1531" s="3"/>
    </row>
    <row r="1532" spans="8:10" x14ac:dyDescent="0.3">
      <c r="H1532" s="3"/>
      <c r="I1532" s="3"/>
      <c r="J1532" s="3"/>
    </row>
    <row r="1533" spans="8:10" x14ac:dyDescent="0.3">
      <c r="H1533" s="3"/>
      <c r="I1533" s="3"/>
      <c r="J1533" s="3"/>
    </row>
    <row r="1534" spans="8:10" x14ac:dyDescent="0.3">
      <c r="H1534" s="3"/>
      <c r="I1534" s="3"/>
      <c r="J1534" s="3"/>
    </row>
    <row r="1535" spans="8:10" x14ac:dyDescent="0.3">
      <c r="H1535" s="3"/>
      <c r="I1535" s="3"/>
      <c r="J1535" s="3"/>
    </row>
    <row r="1536" spans="8:10" x14ac:dyDescent="0.3">
      <c r="H1536" s="3"/>
      <c r="I1536" s="3"/>
      <c r="J1536" s="3"/>
    </row>
    <row r="1537" spans="8:10" x14ac:dyDescent="0.3">
      <c r="H1537" s="3"/>
      <c r="I1537" s="3"/>
      <c r="J1537" s="3"/>
    </row>
    <row r="1538" spans="8:10" x14ac:dyDescent="0.3">
      <c r="H1538" s="3"/>
      <c r="I1538" s="3"/>
      <c r="J1538" s="3"/>
    </row>
    <row r="1539" spans="8:10" x14ac:dyDescent="0.3">
      <c r="H1539" s="3"/>
      <c r="I1539" s="3"/>
      <c r="J1539" s="3"/>
    </row>
    <row r="1540" spans="8:10" x14ac:dyDescent="0.3">
      <c r="H1540" s="3"/>
      <c r="I1540" s="3"/>
      <c r="J1540" s="3"/>
    </row>
    <row r="1541" spans="8:10" x14ac:dyDescent="0.3">
      <c r="H1541" s="3"/>
      <c r="I1541" s="3"/>
      <c r="J1541" s="3"/>
    </row>
    <row r="1542" spans="8:10" x14ac:dyDescent="0.3">
      <c r="H1542" s="3"/>
      <c r="I1542" s="3"/>
      <c r="J1542" s="3"/>
    </row>
    <row r="1543" spans="8:10" x14ac:dyDescent="0.3">
      <c r="H1543" s="3"/>
      <c r="I1543" s="3"/>
      <c r="J1543" s="3"/>
    </row>
    <row r="1544" spans="8:10" x14ac:dyDescent="0.3">
      <c r="H1544" s="3"/>
      <c r="I1544" s="3"/>
      <c r="J1544" s="3"/>
    </row>
    <row r="1545" spans="8:10" x14ac:dyDescent="0.3">
      <c r="H1545" s="3"/>
      <c r="I1545" s="3"/>
      <c r="J1545" s="3"/>
    </row>
    <row r="1546" spans="8:10" x14ac:dyDescent="0.3">
      <c r="H1546" s="3"/>
      <c r="I1546" s="3"/>
      <c r="J1546" s="3"/>
    </row>
    <row r="1547" spans="8:10" x14ac:dyDescent="0.3">
      <c r="H1547" s="3"/>
      <c r="I1547" s="3"/>
      <c r="J1547" s="3"/>
    </row>
    <row r="1548" spans="8:10" x14ac:dyDescent="0.3">
      <c r="H1548" s="3"/>
      <c r="I1548" s="3"/>
      <c r="J1548" s="3"/>
    </row>
    <row r="1549" spans="8:10" x14ac:dyDescent="0.3">
      <c r="H1549" s="3"/>
      <c r="I1549" s="3"/>
      <c r="J1549" s="3"/>
    </row>
    <row r="1550" spans="8:10" x14ac:dyDescent="0.3">
      <c r="H1550" s="3"/>
      <c r="I1550" s="3"/>
      <c r="J1550" s="3"/>
    </row>
    <row r="1551" spans="8:10" x14ac:dyDescent="0.3">
      <c r="H1551" s="3"/>
      <c r="I1551" s="3"/>
      <c r="J1551" s="3"/>
    </row>
    <row r="1552" spans="8:10" x14ac:dyDescent="0.3">
      <c r="H1552" s="3"/>
      <c r="I1552" s="3"/>
      <c r="J1552" s="3"/>
    </row>
    <row r="1553" spans="8:10" x14ac:dyDescent="0.3">
      <c r="H1553" s="3"/>
      <c r="I1553" s="3"/>
      <c r="J1553" s="3"/>
    </row>
    <row r="1554" spans="8:10" x14ac:dyDescent="0.3">
      <c r="H1554" s="3"/>
      <c r="I1554" s="3"/>
      <c r="J1554" s="3"/>
    </row>
    <row r="1555" spans="8:10" x14ac:dyDescent="0.3">
      <c r="H1555" s="3"/>
      <c r="I1555" s="3"/>
      <c r="J1555" s="3"/>
    </row>
    <row r="1556" spans="8:10" x14ac:dyDescent="0.3">
      <c r="H1556" s="3"/>
      <c r="I1556" s="3"/>
      <c r="J1556" s="3"/>
    </row>
    <row r="1557" spans="8:10" x14ac:dyDescent="0.3">
      <c r="H1557" s="3"/>
      <c r="I1557" s="3"/>
      <c r="J1557" s="3"/>
    </row>
    <row r="1558" spans="8:10" x14ac:dyDescent="0.3">
      <c r="H1558" s="3"/>
      <c r="I1558" s="3"/>
      <c r="J1558" s="3"/>
    </row>
    <row r="1559" spans="8:10" x14ac:dyDescent="0.3">
      <c r="H1559" s="3"/>
      <c r="I1559" s="3"/>
      <c r="J1559" s="3"/>
    </row>
    <row r="1560" spans="8:10" x14ac:dyDescent="0.3">
      <c r="H1560" s="3"/>
      <c r="I1560" s="3"/>
      <c r="J1560" s="3"/>
    </row>
    <row r="1561" spans="8:10" x14ac:dyDescent="0.3">
      <c r="H1561" s="3"/>
      <c r="I1561" s="3"/>
      <c r="J1561" s="3"/>
    </row>
    <row r="1562" spans="8:10" x14ac:dyDescent="0.3">
      <c r="H1562" s="3"/>
      <c r="I1562" s="3"/>
      <c r="J1562" s="3"/>
    </row>
    <row r="1563" spans="8:10" x14ac:dyDescent="0.3">
      <c r="H1563" s="3"/>
      <c r="I1563" s="3"/>
      <c r="J1563" s="3"/>
    </row>
    <row r="1564" spans="8:10" x14ac:dyDescent="0.3">
      <c r="H1564" s="3"/>
      <c r="I1564" s="3"/>
      <c r="J1564" s="3"/>
    </row>
    <row r="1565" spans="8:10" x14ac:dyDescent="0.3">
      <c r="H1565" s="3"/>
      <c r="I1565" s="3"/>
      <c r="J1565" s="3"/>
    </row>
    <row r="1566" spans="8:10" x14ac:dyDescent="0.3">
      <c r="H1566" s="3"/>
      <c r="I1566" s="3"/>
      <c r="J1566" s="3"/>
    </row>
    <row r="1567" spans="8:10" x14ac:dyDescent="0.3">
      <c r="H1567" s="3"/>
      <c r="I1567" s="3"/>
      <c r="J1567" s="3"/>
    </row>
    <row r="1568" spans="8:10" x14ac:dyDescent="0.3">
      <c r="H1568" s="3"/>
      <c r="I1568" s="3"/>
      <c r="J1568" s="3"/>
    </row>
    <row r="1569" spans="8:10" x14ac:dyDescent="0.3">
      <c r="H1569" s="3"/>
      <c r="I1569" s="3"/>
      <c r="J1569" s="3"/>
    </row>
    <row r="1570" spans="8:10" x14ac:dyDescent="0.3">
      <c r="H1570" s="3"/>
      <c r="I1570" s="3"/>
      <c r="J1570" s="3"/>
    </row>
    <row r="1571" spans="8:10" x14ac:dyDescent="0.3">
      <c r="H1571" s="3"/>
      <c r="I1571" s="3"/>
      <c r="J1571" s="3"/>
    </row>
    <row r="1572" spans="8:10" x14ac:dyDescent="0.3">
      <c r="H1572" s="3"/>
      <c r="I1572" s="3"/>
      <c r="J1572" s="3"/>
    </row>
    <row r="1573" spans="8:10" x14ac:dyDescent="0.3">
      <c r="H1573" s="3"/>
      <c r="I1573" s="3"/>
      <c r="J1573" s="3"/>
    </row>
    <row r="1574" spans="8:10" x14ac:dyDescent="0.3">
      <c r="H1574" s="3"/>
      <c r="I1574" s="3"/>
      <c r="J1574" s="3"/>
    </row>
    <row r="1575" spans="8:10" x14ac:dyDescent="0.3">
      <c r="H1575" s="3"/>
      <c r="I1575" s="3"/>
      <c r="J1575" s="3"/>
    </row>
    <row r="1576" spans="8:10" x14ac:dyDescent="0.3">
      <c r="H1576" s="3"/>
      <c r="I1576" s="3"/>
      <c r="J1576" s="3"/>
    </row>
    <row r="1577" spans="8:10" x14ac:dyDescent="0.3">
      <c r="H1577" s="3"/>
      <c r="I1577" s="3"/>
      <c r="J1577" s="3"/>
    </row>
    <row r="1578" spans="8:10" x14ac:dyDescent="0.3">
      <c r="H1578" s="3"/>
      <c r="I1578" s="3"/>
      <c r="J1578" s="3"/>
    </row>
    <row r="1579" spans="8:10" x14ac:dyDescent="0.3">
      <c r="H1579" s="3"/>
      <c r="I1579" s="3"/>
      <c r="J1579" s="3"/>
    </row>
    <row r="1580" spans="8:10" x14ac:dyDescent="0.3">
      <c r="H1580" s="3"/>
      <c r="I1580" s="3"/>
      <c r="J1580" s="3"/>
    </row>
    <row r="1581" spans="8:10" x14ac:dyDescent="0.3">
      <c r="H1581" s="3"/>
      <c r="I1581" s="3"/>
      <c r="J1581" s="3"/>
    </row>
    <row r="1582" spans="8:10" x14ac:dyDescent="0.3">
      <c r="H1582" s="3"/>
      <c r="I1582" s="3"/>
      <c r="J1582" s="3"/>
    </row>
    <row r="1583" spans="8:10" x14ac:dyDescent="0.3">
      <c r="H1583" s="3"/>
      <c r="I1583" s="3"/>
      <c r="J1583" s="3"/>
    </row>
    <row r="1584" spans="8:10" x14ac:dyDescent="0.3">
      <c r="H1584" s="3"/>
      <c r="I1584" s="3"/>
      <c r="J1584" s="3"/>
    </row>
    <row r="1585" spans="8:10" x14ac:dyDescent="0.3">
      <c r="H1585" s="3"/>
      <c r="I1585" s="3"/>
      <c r="J1585" s="3"/>
    </row>
    <row r="1586" spans="8:10" x14ac:dyDescent="0.3">
      <c r="H1586" s="3"/>
      <c r="I1586" s="3"/>
      <c r="J1586" s="3"/>
    </row>
    <row r="1587" spans="8:10" x14ac:dyDescent="0.3">
      <c r="H1587" s="3"/>
      <c r="I1587" s="3"/>
      <c r="J1587" s="3"/>
    </row>
    <row r="1588" spans="8:10" x14ac:dyDescent="0.3">
      <c r="H1588" s="3"/>
      <c r="I1588" s="3"/>
      <c r="J1588" s="3"/>
    </row>
    <row r="1589" spans="8:10" x14ac:dyDescent="0.3">
      <c r="H1589" s="3"/>
      <c r="I1589" s="3"/>
      <c r="J1589" s="3"/>
    </row>
    <row r="1590" spans="8:10" x14ac:dyDescent="0.3">
      <c r="H1590" s="3"/>
      <c r="I1590" s="3"/>
      <c r="J1590" s="3"/>
    </row>
    <row r="1591" spans="8:10" x14ac:dyDescent="0.3">
      <c r="H1591" s="3"/>
      <c r="I1591" s="3"/>
      <c r="J1591" s="3"/>
    </row>
    <row r="1592" spans="8:10" x14ac:dyDescent="0.3">
      <c r="H1592" s="3"/>
      <c r="I1592" s="3"/>
      <c r="J1592" s="3"/>
    </row>
    <row r="1593" spans="8:10" x14ac:dyDescent="0.3">
      <c r="H1593" s="3"/>
      <c r="I1593" s="3"/>
      <c r="J1593" s="3"/>
    </row>
    <row r="1594" spans="8:10" x14ac:dyDescent="0.3">
      <c r="H1594" s="3"/>
      <c r="I1594" s="3"/>
      <c r="J1594" s="3"/>
    </row>
    <row r="1595" spans="8:10" x14ac:dyDescent="0.3">
      <c r="H1595" s="3"/>
      <c r="I1595" s="3"/>
      <c r="J1595" s="3"/>
    </row>
    <row r="1596" spans="8:10" x14ac:dyDescent="0.3">
      <c r="H1596" s="3"/>
      <c r="I1596" s="3"/>
      <c r="J1596" s="3"/>
    </row>
    <row r="1597" spans="8:10" x14ac:dyDescent="0.3">
      <c r="H1597" s="3"/>
      <c r="I1597" s="3"/>
      <c r="J1597" s="3"/>
    </row>
    <row r="1598" spans="8:10" x14ac:dyDescent="0.3">
      <c r="H1598" s="3"/>
      <c r="I1598" s="3"/>
      <c r="J1598" s="3"/>
    </row>
    <row r="1599" spans="8:10" x14ac:dyDescent="0.3">
      <c r="H1599" s="3"/>
      <c r="I1599" s="3"/>
      <c r="J1599" s="3"/>
    </row>
    <row r="1600" spans="8:10" x14ac:dyDescent="0.3">
      <c r="H1600" s="3"/>
      <c r="I1600" s="3"/>
      <c r="J1600" s="3"/>
    </row>
    <row r="1601" spans="8:10" x14ac:dyDescent="0.3">
      <c r="H1601" s="3"/>
      <c r="I1601" s="3"/>
      <c r="J1601" s="3"/>
    </row>
    <row r="1602" spans="8:10" x14ac:dyDescent="0.3">
      <c r="H1602" s="3"/>
      <c r="I1602" s="3"/>
      <c r="J1602" s="3"/>
    </row>
    <row r="1603" spans="8:10" x14ac:dyDescent="0.3">
      <c r="H1603" s="3"/>
      <c r="I1603" s="3"/>
      <c r="J1603" s="3"/>
    </row>
    <row r="1604" spans="8:10" x14ac:dyDescent="0.3">
      <c r="H1604" s="3"/>
      <c r="I1604" s="3"/>
      <c r="J1604" s="3"/>
    </row>
    <row r="1605" spans="8:10" x14ac:dyDescent="0.3">
      <c r="H1605" s="3"/>
      <c r="I1605" s="3"/>
      <c r="J1605" s="3"/>
    </row>
    <row r="1606" spans="8:10" x14ac:dyDescent="0.3">
      <c r="H1606" s="3"/>
      <c r="I1606" s="3"/>
      <c r="J1606" s="3"/>
    </row>
    <row r="1607" spans="8:10" x14ac:dyDescent="0.3">
      <c r="H1607" s="3"/>
      <c r="I1607" s="3"/>
      <c r="J1607" s="3"/>
    </row>
    <row r="1608" spans="8:10" x14ac:dyDescent="0.3">
      <c r="H1608" s="3"/>
      <c r="I1608" s="3"/>
      <c r="J1608" s="3"/>
    </row>
    <row r="1609" spans="8:10" x14ac:dyDescent="0.3">
      <c r="H1609" s="3"/>
      <c r="I1609" s="3"/>
      <c r="J1609" s="3"/>
    </row>
    <row r="1610" spans="8:10" x14ac:dyDescent="0.3">
      <c r="H1610" s="3"/>
      <c r="I1610" s="3"/>
      <c r="J1610" s="3"/>
    </row>
    <row r="1611" spans="8:10" x14ac:dyDescent="0.3">
      <c r="H1611" s="3"/>
      <c r="I1611" s="3"/>
      <c r="J1611" s="3"/>
    </row>
    <row r="1612" spans="8:10" x14ac:dyDescent="0.3">
      <c r="H1612" s="3"/>
      <c r="I1612" s="3"/>
      <c r="J1612" s="3"/>
    </row>
    <row r="1613" spans="8:10" x14ac:dyDescent="0.3">
      <c r="H1613" s="3"/>
      <c r="I1613" s="3"/>
      <c r="J1613" s="3"/>
    </row>
    <row r="1614" spans="8:10" x14ac:dyDescent="0.3">
      <c r="H1614" s="3"/>
      <c r="I1614" s="3"/>
      <c r="J1614" s="3"/>
    </row>
    <row r="1615" spans="8:10" x14ac:dyDescent="0.3">
      <c r="H1615" s="3"/>
      <c r="I1615" s="3"/>
      <c r="J1615" s="3"/>
    </row>
    <row r="1616" spans="8:10" x14ac:dyDescent="0.3">
      <c r="H1616" s="3"/>
      <c r="I1616" s="3"/>
      <c r="J1616" s="3"/>
    </row>
    <row r="1617" spans="8:10" x14ac:dyDescent="0.3">
      <c r="H1617" s="3"/>
      <c r="I1617" s="3"/>
      <c r="J1617" s="3"/>
    </row>
    <row r="1618" spans="8:10" x14ac:dyDescent="0.3">
      <c r="H1618" s="3"/>
      <c r="I1618" s="3"/>
      <c r="J1618" s="3"/>
    </row>
    <row r="1619" spans="8:10" x14ac:dyDescent="0.3">
      <c r="H1619" s="3"/>
      <c r="I1619" s="3"/>
      <c r="J1619" s="3"/>
    </row>
    <row r="1620" spans="8:10" x14ac:dyDescent="0.3">
      <c r="H1620" s="3"/>
      <c r="I1620" s="3"/>
      <c r="J1620" s="3"/>
    </row>
    <row r="1621" spans="8:10" x14ac:dyDescent="0.3">
      <c r="H1621" s="3"/>
      <c r="I1621" s="3"/>
      <c r="J1621" s="3"/>
    </row>
    <row r="1622" spans="8:10" x14ac:dyDescent="0.3">
      <c r="H1622" s="3"/>
      <c r="I1622" s="3"/>
      <c r="J1622" s="3"/>
    </row>
    <row r="1623" spans="8:10" x14ac:dyDescent="0.3">
      <c r="H1623" s="3"/>
      <c r="I1623" s="3"/>
      <c r="J1623" s="3"/>
    </row>
    <row r="1624" spans="8:10" x14ac:dyDescent="0.3">
      <c r="H1624" s="3"/>
      <c r="I1624" s="3"/>
      <c r="J1624" s="3"/>
    </row>
    <row r="1625" spans="8:10" x14ac:dyDescent="0.3">
      <c r="H1625" s="3"/>
      <c r="I1625" s="3"/>
      <c r="J1625" s="3"/>
    </row>
    <row r="1626" spans="8:10" x14ac:dyDescent="0.3">
      <c r="H1626" s="3"/>
      <c r="I1626" s="3"/>
      <c r="J1626" s="3"/>
    </row>
    <row r="1627" spans="8:10" x14ac:dyDescent="0.3">
      <c r="H1627" s="3"/>
      <c r="I1627" s="3"/>
      <c r="J1627" s="3"/>
    </row>
    <row r="1628" spans="8:10" x14ac:dyDescent="0.3">
      <c r="H1628" s="3"/>
      <c r="I1628" s="3"/>
      <c r="J1628" s="3"/>
    </row>
    <row r="1629" spans="8:10" x14ac:dyDescent="0.3">
      <c r="H1629" s="3"/>
      <c r="I1629" s="3"/>
      <c r="J1629" s="3"/>
    </row>
    <row r="1630" spans="8:10" x14ac:dyDescent="0.3">
      <c r="H1630" s="3"/>
      <c r="I1630" s="3"/>
      <c r="J1630" s="3"/>
    </row>
    <row r="1631" spans="8:10" x14ac:dyDescent="0.3">
      <c r="H1631" s="3"/>
      <c r="I1631" s="3"/>
      <c r="J1631" s="3"/>
    </row>
    <row r="1632" spans="8:10" x14ac:dyDescent="0.3">
      <c r="H1632" s="3"/>
      <c r="I1632" s="3"/>
      <c r="J1632" s="3"/>
    </row>
    <row r="1633" spans="8:10" x14ac:dyDescent="0.3">
      <c r="H1633" s="3"/>
      <c r="I1633" s="3"/>
      <c r="J1633" s="3"/>
    </row>
    <row r="1634" spans="8:10" x14ac:dyDescent="0.3">
      <c r="H1634" s="3"/>
      <c r="I1634" s="3"/>
      <c r="J1634" s="3"/>
    </row>
    <row r="1635" spans="8:10" x14ac:dyDescent="0.3">
      <c r="H1635" s="3"/>
      <c r="I1635" s="3"/>
      <c r="J1635" s="3"/>
    </row>
    <row r="1636" spans="8:10" x14ac:dyDescent="0.3">
      <c r="H1636" s="3"/>
      <c r="I1636" s="3"/>
      <c r="J1636" s="3"/>
    </row>
    <row r="1637" spans="8:10" x14ac:dyDescent="0.3">
      <c r="H1637" s="3"/>
      <c r="I1637" s="3"/>
      <c r="J1637" s="3"/>
    </row>
    <row r="1638" spans="8:10" x14ac:dyDescent="0.3">
      <c r="H1638" s="3"/>
      <c r="I1638" s="3"/>
      <c r="J1638" s="3"/>
    </row>
    <row r="1639" spans="8:10" x14ac:dyDescent="0.3">
      <c r="H1639" s="3"/>
      <c r="I1639" s="3"/>
      <c r="J1639" s="3"/>
    </row>
    <row r="1640" spans="8:10" x14ac:dyDescent="0.3">
      <c r="H1640" s="3"/>
      <c r="I1640" s="3"/>
      <c r="J1640" s="3"/>
    </row>
    <row r="1641" spans="8:10" x14ac:dyDescent="0.3">
      <c r="H1641" s="3"/>
      <c r="I1641" s="3"/>
      <c r="J1641" s="3"/>
    </row>
    <row r="1642" spans="8:10" x14ac:dyDescent="0.3">
      <c r="H1642" s="3"/>
      <c r="I1642" s="3"/>
      <c r="J1642" s="3"/>
    </row>
    <row r="1643" spans="8:10" x14ac:dyDescent="0.3">
      <c r="H1643" s="3"/>
      <c r="I1643" s="3"/>
      <c r="J1643" s="3"/>
    </row>
    <row r="1644" spans="8:10" x14ac:dyDescent="0.3">
      <c r="H1644" s="3"/>
      <c r="I1644" s="3"/>
      <c r="J1644" s="3"/>
    </row>
    <row r="1645" spans="8:10" x14ac:dyDescent="0.3">
      <c r="H1645" s="3"/>
      <c r="I1645" s="3"/>
      <c r="J1645" s="3"/>
    </row>
    <row r="1646" spans="8:10" x14ac:dyDescent="0.3">
      <c r="H1646" s="3"/>
      <c r="I1646" s="3"/>
      <c r="J1646" s="3"/>
    </row>
    <row r="1647" spans="8:10" x14ac:dyDescent="0.3">
      <c r="H1647" s="3"/>
      <c r="I1647" s="3"/>
      <c r="J1647" s="3"/>
    </row>
    <row r="1648" spans="8:10" x14ac:dyDescent="0.3">
      <c r="H1648" s="3"/>
      <c r="I1648" s="3"/>
      <c r="J1648" s="3"/>
    </row>
    <row r="1649" spans="8:10" x14ac:dyDescent="0.3">
      <c r="H1649" s="3"/>
      <c r="I1649" s="3"/>
      <c r="J1649" s="3"/>
    </row>
    <row r="1650" spans="8:10" x14ac:dyDescent="0.3">
      <c r="H1650" s="3"/>
      <c r="I1650" s="3"/>
      <c r="J1650" s="3"/>
    </row>
    <row r="1651" spans="8:10" x14ac:dyDescent="0.3">
      <c r="H1651" s="3"/>
      <c r="I1651" s="3"/>
      <c r="J1651" s="3"/>
    </row>
    <row r="1652" spans="8:10" x14ac:dyDescent="0.3">
      <c r="H1652" s="3"/>
      <c r="I1652" s="3"/>
      <c r="J1652" s="3"/>
    </row>
    <row r="1653" spans="8:10" x14ac:dyDescent="0.3">
      <c r="H1653" s="3"/>
      <c r="I1653" s="3"/>
      <c r="J1653" s="3"/>
    </row>
    <row r="1654" spans="8:10" x14ac:dyDescent="0.3">
      <c r="H1654" s="3"/>
      <c r="I1654" s="3"/>
      <c r="J1654" s="3"/>
    </row>
    <row r="1655" spans="8:10" x14ac:dyDescent="0.3">
      <c r="H1655" s="3"/>
      <c r="I1655" s="3"/>
      <c r="J1655" s="3"/>
    </row>
    <row r="1656" spans="8:10" x14ac:dyDescent="0.3">
      <c r="H1656" s="3"/>
      <c r="I1656" s="3"/>
      <c r="J1656" s="3"/>
    </row>
    <row r="1657" spans="8:10" x14ac:dyDescent="0.3">
      <c r="H1657" s="3"/>
      <c r="I1657" s="3"/>
      <c r="J1657" s="3"/>
    </row>
    <row r="1658" spans="8:10" x14ac:dyDescent="0.3">
      <c r="H1658" s="3"/>
      <c r="I1658" s="3"/>
      <c r="J1658" s="3"/>
    </row>
    <row r="1659" spans="8:10" x14ac:dyDescent="0.3">
      <c r="H1659" s="3"/>
      <c r="I1659" s="3"/>
      <c r="J1659" s="3"/>
    </row>
    <row r="1660" spans="8:10" x14ac:dyDescent="0.3">
      <c r="H1660" s="3"/>
      <c r="I1660" s="3"/>
      <c r="J1660" s="3"/>
    </row>
    <row r="1661" spans="8:10" x14ac:dyDescent="0.3">
      <c r="H1661" s="3"/>
      <c r="I1661" s="3"/>
      <c r="J1661" s="3"/>
    </row>
    <row r="1662" spans="8:10" x14ac:dyDescent="0.3">
      <c r="H1662" s="3"/>
      <c r="I1662" s="3"/>
      <c r="J1662" s="3"/>
    </row>
    <row r="1663" spans="8:10" x14ac:dyDescent="0.3">
      <c r="H1663" s="3"/>
      <c r="I1663" s="3"/>
      <c r="J1663" s="3"/>
    </row>
    <row r="1664" spans="8:10" x14ac:dyDescent="0.3">
      <c r="H1664" s="3"/>
      <c r="I1664" s="3"/>
      <c r="J1664" s="3"/>
    </row>
    <row r="1665" spans="8:10" x14ac:dyDescent="0.3">
      <c r="H1665" s="3"/>
      <c r="I1665" s="3"/>
      <c r="J1665" s="3"/>
    </row>
    <row r="1666" spans="8:10" x14ac:dyDescent="0.3">
      <c r="H1666" s="3"/>
      <c r="I1666" s="3"/>
      <c r="J1666" s="3"/>
    </row>
    <row r="1667" spans="8:10" x14ac:dyDescent="0.3">
      <c r="H1667" s="3"/>
      <c r="I1667" s="3"/>
      <c r="J1667" s="3"/>
    </row>
    <row r="1668" spans="8:10" x14ac:dyDescent="0.3">
      <c r="H1668" s="3"/>
      <c r="I1668" s="3"/>
      <c r="J1668" s="3"/>
    </row>
    <row r="1669" spans="8:10" x14ac:dyDescent="0.3">
      <c r="H1669" s="3"/>
      <c r="I1669" s="3"/>
      <c r="J1669" s="3"/>
    </row>
    <row r="1670" spans="8:10" x14ac:dyDescent="0.3">
      <c r="H1670" s="3"/>
      <c r="I1670" s="3"/>
      <c r="J1670" s="3"/>
    </row>
    <row r="1671" spans="8:10" x14ac:dyDescent="0.3">
      <c r="H1671" s="3"/>
      <c r="I1671" s="3"/>
      <c r="J1671" s="3"/>
    </row>
    <row r="1672" spans="8:10" x14ac:dyDescent="0.3">
      <c r="H1672" s="3"/>
      <c r="I1672" s="3"/>
      <c r="J1672" s="3"/>
    </row>
    <row r="1673" spans="8:10" x14ac:dyDescent="0.3">
      <c r="H1673" s="3"/>
      <c r="I1673" s="3"/>
      <c r="J1673" s="3"/>
    </row>
    <row r="1674" spans="8:10" x14ac:dyDescent="0.3">
      <c r="H1674" s="3"/>
      <c r="I1674" s="3"/>
      <c r="J1674" s="3"/>
    </row>
    <row r="1675" spans="8:10" x14ac:dyDescent="0.3">
      <c r="H1675" s="3"/>
      <c r="I1675" s="3"/>
      <c r="J1675" s="3"/>
    </row>
    <row r="1676" spans="8:10" x14ac:dyDescent="0.3">
      <c r="H1676" s="3"/>
      <c r="I1676" s="3"/>
      <c r="J1676" s="3"/>
    </row>
    <row r="1677" spans="8:10" x14ac:dyDescent="0.3">
      <c r="H1677" s="3"/>
      <c r="I1677" s="3"/>
      <c r="J1677" s="3"/>
    </row>
    <row r="1678" spans="8:10" x14ac:dyDescent="0.3">
      <c r="H1678" s="3"/>
      <c r="I1678" s="3"/>
      <c r="J1678" s="3"/>
    </row>
    <row r="1679" spans="8:10" x14ac:dyDescent="0.3">
      <c r="H1679" s="3"/>
      <c r="I1679" s="3"/>
      <c r="J1679" s="3"/>
    </row>
    <row r="1680" spans="8:10" x14ac:dyDescent="0.3">
      <c r="H1680" s="3"/>
      <c r="I1680" s="3"/>
      <c r="J1680" s="3"/>
    </row>
    <row r="1681" spans="8:10" x14ac:dyDescent="0.3">
      <c r="H1681" s="3"/>
      <c r="I1681" s="3"/>
      <c r="J1681" s="3"/>
    </row>
    <row r="1682" spans="8:10" x14ac:dyDescent="0.3">
      <c r="H1682" s="3"/>
      <c r="I1682" s="3"/>
      <c r="J1682" s="3"/>
    </row>
    <row r="1683" spans="8:10" x14ac:dyDescent="0.3">
      <c r="H1683" s="3"/>
      <c r="I1683" s="3"/>
      <c r="J1683" s="3"/>
    </row>
    <row r="1684" spans="8:10" x14ac:dyDescent="0.3">
      <c r="H1684" s="3"/>
      <c r="I1684" s="3"/>
      <c r="J1684" s="3"/>
    </row>
    <row r="1685" spans="8:10" x14ac:dyDescent="0.3">
      <c r="H1685" s="3"/>
      <c r="I1685" s="3"/>
      <c r="J1685" s="3"/>
    </row>
    <row r="1686" spans="8:10" x14ac:dyDescent="0.3">
      <c r="H1686" s="3"/>
      <c r="I1686" s="3"/>
      <c r="J1686" s="3"/>
    </row>
    <row r="1687" spans="8:10" x14ac:dyDescent="0.3">
      <c r="H1687" s="3"/>
      <c r="I1687" s="3"/>
      <c r="J1687" s="3"/>
    </row>
    <row r="1688" spans="8:10" x14ac:dyDescent="0.3">
      <c r="H1688" s="3"/>
      <c r="I1688" s="3"/>
      <c r="J1688" s="3"/>
    </row>
    <row r="1689" spans="8:10" x14ac:dyDescent="0.3">
      <c r="H1689" s="3"/>
      <c r="I1689" s="3"/>
      <c r="J1689" s="3"/>
    </row>
    <row r="1690" spans="8:10" x14ac:dyDescent="0.3">
      <c r="H1690" s="3"/>
      <c r="I1690" s="3"/>
      <c r="J1690" s="3"/>
    </row>
    <row r="1691" spans="8:10" x14ac:dyDescent="0.3">
      <c r="H1691" s="3"/>
      <c r="I1691" s="3"/>
      <c r="J1691" s="3"/>
    </row>
    <row r="1692" spans="8:10" x14ac:dyDescent="0.3">
      <c r="H1692" s="3"/>
      <c r="I1692" s="3"/>
      <c r="J1692" s="3"/>
    </row>
    <row r="1693" spans="8:10" x14ac:dyDescent="0.3">
      <c r="H1693" s="3"/>
      <c r="I1693" s="3"/>
      <c r="J1693" s="3"/>
    </row>
    <row r="1694" spans="8:10" x14ac:dyDescent="0.3">
      <c r="H1694" s="3"/>
      <c r="I1694" s="3"/>
      <c r="J1694" s="3"/>
    </row>
    <row r="1695" spans="8:10" x14ac:dyDescent="0.3">
      <c r="H1695" s="3"/>
      <c r="I1695" s="3"/>
      <c r="J1695" s="3"/>
    </row>
    <row r="1696" spans="8:10" x14ac:dyDescent="0.3">
      <c r="H1696" s="3"/>
      <c r="I1696" s="3"/>
      <c r="J1696" s="3"/>
    </row>
    <row r="1697" spans="8:10" x14ac:dyDescent="0.3">
      <c r="H1697" s="3"/>
      <c r="I1697" s="3"/>
      <c r="J1697" s="3"/>
    </row>
    <row r="1698" spans="8:10" x14ac:dyDescent="0.3">
      <c r="H1698" s="3"/>
      <c r="I1698" s="3"/>
      <c r="J1698" s="3"/>
    </row>
    <row r="1699" spans="8:10" x14ac:dyDescent="0.3">
      <c r="H1699" s="3"/>
      <c r="I1699" s="3"/>
      <c r="J1699" s="3"/>
    </row>
    <row r="1700" spans="8:10" x14ac:dyDescent="0.3">
      <c r="H1700" s="3"/>
      <c r="I1700" s="3"/>
      <c r="J1700" s="3"/>
    </row>
    <row r="1701" spans="8:10" x14ac:dyDescent="0.3">
      <c r="H1701" s="3"/>
      <c r="I1701" s="3"/>
      <c r="J1701" s="3"/>
    </row>
    <row r="1702" spans="8:10" x14ac:dyDescent="0.3">
      <c r="H1702" s="3"/>
      <c r="I1702" s="3"/>
      <c r="J1702" s="3"/>
    </row>
    <row r="1703" spans="8:10" x14ac:dyDescent="0.3">
      <c r="H1703" s="3"/>
      <c r="I1703" s="3"/>
      <c r="J1703" s="3"/>
    </row>
    <row r="1704" spans="8:10" x14ac:dyDescent="0.3">
      <c r="H1704" s="3"/>
      <c r="I1704" s="3"/>
      <c r="J1704" s="3"/>
    </row>
    <row r="1705" spans="8:10" x14ac:dyDescent="0.3">
      <c r="H1705" s="3"/>
      <c r="I1705" s="3"/>
      <c r="J1705" s="3"/>
    </row>
    <row r="1706" spans="8:10" x14ac:dyDescent="0.3">
      <c r="H1706" s="3"/>
      <c r="I1706" s="3"/>
      <c r="J1706" s="3"/>
    </row>
    <row r="1707" spans="8:10" x14ac:dyDescent="0.3">
      <c r="H1707" s="3"/>
      <c r="I1707" s="3"/>
      <c r="J1707" s="3"/>
    </row>
    <row r="1708" spans="8:10" x14ac:dyDescent="0.3">
      <c r="H1708" s="3"/>
      <c r="I1708" s="3"/>
      <c r="J1708" s="3"/>
    </row>
    <row r="1709" spans="8:10" x14ac:dyDescent="0.3">
      <c r="H1709" s="3"/>
      <c r="I1709" s="3"/>
      <c r="J1709" s="3"/>
    </row>
    <row r="1710" spans="8:10" x14ac:dyDescent="0.3">
      <c r="H1710" s="3"/>
      <c r="I1710" s="3"/>
      <c r="J1710" s="3"/>
    </row>
    <row r="1711" spans="8:10" x14ac:dyDescent="0.3">
      <c r="H1711" s="3"/>
      <c r="I1711" s="3"/>
      <c r="J1711" s="3"/>
    </row>
    <row r="1712" spans="8:10" x14ac:dyDescent="0.3">
      <c r="H1712" s="3"/>
      <c r="I1712" s="3"/>
      <c r="J1712" s="3"/>
    </row>
    <row r="1713" spans="8:10" x14ac:dyDescent="0.3">
      <c r="H1713" s="3"/>
      <c r="I1713" s="3"/>
      <c r="J1713" s="3"/>
    </row>
    <row r="1714" spans="8:10" x14ac:dyDescent="0.3">
      <c r="H1714" s="3"/>
      <c r="I1714" s="3"/>
      <c r="J1714" s="3"/>
    </row>
    <row r="1715" spans="8:10" x14ac:dyDescent="0.3">
      <c r="H1715" s="3"/>
      <c r="I1715" s="3"/>
      <c r="J1715" s="3"/>
    </row>
    <row r="1716" spans="8:10" x14ac:dyDescent="0.3">
      <c r="H1716" s="3"/>
      <c r="I1716" s="3"/>
      <c r="J1716" s="3"/>
    </row>
    <row r="1717" spans="8:10" x14ac:dyDescent="0.3">
      <c r="H1717" s="3"/>
      <c r="I1717" s="3"/>
      <c r="J1717" s="3"/>
    </row>
    <row r="1718" spans="8:10" x14ac:dyDescent="0.3">
      <c r="H1718" s="3"/>
      <c r="I1718" s="3"/>
      <c r="J1718" s="3"/>
    </row>
    <row r="1719" spans="8:10" x14ac:dyDescent="0.3">
      <c r="H1719" s="3"/>
      <c r="I1719" s="3"/>
      <c r="J1719" s="3"/>
    </row>
    <row r="1720" spans="8:10" x14ac:dyDescent="0.3">
      <c r="H1720" s="3"/>
      <c r="I1720" s="3"/>
      <c r="J1720" s="3"/>
    </row>
    <row r="1721" spans="8:10" x14ac:dyDescent="0.3">
      <c r="H1721" s="3"/>
      <c r="I1721" s="3"/>
      <c r="J1721" s="3"/>
    </row>
    <row r="1722" spans="8:10" x14ac:dyDescent="0.3">
      <c r="H1722" s="3"/>
      <c r="I1722" s="3"/>
      <c r="J1722" s="3"/>
    </row>
    <row r="1723" spans="8:10" x14ac:dyDescent="0.3">
      <c r="H1723" s="3"/>
      <c r="I1723" s="3"/>
      <c r="J1723" s="3"/>
    </row>
    <row r="1724" spans="8:10" x14ac:dyDescent="0.3">
      <c r="H1724" s="3"/>
      <c r="I1724" s="3"/>
      <c r="J1724" s="3"/>
    </row>
    <row r="1725" spans="8:10" x14ac:dyDescent="0.3">
      <c r="H1725" s="3"/>
      <c r="I1725" s="3"/>
      <c r="J1725" s="3"/>
    </row>
    <row r="1726" spans="8:10" x14ac:dyDescent="0.3">
      <c r="H1726" s="3"/>
      <c r="I1726" s="3"/>
      <c r="J1726" s="3"/>
    </row>
    <row r="1727" spans="8:10" x14ac:dyDescent="0.3">
      <c r="H1727" s="3"/>
      <c r="I1727" s="3"/>
      <c r="J1727" s="3"/>
    </row>
    <row r="1728" spans="8:10" x14ac:dyDescent="0.3">
      <c r="H1728" s="3"/>
      <c r="I1728" s="3"/>
      <c r="J1728" s="3"/>
    </row>
    <row r="1729" spans="8:10" x14ac:dyDescent="0.3">
      <c r="H1729" s="3"/>
      <c r="I1729" s="3"/>
      <c r="J1729" s="3"/>
    </row>
    <row r="1730" spans="8:10" x14ac:dyDescent="0.3">
      <c r="H1730" s="3"/>
      <c r="I1730" s="3"/>
      <c r="J1730" s="3"/>
    </row>
    <row r="1731" spans="8:10" x14ac:dyDescent="0.3">
      <c r="H1731" s="3"/>
      <c r="I1731" s="3"/>
      <c r="J1731" s="3"/>
    </row>
    <row r="1732" spans="8:10" x14ac:dyDescent="0.3">
      <c r="H1732" s="3"/>
      <c r="I1732" s="3"/>
      <c r="J1732" s="3"/>
    </row>
    <row r="1733" spans="8:10" x14ac:dyDescent="0.3">
      <c r="H1733" s="3"/>
      <c r="I1733" s="3"/>
      <c r="J1733" s="3"/>
    </row>
    <row r="1734" spans="8:10" x14ac:dyDescent="0.3">
      <c r="H1734" s="3"/>
      <c r="I1734" s="3"/>
      <c r="J1734" s="3"/>
    </row>
    <row r="1735" spans="8:10" x14ac:dyDescent="0.3">
      <c r="H1735" s="3"/>
      <c r="I1735" s="3"/>
      <c r="J1735" s="3"/>
    </row>
    <row r="1736" spans="8:10" x14ac:dyDescent="0.3">
      <c r="H1736" s="3"/>
      <c r="I1736" s="3"/>
      <c r="J1736" s="3"/>
    </row>
    <row r="1737" spans="8:10" x14ac:dyDescent="0.3">
      <c r="H1737" s="3"/>
      <c r="I1737" s="3"/>
      <c r="J1737" s="3"/>
    </row>
    <row r="1738" spans="8:10" x14ac:dyDescent="0.3">
      <c r="H1738" s="3"/>
      <c r="I1738" s="3"/>
      <c r="J1738" s="3"/>
    </row>
    <row r="1739" spans="8:10" x14ac:dyDescent="0.3">
      <c r="H1739" s="3"/>
      <c r="I1739" s="3"/>
      <c r="J1739" s="3"/>
    </row>
    <row r="1740" spans="8:10" x14ac:dyDescent="0.3">
      <c r="H1740" s="3"/>
      <c r="I1740" s="3"/>
      <c r="J1740" s="3"/>
    </row>
    <row r="1741" spans="8:10" x14ac:dyDescent="0.3">
      <c r="H1741" s="3"/>
      <c r="I1741" s="3"/>
      <c r="J1741" s="3"/>
    </row>
    <row r="1742" spans="8:10" x14ac:dyDescent="0.3">
      <c r="H1742" s="3"/>
      <c r="I1742" s="3"/>
      <c r="J1742" s="3"/>
    </row>
    <row r="1743" spans="8:10" x14ac:dyDescent="0.3">
      <c r="H1743" s="3"/>
      <c r="I1743" s="3"/>
      <c r="J1743" s="3"/>
    </row>
    <row r="1744" spans="8:10" x14ac:dyDescent="0.3">
      <c r="H1744" s="3"/>
      <c r="I1744" s="3"/>
      <c r="J1744" s="3"/>
    </row>
    <row r="1745" spans="8:10" x14ac:dyDescent="0.3">
      <c r="H1745" s="3"/>
      <c r="I1745" s="3"/>
      <c r="J1745" s="3"/>
    </row>
    <row r="1746" spans="8:10" x14ac:dyDescent="0.3">
      <c r="H1746" s="3"/>
      <c r="I1746" s="3"/>
      <c r="J1746" s="3"/>
    </row>
    <row r="1747" spans="8:10" x14ac:dyDescent="0.3">
      <c r="H1747" s="3"/>
      <c r="I1747" s="3"/>
      <c r="J1747" s="3"/>
    </row>
    <row r="1748" spans="8:10" x14ac:dyDescent="0.3">
      <c r="H1748" s="3"/>
      <c r="I1748" s="3"/>
      <c r="J1748" s="3"/>
    </row>
    <row r="1749" spans="8:10" x14ac:dyDescent="0.3">
      <c r="H1749" s="3"/>
      <c r="I1749" s="3"/>
      <c r="J1749" s="3"/>
    </row>
    <row r="1750" spans="8:10" x14ac:dyDescent="0.3">
      <c r="H1750" s="3"/>
      <c r="I1750" s="3"/>
      <c r="J1750" s="3"/>
    </row>
    <row r="1751" spans="8:10" x14ac:dyDescent="0.3">
      <c r="H1751" s="3"/>
      <c r="I1751" s="3"/>
      <c r="J1751" s="3"/>
    </row>
    <row r="1752" spans="8:10" x14ac:dyDescent="0.3">
      <c r="H1752" s="3"/>
      <c r="I1752" s="3"/>
      <c r="J1752" s="3"/>
    </row>
    <row r="1753" spans="8:10" x14ac:dyDescent="0.3">
      <c r="H1753" s="3"/>
      <c r="I1753" s="3"/>
      <c r="J1753" s="3"/>
    </row>
    <row r="1754" spans="8:10" x14ac:dyDescent="0.3">
      <c r="H1754" s="3"/>
      <c r="I1754" s="3"/>
      <c r="J1754" s="3"/>
    </row>
    <row r="1755" spans="8:10" x14ac:dyDescent="0.3">
      <c r="H1755" s="3"/>
      <c r="I1755" s="3"/>
      <c r="J1755" s="3"/>
    </row>
    <row r="1756" spans="8:10" x14ac:dyDescent="0.3">
      <c r="H1756" s="3"/>
      <c r="I1756" s="3"/>
      <c r="J1756" s="3"/>
    </row>
    <row r="1757" spans="8:10" x14ac:dyDescent="0.3">
      <c r="H1757" s="3"/>
      <c r="I1757" s="3"/>
      <c r="J1757" s="3"/>
    </row>
    <row r="1758" spans="8:10" x14ac:dyDescent="0.3">
      <c r="H1758" s="3"/>
      <c r="I1758" s="3"/>
      <c r="J1758" s="3"/>
    </row>
    <row r="1759" spans="8:10" x14ac:dyDescent="0.3">
      <c r="H1759" s="3"/>
      <c r="I1759" s="3"/>
      <c r="J1759" s="3"/>
    </row>
    <row r="1760" spans="8:10" x14ac:dyDescent="0.3">
      <c r="H1760" s="3"/>
      <c r="I1760" s="3"/>
      <c r="J1760" s="3"/>
    </row>
    <row r="1761" spans="8:10" x14ac:dyDescent="0.3">
      <c r="H1761" s="3"/>
      <c r="I1761" s="3"/>
      <c r="J1761" s="3"/>
    </row>
    <row r="1762" spans="8:10" x14ac:dyDescent="0.3">
      <c r="H1762" s="3"/>
      <c r="I1762" s="3"/>
      <c r="J1762" s="3"/>
    </row>
    <row r="1763" spans="8:10" x14ac:dyDescent="0.3">
      <c r="H1763" s="3"/>
      <c r="I1763" s="3"/>
      <c r="J1763" s="3"/>
    </row>
    <row r="1764" spans="8:10" x14ac:dyDescent="0.3">
      <c r="H1764" s="3"/>
      <c r="I1764" s="3"/>
      <c r="J1764" s="3"/>
    </row>
    <row r="1765" spans="8:10" x14ac:dyDescent="0.3">
      <c r="H1765" s="3"/>
      <c r="I1765" s="3"/>
      <c r="J1765" s="3"/>
    </row>
    <row r="1766" spans="8:10" x14ac:dyDescent="0.3">
      <c r="H1766" s="3"/>
      <c r="I1766" s="3"/>
      <c r="J1766" s="3"/>
    </row>
    <row r="1767" spans="8:10" x14ac:dyDescent="0.3">
      <c r="H1767" s="3"/>
      <c r="I1767" s="3"/>
      <c r="J1767" s="3"/>
    </row>
    <row r="1768" spans="8:10" x14ac:dyDescent="0.3">
      <c r="H1768" s="3"/>
      <c r="I1768" s="3"/>
      <c r="J1768" s="3"/>
    </row>
    <row r="1769" spans="8:10" x14ac:dyDescent="0.3">
      <c r="H1769" s="3"/>
      <c r="I1769" s="3"/>
      <c r="J1769" s="3"/>
    </row>
    <row r="1770" spans="8:10" x14ac:dyDescent="0.3">
      <c r="H1770" s="3"/>
      <c r="I1770" s="3"/>
      <c r="J1770" s="3"/>
    </row>
    <row r="1771" spans="8:10" x14ac:dyDescent="0.3">
      <c r="H1771" s="3"/>
      <c r="I1771" s="3"/>
      <c r="J1771" s="3"/>
    </row>
    <row r="1772" spans="8:10" x14ac:dyDescent="0.3">
      <c r="H1772" s="3"/>
      <c r="I1772" s="3"/>
      <c r="J1772" s="3"/>
    </row>
    <row r="1773" spans="8:10" x14ac:dyDescent="0.3">
      <c r="H1773" s="3"/>
      <c r="I1773" s="3"/>
      <c r="J1773" s="3"/>
    </row>
    <row r="1774" spans="8:10" x14ac:dyDescent="0.3">
      <c r="H1774" s="3"/>
      <c r="I1774" s="3"/>
      <c r="J1774" s="3"/>
    </row>
    <row r="1775" spans="8:10" x14ac:dyDescent="0.3">
      <c r="H1775" s="3"/>
      <c r="I1775" s="3"/>
      <c r="J1775" s="3"/>
    </row>
    <row r="1776" spans="8:10" x14ac:dyDescent="0.3">
      <c r="H1776" s="3"/>
      <c r="I1776" s="3"/>
      <c r="J1776" s="3"/>
    </row>
    <row r="1777" spans="8:10" x14ac:dyDescent="0.3">
      <c r="H1777" s="3"/>
      <c r="I1777" s="3"/>
      <c r="J1777" s="3"/>
    </row>
    <row r="1778" spans="8:10" x14ac:dyDescent="0.3">
      <c r="H1778" s="3"/>
      <c r="I1778" s="3"/>
      <c r="J1778" s="3"/>
    </row>
    <row r="1779" spans="8:10" x14ac:dyDescent="0.3">
      <c r="H1779" s="3"/>
      <c r="I1779" s="3"/>
      <c r="J1779" s="3"/>
    </row>
    <row r="1780" spans="8:10" x14ac:dyDescent="0.3">
      <c r="H1780" s="3"/>
      <c r="I1780" s="3"/>
      <c r="J1780" s="3"/>
    </row>
    <row r="1781" spans="8:10" x14ac:dyDescent="0.3">
      <c r="H1781" s="3"/>
      <c r="I1781" s="3"/>
      <c r="J1781" s="3"/>
    </row>
    <row r="1782" spans="8:10" x14ac:dyDescent="0.3">
      <c r="H1782" s="3"/>
      <c r="I1782" s="3"/>
      <c r="J1782" s="3"/>
    </row>
    <row r="1783" spans="8:10" x14ac:dyDescent="0.3">
      <c r="H1783" s="3"/>
      <c r="I1783" s="3"/>
      <c r="J1783" s="3"/>
    </row>
    <row r="1784" spans="8:10" x14ac:dyDescent="0.3">
      <c r="H1784" s="3"/>
      <c r="I1784" s="3"/>
      <c r="J1784" s="3"/>
    </row>
    <row r="1785" spans="8:10" x14ac:dyDescent="0.3">
      <c r="H1785" s="3"/>
      <c r="I1785" s="3"/>
      <c r="J1785" s="3"/>
    </row>
    <row r="1786" spans="8:10" x14ac:dyDescent="0.3">
      <c r="H1786" s="3"/>
      <c r="I1786" s="3"/>
      <c r="J1786" s="3"/>
    </row>
    <row r="1787" spans="8:10" x14ac:dyDescent="0.3">
      <c r="H1787" s="3"/>
      <c r="I1787" s="3"/>
      <c r="J1787" s="3"/>
    </row>
    <row r="1788" spans="8:10" x14ac:dyDescent="0.3">
      <c r="H1788" s="3"/>
      <c r="I1788" s="3"/>
      <c r="J1788" s="3"/>
    </row>
    <row r="1789" spans="8:10" x14ac:dyDescent="0.3">
      <c r="H1789" s="3"/>
      <c r="I1789" s="3"/>
      <c r="J1789" s="3"/>
    </row>
    <row r="1790" spans="8:10" x14ac:dyDescent="0.3">
      <c r="H1790" s="3"/>
      <c r="I1790" s="3"/>
      <c r="J1790" s="3"/>
    </row>
    <row r="1791" spans="8:10" x14ac:dyDescent="0.3">
      <c r="H1791" s="3"/>
      <c r="I1791" s="3"/>
      <c r="J1791" s="3"/>
    </row>
    <row r="1792" spans="8:10" x14ac:dyDescent="0.3">
      <c r="H1792" s="3"/>
      <c r="I1792" s="3"/>
      <c r="J1792" s="3"/>
    </row>
    <row r="1793" spans="8:10" x14ac:dyDescent="0.3">
      <c r="H1793" s="3"/>
      <c r="I1793" s="3"/>
      <c r="J1793" s="3"/>
    </row>
    <row r="1794" spans="8:10" x14ac:dyDescent="0.3">
      <c r="H1794" s="3"/>
      <c r="I1794" s="3"/>
      <c r="J1794" s="3"/>
    </row>
    <row r="1795" spans="8:10" x14ac:dyDescent="0.3">
      <c r="H1795" s="3"/>
      <c r="I1795" s="3"/>
      <c r="J1795" s="3"/>
    </row>
    <row r="1796" spans="8:10" x14ac:dyDescent="0.3">
      <c r="H1796" s="3"/>
      <c r="I1796" s="3"/>
      <c r="J1796" s="3"/>
    </row>
    <row r="1797" spans="8:10" x14ac:dyDescent="0.3">
      <c r="H1797" s="3"/>
      <c r="I1797" s="3"/>
      <c r="J1797" s="3"/>
    </row>
    <row r="1798" spans="8:10" x14ac:dyDescent="0.3">
      <c r="H1798" s="3"/>
      <c r="I1798" s="3"/>
      <c r="J1798" s="3"/>
    </row>
    <row r="1799" spans="8:10" x14ac:dyDescent="0.3">
      <c r="H1799" s="3"/>
      <c r="I1799" s="3"/>
      <c r="J1799" s="3"/>
    </row>
    <row r="1800" spans="8:10" x14ac:dyDescent="0.3">
      <c r="H1800" s="3"/>
      <c r="I1800" s="3"/>
      <c r="J1800" s="3"/>
    </row>
    <row r="1801" spans="8:10" x14ac:dyDescent="0.3">
      <c r="H1801" s="3"/>
      <c r="I1801" s="3"/>
      <c r="J1801" s="3"/>
    </row>
    <row r="1802" spans="8:10" x14ac:dyDescent="0.3">
      <c r="H1802" s="3"/>
      <c r="I1802" s="3"/>
      <c r="J1802" s="3"/>
    </row>
    <row r="1803" spans="8:10" x14ac:dyDescent="0.3">
      <c r="H1803" s="3"/>
      <c r="I1803" s="3"/>
      <c r="J1803" s="3"/>
    </row>
    <row r="1804" spans="8:10" x14ac:dyDescent="0.3">
      <c r="H1804" s="3"/>
      <c r="I1804" s="3"/>
      <c r="J1804" s="3"/>
    </row>
    <row r="1805" spans="8:10" x14ac:dyDescent="0.3">
      <c r="H1805" s="3"/>
      <c r="I1805" s="3"/>
      <c r="J1805" s="3"/>
    </row>
    <row r="1806" spans="8:10" x14ac:dyDescent="0.3">
      <c r="H1806" s="3"/>
      <c r="I1806" s="3"/>
      <c r="J1806" s="3"/>
    </row>
    <row r="1807" spans="8:10" x14ac:dyDescent="0.3">
      <c r="H1807" s="3"/>
      <c r="I1807" s="3"/>
      <c r="J1807" s="3"/>
    </row>
    <row r="1808" spans="8:10" x14ac:dyDescent="0.3">
      <c r="H1808" s="3"/>
      <c r="I1808" s="3"/>
      <c r="J1808" s="3"/>
    </row>
    <row r="1809" spans="8:10" x14ac:dyDescent="0.3">
      <c r="H1809" s="3"/>
      <c r="I1809" s="3"/>
      <c r="J1809" s="3"/>
    </row>
    <row r="1810" spans="8:10" x14ac:dyDescent="0.3">
      <c r="H1810" s="3"/>
      <c r="I1810" s="3"/>
      <c r="J1810" s="3"/>
    </row>
    <row r="1811" spans="8:10" x14ac:dyDescent="0.3">
      <c r="H1811" s="3"/>
      <c r="I1811" s="3"/>
      <c r="J1811" s="3"/>
    </row>
    <row r="1812" spans="8:10" x14ac:dyDescent="0.3">
      <c r="H1812" s="3"/>
      <c r="I1812" s="3"/>
      <c r="J1812" s="3"/>
    </row>
    <row r="1813" spans="8:10" x14ac:dyDescent="0.3">
      <c r="H1813" s="3"/>
      <c r="I1813" s="3"/>
      <c r="J1813" s="3"/>
    </row>
    <row r="1814" spans="8:10" x14ac:dyDescent="0.3">
      <c r="H1814" s="3"/>
      <c r="I1814" s="3"/>
      <c r="J1814" s="3"/>
    </row>
    <row r="1815" spans="8:10" x14ac:dyDescent="0.3">
      <c r="H1815" s="3"/>
      <c r="I1815" s="3"/>
      <c r="J1815" s="3"/>
    </row>
    <row r="1816" spans="8:10" x14ac:dyDescent="0.3">
      <c r="H1816" s="3"/>
      <c r="I1816" s="3"/>
      <c r="J1816" s="3"/>
    </row>
    <row r="1817" spans="8:10" x14ac:dyDescent="0.3">
      <c r="H1817" s="3"/>
      <c r="I1817" s="3"/>
      <c r="J1817" s="3"/>
    </row>
    <row r="1818" spans="8:10" x14ac:dyDescent="0.3">
      <c r="H1818" s="3"/>
      <c r="I1818" s="3"/>
      <c r="J1818" s="3"/>
    </row>
    <row r="1819" spans="8:10" x14ac:dyDescent="0.3">
      <c r="H1819" s="3"/>
      <c r="I1819" s="3"/>
      <c r="J1819" s="3"/>
    </row>
    <row r="1820" spans="8:10" x14ac:dyDescent="0.3">
      <c r="H1820" s="3"/>
      <c r="I1820" s="3"/>
      <c r="J1820" s="3"/>
    </row>
    <row r="1821" spans="8:10" x14ac:dyDescent="0.3">
      <c r="H1821" s="3"/>
      <c r="I1821" s="3"/>
      <c r="J1821" s="3"/>
    </row>
    <row r="1822" spans="8:10" x14ac:dyDescent="0.3">
      <c r="H1822" s="3"/>
      <c r="I1822" s="3"/>
      <c r="J1822" s="3"/>
    </row>
    <row r="1823" spans="8:10" x14ac:dyDescent="0.3">
      <c r="H1823" s="3"/>
      <c r="I1823" s="3"/>
      <c r="J1823" s="3"/>
    </row>
    <row r="1824" spans="8:10" x14ac:dyDescent="0.3">
      <c r="H1824" s="3"/>
      <c r="I1824" s="3"/>
      <c r="J1824" s="3"/>
    </row>
    <row r="1825" spans="8:10" x14ac:dyDescent="0.3">
      <c r="H1825" s="3"/>
      <c r="I1825" s="3"/>
      <c r="J1825" s="3"/>
    </row>
    <row r="1826" spans="8:10" x14ac:dyDescent="0.3">
      <c r="H1826" s="3"/>
      <c r="I1826" s="3"/>
      <c r="J1826" s="3"/>
    </row>
    <row r="1827" spans="8:10" x14ac:dyDescent="0.3">
      <c r="H1827" s="3"/>
      <c r="I1827" s="3"/>
      <c r="J1827" s="3"/>
    </row>
    <row r="1828" spans="8:10" x14ac:dyDescent="0.3">
      <c r="H1828" s="3"/>
      <c r="I1828" s="3"/>
      <c r="J1828" s="3"/>
    </row>
    <row r="1829" spans="8:10" x14ac:dyDescent="0.3">
      <c r="H1829" s="3"/>
      <c r="I1829" s="3"/>
      <c r="J1829" s="3"/>
    </row>
    <row r="1830" spans="8:10" x14ac:dyDescent="0.3">
      <c r="H1830" s="3"/>
      <c r="I1830" s="3"/>
      <c r="J1830" s="3"/>
    </row>
    <row r="1831" spans="8:10" x14ac:dyDescent="0.3">
      <c r="H1831" s="3"/>
      <c r="I1831" s="3"/>
      <c r="J1831" s="3"/>
    </row>
    <row r="1832" spans="8:10" x14ac:dyDescent="0.3">
      <c r="H1832" s="3"/>
      <c r="I1832" s="3"/>
      <c r="J1832" s="3"/>
    </row>
    <row r="1833" spans="8:10" x14ac:dyDescent="0.3">
      <c r="H1833" s="3"/>
      <c r="I1833" s="3"/>
      <c r="J1833" s="3"/>
    </row>
    <row r="1834" spans="8:10" x14ac:dyDescent="0.3">
      <c r="H1834" s="3"/>
      <c r="I1834" s="3"/>
      <c r="J1834" s="3"/>
    </row>
    <row r="1835" spans="8:10" x14ac:dyDescent="0.3">
      <c r="H1835" s="3"/>
      <c r="I1835" s="3"/>
      <c r="J1835" s="3"/>
    </row>
    <row r="1836" spans="8:10" x14ac:dyDescent="0.3">
      <c r="H1836" s="3"/>
      <c r="I1836" s="3"/>
      <c r="J1836" s="3"/>
    </row>
    <row r="1837" spans="8:10" x14ac:dyDescent="0.3">
      <c r="H1837" s="3"/>
      <c r="I1837" s="3"/>
      <c r="J1837" s="3"/>
    </row>
    <row r="1838" spans="8:10" x14ac:dyDescent="0.3">
      <c r="H1838" s="3"/>
      <c r="I1838" s="3"/>
      <c r="J1838" s="3"/>
    </row>
    <row r="1839" spans="8:10" x14ac:dyDescent="0.3">
      <c r="H1839" s="3"/>
      <c r="I1839" s="3"/>
      <c r="J1839" s="3"/>
    </row>
    <row r="1840" spans="8:10" x14ac:dyDescent="0.3">
      <c r="H1840" s="3"/>
      <c r="I1840" s="3"/>
      <c r="J1840" s="3"/>
    </row>
    <row r="1841" spans="8:10" x14ac:dyDescent="0.3">
      <c r="H1841" s="3"/>
      <c r="I1841" s="3"/>
      <c r="J1841" s="3"/>
    </row>
    <row r="1842" spans="8:10" x14ac:dyDescent="0.3">
      <c r="H1842" s="3"/>
      <c r="I1842" s="3"/>
      <c r="J1842" s="3"/>
    </row>
    <row r="1843" spans="8:10" x14ac:dyDescent="0.3">
      <c r="H1843" s="3"/>
      <c r="I1843" s="3"/>
      <c r="J1843" s="3"/>
    </row>
    <row r="1844" spans="8:10" x14ac:dyDescent="0.3">
      <c r="H1844" s="3"/>
      <c r="I1844" s="3"/>
      <c r="J1844" s="3"/>
    </row>
    <row r="1845" spans="8:10" x14ac:dyDescent="0.3">
      <c r="H1845" s="3"/>
      <c r="I1845" s="3"/>
      <c r="J1845" s="3"/>
    </row>
    <row r="1846" spans="8:10" x14ac:dyDescent="0.3">
      <c r="H1846" s="3"/>
      <c r="I1846" s="3"/>
      <c r="J1846" s="3"/>
    </row>
    <row r="1847" spans="8:10" x14ac:dyDescent="0.3">
      <c r="H1847" s="3"/>
      <c r="I1847" s="3"/>
      <c r="J1847" s="3"/>
    </row>
    <row r="1848" spans="8:10" x14ac:dyDescent="0.3">
      <c r="H1848" s="3"/>
      <c r="I1848" s="3"/>
      <c r="J1848" s="3"/>
    </row>
    <row r="1849" spans="8:10" x14ac:dyDescent="0.3">
      <c r="H1849" s="3"/>
      <c r="I1849" s="3"/>
      <c r="J1849" s="3"/>
    </row>
    <row r="1850" spans="8:10" x14ac:dyDescent="0.3">
      <c r="H1850" s="3"/>
      <c r="I1850" s="3"/>
      <c r="J1850" s="3"/>
    </row>
    <row r="1851" spans="8:10" x14ac:dyDescent="0.3">
      <c r="H1851" s="3"/>
      <c r="I1851" s="3"/>
      <c r="J1851" s="3"/>
    </row>
    <row r="1852" spans="8:10" x14ac:dyDescent="0.3">
      <c r="H1852" s="3"/>
      <c r="I1852" s="3"/>
      <c r="J1852" s="3"/>
    </row>
    <row r="1853" spans="8:10" x14ac:dyDescent="0.3">
      <c r="H1853" s="3"/>
      <c r="I1853" s="3"/>
      <c r="J1853" s="3"/>
    </row>
    <row r="1854" spans="8:10" x14ac:dyDescent="0.3">
      <c r="H1854" s="3"/>
      <c r="I1854" s="3"/>
      <c r="J1854" s="3"/>
    </row>
    <row r="1855" spans="8:10" x14ac:dyDescent="0.3">
      <c r="H1855" s="3"/>
      <c r="I1855" s="3"/>
      <c r="J1855" s="3"/>
    </row>
    <row r="1856" spans="8:10" x14ac:dyDescent="0.3">
      <c r="H1856" s="3"/>
      <c r="I1856" s="3"/>
      <c r="J1856" s="3"/>
    </row>
    <row r="1857" spans="8:10" x14ac:dyDescent="0.3">
      <c r="H1857" s="3"/>
      <c r="I1857" s="3"/>
      <c r="J1857" s="3"/>
    </row>
    <row r="1858" spans="8:10" x14ac:dyDescent="0.3">
      <c r="H1858" s="3"/>
      <c r="I1858" s="3"/>
      <c r="J1858" s="3"/>
    </row>
    <row r="1859" spans="8:10" x14ac:dyDescent="0.3">
      <c r="H1859" s="3"/>
      <c r="I1859" s="3"/>
      <c r="J1859" s="3"/>
    </row>
    <row r="1860" spans="8:10" x14ac:dyDescent="0.3">
      <c r="H1860" s="3"/>
      <c r="I1860" s="3"/>
      <c r="J1860" s="3"/>
    </row>
    <row r="1861" spans="8:10" x14ac:dyDescent="0.3">
      <c r="H1861" s="3"/>
      <c r="I1861" s="3"/>
      <c r="J1861" s="3"/>
    </row>
    <row r="1862" spans="8:10" x14ac:dyDescent="0.3">
      <c r="H1862" s="3"/>
      <c r="I1862" s="3"/>
      <c r="J1862" s="3"/>
    </row>
    <row r="1863" spans="8:10" x14ac:dyDescent="0.3">
      <c r="H1863" s="3"/>
      <c r="I1863" s="3"/>
      <c r="J1863" s="3"/>
    </row>
    <row r="1864" spans="8:10" x14ac:dyDescent="0.3">
      <c r="H1864" s="3"/>
      <c r="I1864" s="3"/>
      <c r="J1864" s="3"/>
    </row>
    <row r="1865" spans="8:10" x14ac:dyDescent="0.3">
      <c r="H1865" s="3"/>
      <c r="I1865" s="3"/>
      <c r="J1865" s="3"/>
    </row>
    <row r="1866" spans="8:10" x14ac:dyDescent="0.3">
      <c r="H1866" s="3"/>
      <c r="I1866" s="3"/>
      <c r="J1866" s="3"/>
    </row>
    <row r="1867" spans="8:10" x14ac:dyDescent="0.3">
      <c r="H1867" s="3"/>
      <c r="I1867" s="3"/>
      <c r="J1867" s="3"/>
    </row>
    <row r="1868" spans="8:10" x14ac:dyDescent="0.3">
      <c r="H1868" s="3"/>
      <c r="I1868" s="3"/>
      <c r="J1868" s="3"/>
    </row>
    <row r="1869" spans="8:10" x14ac:dyDescent="0.3">
      <c r="H1869" s="3"/>
      <c r="I1869" s="3"/>
      <c r="J1869" s="3"/>
    </row>
    <row r="1870" spans="8:10" x14ac:dyDescent="0.3">
      <c r="H1870" s="3"/>
      <c r="I1870" s="3"/>
      <c r="J1870" s="3"/>
    </row>
    <row r="1871" spans="8:10" x14ac:dyDescent="0.3">
      <c r="H1871" s="3"/>
      <c r="I1871" s="3"/>
      <c r="J1871" s="3"/>
    </row>
    <row r="1872" spans="8:10" x14ac:dyDescent="0.3">
      <c r="H1872" s="3"/>
      <c r="I1872" s="3"/>
      <c r="J1872" s="3"/>
    </row>
    <row r="1873" spans="8:10" x14ac:dyDescent="0.3">
      <c r="H1873" s="3"/>
      <c r="I1873" s="3"/>
      <c r="J1873" s="3"/>
    </row>
    <row r="1874" spans="8:10" x14ac:dyDescent="0.3">
      <c r="H1874" s="3"/>
      <c r="I1874" s="3"/>
      <c r="J1874" s="3"/>
    </row>
    <row r="1875" spans="8:10" x14ac:dyDescent="0.3">
      <c r="H1875" s="3"/>
      <c r="I1875" s="3"/>
      <c r="J1875" s="3"/>
    </row>
    <row r="1876" spans="8:10" x14ac:dyDescent="0.3">
      <c r="H1876" s="3"/>
      <c r="I1876" s="3"/>
      <c r="J1876" s="3"/>
    </row>
    <row r="1877" spans="8:10" x14ac:dyDescent="0.3">
      <c r="H1877" s="3"/>
      <c r="I1877" s="3"/>
      <c r="J1877" s="3"/>
    </row>
    <row r="1878" spans="8:10" x14ac:dyDescent="0.3">
      <c r="H1878" s="3"/>
      <c r="I1878" s="3"/>
      <c r="J1878" s="3"/>
    </row>
    <row r="1879" spans="8:10" x14ac:dyDescent="0.3">
      <c r="H1879" s="3"/>
      <c r="I1879" s="3"/>
      <c r="J1879" s="3"/>
    </row>
    <row r="1880" spans="8:10" x14ac:dyDescent="0.3">
      <c r="H1880" s="3"/>
      <c r="I1880" s="3"/>
      <c r="J1880" s="3"/>
    </row>
    <row r="1881" spans="8:10" x14ac:dyDescent="0.3">
      <c r="H1881" s="3"/>
      <c r="I1881" s="3"/>
      <c r="J1881" s="3"/>
    </row>
    <row r="1882" spans="8:10" x14ac:dyDescent="0.3">
      <c r="H1882" s="3"/>
      <c r="I1882" s="3"/>
      <c r="J1882" s="3"/>
    </row>
    <row r="1883" spans="8:10" x14ac:dyDescent="0.3">
      <c r="H1883" s="3"/>
      <c r="I1883" s="3"/>
      <c r="J1883" s="3"/>
    </row>
    <row r="1884" spans="8:10" x14ac:dyDescent="0.3">
      <c r="H1884" s="3"/>
      <c r="I1884" s="3"/>
      <c r="J1884" s="3"/>
    </row>
    <row r="1885" spans="8:10" x14ac:dyDescent="0.3">
      <c r="H1885" s="3"/>
      <c r="I1885" s="3"/>
      <c r="J1885" s="3"/>
    </row>
    <row r="1886" spans="8:10" x14ac:dyDescent="0.3">
      <c r="H1886" s="3"/>
      <c r="I1886" s="3"/>
      <c r="J1886" s="3"/>
    </row>
    <row r="1887" spans="8:10" x14ac:dyDescent="0.3">
      <c r="H1887" s="3"/>
      <c r="I1887" s="3"/>
      <c r="J1887" s="3"/>
    </row>
    <row r="1888" spans="8:10" x14ac:dyDescent="0.3">
      <c r="H1888" s="3"/>
      <c r="I1888" s="3"/>
      <c r="J1888" s="3"/>
    </row>
    <row r="1889" spans="8:10" x14ac:dyDescent="0.3">
      <c r="H1889" s="3"/>
      <c r="I1889" s="3"/>
      <c r="J1889" s="3"/>
    </row>
    <row r="1890" spans="8:10" x14ac:dyDescent="0.3">
      <c r="H1890" s="3"/>
      <c r="I1890" s="3"/>
      <c r="J1890" s="3"/>
    </row>
    <row r="1891" spans="8:10" x14ac:dyDescent="0.3">
      <c r="H1891" s="3"/>
      <c r="I1891" s="3"/>
      <c r="J1891" s="3"/>
    </row>
    <row r="1892" spans="8:10" x14ac:dyDescent="0.3">
      <c r="H1892" s="3"/>
      <c r="I1892" s="3"/>
      <c r="J1892" s="3"/>
    </row>
    <row r="1893" spans="8:10" x14ac:dyDescent="0.3">
      <c r="H1893" s="3"/>
      <c r="I1893" s="3"/>
      <c r="J1893" s="3"/>
    </row>
    <row r="1894" spans="8:10" x14ac:dyDescent="0.3">
      <c r="H1894" s="3"/>
      <c r="I1894" s="3"/>
      <c r="J1894" s="3"/>
    </row>
    <row r="1895" spans="8:10" x14ac:dyDescent="0.3">
      <c r="H1895" s="3"/>
      <c r="I1895" s="3"/>
      <c r="J1895" s="3"/>
    </row>
    <row r="1896" spans="8:10" x14ac:dyDescent="0.3">
      <c r="H1896" s="3"/>
      <c r="I1896" s="3"/>
      <c r="J1896" s="3"/>
    </row>
    <row r="1897" spans="8:10" x14ac:dyDescent="0.3">
      <c r="H1897" s="3"/>
      <c r="I1897" s="3"/>
      <c r="J1897" s="3"/>
    </row>
    <row r="1898" spans="8:10" x14ac:dyDescent="0.3">
      <c r="H1898" s="3"/>
      <c r="I1898" s="3"/>
      <c r="J1898" s="3"/>
    </row>
    <row r="1899" spans="8:10" x14ac:dyDescent="0.3">
      <c r="H1899" s="3"/>
      <c r="I1899" s="3"/>
      <c r="J1899" s="3"/>
    </row>
    <row r="1900" spans="8:10" x14ac:dyDescent="0.3">
      <c r="H1900" s="3"/>
      <c r="I1900" s="3"/>
      <c r="J1900" s="3"/>
    </row>
    <row r="1901" spans="8:10" x14ac:dyDescent="0.3">
      <c r="H1901" s="3"/>
      <c r="I1901" s="3"/>
      <c r="J1901" s="3"/>
    </row>
    <row r="1902" spans="8:10" x14ac:dyDescent="0.3">
      <c r="H1902" s="3"/>
      <c r="I1902" s="3"/>
      <c r="J1902" s="3"/>
    </row>
    <row r="1903" spans="8:10" x14ac:dyDescent="0.3">
      <c r="H1903" s="3"/>
      <c r="I1903" s="3"/>
      <c r="J1903" s="3"/>
    </row>
    <row r="1904" spans="8:10" x14ac:dyDescent="0.3">
      <c r="H1904" s="3"/>
      <c r="I1904" s="3"/>
      <c r="J1904" s="3"/>
    </row>
    <row r="1905" spans="8:10" x14ac:dyDescent="0.3">
      <c r="H1905" s="3"/>
      <c r="I1905" s="3"/>
      <c r="J1905" s="3"/>
    </row>
    <row r="1906" spans="8:10" x14ac:dyDescent="0.3">
      <c r="H1906" s="3"/>
      <c r="I1906" s="3"/>
      <c r="J1906" s="3"/>
    </row>
    <row r="1907" spans="8:10" x14ac:dyDescent="0.3">
      <c r="H1907" s="3"/>
      <c r="I1907" s="3"/>
      <c r="J1907" s="3"/>
    </row>
    <row r="1908" spans="8:10" x14ac:dyDescent="0.3">
      <c r="H1908" s="3"/>
      <c r="I1908" s="3"/>
      <c r="J1908" s="3"/>
    </row>
    <row r="1909" spans="8:10" x14ac:dyDescent="0.3">
      <c r="H1909" s="3"/>
      <c r="I1909" s="3"/>
      <c r="J1909" s="3"/>
    </row>
    <row r="1910" spans="8:10" x14ac:dyDescent="0.3">
      <c r="H1910" s="3"/>
      <c r="I1910" s="3"/>
      <c r="J1910" s="3"/>
    </row>
    <row r="1911" spans="8:10" x14ac:dyDescent="0.3">
      <c r="H1911" s="3"/>
      <c r="I1911" s="3"/>
      <c r="J1911" s="3"/>
    </row>
    <row r="1912" spans="8:10" x14ac:dyDescent="0.3">
      <c r="H1912" s="3"/>
      <c r="I1912" s="3"/>
      <c r="J1912" s="3"/>
    </row>
    <row r="1913" spans="8:10" x14ac:dyDescent="0.3">
      <c r="H1913" s="3"/>
      <c r="I1913" s="3"/>
      <c r="J1913" s="3"/>
    </row>
    <row r="1914" spans="8:10" x14ac:dyDescent="0.3">
      <c r="H1914" s="3"/>
      <c r="I1914" s="3"/>
      <c r="J1914" s="3"/>
    </row>
    <row r="1915" spans="8:10" x14ac:dyDescent="0.3">
      <c r="H1915" s="3"/>
      <c r="I1915" s="3"/>
      <c r="J1915" s="3"/>
    </row>
    <row r="1916" spans="8:10" x14ac:dyDescent="0.3">
      <c r="H1916" s="3"/>
      <c r="I1916" s="3"/>
      <c r="J1916" s="3"/>
    </row>
    <row r="1917" spans="8:10" x14ac:dyDescent="0.3">
      <c r="H1917" s="3"/>
      <c r="I1917" s="3"/>
      <c r="J1917" s="3"/>
    </row>
    <row r="1918" spans="8:10" x14ac:dyDescent="0.3">
      <c r="H1918" s="3"/>
      <c r="I1918" s="3"/>
      <c r="J1918" s="3"/>
    </row>
    <row r="1919" spans="8:10" x14ac:dyDescent="0.3">
      <c r="H1919" s="3"/>
      <c r="I1919" s="3"/>
      <c r="J1919" s="3"/>
    </row>
    <row r="1920" spans="8:10" x14ac:dyDescent="0.3">
      <c r="H1920" s="3"/>
      <c r="I1920" s="3"/>
      <c r="J1920" s="3"/>
    </row>
    <row r="1921" spans="8:10" x14ac:dyDescent="0.3">
      <c r="H1921" s="3"/>
      <c r="I1921" s="3"/>
      <c r="J1921" s="3"/>
    </row>
    <row r="1922" spans="8:10" x14ac:dyDescent="0.3">
      <c r="H1922" s="3"/>
      <c r="I1922" s="3"/>
      <c r="J1922" s="3"/>
    </row>
    <row r="1923" spans="8:10" x14ac:dyDescent="0.3">
      <c r="H1923" s="3"/>
      <c r="I1923" s="3"/>
      <c r="J1923" s="3"/>
    </row>
    <row r="1924" spans="8:10" x14ac:dyDescent="0.3">
      <c r="H1924" s="3"/>
      <c r="I1924" s="3"/>
      <c r="J1924" s="3"/>
    </row>
    <row r="1925" spans="8:10" x14ac:dyDescent="0.3">
      <c r="H1925" s="3"/>
      <c r="I1925" s="3"/>
      <c r="J1925" s="3"/>
    </row>
    <row r="1926" spans="8:10" x14ac:dyDescent="0.3">
      <c r="H1926" s="3"/>
      <c r="I1926" s="3"/>
      <c r="J1926" s="3"/>
    </row>
    <row r="1927" spans="8:10" x14ac:dyDescent="0.3">
      <c r="H1927" s="3"/>
      <c r="I1927" s="3"/>
      <c r="J1927" s="3"/>
    </row>
    <row r="1928" spans="8:10" x14ac:dyDescent="0.3">
      <c r="H1928" s="3"/>
      <c r="I1928" s="3"/>
      <c r="J1928" s="3"/>
    </row>
    <row r="1929" spans="8:10" x14ac:dyDescent="0.3">
      <c r="H1929" s="3"/>
      <c r="I1929" s="3"/>
      <c r="J1929" s="3"/>
    </row>
    <row r="1930" spans="8:10" x14ac:dyDescent="0.3">
      <c r="H1930" s="3"/>
      <c r="I1930" s="3"/>
      <c r="J1930" s="3"/>
    </row>
    <row r="1931" spans="8:10" x14ac:dyDescent="0.3">
      <c r="H1931" s="3"/>
      <c r="I1931" s="3"/>
      <c r="J1931" s="3"/>
    </row>
    <row r="1932" spans="8:10" x14ac:dyDescent="0.3">
      <c r="H1932" s="3"/>
      <c r="I1932" s="3"/>
      <c r="J1932" s="3"/>
    </row>
    <row r="1933" spans="8:10" x14ac:dyDescent="0.3">
      <c r="H1933" s="3"/>
      <c r="I1933" s="3"/>
      <c r="J1933" s="3"/>
    </row>
    <row r="1934" spans="8:10" x14ac:dyDescent="0.3">
      <c r="H1934" s="3"/>
      <c r="I1934" s="3"/>
      <c r="J1934" s="3"/>
    </row>
    <row r="1935" spans="8:10" x14ac:dyDescent="0.3">
      <c r="H1935" s="3"/>
      <c r="I1935" s="3"/>
      <c r="J1935" s="3"/>
    </row>
    <row r="1936" spans="8:10" x14ac:dyDescent="0.3">
      <c r="H1936" s="3"/>
      <c r="I1936" s="3"/>
      <c r="J1936" s="3"/>
    </row>
    <row r="1937" spans="8:10" x14ac:dyDescent="0.3">
      <c r="H1937" s="3"/>
      <c r="I1937" s="3"/>
      <c r="J1937" s="3"/>
    </row>
    <row r="1938" spans="8:10" x14ac:dyDescent="0.3">
      <c r="H1938" s="3"/>
      <c r="I1938" s="3"/>
      <c r="J1938" s="3"/>
    </row>
    <row r="1939" spans="8:10" x14ac:dyDescent="0.3">
      <c r="H1939" s="3"/>
      <c r="I1939" s="3"/>
      <c r="J1939" s="3"/>
    </row>
    <row r="1940" spans="8:10" x14ac:dyDescent="0.3">
      <c r="H1940" s="3"/>
      <c r="I1940" s="3"/>
      <c r="J1940" s="3"/>
    </row>
    <row r="1941" spans="8:10" x14ac:dyDescent="0.3">
      <c r="H1941" s="3"/>
      <c r="I1941" s="3"/>
      <c r="J1941" s="3"/>
    </row>
    <row r="1942" spans="8:10" x14ac:dyDescent="0.3">
      <c r="H1942" s="3"/>
      <c r="I1942" s="3"/>
      <c r="J1942" s="3"/>
    </row>
    <row r="1943" spans="8:10" x14ac:dyDescent="0.3">
      <c r="H1943" s="3"/>
      <c r="I1943" s="3"/>
      <c r="J1943" s="3"/>
    </row>
    <row r="1944" spans="8:10" x14ac:dyDescent="0.3">
      <c r="H1944" s="3"/>
      <c r="I1944" s="3"/>
      <c r="J1944" s="3"/>
    </row>
    <row r="1945" spans="8:10" x14ac:dyDescent="0.3">
      <c r="H1945" s="3"/>
      <c r="I1945" s="3"/>
      <c r="J1945" s="3"/>
    </row>
    <row r="1946" spans="8:10" x14ac:dyDescent="0.3">
      <c r="H1946" s="3"/>
      <c r="I1946" s="3"/>
      <c r="J1946" s="3"/>
    </row>
    <row r="1947" spans="8:10" x14ac:dyDescent="0.3">
      <c r="H1947" s="3"/>
      <c r="I1947" s="3"/>
      <c r="J1947" s="3"/>
    </row>
    <row r="1948" spans="8:10" x14ac:dyDescent="0.3">
      <c r="H1948" s="3"/>
      <c r="I1948" s="3"/>
      <c r="J1948" s="3"/>
    </row>
    <row r="1949" spans="8:10" x14ac:dyDescent="0.3">
      <c r="H1949" s="3"/>
      <c r="I1949" s="3"/>
      <c r="J1949" s="3"/>
    </row>
    <row r="1950" spans="8:10" x14ac:dyDescent="0.3">
      <c r="H1950" s="3"/>
      <c r="I1950" s="3"/>
      <c r="J1950" s="3"/>
    </row>
    <row r="1951" spans="8:10" x14ac:dyDescent="0.3">
      <c r="H1951" s="3"/>
      <c r="I1951" s="3"/>
      <c r="J1951" s="3"/>
    </row>
    <row r="1952" spans="8:10" x14ac:dyDescent="0.3">
      <c r="H1952" s="3"/>
      <c r="I1952" s="3"/>
      <c r="J1952" s="3"/>
    </row>
    <row r="1953" spans="8:10" x14ac:dyDescent="0.3">
      <c r="H1953" s="3"/>
      <c r="I1953" s="3"/>
      <c r="J1953" s="3"/>
    </row>
    <row r="1954" spans="8:10" x14ac:dyDescent="0.3">
      <c r="H1954" s="3"/>
      <c r="I1954" s="3"/>
      <c r="J1954" s="3"/>
    </row>
    <row r="1955" spans="8:10" x14ac:dyDescent="0.3">
      <c r="H1955" s="3"/>
      <c r="I1955" s="3"/>
      <c r="J1955" s="3"/>
    </row>
    <row r="1956" spans="8:10" x14ac:dyDescent="0.3">
      <c r="H1956" s="3"/>
      <c r="I1956" s="3"/>
      <c r="J1956" s="3"/>
    </row>
    <row r="1957" spans="8:10" x14ac:dyDescent="0.3">
      <c r="H1957" s="3"/>
      <c r="I1957" s="3"/>
      <c r="J1957" s="3"/>
    </row>
    <row r="1958" spans="8:10" x14ac:dyDescent="0.3">
      <c r="H1958" s="3"/>
      <c r="I1958" s="3"/>
      <c r="J1958" s="3"/>
    </row>
    <row r="1959" spans="8:10" x14ac:dyDescent="0.3">
      <c r="H1959" s="3"/>
      <c r="I1959" s="3"/>
      <c r="J1959" s="3"/>
    </row>
    <row r="1960" spans="8:10" x14ac:dyDescent="0.3">
      <c r="H1960" s="3"/>
      <c r="I1960" s="3"/>
      <c r="J1960" s="3"/>
    </row>
    <row r="1961" spans="8:10" x14ac:dyDescent="0.3">
      <c r="H1961" s="3"/>
      <c r="I1961" s="3"/>
      <c r="J1961" s="3"/>
    </row>
    <row r="1962" spans="8:10" x14ac:dyDescent="0.3">
      <c r="H1962" s="3"/>
      <c r="I1962" s="3"/>
      <c r="J1962" s="3"/>
    </row>
    <row r="1963" spans="8:10" x14ac:dyDescent="0.3">
      <c r="H1963" s="3"/>
      <c r="I1963" s="3"/>
      <c r="J1963" s="3"/>
    </row>
    <row r="1964" spans="8:10" x14ac:dyDescent="0.3">
      <c r="H1964" s="3"/>
      <c r="I1964" s="3"/>
      <c r="J1964" s="3"/>
    </row>
    <row r="1965" spans="8:10" x14ac:dyDescent="0.3">
      <c r="H1965" s="3"/>
      <c r="I1965" s="3"/>
      <c r="J1965" s="3"/>
    </row>
    <row r="1966" spans="8:10" x14ac:dyDescent="0.3">
      <c r="H1966" s="3"/>
      <c r="I1966" s="3"/>
      <c r="J1966" s="3"/>
    </row>
    <row r="1967" spans="8:10" x14ac:dyDescent="0.3">
      <c r="H1967" s="3"/>
      <c r="I1967" s="3"/>
      <c r="J1967" s="3"/>
    </row>
    <row r="1968" spans="8:10" x14ac:dyDescent="0.3">
      <c r="H1968" s="3"/>
      <c r="I1968" s="3"/>
      <c r="J1968" s="3"/>
    </row>
    <row r="1969" spans="8:10" x14ac:dyDescent="0.3">
      <c r="H1969" s="3"/>
      <c r="I1969" s="3"/>
      <c r="J1969" s="3"/>
    </row>
    <row r="1970" spans="8:10" x14ac:dyDescent="0.3">
      <c r="H1970" s="3"/>
      <c r="I1970" s="3"/>
      <c r="J1970" s="3"/>
    </row>
    <row r="1971" spans="8:10" x14ac:dyDescent="0.3">
      <c r="H1971" s="3"/>
      <c r="I1971" s="3"/>
      <c r="J1971" s="3"/>
    </row>
    <row r="1972" spans="8:10" x14ac:dyDescent="0.3">
      <c r="H1972" s="3"/>
      <c r="I1972" s="3"/>
      <c r="J1972" s="3"/>
    </row>
    <row r="1973" spans="8:10" x14ac:dyDescent="0.3">
      <c r="H1973" s="3"/>
      <c r="I1973" s="3"/>
      <c r="J1973" s="3"/>
    </row>
    <row r="1974" spans="8:10" x14ac:dyDescent="0.3">
      <c r="H1974" s="3"/>
      <c r="I1974" s="3"/>
      <c r="J1974" s="3"/>
    </row>
    <row r="1975" spans="8:10" x14ac:dyDescent="0.3">
      <c r="H1975" s="3"/>
      <c r="I1975" s="3"/>
      <c r="J1975" s="3"/>
    </row>
    <row r="1976" spans="8:10" x14ac:dyDescent="0.3">
      <c r="H1976" s="3"/>
      <c r="I1976" s="3"/>
      <c r="J1976" s="3"/>
    </row>
    <row r="1977" spans="8:10" x14ac:dyDescent="0.3">
      <c r="H1977" s="3"/>
      <c r="I1977" s="3"/>
      <c r="J1977" s="3"/>
    </row>
    <row r="1978" spans="8:10" x14ac:dyDescent="0.3">
      <c r="H1978" s="3"/>
      <c r="I1978" s="3"/>
      <c r="J1978" s="3"/>
    </row>
    <row r="1979" spans="8:10" x14ac:dyDescent="0.3">
      <c r="H1979" s="3"/>
      <c r="I1979" s="3"/>
      <c r="J1979" s="3"/>
    </row>
    <row r="1980" spans="8:10" x14ac:dyDescent="0.3">
      <c r="H1980" s="3"/>
      <c r="I1980" s="3"/>
      <c r="J1980" s="3"/>
    </row>
    <row r="1981" spans="8:10" x14ac:dyDescent="0.3">
      <c r="H1981" s="3"/>
      <c r="I1981" s="3"/>
      <c r="J1981" s="3"/>
    </row>
    <row r="1982" spans="8:10" x14ac:dyDescent="0.3">
      <c r="H1982" s="3"/>
      <c r="I1982" s="3"/>
      <c r="J1982" s="3"/>
    </row>
    <row r="1983" spans="8:10" x14ac:dyDescent="0.3">
      <c r="H1983" s="3"/>
      <c r="I1983" s="3"/>
      <c r="J1983" s="3"/>
    </row>
    <row r="1984" spans="8:10" x14ac:dyDescent="0.3">
      <c r="H1984" s="3"/>
      <c r="I1984" s="3"/>
      <c r="J1984" s="3"/>
    </row>
    <row r="1985" spans="8:10" x14ac:dyDescent="0.3">
      <c r="H1985" s="3"/>
      <c r="I1985" s="3"/>
      <c r="J1985" s="3"/>
    </row>
    <row r="1986" spans="8:10" x14ac:dyDescent="0.3">
      <c r="H1986" s="3"/>
      <c r="I1986" s="3"/>
      <c r="J1986" s="3"/>
    </row>
    <row r="1987" spans="8:10" x14ac:dyDescent="0.3">
      <c r="H1987" s="3"/>
      <c r="I1987" s="3"/>
      <c r="J1987" s="3"/>
    </row>
    <row r="1988" spans="8:10" x14ac:dyDescent="0.3">
      <c r="H1988" s="3"/>
      <c r="I1988" s="3"/>
      <c r="J1988" s="3"/>
    </row>
    <row r="1989" spans="8:10" x14ac:dyDescent="0.3">
      <c r="H1989" s="3"/>
      <c r="I1989" s="3"/>
      <c r="J1989" s="3"/>
    </row>
    <row r="1990" spans="8:10" x14ac:dyDescent="0.3">
      <c r="H1990" s="3"/>
      <c r="I1990" s="3"/>
      <c r="J1990" s="3"/>
    </row>
    <row r="1991" spans="8:10" x14ac:dyDescent="0.3">
      <c r="H1991" s="3"/>
      <c r="I1991" s="3"/>
      <c r="J1991" s="3"/>
    </row>
    <row r="1992" spans="8:10" x14ac:dyDescent="0.3">
      <c r="H1992" s="3"/>
      <c r="I1992" s="3"/>
      <c r="J1992" s="3"/>
    </row>
    <row r="1993" spans="8:10" x14ac:dyDescent="0.3">
      <c r="H1993" s="3"/>
      <c r="I1993" s="3"/>
      <c r="J1993" s="3"/>
    </row>
    <row r="1994" spans="8:10" x14ac:dyDescent="0.3">
      <c r="H1994" s="3"/>
      <c r="I1994" s="3"/>
      <c r="J1994" s="3"/>
    </row>
    <row r="1995" spans="8:10" x14ac:dyDescent="0.3">
      <c r="H1995" s="3"/>
      <c r="I1995" s="3"/>
      <c r="J1995" s="3"/>
    </row>
    <row r="1996" spans="8:10" x14ac:dyDescent="0.3">
      <c r="H1996" s="3"/>
      <c r="I1996" s="3"/>
      <c r="J1996" s="3"/>
    </row>
    <row r="1997" spans="8:10" x14ac:dyDescent="0.3">
      <c r="H1997" s="3"/>
      <c r="I1997" s="3"/>
      <c r="J1997" s="3"/>
    </row>
    <row r="1998" spans="8:10" x14ac:dyDescent="0.3">
      <c r="H1998" s="3"/>
      <c r="I1998" s="3"/>
      <c r="J1998" s="3"/>
    </row>
    <row r="1999" spans="8:10" x14ac:dyDescent="0.3">
      <c r="H1999" s="3"/>
      <c r="I1999" s="3"/>
      <c r="J1999" s="3"/>
    </row>
    <row r="2000" spans="8:10" x14ac:dyDescent="0.3">
      <c r="H2000" s="3"/>
      <c r="I2000" s="3"/>
      <c r="J2000" s="3"/>
    </row>
    <row r="2001" spans="8:10" x14ac:dyDescent="0.3">
      <c r="H2001" s="3"/>
      <c r="I2001" s="3"/>
      <c r="J2001" s="3"/>
    </row>
    <row r="2002" spans="8:10" x14ac:dyDescent="0.3">
      <c r="H2002" s="3"/>
      <c r="I2002" s="3"/>
      <c r="J2002" s="3"/>
    </row>
    <row r="2003" spans="8:10" x14ac:dyDescent="0.3">
      <c r="H2003" s="3"/>
      <c r="I2003" s="3"/>
      <c r="J2003" s="3"/>
    </row>
    <row r="2004" spans="8:10" x14ac:dyDescent="0.3">
      <c r="H2004" s="3"/>
      <c r="I2004" s="3"/>
      <c r="J2004" s="3"/>
    </row>
    <row r="2005" spans="8:10" x14ac:dyDescent="0.3">
      <c r="H2005" s="3"/>
      <c r="I2005" s="3"/>
      <c r="J2005" s="3"/>
    </row>
    <row r="2006" spans="8:10" x14ac:dyDescent="0.3">
      <c r="H2006" s="3"/>
      <c r="I2006" s="3"/>
      <c r="J2006" s="3"/>
    </row>
    <row r="2007" spans="8:10" x14ac:dyDescent="0.3">
      <c r="H2007" s="3"/>
      <c r="I2007" s="3"/>
      <c r="J2007" s="3"/>
    </row>
    <row r="2008" spans="8:10" x14ac:dyDescent="0.3">
      <c r="H2008" s="3"/>
      <c r="I2008" s="3"/>
      <c r="J2008" s="3"/>
    </row>
    <row r="2009" spans="8:10" x14ac:dyDescent="0.3">
      <c r="H2009" s="3"/>
      <c r="I2009" s="3"/>
      <c r="J2009" s="3"/>
    </row>
    <row r="2010" spans="8:10" x14ac:dyDescent="0.3">
      <c r="H2010" s="3"/>
      <c r="I2010" s="3"/>
      <c r="J2010" s="3"/>
    </row>
    <row r="2011" spans="8:10" x14ac:dyDescent="0.3">
      <c r="H2011" s="3"/>
      <c r="I2011" s="3"/>
      <c r="J2011" s="3"/>
    </row>
    <row r="2012" spans="8:10" x14ac:dyDescent="0.3">
      <c r="H2012" s="3"/>
      <c r="I2012" s="3"/>
      <c r="J2012" s="3"/>
    </row>
    <row r="2013" spans="8:10" x14ac:dyDescent="0.3">
      <c r="H2013" s="3"/>
      <c r="I2013" s="3"/>
      <c r="J2013" s="3"/>
    </row>
    <row r="2014" spans="8:10" x14ac:dyDescent="0.3">
      <c r="H2014" s="3"/>
      <c r="I2014" s="3"/>
      <c r="J2014" s="3"/>
    </row>
    <row r="2015" spans="8:10" x14ac:dyDescent="0.3">
      <c r="H2015" s="3"/>
      <c r="I2015" s="3"/>
      <c r="J2015" s="3"/>
    </row>
    <row r="2016" spans="8:10" x14ac:dyDescent="0.3">
      <c r="H2016" s="3"/>
      <c r="I2016" s="3"/>
      <c r="J2016" s="3"/>
    </row>
    <row r="2017" spans="8:10" x14ac:dyDescent="0.3">
      <c r="H2017" s="3"/>
      <c r="I2017" s="3"/>
      <c r="J2017" s="3"/>
    </row>
    <row r="2018" spans="8:10" x14ac:dyDescent="0.3">
      <c r="H2018" s="3"/>
      <c r="I2018" s="3"/>
      <c r="J2018" s="3"/>
    </row>
    <row r="2019" spans="8:10" x14ac:dyDescent="0.3">
      <c r="H2019" s="3"/>
      <c r="I2019" s="3"/>
      <c r="J2019" s="3"/>
    </row>
    <row r="2020" spans="8:10" x14ac:dyDescent="0.3">
      <c r="H2020" s="3"/>
      <c r="I2020" s="3"/>
      <c r="J2020" s="3"/>
    </row>
    <row r="2021" spans="8:10" x14ac:dyDescent="0.3">
      <c r="H2021" s="3"/>
      <c r="I2021" s="3"/>
      <c r="J2021" s="3"/>
    </row>
    <row r="2022" spans="8:10" x14ac:dyDescent="0.3">
      <c r="H2022" s="3"/>
      <c r="I2022" s="3"/>
      <c r="J2022" s="3"/>
    </row>
    <row r="2023" spans="8:10" x14ac:dyDescent="0.3">
      <c r="H2023" s="3"/>
      <c r="I2023" s="3"/>
      <c r="J2023" s="3"/>
    </row>
    <row r="2024" spans="8:10" x14ac:dyDescent="0.3">
      <c r="H2024" s="3"/>
      <c r="I2024" s="3"/>
      <c r="J2024" s="3"/>
    </row>
    <row r="2025" spans="8:10" x14ac:dyDescent="0.3">
      <c r="H2025" s="3"/>
      <c r="I2025" s="3"/>
      <c r="J2025" s="3"/>
    </row>
    <row r="2026" spans="8:10" x14ac:dyDescent="0.3">
      <c r="H2026" s="3"/>
      <c r="I2026" s="3"/>
      <c r="J2026" s="3"/>
    </row>
    <row r="2027" spans="8:10" x14ac:dyDescent="0.3">
      <c r="H2027" s="3"/>
      <c r="I2027" s="3"/>
      <c r="J2027" s="3"/>
    </row>
    <row r="2028" spans="8:10" x14ac:dyDescent="0.3">
      <c r="H2028" s="3"/>
      <c r="I2028" s="3"/>
      <c r="J2028" s="3"/>
    </row>
    <row r="2029" spans="8:10" x14ac:dyDescent="0.3">
      <c r="H2029" s="3"/>
      <c r="I2029" s="3"/>
      <c r="J2029" s="3"/>
    </row>
    <row r="2030" spans="8:10" x14ac:dyDescent="0.3">
      <c r="H2030" s="3"/>
      <c r="I2030" s="3"/>
      <c r="J2030" s="3"/>
    </row>
    <row r="2031" spans="8:10" x14ac:dyDescent="0.3">
      <c r="H2031" s="3"/>
      <c r="I2031" s="3"/>
      <c r="J2031" s="3"/>
    </row>
    <row r="2032" spans="8:10" x14ac:dyDescent="0.3">
      <c r="H2032" s="3"/>
      <c r="I2032" s="3"/>
      <c r="J2032" s="3"/>
    </row>
    <row r="2033" spans="8:10" x14ac:dyDescent="0.3">
      <c r="H2033" s="3"/>
      <c r="I2033" s="3"/>
      <c r="J2033" s="3"/>
    </row>
    <row r="2034" spans="8:10" x14ac:dyDescent="0.3">
      <c r="H2034" s="3"/>
      <c r="I2034" s="3"/>
      <c r="J2034" s="3"/>
    </row>
    <row r="2035" spans="8:10" x14ac:dyDescent="0.3">
      <c r="H2035" s="3"/>
      <c r="I2035" s="3"/>
      <c r="J2035" s="3"/>
    </row>
    <row r="2036" spans="8:10" x14ac:dyDescent="0.3">
      <c r="H2036" s="3"/>
      <c r="I2036" s="3"/>
      <c r="J2036" s="3"/>
    </row>
    <row r="2037" spans="8:10" x14ac:dyDescent="0.3">
      <c r="H2037" s="3"/>
      <c r="I2037" s="3"/>
      <c r="J2037" s="3"/>
    </row>
    <row r="2038" spans="8:10" x14ac:dyDescent="0.3">
      <c r="H2038" s="3"/>
      <c r="I2038" s="3"/>
      <c r="J2038" s="3"/>
    </row>
    <row r="2039" spans="8:10" x14ac:dyDescent="0.3">
      <c r="H2039" s="3"/>
      <c r="I2039" s="3"/>
      <c r="J2039" s="3"/>
    </row>
    <row r="2040" spans="8:10" x14ac:dyDescent="0.3">
      <c r="H2040" s="3"/>
      <c r="I2040" s="3"/>
      <c r="J2040" s="3"/>
    </row>
    <row r="2041" spans="8:10" x14ac:dyDescent="0.3">
      <c r="H2041" s="3"/>
      <c r="I2041" s="3"/>
      <c r="J2041" s="3"/>
    </row>
    <row r="2042" spans="8:10" x14ac:dyDescent="0.3">
      <c r="H2042" s="3"/>
      <c r="I2042" s="3"/>
      <c r="J2042" s="3"/>
    </row>
    <row r="2043" spans="8:10" x14ac:dyDescent="0.3">
      <c r="H2043" s="3"/>
      <c r="I2043" s="3"/>
      <c r="J2043" s="3"/>
    </row>
    <row r="2044" spans="8:10" x14ac:dyDescent="0.3">
      <c r="H2044" s="3"/>
      <c r="I2044" s="3"/>
      <c r="J2044" s="3"/>
    </row>
    <row r="2045" spans="8:10" x14ac:dyDescent="0.3">
      <c r="H2045" s="3"/>
      <c r="I2045" s="3"/>
      <c r="J2045" s="3"/>
    </row>
    <row r="2046" spans="8:10" x14ac:dyDescent="0.3">
      <c r="H2046" s="3"/>
      <c r="I2046" s="3"/>
      <c r="J2046" s="3"/>
    </row>
    <row r="2047" spans="8:10" x14ac:dyDescent="0.3">
      <c r="H2047" s="3"/>
      <c r="I2047" s="3"/>
      <c r="J2047" s="3"/>
    </row>
    <row r="2048" spans="8:10" x14ac:dyDescent="0.3">
      <c r="H2048" s="3"/>
      <c r="I2048" s="3"/>
      <c r="J2048" s="3"/>
    </row>
    <row r="2049" spans="8:10" x14ac:dyDescent="0.3">
      <c r="H2049" s="3"/>
      <c r="I2049" s="3"/>
      <c r="J2049" s="3"/>
    </row>
    <row r="2050" spans="8:10" x14ac:dyDescent="0.3">
      <c r="H2050" s="3"/>
      <c r="I2050" s="3"/>
      <c r="J2050" s="3"/>
    </row>
    <row r="2051" spans="8:10" x14ac:dyDescent="0.3">
      <c r="H2051" s="3"/>
      <c r="I2051" s="3"/>
      <c r="J2051" s="3"/>
    </row>
    <row r="2052" spans="8:10" x14ac:dyDescent="0.3">
      <c r="H2052" s="3"/>
      <c r="I2052" s="3"/>
      <c r="J2052" s="3"/>
    </row>
    <row r="2053" spans="8:10" x14ac:dyDescent="0.3">
      <c r="H2053" s="3"/>
      <c r="I2053" s="3"/>
      <c r="J2053" s="3"/>
    </row>
    <row r="2054" spans="8:10" x14ac:dyDescent="0.3">
      <c r="H2054" s="3"/>
      <c r="I2054" s="3"/>
      <c r="J2054" s="3"/>
    </row>
    <row r="2055" spans="8:10" x14ac:dyDescent="0.3">
      <c r="H2055" s="3"/>
      <c r="I2055" s="3"/>
      <c r="J2055" s="3"/>
    </row>
    <row r="2056" spans="8:10" x14ac:dyDescent="0.3">
      <c r="H2056" s="3"/>
      <c r="I2056" s="3"/>
      <c r="J2056" s="3"/>
    </row>
    <row r="2057" spans="8:10" x14ac:dyDescent="0.3">
      <c r="H2057" s="3"/>
      <c r="I2057" s="3"/>
      <c r="J2057" s="3"/>
    </row>
    <row r="2058" spans="8:10" x14ac:dyDescent="0.3">
      <c r="H2058" s="3"/>
      <c r="I2058" s="3"/>
      <c r="J2058" s="3"/>
    </row>
    <row r="2059" spans="8:10" x14ac:dyDescent="0.3">
      <c r="H2059" s="3"/>
      <c r="I2059" s="3"/>
      <c r="J2059" s="3"/>
    </row>
    <row r="2060" spans="8:10" x14ac:dyDescent="0.3">
      <c r="H2060" s="3"/>
      <c r="I2060" s="3"/>
      <c r="J2060" s="3"/>
    </row>
    <row r="2061" spans="8:10" x14ac:dyDescent="0.3">
      <c r="H2061" s="3"/>
      <c r="I2061" s="3"/>
      <c r="J2061" s="3"/>
    </row>
    <row r="2062" spans="8:10" x14ac:dyDescent="0.3">
      <c r="H2062" s="3"/>
      <c r="I2062" s="3"/>
      <c r="J2062" s="3"/>
    </row>
    <row r="2063" spans="8:10" x14ac:dyDescent="0.3">
      <c r="H2063" s="3"/>
      <c r="I2063" s="3"/>
      <c r="J2063" s="3"/>
    </row>
    <row r="2064" spans="8:10" x14ac:dyDescent="0.3">
      <c r="H2064" s="3"/>
      <c r="I2064" s="3"/>
      <c r="J2064" s="3"/>
    </row>
    <row r="2065" spans="8:10" x14ac:dyDescent="0.3">
      <c r="H2065" s="3"/>
      <c r="I2065" s="3"/>
      <c r="J2065" s="3"/>
    </row>
    <row r="2066" spans="8:10" x14ac:dyDescent="0.3">
      <c r="H2066" s="3"/>
      <c r="I2066" s="3"/>
      <c r="J2066" s="3"/>
    </row>
    <row r="2067" spans="8:10" x14ac:dyDescent="0.3">
      <c r="H2067" s="3"/>
      <c r="I2067" s="3"/>
      <c r="J2067" s="3"/>
    </row>
    <row r="2068" spans="8:10" x14ac:dyDescent="0.3">
      <c r="H2068" s="3"/>
      <c r="I2068" s="3"/>
      <c r="J2068" s="3"/>
    </row>
    <row r="2069" spans="8:10" x14ac:dyDescent="0.3">
      <c r="H2069" s="3"/>
      <c r="I2069" s="3"/>
      <c r="J2069" s="3"/>
    </row>
    <row r="2070" spans="8:10" x14ac:dyDescent="0.3">
      <c r="H2070" s="3"/>
      <c r="I2070" s="3"/>
      <c r="J2070" s="3"/>
    </row>
    <row r="2071" spans="8:10" x14ac:dyDescent="0.3">
      <c r="H2071" s="3"/>
      <c r="I2071" s="3"/>
      <c r="J2071" s="3"/>
    </row>
    <row r="2072" spans="8:10" x14ac:dyDescent="0.3">
      <c r="H2072" s="3"/>
      <c r="I2072" s="3"/>
      <c r="J2072" s="3"/>
    </row>
    <row r="2073" spans="8:10" x14ac:dyDescent="0.3">
      <c r="H2073" s="3"/>
      <c r="I2073" s="3"/>
      <c r="J2073" s="3"/>
    </row>
    <row r="2074" spans="8:10" x14ac:dyDescent="0.3">
      <c r="H2074" s="3"/>
      <c r="I2074" s="3"/>
      <c r="J2074" s="3"/>
    </row>
    <row r="2075" spans="8:10" x14ac:dyDescent="0.3">
      <c r="H2075" s="3"/>
      <c r="I2075" s="3"/>
      <c r="J2075" s="3"/>
    </row>
    <row r="2076" spans="8:10" x14ac:dyDescent="0.3">
      <c r="H2076" s="3"/>
      <c r="I2076" s="3"/>
      <c r="J2076" s="3"/>
    </row>
    <row r="2077" spans="8:10" x14ac:dyDescent="0.3">
      <c r="H2077" s="3"/>
      <c r="I2077" s="3"/>
      <c r="J2077" s="3"/>
    </row>
    <row r="2078" spans="8:10" x14ac:dyDescent="0.3">
      <c r="H2078" s="3"/>
      <c r="I2078" s="3"/>
      <c r="J2078" s="3"/>
    </row>
    <row r="2079" spans="8:10" x14ac:dyDescent="0.3">
      <c r="H2079" s="3"/>
      <c r="I2079" s="3"/>
      <c r="J2079" s="3"/>
    </row>
    <row r="2080" spans="8:10" x14ac:dyDescent="0.3">
      <c r="H2080" s="3"/>
      <c r="I2080" s="3"/>
      <c r="J2080" s="3"/>
    </row>
    <row r="2081" spans="8:10" x14ac:dyDescent="0.3">
      <c r="H2081" s="3"/>
      <c r="I2081" s="3"/>
      <c r="J2081" s="3"/>
    </row>
    <row r="2082" spans="8:10" x14ac:dyDescent="0.3">
      <c r="H2082" s="3"/>
      <c r="I2082" s="3"/>
      <c r="J2082" s="3"/>
    </row>
    <row r="2083" spans="8:10" x14ac:dyDescent="0.3">
      <c r="H2083" s="3"/>
      <c r="I2083" s="3"/>
      <c r="J2083" s="3"/>
    </row>
    <row r="2084" spans="8:10" x14ac:dyDescent="0.3">
      <c r="H2084" s="3"/>
      <c r="I2084" s="3"/>
      <c r="J2084" s="3"/>
    </row>
    <row r="2085" spans="8:10" x14ac:dyDescent="0.3">
      <c r="H2085" s="3"/>
      <c r="I2085" s="3"/>
      <c r="J2085" s="3"/>
    </row>
    <row r="2086" spans="8:10" x14ac:dyDescent="0.3">
      <c r="H2086" s="3"/>
      <c r="I2086" s="3"/>
      <c r="J2086" s="3"/>
    </row>
    <row r="2087" spans="8:10" x14ac:dyDescent="0.3">
      <c r="H2087" s="3"/>
      <c r="I2087" s="3"/>
      <c r="J2087" s="3"/>
    </row>
    <row r="2088" spans="8:10" x14ac:dyDescent="0.3">
      <c r="H2088" s="3"/>
      <c r="I2088" s="3"/>
      <c r="J2088" s="3"/>
    </row>
    <row r="2089" spans="8:10" x14ac:dyDescent="0.3">
      <c r="H2089" s="3"/>
      <c r="I2089" s="3"/>
      <c r="J2089" s="3"/>
    </row>
    <row r="2090" spans="8:10" x14ac:dyDescent="0.3">
      <c r="H2090" s="3"/>
      <c r="I2090" s="3"/>
      <c r="J2090" s="3"/>
    </row>
    <row r="2091" spans="8:10" x14ac:dyDescent="0.3">
      <c r="H2091" s="3"/>
      <c r="I2091" s="3"/>
      <c r="J2091" s="3"/>
    </row>
    <row r="2092" spans="8:10" x14ac:dyDescent="0.3">
      <c r="H2092" s="3"/>
      <c r="I2092" s="3"/>
      <c r="J2092" s="3"/>
    </row>
    <row r="2093" spans="8:10" x14ac:dyDescent="0.3">
      <c r="H2093" s="3"/>
      <c r="I2093" s="3"/>
      <c r="J2093" s="3"/>
    </row>
    <row r="2094" spans="8:10" x14ac:dyDescent="0.3">
      <c r="H2094" s="3"/>
      <c r="I2094" s="3"/>
      <c r="J2094" s="3"/>
    </row>
    <row r="2095" spans="8:10" x14ac:dyDescent="0.3">
      <c r="H2095" s="3"/>
      <c r="I2095" s="3"/>
      <c r="J2095" s="3"/>
    </row>
    <row r="2096" spans="8:10" x14ac:dyDescent="0.3">
      <c r="H2096" s="3"/>
      <c r="I2096" s="3"/>
      <c r="J2096" s="3"/>
    </row>
    <row r="2097" spans="8:10" x14ac:dyDescent="0.3">
      <c r="H2097" s="3"/>
      <c r="I2097" s="3"/>
      <c r="J2097" s="3"/>
    </row>
    <row r="2098" spans="8:10" x14ac:dyDescent="0.3">
      <c r="H2098" s="3"/>
      <c r="I2098" s="3"/>
      <c r="J2098" s="3"/>
    </row>
    <row r="2099" spans="8:10" x14ac:dyDescent="0.3">
      <c r="H2099" s="3"/>
      <c r="I2099" s="3"/>
      <c r="J2099" s="3"/>
    </row>
    <row r="2100" spans="8:10" x14ac:dyDescent="0.3">
      <c r="H2100" s="3"/>
      <c r="I2100" s="3"/>
      <c r="J2100" s="3"/>
    </row>
    <row r="2101" spans="8:10" x14ac:dyDescent="0.3">
      <c r="H2101" s="3"/>
      <c r="I2101" s="3"/>
      <c r="J2101" s="3"/>
    </row>
    <row r="2102" spans="8:10" x14ac:dyDescent="0.3">
      <c r="H2102" s="3"/>
      <c r="I2102" s="3"/>
      <c r="J2102" s="3"/>
    </row>
    <row r="2103" spans="8:10" x14ac:dyDescent="0.3">
      <c r="H2103" s="3"/>
      <c r="I2103" s="3"/>
      <c r="J2103" s="3"/>
    </row>
    <row r="2104" spans="8:10" x14ac:dyDescent="0.3">
      <c r="H2104" s="3"/>
      <c r="I2104" s="3"/>
      <c r="J2104" s="3"/>
    </row>
    <row r="2105" spans="8:10" x14ac:dyDescent="0.3">
      <c r="H2105" s="3"/>
      <c r="I2105" s="3"/>
      <c r="J2105" s="3"/>
    </row>
    <row r="2106" spans="8:10" x14ac:dyDescent="0.3">
      <c r="H2106" s="3"/>
      <c r="I2106" s="3"/>
      <c r="J2106" s="3"/>
    </row>
    <row r="2107" spans="8:10" x14ac:dyDescent="0.3">
      <c r="H2107" s="3"/>
      <c r="I2107" s="3"/>
      <c r="J2107" s="3"/>
    </row>
    <row r="2108" spans="8:10" x14ac:dyDescent="0.3">
      <c r="H2108" s="3"/>
      <c r="I2108" s="3"/>
      <c r="J2108" s="3"/>
    </row>
    <row r="2109" spans="8:10" x14ac:dyDescent="0.3">
      <c r="H2109" s="3"/>
      <c r="I2109" s="3"/>
      <c r="J2109" s="3"/>
    </row>
    <row r="2110" spans="8:10" x14ac:dyDescent="0.3">
      <c r="H2110" s="3"/>
      <c r="I2110" s="3"/>
      <c r="J2110" s="3"/>
    </row>
    <row r="2111" spans="8:10" x14ac:dyDescent="0.3">
      <c r="H2111" s="3"/>
      <c r="I2111" s="3"/>
      <c r="J2111" s="3"/>
    </row>
    <row r="2112" spans="8:10" x14ac:dyDescent="0.3">
      <c r="H2112" s="3"/>
      <c r="I2112" s="3"/>
      <c r="J2112" s="3"/>
    </row>
    <row r="2113" spans="8:10" x14ac:dyDescent="0.3">
      <c r="H2113" s="3"/>
      <c r="I2113" s="3"/>
      <c r="J2113" s="3"/>
    </row>
    <row r="2114" spans="8:10" x14ac:dyDescent="0.3">
      <c r="H2114" s="3"/>
      <c r="I2114" s="3"/>
      <c r="J2114" s="3"/>
    </row>
    <row r="2115" spans="8:10" x14ac:dyDescent="0.3">
      <c r="H2115" s="3"/>
      <c r="I2115" s="3"/>
      <c r="J2115" s="3"/>
    </row>
    <row r="2116" spans="8:10" x14ac:dyDescent="0.3">
      <c r="H2116" s="3"/>
      <c r="I2116" s="3"/>
      <c r="J2116" s="3"/>
    </row>
    <row r="2117" spans="8:10" x14ac:dyDescent="0.3">
      <c r="H2117" s="3"/>
      <c r="I2117" s="3"/>
      <c r="J2117" s="3"/>
    </row>
    <row r="2118" spans="8:10" x14ac:dyDescent="0.3">
      <c r="H2118" s="3"/>
      <c r="I2118" s="3"/>
      <c r="J2118" s="3"/>
    </row>
    <row r="2119" spans="8:10" x14ac:dyDescent="0.3">
      <c r="H2119" s="3"/>
      <c r="I2119" s="3"/>
      <c r="J2119" s="3"/>
    </row>
    <row r="2120" spans="8:10" x14ac:dyDescent="0.3">
      <c r="H2120" s="3"/>
      <c r="I2120" s="3"/>
      <c r="J2120" s="3"/>
    </row>
    <row r="2121" spans="8:10" x14ac:dyDescent="0.3">
      <c r="H2121" s="3"/>
      <c r="I2121" s="3"/>
      <c r="J2121" s="3"/>
    </row>
    <row r="2122" spans="8:10" x14ac:dyDescent="0.3">
      <c r="H2122" s="3"/>
      <c r="I2122" s="3"/>
      <c r="J2122" s="3"/>
    </row>
    <row r="2123" spans="8:10" x14ac:dyDescent="0.3">
      <c r="H2123" s="3"/>
      <c r="I2123" s="3"/>
      <c r="J2123" s="3"/>
    </row>
    <row r="2124" spans="8:10" x14ac:dyDescent="0.3">
      <c r="H2124" s="3"/>
      <c r="I2124" s="3"/>
      <c r="J2124" s="3"/>
    </row>
    <row r="2125" spans="8:10" x14ac:dyDescent="0.3">
      <c r="H2125" s="3"/>
      <c r="I2125" s="3"/>
      <c r="J2125" s="3"/>
    </row>
    <row r="2126" spans="8:10" x14ac:dyDescent="0.3">
      <c r="H2126" s="3"/>
      <c r="I2126" s="3"/>
      <c r="J2126" s="3"/>
    </row>
    <row r="2127" spans="8:10" x14ac:dyDescent="0.3">
      <c r="H2127" s="3"/>
      <c r="I2127" s="3"/>
      <c r="J2127" s="3"/>
    </row>
    <row r="2128" spans="8:10" x14ac:dyDescent="0.3">
      <c r="H2128" s="3"/>
      <c r="I2128" s="3"/>
      <c r="J2128" s="3"/>
    </row>
    <row r="2129" spans="8:10" x14ac:dyDescent="0.3">
      <c r="H2129" s="3"/>
      <c r="I2129" s="3"/>
      <c r="J2129" s="3"/>
    </row>
    <row r="2130" spans="8:10" x14ac:dyDescent="0.3">
      <c r="H2130" s="3"/>
      <c r="I2130" s="3"/>
      <c r="J2130" s="3"/>
    </row>
    <row r="2131" spans="8:10" x14ac:dyDescent="0.3">
      <c r="H2131" s="3"/>
      <c r="I2131" s="3"/>
      <c r="J2131" s="3"/>
    </row>
    <row r="2132" spans="8:10" x14ac:dyDescent="0.3">
      <c r="H2132" s="3"/>
      <c r="I2132" s="3"/>
      <c r="J2132" s="3"/>
    </row>
    <row r="2133" spans="8:10" x14ac:dyDescent="0.3">
      <c r="H2133" s="3"/>
      <c r="I2133" s="3"/>
      <c r="J2133" s="3"/>
    </row>
    <row r="2134" spans="8:10" x14ac:dyDescent="0.3">
      <c r="H2134" s="3"/>
      <c r="I2134" s="3"/>
      <c r="J2134" s="3"/>
    </row>
    <row r="2135" spans="8:10" x14ac:dyDescent="0.3">
      <c r="H2135" s="3"/>
      <c r="I2135" s="3"/>
      <c r="J2135" s="3"/>
    </row>
    <row r="2136" spans="8:10" x14ac:dyDescent="0.3">
      <c r="H2136" s="3"/>
      <c r="I2136" s="3"/>
      <c r="J2136" s="3"/>
    </row>
    <row r="2137" spans="8:10" x14ac:dyDescent="0.3">
      <c r="H2137" s="3"/>
      <c r="I2137" s="3"/>
      <c r="J2137" s="3"/>
    </row>
    <row r="2138" spans="8:10" x14ac:dyDescent="0.3">
      <c r="H2138" s="3"/>
      <c r="I2138" s="3"/>
      <c r="J2138" s="3"/>
    </row>
    <row r="2139" spans="8:10" x14ac:dyDescent="0.3">
      <c r="H2139" s="3"/>
      <c r="I2139" s="3"/>
      <c r="J2139" s="3"/>
    </row>
    <row r="2140" spans="8:10" x14ac:dyDescent="0.3">
      <c r="H2140" s="3"/>
      <c r="I2140" s="3"/>
      <c r="J2140" s="3"/>
    </row>
    <row r="2141" spans="8:10" x14ac:dyDescent="0.3">
      <c r="H2141" s="3"/>
      <c r="I2141" s="3"/>
      <c r="J2141" s="3"/>
    </row>
    <row r="2142" spans="8:10" x14ac:dyDescent="0.3">
      <c r="H2142" s="3"/>
      <c r="I2142" s="3"/>
      <c r="J2142" s="3"/>
    </row>
    <row r="2143" spans="8:10" x14ac:dyDescent="0.3">
      <c r="H2143" s="3"/>
      <c r="I2143" s="3"/>
      <c r="J2143" s="3"/>
    </row>
    <row r="2144" spans="8:10" x14ac:dyDescent="0.3">
      <c r="H2144" s="3"/>
      <c r="I2144" s="3"/>
      <c r="J2144" s="3"/>
    </row>
    <row r="2145" spans="8:10" x14ac:dyDescent="0.3">
      <c r="H2145" s="3"/>
      <c r="I2145" s="3"/>
      <c r="J2145" s="3"/>
    </row>
    <row r="2146" spans="8:10" x14ac:dyDescent="0.3">
      <c r="H2146" s="3"/>
      <c r="I2146" s="3"/>
      <c r="J2146" s="3"/>
    </row>
    <row r="2147" spans="8:10" x14ac:dyDescent="0.3">
      <c r="H2147" s="3"/>
      <c r="I2147" s="3"/>
      <c r="J2147" s="3"/>
    </row>
    <row r="2148" spans="8:10" x14ac:dyDescent="0.3">
      <c r="H2148" s="3"/>
      <c r="I2148" s="3"/>
      <c r="J2148" s="3"/>
    </row>
    <row r="2149" spans="8:10" x14ac:dyDescent="0.3">
      <c r="H2149" s="3"/>
      <c r="I2149" s="3"/>
      <c r="J2149" s="3"/>
    </row>
    <row r="2150" spans="8:10" x14ac:dyDescent="0.3">
      <c r="H2150" s="3"/>
      <c r="I2150" s="3"/>
      <c r="J2150" s="3"/>
    </row>
    <row r="2151" spans="8:10" x14ac:dyDescent="0.3">
      <c r="H2151" s="3"/>
      <c r="I2151" s="3"/>
      <c r="J2151" s="3"/>
    </row>
    <row r="2152" spans="8:10" x14ac:dyDescent="0.3">
      <c r="H2152" s="3"/>
      <c r="I2152" s="3"/>
      <c r="J2152" s="3"/>
    </row>
    <row r="2153" spans="8:10" x14ac:dyDescent="0.3">
      <c r="H2153" s="3"/>
      <c r="I2153" s="3"/>
      <c r="J2153" s="3"/>
    </row>
    <row r="2154" spans="8:10" x14ac:dyDescent="0.3">
      <c r="H2154" s="3"/>
      <c r="I2154" s="3"/>
      <c r="J2154" s="3"/>
    </row>
    <row r="2155" spans="8:10" x14ac:dyDescent="0.3">
      <c r="H2155" s="3"/>
      <c r="I2155" s="3"/>
      <c r="J2155" s="3"/>
    </row>
    <row r="2156" spans="8:10" x14ac:dyDescent="0.3">
      <c r="H2156" s="3"/>
      <c r="I2156" s="3"/>
      <c r="J2156" s="3"/>
    </row>
    <row r="2157" spans="8:10" x14ac:dyDescent="0.3">
      <c r="H2157" s="3"/>
      <c r="I2157" s="3"/>
      <c r="J2157" s="3"/>
    </row>
    <row r="2158" spans="8:10" x14ac:dyDescent="0.3">
      <c r="H2158" s="3"/>
      <c r="I2158" s="3"/>
      <c r="J2158" s="3"/>
    </row>
    <row r="2159" spans="8:10" x14ac:dyDescent="0.3">
      <c r="H2159" s="3"/>
      <c r="I2159" s="3"/>
      <c r="J2159" s="3"/>
    </row>
    <row r="2160" spans="8:10" x14ac:dyDescent="0.3">
      <c r="H2160" s="3"/>
      <c r="I2160" s="3"/>
      <c r="J2160" s="3"/>
    </row>
    <row r="2161" spans="8:10" x14ac:dyDescent="0.3">
      <c r="H2161" s="3"/>
      <c r="I2161" s="3"/>
      <c r="J2161" s="3"/>
    </row>
    <row r="2162" spans="8:10" x14ac:dyDescent="0.3">
      <c r="H2162" s="3"/>
      <c r="I2162" s="3"/>
      <c r="J2162" s="3"/>
    </row>
    <row r="2163" spans="8:10" x14ac:dyDescent="0.3">
      <c r="H2163" s="3"/>
      <c r="I2163" s="3"/>
      <c r="J2163" s="3"/>
    </row>
    <row r="2164" spans="8:10" x14ac:dyDescent="0.3">
      <c r="H2164" s="3"/>
      <c r="I2164" s="3"/>
      <c r="J2164" s="3"/>
    </row>
    <row r="2165" spans="8:10" x14ac:dyDescent="0.3">
      <c r="H2165" s="3"/>
      <c r="I2165" s="3"/>
      <c r="J2165" s="3"/>
    </row>
    <row r="2166" spans="8:10" x14ac:dyDescent="0.3">
      <c r="H2166" s="3"/>
      <c r="I2166" s="3"/>
      <c r="J2166" s="3"/>
    </row>
    <row r="2167" spans="8:10" x14ac:dyDescent="0.3">
      <c r="H2167" s="3"/>
      <c r="I2167" s="3"/>
      <c r="J2167" s="3"/>
    </row>
    <row r="2168" spans="8:10" x14ac:dyDescent="0.3">
      <c r="H2168" s="3"/>
      <c r="I2168" s="3"/>
      <c r="J2168" s="3"/>
    </row>
    <row r="2169" spans="8:10" x14ac:dyDescent="0.3">
      <c r="H2169" s="3"/>
      <c r="I2169" s="3"/>
      <c r="J2169" s="3"/>
    </row>
    <row r="2170" spans="8:10" x14ac:dyDescent="0.3">
      <c r="H2170" s="3"/>
      <c r="I2170" s="3"/>
      <c r="J2170" s="3"/>
    </row>
    <row r="2171" spans="8:10" x14ac:dyDescent="0.3">
      <c r="H2171" s="3"/>
      <c r="I2171" s="3"/>
      <c r="J2171" s="3"/>
    </row>
    <row r="2172" spans="8:10" x14ac:dyDescent="0.3">
      <c r="H2172" s="3"/>
      <c r="I2172" s="3"/>
      <c r="J2172" s="3"/>
    </row>
    <row r="2173" spans="8:10" x14ac:dyDescent="0.3">
      <c r="H2173" s="3"/>
      <c r="I2173" s="3"/>
      <c r="J2173" s="3"/>
    </row>
    <row r="2174" spans="8:10" x14ac:dyDescent="0.3">
      <c r="H2174" s="3"/>
      <c r="I2174" s="3"/>
      <c r="J2174" s="3"/>
    </row>
    <row r="2175" spans="8:10" x14ac:dyDescent="0.3">
      <c r="H2175" s="3"/>
      <c r="I2175" s="3"/>
      <c r="J2175" s="3"/>
    </row>
    <row r="2176" spans="8:10" x14ac:dyDescent="0.3">
      <c r="H2176" s="3"/>
      <c r="I2176" s="3"/>
      <c r="J2176" s="3"/>
    </row>
    <row r="2177" spans="8:10" x14ac:dyDescent="0.3">
      <c r="H2177" s="3"/>
      <c r="I2177" s="3"/>
      <c r="J2177" s="3"/>
    </row>
    <row r="2178" spans="8:10" x14ac:dyDescent="0.3">
      <c r="H2178" s="3"/>
      <c r="I2178" s="3"/>
      <c r="J2178" s="3"/>
    </row>
    <row r="2179" spans="8:10" x14ac:dyDescent="0.3">
      <c r="H2179" s="3"/>
      <c r="I2179" s="3"/>
      <c r="J2179" s="3"/>
    </row>
    <row r="2180" spans="8:10" x14ac:dyDescent="0.3">
      <c r="H2180" s="3"/>
      <c r="I2180" s="3"/>
      <c r="J2180" s="3"/>
    </row>
    <row r="2181" spans="8:10" x14ac:dyDescent="0.3">
      <c r="H2181" s="3"/>
      <c r="I2181" s="3"/>
      <c r="J2181" s="3"/>
    </row>
    <row r="2182" spans="8:10" x14ac:dyDescent="0.3">
      <c r="H2182" s="3"/>
      <c r="I2182" s="3"/>
      <c r="J2182" s="3"/>
    </row>
    <row r="2183" spans="8:10" x14ac:dyDescent="0.3">
      <c r="H2183" s="3"/>
      <c r="I2183" s="3"/>
      <c r="J2183" s="3"/>
    </row>
    <row r="2184" spans="8:10" x14ac:dyDescent="0.3">
      <c r="H2184" s="3"/>
      <c r="I2184" s="3"/>
      <c r="J2184" s="3"/>
    </row>
    <row r="2185" spans="8:10" x14ac:dyDescent="0.3">
      <c r="H2185" s="3"/>
      <c r="I2185" s="3"/>
      <c r="J2185" s="3"/>
    </row>
    <row r="2186" spans="8:10" x14ac:dyDescent="0.3">
      <c r="H2186" s="3"/>
      <c r="I2186" s="3"/>
      <c r="J2186" s="3"/>
    </row>
    <row r="2187" spans="8:10" x14ac:dyDescent="0.3">
      <c r="H2187" s="3"/>
      <c r="I2187" s="3"/>
      <c r="J2187" s="3"/>
    </row>
    <row r="2188" spans="8:10" x14ac:dyDescent="0.3">
      <c r="H2188" s="3"/>
      <c r="I2188" s="3"/>
      <c r="J2188" s="3"/>
    </row>
    <row r="2189" spans="8:10" x14ac:dyDescent="0.3">
      <c r="H2189" s="3"/>
      <c r="I2189" s="3"/>
      <c r="J2189" s="3"/>
    </row>
    <row r="2190" spans="8:10" x14ac:dyDescent="0.3">
      <c r="H2190" s="3"/>
      <c r="I2190" s="3"/>
      <c r="J2190" s="3"/>
    </row>
    <row r="2191" spans="8:10" x14ac:dyDescent="0.3">
      <c r="H2191" s="3"/>
      <c r="I2191" s="3"/>
      <c r="J2191" s="3"/>
    </row>
    <row r="2192" spans="8:10" x14ac:dyDescent="0.3">
      <c r="H2192" s="3"/>
      <c r="I2192" s="3"/>
      <c r="J2192" s="3"/>
    </row>
    <row r="2193" spans="8:10" x14ac:dyDescent="0.3">
      <c r="H2193" s="3"/>
      <c r="I2193" s="3"/>
      <c r="J2193" s="3"/>
    </row>
    <row r="2194" spans="8:10" x14ac:dyDescent="0.3">
      <c r="H2194" s="3"/>
      <c r="I2194" s="3"/>
      <c r="J2194" s="3"/>
    </row>
    <row r="2195" spans="8:10" x14ac:dyDescent="0.3">
      <c r="H2195" s="3"/>
      <c r="I2195" s="3"/>
      <c r="J2195" s="3"/>
    </row>
    <row r="2196" spans="8:10" x14ac:dyDescent="0.3">
      <c r="H2196" s="3"/>
      <c r="I2196" s="3"/>
      <c r="J2196" s="3"/>
    </row>
    <row r="2197" spans="8:10" x14ac:dyDescent="0.3">
      <c r="H2197" s="3"/>
      <c r="I2197" s="3"/>
      <c r="J2197" s="3"/>
    </row>
    <row r="2198" spans="8:10" x14ac:dyDescent="0.3">
      <c r="H2198" s="3"/>
      <c r="I2198" s="3"/>
      <c r="J2198" s="3"/>
    </row>
    <row r="2199" spans="8:10" x14ac:dyDescent="0.3">
      <c r="H2199" s="3"/>
      <c r="I2199" s="3"/>
      <c r="J2199" s="3"/>
    </row>
    <row r="2200" spans="8:10" x14ac:dyDescent="0.3">
      <c r="H2200" s="3"/>
      <c r="I2200" s="3"/>
      <c r="J2200" s="3"/>
    </row>
    <row r="2201" spans="8:10" x14ac:dyDescent="0.3">
      <c r="H2201" s="3"/>
      <c r="I2201" s="3"/>
      <c r="J2201" s="3"/>
    </row>
    <row r="2202" spans="8:10" x14ac:dyDescent="0.3">
      <c r="H2202" s="3"/>
      <c r="I2202" s="3"/>
      <c r="J2202" s="3"/>
    </row>
    <row r="2203" spans="8:10" x14ac:dyDescent="0.3">
      <c r="H2203" s="3"/>
      <c r="I2203" s="3"/>
      <c r="J2203" s="3"/>
    </row>
    <row r="2204" spans="8:10" x14ac:dyDescent="0.3">
      <c r="H2204" s="3"/>
      <c r="I2204" s="3"/>
      <c r="J2204" s="3"/>
    </row>
    <row r="2205" spans="8:10" x14ac:dyDescent="0.3">
      <c r="H2205" s="3"/>
      <c r="I2205" s="3"/>
      <c r="J2205" s="3"/>
    </row>
    <row r="2206" spans="8:10" x14ac:dyDescent="0.3">
      <c r="H2206" s="3"/>
      <c r="I2206" s="3"/>
      <c r="J2206" s="3"/>
    </row>
    <row r="2207" spans="8:10" x14ac:dyDescent="0.3">
      <c r="H2207" s="3"/>
      <c r="I2207" s="3"/>
      <c r="J2207" s="3"/>
    </row>
    <row r="2208" spans="8:10" x14ac:dyDescent="0.3">
      <c r="H2208" s="3"/>
      <c r="I2208" s="3"/>
      <c r="J2208" s="3"/>
    </row>
    <row r="2209" spans="8:10" x14ac:dyDescent="0.3">
      <c r="H2209" s="3"/>
      <c r="I2209" s="3"/>
      <c r="J2209" s="3"/>
    </row>
    <row r="2210" spans="8:10" x14ac:dyDescent="0.3">
      <c r="H2210" s="3"/>
      <c r="I2210" s="3"/>
      <c r="J2210" s="3"/>
    </row>
    <row r="2211" spans="8:10" x14ac:dyDescent="0.3">
      <c r="H2211" s="3"/>
      <c r="I2211" s="3"/>
      <c r="J2211" s="3"/>
    </row>
    <row r="2212" spans="8:10" x14ac:dyDescent="0.3">
      <c r="H2212" s="3"/>
      <c r="I2212" s="3"/>
      <c r="J2212" s="3"/>
    </row>
    <row r="2213" spans="8:10" x14ac:dyDescent="0.3">
      <c r="H2213" s="3"/>
      <c r="I2213" s="3"/>
      <c r="J2213" s="3"/>
    </row>
    <row r="2214" spans="8:10" x14ac:dyDescent="0.3">
      <c r="H2214" s="3"/>
      <c r="I2214" s="3"/>
      <c r="J2214" s="3"/>
    </row>
    <row r="2215" spans="8:10" x14ac:dyDescent="0.3">
      <c r="H2215" s="3"/>
      <c r="I2215" s="3"/>
      <c r="J2215" s="3"/>
    </row>
    <row r="2216" spans="8:10" x14ac:dyDescent="0.3">
      <c r="H2216" s="3"/>
      <c r="I2216" s="3"/>
      <c r="J2216" s="3"/>
    </row>
    <row r="2217" spans="8:10" x14ac:dyDescent="0.3">
      <c r="H2217" s="3"/>
      <c r="I2217" s="3"/>
      <c r="J2217" s="3"/>
    </row>
    <row r="2218" spans="8:10" x14ac:dyDescent="0.3">
      <c r="H2218" s="3"/>
      <c r="I2218" s="3"/>
      <c r="J2218" s="3"/>
    </row>
    <row r="2219" spans="8:10" x14ac:dyDescent="0.3">
      <c r="H2219" s="3"/>
      <c r="I2219" s="3"/>
      <c r="J2219" s="3"/>
    </row>
    <row r="2220" spans="8:10" x14ac:dyDescent="0.3">
      <c r="H2220" s="3"/>
      <c r="I2220" s="3"/>
      <c r="J2220" s="3"/>
    </row>
    <row r="2221" spans="8:10" x14ac:dyDescent="0.3">
      <c r="H2221" s="3"/>
      <c r="I2221" s="3"/>
      <c r="J2221" s="3"/>
    </row>
    <row r="2222" spans="8:10" x14ac:dyDescent="0.3">
      <c r="H2222" s="3"/>
      <c r="I2222" s="3"/>
      <c r="J2222" s="3"/>
    </row>
    <row r="2223" spans="8:10" x14ac:dyDescent="0.3">
      <c r="H2223" s="3"/>
      <c r="I2223" s="3"/>
      <c r="J2223" s="3"/>
    </row>
    <row r="2224" spans="8:10" x14ac:dyDescent="0.3">
      <c r="H2224" s="3"/>
      <c r="I2224" s="3"/>
      <c r="J2224" s="3"/>
    </row>
    <row r="2225" spans="8:10" x14ac:dyDescent="0.3">
      <c r="H2225" s="3"/>
      <c r="I2225" s="3"/>
      <c r="J2225" s="3"/>
    </row>
    <row r="2226" spans="8:10" x14ac:dyDescent="0.3">
      <c r="H2226" s="3"/>
      <c r="I2226" s="3"/>
      <c r="J2226" s="3"/>
    </row>
    <row r="2227" spans="8:10" x14ac:dyDescent="0.3">
      <c r="H2227" s="3"/>
      <c r="I2227" s="3"/>
      <c r="J2227" s="3"/>
    </row>
    <row r="2228" spans="8:10" x14ac:dyDescent="0.3">
      <c r="H2228" s="3"/>
      <c r="I2228" s="3"/>
      <c r="J2228" s="3"/>
    </row>
    <row r="2229" spans="8:10" x14ac:dyDescent="0.3">
      <c r="H2229" s="3"/>
      <c r="I2229" s="3"/>
      <c r="J2229" s="3"/>
    </row>
    <row r="2230" spans="8:10" x14ac:dyDescent="0.3">
      <c r="H2230" s="3"/>
      <c r="I2230" s="3"/>
      <c r="J2230" s="3"/>
    </row>
    <row r="2231" spans="8:10" x14ac:dyDescent="0.3">
      <c r="H2231" s="3"/>
      <c r="I2231" s="3"/>
      <c r="J2231" s="3"/>
    </row>
    <row r="2232" spans="8:10" x14ac:dyDescent="0.3">
      <c r="H2232" s="3"/>
      <c r="I2232" s="3"/>
      <c r="J2232" s="3"/>
    </row>
    <row r="2233" spans="8:10" x14ac:dyDescent="0.3">
      <c r="H2233" s="3"/>
      <c r="I2233" s="3"/>
      <c r="J2233" s="3"/>
    </row>
    <row r="2234" spans="8:10" x14ac:dyDescent="0.3">
      <c r="H2234" s="3"/>
      <c r="I2234" s="3"/>
      <c r="J2234" s="3"/>
    </row>
    <row r="2235" spans="8:10" x14ac:dyDescent="0.3">
      <c r="H2235" s="3"/>
      <c r="I2235" s="3"/>
      <c r="J2235" s="3"/>
    </row>
    <row r="2236" spans="8:10" x14ac:dyDescent="0.3">
      <c r="H2236" s="3"/>
      <c r="I2236" s="3"/>
      <c r="J2236" s="3"/>
    </row>
    <row r="2237" spans="8:10" x14ac:dyDescent="0.3">
      <c r="H2237" s="3"/>
      <c r="I2237" s="3"/>
      <c r="J2237" s="3"/>
    </row>
    <row r="2238" spans="8:10" x14ac:dyDescent="0.3">
      <c r="H2238" s="3"/>
      <c r="I2238" s="3"/>
      <c r="J2238" s="3"/>
    </row>
    <row r="2239" spans="8:10" x14ac:dyDescent="0.3">
      <c r="H2239" s="3"/>
      <c r="I2239" s="3"/>
      <c r="J2239" s="3"/>
    </row>
    <row r="2240" spans="8:10" x14ac:dyDescent="0.3">
      <c r="H2240" s="3"/>
      <c r="I2240" s="3"/>
      <c r="J2240" s="3"/>
    </row>
    <row r="2241" spans="8:10" x14ac:dyDescent="0.3">
      <c r="H2241" s="3"/>
      <c r="I2241" s="3"/>
      <c r="J2241" s="3"/>
    </row>
    <row r="2242" spans="8:10" x14ac:dyDescent="0.3">
      <c r="H2242" s="3"/>
      <c r="I2242" s="3"/>
      <c r="J2242" s="3"/>
    </row>
    <row r="2243" spans="8:10" x14ac:dyDescent="0.3">
      <c r="H2243" s="3"/>
      <c r="I2243" s="3"/>
      <c r="J2243" s="3"/>
    </row>
    <row r="2244" spans="8:10" x14ac:dyDescent="0.3">
      <c r="H2244" s="3"/>
      <c r="I2244" s="3"/>
      <c r="J2244" s="3"/>
    </row>
    <row r="2245" spans="8:10" x14ac:dyDescent="0.3">
      <c r="H2245" s="3"/>
      <c r="I2245" s="3"/>
      <c r="J2245" s="3"/>
    </row>
    <row r="2246" spans="8:10" x14ac:dyDescent="0.3">
      <c r="H2246" s="3"/>
      <c r="I2246" s="3"/>
      <c r="J2246" s="3"/>
    </row>
    <row r="2247" spans="8:10" x14ac:dyDescent="0.3">
      <c r="H2247" s="3"/>
      <c r="I2247" s="3"/>
      <c r="J2247" s="3"/>
    </row>
    <row r="2248" spans="8:10" x14ac:dyDescent="0.3">
      <c r="H2248" s="3"/>
      <c r="I2248" s="3"/>
      <c r="J2248" s="3"/>
    </row>
    <row r="2249" spans="8:10" x14ac:dyDescent="0.3">
      <c r="H2249" s="3"/>
      <c r="I2249" s="3"/>
      <c r="J2249" s="3"/>
    </row>
    <row r="2250" spans="8:10" x14ac:dyDescent="0.3">
      <c r="H2250" s="3"/>
      <c r="I2250" s="3"/>
      <c r="J2250" s="3"/>
    </row>
    <row r="2251" spans="8:10" x14ac:dyDescent="0.3">
      <c r="H2251" s="3"/>
      <c r="I2251" s="3"/>
      <c r="J2251" s="3"/>
    </row>
    <row r="2252" spans="8:10" x14ac:dyDescent="0.3">
      <c r="H2252" s="3"/>
      <c r="I2252" s="3"/>
      <c r="J2252" s="3"/>
    </row>
    <row r="2253" spans="8:10" x14ac:dyDescent="0.3">
      <c r="H2253" s="3"/>
      <c r="I2253" s="3"/>
      <c r="J2253" s="3"/>
    </row>
    <row r="2254" spans="8:10" x14ac:dyDescent="0.3">
      <c r="H2254" s="3"/>
      <c r="I2254" s="3"/>
      <c r="J2254" s="3"/>
    </row>
    <row r="2255" spans="8:10" x14ac:dyDescent="0.3">
      <c r="H2255" s="3"/>
      <c r="I2255" s="3"/>
      <c r="J2255" s="3"/>
    </row>
    <row r="2256" spans="8:10" x14ac:dyDescent="0.3">
      <c r="H2256" s="3"/>
      <c r="I2256" s="3"/>
      <c r="J2256" s="3"/>
    </row>
    <row r="2257" spans="8:10" x14ac:dyDescent="0.3">
      <c r="H2257" s="3"/>
      <c r="I2257" s="3"/>
      <c r="J2257" s="3"/>
    </row>
    <row r="2258" spans="8:10" x14ac:dyDescent="0.3">
      <c r="H2258" s="3"/>
      <c r="I2258" s="3"/>
      <c r="J2258" s="3"/>
    </row>
    <row r="2259" spans="8:10" x14ac:dyDescent="0.3">
      <c r="H2259" s="3"/>
      <c r="I2259" s="3"/>
      <c r="J2259" s="3"/>
    </row>
    <row r="2260" spans="8:10" x14ac:dyDescent="0.3">
      <c r="H2260" s="3"/>
      <c r="I2260" s="3"/>
      <c r="J2260" s="3"/>
    </row>
    <row r="2261" spans="8:10" x14ac:dyDescent="0.3">
      <c r="H2261" s="3"/>
      <c r="I2261" s="3"/>
      <c r="J2261" s="3"/>
    </row>
    <row r="2262" spans="8:10" x14ac:dyDescent="0.3">
      <c r="H2262" s="3"/>
      <c r="I2262" s="3"/>
      <c r="J2262" s="3"/>
    </row>
    <row r="2263" spans="8:10" x14ac:dyDescent="0.3">
      <c r="H2263" s="3"/>
      <c r="I2263" s="3"/>
      <c r="J2263" s="3"/>
    </row>
    <row r="2264" spans="8:10" x14ac:dyDescent="0.3">
      <c r="H2264" s="3"/>
      <c r="I2264" s="3"/>
      <c r="J2264" s="3"/>
    </row>
    <row r="2265" spans="8:10" x14ac:dyDescent="0.3">
      <c r="H2265" s="3"/>
      <c r="I2265" s="3"/>
      <c r="J2265" s="3"/>
    </row>
    <row r="2266" spans="8:10" x14ac:dyDescent="0.3">
      <c r="H2266" s="3"/>
      <c r="I2266" s="3"/>
      <c r="J2266" s="3"/>
    </row>
    <row r="2267" spans="8:10" x14ac:dyDescent="0.3">
      <c r="H2267" s="3"/>
      <c r="I2267" s="3"/>
      <c r="J2267" s="3"/>
    </row>
    <row r="2268" spans="8:10" x14ac:dyDescent="0.3">
      <c r="H2268" s="3"/>
      <c r="I2268" s="3"/>
      <c r="J2268" s="3"/>
    </row>
    <row r="2269" spans="8:10" x14ac:dyDescent="0.3">
      <c r="H2269" s="3"/>
      <c r="I2269" s="3"/>
      <c r="J2269" s="3"/>
    </row>
    <row r="2270" spans="8:10" x14ac:dyDescent="0.3">
      <c r="H2270" s="3"/>
      <c r="I2270" s="3"/>
      <c r="J2270" s="3"/>
    </row>
    <row r="2271" spans="8:10" x14ac:dyDescent="0.3">
      <c r="H2271" s="3"/>
      <c r="I2271" s="3"/>
      <c r="J2271" s="3"/>
    </row>
    <row r="2272" spans="8:10" x14ac:dyDescent="0.3">
      <c r="H2272" s="3"/>
      <c r="I2272" s="3"/>
      <c r="J2272" s="3"/>
    </row>
    <row r="2273" spans="8:10" x14ac:dyDescent="0.3">
      <c r="H2273" s="3"/>
      <c r="I2273" s="3"/>
      <c r="J2273" s="3"/>
    </row>
    <row r="2274" spans="8:10" x14ac:dyDescent="0.3">
      <c r="H2274" s="3"/>
      <c r="I2274" s="3"/>
      <c r="J2274" s="3"/>
    </row>
    <row r="2275" spans="8:10" x14ac:dyDescent="0.3">
      <c r="H2275" s="3"/>
      <c r="I2275" s="3"/>
      <c r="J2275" s="3"/>
    </row>
    <row r="2276" spans="8:10" x14ac:dyDescent="0.3">
      <c r="H2276" s="3"/>
      <c r="I2276" s="3"/>
      <c r="J2276" s="3"/>
    </row>
    <row r="2277" spans="8:10" x14ac:dyDescent="0.3">
      <c r="H2277" s="3"/>
      <c r="I2277" s="3"/>
      <c r="J2277" s="3"/>
    </row>
    <row r="2278" spans="8:10" x14ac:dyDescent="0.3">
      <c r="H2278" s="3"/>
      <c r="I2278" s="3"/>
      <c r="J2278" s="3"/>
    </row>
    <row r="2279" spans="8:10" x14ac:dyDescent="0.3">
      <c r="H2279" s="3"/>
      <c r="I2279" s="3"/>
      <c r="J2279" s="3"/>
    </row>
    <row r="2280" spans="8:10" x14ac:dyDescent="0.3">
      <c r="H2280" s="3"/>
      <c r="I2280" s="3"/>
      <c r="J2280" s="3"/>
    </row>
    <row r="2281" spans="8:10" x14ac:dyDescent="0.3">
      <c r="H2281" s="3"/>
      <c r="I2281" s="3"/>
      <c r="J2281" s="3"/>
    </row>
    <row r="2282" spans="8:10" x14ac:dyDescent="0.3">
      <c r="H2282" s="3"/>
      <c r="I2282" s="3"/>
      <c r="J2282" s="3"/>
    </row>
    <row r="2283" spans="8:10" x14ac:dyDescent="0.3">
      <c r="H2283" s="3"/>
      <c r="I2283" s="3"/>
      <c r="J2283" s="3"/>
    </row>
    <row r="2284" spans="8:10" x14ac:dyDescent="0.3">
      <c r="H2284" s="3"/>
      <c r="I2284" s="3"/>
      <c r="J2284" s="3"/>
    </row>
    <row r="2285" spans="8:10" x14ac:dyDescent="0.3">
      <c r="H2285" s="3"/>
      <c r="I2285" s="3"/>
      <c r="J2285" s="3"/>
    </row>
    <row r="2286" spans="8:10" x14ac:dyDescent="0.3">
      <c r="H2286" s="3"/>
      <c r="I2286" s="3"/>
      <c r="J2286" s="3"/>
    </row>
    <row r="2287" spans="8:10" x14ac:dyDescent="0.3">
      <c r="H2287" s="3"/>
      <c r="I2287" s="3"/>
      <c r="J2287" s="3"/>
    </row>
    <row r="2288" spans="8:10" x14ac:dyDescent="0.3">
      <c r="H2288" s="3"/>
      <c r="I2288" s="3"/>
      <c r="J2288" s="3"/>
    </row>
    <row r="2289" spans="8:10" x14ac:dyDescent="0.3">
      <c r="H2289" s="3"/>
      <c r="I2289" s="3"/>
      <c r="J2289" s="3"/>
    </row>
    <row r="2290" spans="8:10" x14ac:dyDescent="0.3">
      <c r="H2290" s="3"/>
      <c r="I2290" s="3"/>
      <c r="J2290" s="3"/>
    </row>
    <row r="2291" spans="8:10" x14ac:dyDescent="0.3">
      <c r="H2291" s="3"/>
      <c r="I2291" s="3"/>
      <c r="J2291" s="3"/>
    </row>
    <row r="2292" spans="8:10" x14ac:dyDescent="0.3">
      <c r="H2292" s="3"/>
      <c r="I2292" s="3"/>
      <c r="J2292" s="3"/>
    </row>
    <row r="2293" spans="8:10" x14ac:dyDescent="0.3">
      <c r="H2293" s="3"/>
      <c r="I2293" s="3"/>
      <c r="J2293" s="3"/>
    </row>
    <row r="2294" spans="8:10" x14ac:dyDescent="0.3">
      <c r="H2294" s="3"/>
      <c r="I2294" s="3"/>
      <c r="J2294" s="3"/>
    </row>
    <row r="2295" spans="8:10" x14ac:dyDescent="0.3">
      <c r="H2295" s="3"/>
      <c r="I2295" s="3"/>
      <c r="J2295" s="3"/>
    </row>
    <row r="2296" spans="8:10" x14ac:dyDescent="0.3">
      <c r="H2296" s="3"/>
      <c r="I2296" s="3"/>
      <c r="J2296" s="3"/>
    </row>
    <row r="2297" spans="8:10" x14ac:dyDescent="0.3">
      <c r="H2297" s="3"/>
      <c r="I2297" s="3"/>
      <c r="J2297" s="3"/>
    </row>
    <row r="2298" spans="8:10" x14ac:dyDescent="0.3">
      <c r="H2298" s="3"/>
      <c r="I2298" s="3"/>
      <c r="J2298" s="3"/>
    </row>
    <row r="2299" spans="8:10" x14ac:dyDescent="0.3">
      <c r="H2299" s="3"/>
      <c r="I2299" s="3"/>
      <c r="J2299" s="3"/>
    </row>
    <row r="2300" spans="8:10" x14ac:dyDescent="0.3">
      <c r="H2300" s="3"/>
      <c r="I2300" s="3"/>
      <c r="J2300" s="3"/>
    </row>
    <row r="2301" spans="8:10" x14ac:dyDescent="0.3">
      <c r="H2301" s="3"/>
      <c r="I2301" s="3"/>
      <c r="J2301" s="3"/>
    </row>
    <row r="2302" spans="8:10" x14ac:dyDescent="0.3">
      <c r="H2302" s="3"/>
      <c r="I2302" s="3"/>
      <c r="J2302" s="3"/>
    </row>
    <row r="2303" spans="8:10" x14ac:dyDescent="0.3">
      <c r="H2303" s="3"/>
      <c r="I2303" s="3"/>
      <c r="J2303" s="3"/>
    </row>
    <row r="2304" spans="8:10" x14ac:dyDescent="0.3">
      <c r="H2304" s="3"/>
      <c r="I2304" s="3"/>
      <c r="J2304" s="3"/>
    </row>
    <row r="2305" spans="8:10" x14ac:dyDescent="0.3">
      <c r="H2305" s="3"/>
      <c r="I2305" s="3"/>
      <c r="J2305" s="3"/>
    </row>
    <row r="2306" spans="8:10" x14ac:dyDescent="0.3">
      <c r="H2306" s="3"/>
      <c r="I2306" s="3"/>
      <c r="J2306" s="3"/>
    </row>
    <row r="2307" spans="8:10" x14ac:dyDescent="0.3">
      <c r="H2307" s="3"/>
      <c r="I2307" s="3"/>
      <c r="J2307" s="3"/>
    </row>
    <row r="2308" spans="8:10" x14ac:dyDescent="0.3">
      <c r="H2308" s="3"/>
      <c r="I2308" s="3"/>
      <c r="J2308" s="3"/>
    </row>
    <row r="2309" spans="8:10" x14ac:dyDescent="0.3">
      <c r="H2309" s="3"/>
      <c r="I2309" s="3"/>
      <c r="J2309" s="3"/>
    </row>
    <row r="2310" spans="8:10" x14ac:dyDescent="0.3">
      <c r="H2310" s="3"/>
      <c r="I2310" s="3"/>
      <c r="J2310" s="3"/>
    </row>
    <row r="2311" spans="8:10" x14ac:dyDescent="0.3">
      <c r="H2311" s="3"/>
      <c r="I2311" s="3"/>
      <c r="J2311" s="3"/>
    </row>
    <row r="2312" spans="8:10" x14ac:dyDescent="0.3">
      <c r="H2312" s="3"/>
      <c r="I2312" s="3"/>
      <c r="J2312" s="3"/>
    </row>
    <row r="2313" spans="8:10" x14ac:dyDescent="0.3">
      <c r="H2313" s="3"/>
      <c r="I2313" s="3"/>
      <c r="J2313" s="3"/>
    </row>
    <row r="2314" spans="8:10" x14ac:dyDescent="0.3">
      <c r="H2314" s="3"/>
      <c r="I2314" s="3"/>
      <c r="J2314" s="3"/>
    </row>
    <row r="2315" spans="8:10" x14ac:dyDescent="0.3">
      <c r="H2315" s="3"/>
      <c r="I2315" s="3"/>
      <c r="J2315" s="3"/>
    </row>
    <row r="2316" spans="8:10" x14ac:dyDescent="0.3">
      <c r="H2316" s="3"/>
      <c r="I2316" s="3"/>
      <c r="J2316" s="3"/>
    </row>
    <row r="2317" spans="8:10" x14ac:dyDescent="0.3">
      <c r="H2317" s="3"/>
      <c r="I2317" s="3"/>
      <c r="J2317" s="3"/>
    </row>
    <row r="2318" spans="8:10" x14ac:dyDescent="0.3">
      <c r="H2318" s="3"/>
      <c r="I2318" s="3"/>
      <c r="J2318" s="3"/>
    </row>
    <row r="2319" spans="8:10" x14ac:dyDescent="0.3">
      <c r="H2319" s="3"/>
      <c r="I2319" s="3"/>
      <c r="J2319" s="3"/>
    </row>
    <row r="2320" spans="8:10" x14ac:dyDescent="0.3">
      <c r="H2320" s="3"/>
      <c r="I2320" s="3"/>
      <c r="J2320" s="3"/>
    </row>
    <row r="2321" spans="8:10" x14ac:dyDescent="0.3">
      <c r="H2321" s="3"/>
      <c r="I2321" s="3"/>
      <c r="J2321" s="3"/>
    </row>
    <row r="2322" spans="8:10" x14ac:dyDescent="0.3">
      <c r="H2322" s="3"/>
      <c r="I2322" s="3"/>
      <c r="J2322" s="3"/>
    </row>
    <row r="2323" spans="8:10" x14ac:dyDescent="0.3">
      <c r="H2323" s="3"/>
      <c r="I2323" s="3"/>
      <c r="J2323" s="3"/>
    </row>
    <row r="2324" spans="8:10" x14ac:dyDescent="0.3">
      <c r="H2324" s="3"/>
      <c r="I2324" s="3"/>
      <c r="J2324" s="3"/>
    </row>
    <row r="2325" spans="8:10" x14ac:dyDescent="0.3">
      <c r="H2325" s="3"/>
      <c r="I2325" s="3"/>
      <c r="J2325" s="3"/>
    </row>
    <row r="2326" spans="8:10" x14ac:dyDescent="0.3">
      <c r="H2326" s="3"/>
      <c r="I2326" s="3"/>
      <c r="J2326" s="3"/>
    </row>
    <row r="2327" spans="8:10" x14ac:dyDescent="0.3">
      <c r="H2327" s="3"/>
      <c r="I2327" s="3"/>
      <c r="J2327" s="3"/>
    </row>
    <row r="2328" spans="8:10" x14ac:dyDescent="0.3">
      <c r="H2328" s="3"/>
      <c r="I2328" s="3"/>
      <c r="J2328" s="3"/>
    </row>
    <row r="2329" spans="8:10" x14ac:dyDescent="0.3">
      <c r="H2329" s="3"/>
      <c r="I2329" s="3"/>
      <c r="J2329" s="3"/>
    </row>
    <row r="2330" spans="8:10" x14ac:dyDescent="0.3">
      <c r="H2330" s="3"/>
      <c r="I2330" s="3"/>
      <c r="J2330" s="3"/>
    </row>
    <row r="2331" spans="8:10" x14ac:dyDescent="0.3">
      <c r="H2331" s="3"/>
      <c r="I2331" s="3"/>
      <c r="J2331" s="3"/>
    </row>
    <row r="2332" spans="8:10" x14ac:dyDescent="0.3">
      <c r="H2332" s="3"/>
      <c r="I2332" s="3"/>
      <c r="J2332" s="3"/>
    </row>
    <row r="2333" spans="8:10" x14ac:dyDescent="0.3">
      <c r="H2333" s="3"/>
      <c r="I2333" s="3"/>
      <c r="J2333" s="3"/>
    </row>
    <row r="2334" spans="8:10" x14ac:dyDescent="0.3">
      <c r="H2334" s="3"/>
      <c r="I2334" s="3"/>
      <c r="J2334" s="3"/>
    </row>
    <row r="2335" spans="8:10" x14ac:dyDescent="0.3">
      <c r="H2335" s="3"/>
      <c r="I2335" s="3"/>
      <c r="J2335" s="3"/>
    </row>
    <row r="2336" spans="8:10" x14ac:dyDescent="0.3">
      <c r="H2336" s="3"/>
      <c r="I2336" s="3"/>
      <c r="J2336" s="3"/>
    </row>
    <row r="2337" spans="8:10" x14ac:dyDescent="0.3">
      <c r="H2337" s="3"/>
      <c r="I2337" s="3"/>
      <c r="J2337" s="3"/>
    </row>
    <row r="2338" spans="8:10" x14ac:dyDescent="0.3">
      <c r="H2338" s="3"/>
      <c r="I2338" s="3"/>
      <c r="J2338" s="3"/>
    </row>
    <row r="2339" spans="8:10" x14ac:dyDescent="0.3">
      <c r="H2339" s="3"/>
      <c r="I2339" s="3"/>
      <c r="J2339" s="3"/>
    </row>
    <row r="2340" spans="8:10" x14ac:dyDescent="0.3">
      <c r="H2340" s="3"/>
      <c r="I2340" s="3"/>
      <c r="J2340" s="3"/>
    </row>
    <row r="2341" spans="8:10" x14ac:dyDescent="0.3">
      <c r="H2341" s="3"/>
      <c r="I2341" s="3"/>
      <c r="J2341" s="3"/>
    </row>
    <row r="2342" spans="8:10" x14ac:dyDescent="0.3">
      <c r="H2342" s="3"/>
      <c r="I2342" s="3"/>
      <c r="J2342" s="3"/>
    </row>
    <row r="2343" spans="8:10" x14ac:dyDescent="0.3">
      <c r="H2343" s="3"/>
      <c r="I2343" s="3"/>
      <c r="J2343" s="3"/>
    </row>
    <row r="2344" spans="8:10" x14ac:dyDescent="0.3">
      <c r="H2344" s="3"/>
      <c r="I2344" s="3"/>
      <c r="J2344" s="3"/>
    </row>
    <row r="2345" spans="8:10" x14ac:dyDescent="0.3">
      <c r="H2345" s="3"/>
      <c r="I2345" s="3"/>
      <c r="J2345" s="3"/>
    </row>
    <row r="2346" spans="8:10" x14ac:dyDescent="0.3">
      <c r="H2346" s="3"/>
      <c r="I2346" s="3"/>
      <c r="J2346" s="3"/>
    </row>
    <row r="2347" spans="8:10" x14ac:dyDescent="0.3">
      <c r="H2347" s="3"/>
      <c r="I2347" s="3"/>
      <c r="J2347" s="3"/>
    </row>
    <row r="2348" spans="8:10" x14ac:dyDescent="0.3">
      <c r="H2348" s="3"/>
      <c r="I2348" s="3"/>
      <c r="J2348" s="3"/>
    </row>
    <row r="2349" spans="8:10" x14ac:dyDescent="0.3">
      <c r="H2349" s="3"/>
      <c r="I2349" s="3"/>
      <c r="J2349" s="3"/>
    </row>
    <row r="2350" spans="8:10" x14ac:dyDescent="0.3">
      <c r="H2350" s="3"/>
      <c r="I2350" s="3"/>
      <c r="J2350" s="3"/>
    </row>
    <row r="2351" spans="8:10" x14ac:dyDescent="0.3">
      <c r="H2351" s="3"/>
      <c r="I2351" s="3"/>
      <c r="J2351" s="3"/>
    </row>
    <row r="2352" spans="8:10" x14ac:dyDescent="0.3">
      <c r="H2352" s="3"/>
      <c r="I2352" s="3"/>
      <c r="J2352" s="3"/>
    </row>
    <row r="2353" spans="8:10" x14ac:dyDescent="0.3">
      <c r="H2353" s="3"/>
      <c r="I2353" s="3"/>
      <c r="J2353" s="3"/>
    </row>
    <row r="2354" spans="8:10" x14ac:dyDescent="0.3">
      <c r="H2354" s="3"/>
      <c r="I2354" s="3"/>
      <c r="J2354" s="3"/>
    </row>
    <row r="2355" spans="8:10" x14ac:dyDescent="0.3">
      <c r="H2355" s="3"/>
      <c r="I2355" s="3"/>
      <c r="J2355" s="3"/>
    </row>
    <row r="2356" spans="8:10" x14ac:dyDescent="0.3">
      <c r="H2356" s="3"/>
      <c r="I2356" s="3"/>
      <c r="J2356" s="3"/>
    </row>
    <row r="2357" spans="8:10" x14ac:dyDescent="0.3">
      <c r="H2357" s="3"/>
      <c r="I2357" s="3"/>
      <c r="J2357" s="3"/>
    </row>
    <row r="2358" spans="8:10" x14ac:dyDescent="0.3">
      <c r="H2358" s="3"/>
      <c r="I2358" s="3"/>
      <c r="J2358" s="3"/>
    </row>
    <row r="2359" spans="8:10" x14ac:dyDescent="0.3">
      <c r="H2359" s="3"/>
      <c r="I2359" s="3"/>
      <c r="J2359" s="3"/>
    </row>
    <row r="2360" spans="8:10" x14ac:dyDescent="0.3">
      <c r="H2360" s="3"/>
      <c r="I2360" s="3"/>
      <c r="J2360" s="3"/>
    </row>
    <row r="2361" spans="8:10" x14ac:dyDescent="0.3">
      <c r="H2361" s="3"/>
      <c r="I2361" s="3"/>
      <c r="J2361" s="3"/>
    </row>
    <row r="2362" spans="8:10" x14ac:dyDescent="0.3">
      <c r="H2362" s="3"/>
      <c r="I2362" s="3"/>
      <c r="J2362" s="3"/>
    </row>
    <row r="2363" spans="8:10" x14ac:dyDescent="0.3">
      <c r="H2363" s="3"/>
      <c r="I2363" s="3"/>
      <c r="J2363" s="3"/>
    </row>
    <row r="2364" spans="8:10" x14ac:dyDescent="0.3">
      <c r="H2364" s="3"/>
      <c r="I2364" s="3"/>
      <c r="J2364" s="3"/>
    </row>
    <row r="2365" spans="8:10" x14ac:dyDescent="0.3">
      <c r="H2365" s="3"/>
      <c r="I2365" s="3"/>
      <c r="J2365" s="3"/>
    </row>
    <row r="2366" spans="8:10" x14ac:dyDescent="0.3">
      <c r="H2366" s="3"/>
      <c r="I2366" s="3"/>
      <c r="J2366" s="3"/>
    </row>
    <row r="2367" spans="8:10" x14ac:dyDescent="0.3">
      <c r="H2367" s="3"/>
      <c r="I2367" s="3"/>
      <c r="J2367" s="3"/>
    </row>
    <row r="2368" spans="8:10" x14ac:dyDescent="0.3">
      <c r="H2368" s="3"/>
      <c r="I2368" s="3"/>
      <c r="J2368" s="3"/>
    </row>
    <row r="2369" spans="8:10" x14ac:dyDescent="0.3">
      <c r="H2369" s="3"/>
      <c r="I2369" s="3"/>
      <c r="J2369" s="3"/>
    </row>
    <row r="2370" spans="8:10" x14ac:dyDescent="0.3">
      <c r="H2370" s="3"/>
      <c r="I2370" s="3"/>
      <c r="J2370" s="3"/>
    </row>
    <row r="2371" spans="8:10" x14ac:dyDescent="0.3">
      <c r="H2371" s="3"/>
      <c r="I2371" s="3"/>
      <c r="J2371" s="3"/>
    </row>
    <row r="2372" spans="8:10" x14ac:dyDescent="0.3">
      <c r="H2372" s="3"/>
      <c r="I2372" s="3"/>
      <c r="J2372" s="3"/>
    </row>
    <row r="2373" spans="8:10" x14ac:dyDescent="0.3">
      <c r="H2373" s="3"/>
      <c r="I2373" s="3"/>
      <c r="J2373" s="3"/>
    </row>
    <row r="2374" spans="8:10" x14ac:dyDescent="0.3">
      <c r="H2374" s="3"/>
      <c r="I2374" s="3"/>
      <c r="J2374" s="3"/>
    </row>
    <row r="2375" spans="8:10" x14ac:dyDescent="0.3">
      <c r="H2375" s="3"/>
      <c r="I2375" s="3"/>
      <c r="J2375" s="3"/>
    </row>
    <row r="2376" spans="8:10" x14ac:dyDescent="0.3">
      <c r="H2376" s="3"/>
      <c r="I2376" s="3"/>
      <c r="J2376" s="3"/>
    </row>
    <row r="2377" spans="8:10" x14ac:dyDescent="0.3">
      <c r="H2377" s="3"/>
      <c r="I2377" s="3"/>
      <c r="J2377" s="3"/>
    </row>
    <row r="2378" spans="8:10" x14ac:dyDescent="0.3">
      <c r="H2378" s="3"/>
      <c r="I2378" s="3"/>
      <c r="J2378" s="3"/>
    </row>
    <row r="2379" spans="8:10" x14ac:dyDescent="0.3">
      <c r="H2379" s="3"/>
      <c r="I2379" s="3"/>
      <c r="J2379" s="3"/>
    </row>
    <row r="2380" spans="8:10" x14ac:dyDescent="0.3">
      <c r="H2380" s="3"/>
      <c r="I2380" s="3"/>
      <c r="J2380" s="3"/>
    </row>
    <row r="2381" spans="8:10" x14ac:dyDescent="0.3">
      <c r="H2381" s="3"/>
      <c r="I2381" s="3"/>
      <c r="J2381" s="3"/>
    </row>
    <row r="2382" spans="8:10" x14ac:dyDescent="0.3">
      <c r="H2382" s="3"/>
      <c r="I2382" s="3"/>
      <c r="J2382" s="3"/>
    </row>
    <row r="2383" spans="8:10" x14ac:dyDescent="0.3">
      <c r="H2383" s="3"/>
      <c r="I2383" s="3"/>
      <c r="J2383" s="3"/>
    </row>
    <row r="2384" spans="8:10" x14ac:dyDescent="0.3">
      <c r="H2384" s="3"/>
      <c r="I2384" s="3"/>
      <c r="J2384" s="3"/>
    </row>
    <row r="2385" spans="8:10" x14ac:dyDescent="0.3">
      <c r="H2385" s="3"/>
      <c r="I2385" s="3"/>
      <c r="J2385" s="3"/>
    </row>
    <row r="2386" spans="8:10" x14ac:dyDescent="0.3">
      <c r="H2386" s="3"/>
      <c r="I2386" s="3"/>
      <c r="J2386" s="3"/>
    </row>
    <row r="2387" spans="8:10" x14ac:dyDescent="0.3">
      <c r="H2387" s="3"/>
      <c r="I2387" s="3"/>
      <c r="J2387" s="3"/>
    </row>
    <row r="2388" spans="8:10" x14ac:dyDescent="0.3">
      <c r="H2388" s="3"/>
      <c r="I2388" s="3"/>
      <c r="J2388" s="3"/>
    </row>
    <row r="2389" spans="8:10" x14ac:dyDescent="0.3">
      <c r="H2389" s="3"/>
      <c r="I2389" s="3"/>
      <c r="J2389" s="3"/>
    </row>
    <row r="2390" spans="8:10" x14ac:dyDescent="0.3">
      <c r="H2390" s="3"/>
      <c r="I2390" s="3"/>
      <c r="J2390" s="3"/>
    </row>
    <row r="2391" spans="8:10" x14ac:dyDescent="0.3">
      <c r="H2391" s="3"/>
      <c r="I2391" s="3"/>
      <c r="J2391" s="3"/>
    </row>
    <row r="2392" spans="8:10" x14ac:dyDescent="0.3">
      <c r="H2392" s="3"/>
      <c r="I2392" s="3"/>
      <c r="J2392" s="3"/>
    </row>
    <row r="2393" spans="8:10" x14ac:dyDescent="0.3">
      <c r="H2393" s="3"/>
      <c r="I2393" s="3"/>
      <c r="J2393" s="3"/>
    </row>
    <row r="2394" spans="8:10" x14ac:dyDescent="0.3">
      <c r="H2394" s="3"/>
      <c r="I2394" s="3"/>
      <c r="J2394" s="3"/>
    </row>
    <row r="2395" spans="8:10" x14ac:dyDescent="0.3">
      <c r="H2395" s="3"/>
      <c r="I2395" s="3"/>
      <c r="J2395" s="3"/>
    </row>
    <row r="2396" spans="8:10" x14ac:dyDescent="0.3">
      <c r="H2396" s="3"/>
      <c r="I2396" s="3"/>
      <c r="J2396" s="3"/>
    </row>
    <row r="2397" spans="8:10" x14ac:dyDescent="0.3">
      <c r="H2397" s="3"/>
      <c r="I2397" s="3"/>
      <c r="J2397" s="3"/>
    </row>
    <row r="2398" spans="8:10" x14ac:dyDescent="0.3">
      <c r="H2398" s="3"/>
      <c r="I2398" s="3"/>
      <c r="J2398" s="3"/>
    </row>
    <row r="2399" spans="8:10" x14ac:dyDescent="0.3">
      <c r="H2399" s="3"/>
      <c r="I2399" s="3"/>
      <c r="J2399" s="3"/>
    </row>
    <row r="2400" spans="8:10" x14ac:dyDescent="0.3">
      <c r="H2400" s="3"/>
      <c r="I2400" s="3"/>
      <c r="J2400" s="3"/>
    </row>
    <row r="2401" spans="8:10" x14ac:dyDescent="0.3">
      <c r="H2401" s="3"/>
      <c r="I2401" s="3"/>
      <c r="J2401" s="3"/>
    </row>
    <row r="2402" spans="8:10" x14ac:dyDescent="0.3">
      <c r="H2402" s="3"/>
      <c r="I2402" s="3"/>
      <c r="J2402" s="3"/>
    </row>
    <row r="2403" spans="8:10" x14ac:dyDescent="0.3">
      <c r="H2403" s="3"/>
      <c r="I2403" s="3"/>
      <c r="J2403" s="3"/>
    </row>
    <row r="2404" spans="8:10" x14ac:dyDescent="0.3">
      <c r="H2404" s="3"/>
      <c r="I2404" s="3"/>
      <c r="J2404" s="3"/>
    </row>
    <row r="2405" spans="8:10" x14ac:dyDescent="0.3">
      <c r="H2405" s="3"/>
      <c r="I2405" s="3"/>
      <c r="J2405" s="3"/>
    </row>
    <row r="2406" spans="8:10" x14ac:dyDescent="0.3">
      <c r="H2406" s="3"/>
      <c r="I2406" s="3"/>
      <c r="J2406" s="3"/>
    </row>
    <row r="2407" spans="8:10" x14ac:dyDescent="0.3">
      <c r="H2407" s="3"/>
      <c r="I2407" s="3"/>
      <c r="J2407" s="3"/>
    </row>
    <row r="2408" spans="8:10" x14ac:dyDescent="0.3">
      <c r="H2408" s="3"/>
      <c r="I2408" s="3"/>
      <c r="J2408" s="3"/>
    </row>
    <row r="2409" spans="8:10" x14ac:dyDescent="0.3">
      <c r="H2409" s="3"/>
      <c r="I2409" s="3"/>
      <c r="J2409" s="3"/>
    </row>
    <row r="2410" spans="8:10" x14ac:dyDescent="0.3">
      <c r="H2410" s="3"/>
      <c r="I2410" s="3"/>
      <c r="J2410" s="3"/>
    </row>
    <row r="2411" spans="8:10" x14ac:dyDescent="0.3">
      <c r="H2411" s="3"/>
      <c r="I2411" s="3"/>
      <c r="J2411" s="3"/>
    </row>
    <row r="2412" spans="8:10" x14ac:dyDescent="0.3">
      <c r="H2412" s="3"/>
      <c r="I2412" s="3"/>
      <c r="J2412" s="3"/>
    </row>
    <row r="2413" spans="8:10" x14ac:dyDescent="0.3">
      <c r="H2413" s="3"/>
      <c r="I2413" s="3"/>
      <c r="J2413" s="3"/>
    </row>
    <row r="2414" spans="8:10" x14ac:dyDescent="0.3">
      <c r="H2414" s="3"/>
      <c r="I2414" s="3"/>
      <c r="J2414" s="3"/>
    </row>
    <row r="2415" spans="8:10" x14ac:dyDescent="0.3">
      <c r="H2415" s="3"/>
      <c r="I2415" s="3"/>
      <c r="J2415" s="3"/>
    </row>
    <row r="2416" spans="8:10" x14ac:dyDescent="0.3">
      <c r="H2416" s="3"/>
      <c r="I2416" s="3"/>
      <c r="J2416" s="3"/>
    </row>
    <row r="2417" spans="8:10" x14ac:dyDescent="0.3">
      <c r="H2417" s="3"/>
      <c r="I2417" s="3"/>
      <c r="J2417" s="3"/>
    </row>
    <row r="2418" spans="8:10" x14ac:dyDescent="0.3">
      <c r="H2418" s="3"/>
      <c r="I2418" s="3"/>
      <c r="J2418" s="3"/>
    </row>
    <row r="2419" spans="8:10" x14ac:dyDescent="0.3">
      <c r="H2419" s="3"/>
      <c r="I2419" s="3"/>
      <c r="J2419" s="3"/>
    </row>
    <row r="2420" spans="8:10" x14ac:dyDescent="0.3">
      <c r="H2420" s="3"/>
      <c r="I2420" s="3"/>
      <c r="J2420" s="3"/>
    </row>
    <row r="2421" spans="8:10" x14ac:dyDescent="0.3">
      <c r="H2421" s="3"/>
      <c r="I2421" s="3"/>
      <c r="J2421" s="3"/>
    </row>
    <row r="2422" spans="8:10" x14ac:dyDescent="0.3">
      <c r="H2422" s="3"/>
      <c r="I2422" s="3"/>
      <c r="J2422" s="3"/>
    </row>
    <row r="2423" spans="8:10" x14ac:dyDescent="0.3">
      <c r="H2423" s="3"/>
      <c r="I2423" s="3"/>
      <c r="J2423" s="3"/>
    </row>
    <row r="2424" spans="8:10" x14ac:dyDescent="0.3">
      <c r="H2424" s="3"/>
      <c r="I2424" s="3"/>
      <c r="J2424" s="3"/>
    </row>
    <row r="2425" spans="8:10" x14ac:dyDescent="0.3">
      <c r="H2425" s="3"/>
      <c r="I2425" s="3"/>
      <c r="J2425" s="3"/>
    </row>
    <row r="2426" spans="8:10" x14ac:dyDescent="0.3">
      <c r="H2426" s="3"/>
      <c r="I2426" s="3"/>
      <c r="J2426" s="3"/>
    </row>
    <row r="2427" spans="8:10" x14ac:dyDescent="0.3">
      <c r="H2427" s="3"/>
      <c r="I2427" s="3"/>
      <c r="J2427" s="3"/>
    </row>
    <row r="2428" spans="8:10" x14ac:dyDescent="0.3">
      <c r="H2428" s="3"/>
      <c r="I2428" s="3"/>
      <c r="J2428" s="3"/>
    </row>
    <row r="2429" spans="8:10" x14ac:dyDescent="0.3">
      <c r="H2429" s="3"/>
      <c r="I2429" s="3"/>
      <c r="J2429" s="3"/>
    </row>
    <row r="2430" spans="8:10" x14ac:dyDescent="0.3">
      <c r="H2430" s="3"/>
      <c r="I2430" s="3"/>
      <c r="J2430" s="3"/>
    </row>
    <row r="2431" spans="8:10" x14ac:dyDescent="0.3">
      <c r="H2431" s="3"/>
      <c r="I2431" s="3"/>
      <c r="J2431" s="3"/>
    </row>
    <row r="2432" spans="8:10" x14ac:dyDescent="0.3">
      <c r="H2432" s="3"/>
      <c r="I2432" s="3"/>
      <c r="J2432" s="3"/>
    </row>
    <row r="2433" spans="8:10" x14ac:dyDescent="0.3">
      <c r="H2433" s="3"/>
      <c r="I2433" s="3"/>
      <c r="J2433" s="3"/>
    </row>
    <row r="2434" spans="8:10" x14ac:dyDescent="0.3">
      <c r="H2434" s="3"/>
      <c r="I2434" s="3"/>
      <c r="J2434" s="3"/>
    </row>
    <row r="2435" spans="8:10" x14ac:dyDescent="0.3">
      <c r="H2435" s="3"/>
      <c r="I2435" s="3"/>
      <c r="J2435" s="3"/>
    </row>
    <row r="2436" spans="8:10" x14ac:dyDescent="0.3">
      <c r="H2436" s="3"/>
      <c r="I2436" s="3"/>
      <c r="J2436" s="3"/>
    </row>
    <row r="2437" spans="8:10" x14ac:dyDescent="0.3">
      <c r="H2437" s="3"/>
      <c r="I2437" s="3"/>
      <c r="J2437" s="3"/>
    </row>
    <row r="2438" spans="8:10" x14ac:dyDescent="0.3">
      <c r="H2438" s="3"/>
      <c r="I2438" s="3"/>
      <c r="J2438" s="3"/>
    </row>
    <row r="2439" spans="8:10" x14ac:dyDescent="0.3">
      <c r="H2439" s="3"/>
      <c r="I2439" s="3"/>
      <c r="J2439" s="3"/>
    </row>
    <row r="2440" spans="8:10" x14ac:dyDescent="0.3">
      <c r="H2440" s="3"/>
      <c r="I2440" s="3"/>
      <c r="J2440" s="3"/>
    </row>
    <row r="2441" spans="8:10" x14ac:dyDescent="0.3">
      <c r="H2441" s="3"/>
      <c r="I2441" s="3"/>
      <c r="J2441" s="3"/>
    </row>
    <row r="2442" spans="8:10" x14ac:dyDescent="0.3">
      <c r="H2442" s="3"/>
      <c r="I2442" s="3"/>
      <c r="J2442" s="3"/>
    </row>
    <row r="2443" spans="8:10" x14ac:dyDescent="0.3">
      <c r="H2443" s="3"/>
      <c r="I2443" s="3"/>
      <c r="J2443" s="3"/>
    </row>
    <row r="2444" spans="8:10" x14ac:dyDescent="0.3">
      <c r="H2444" s="3"/>
      <c r="I2444" s="3"/>
      <c r="J2444" s="3"/>
    </row>
    <row r="2445" spans="8:10" x14ac:dyDescent="0.3">
      <c r="H2445" s="3"/>
      <c r="I2445" s="3"/>
      <c r="J2445" s="3"/>
    </row>
    <row r="2446" spans="8:10" x14ac:dyDescent="0.3">
      <c r="H2446" s="3"/>
      <c r="I2446" s="3"/>
      <c r="J2446" s="3"/>
    </row>
    <row r="2447" spans="8:10" x14ac:dyDescent="0.3">
      <c r="H2447" s="3"/>
      <c r="I2447" s="3"/>
      <c r="J2447" s="3"/>
    </row>
    <row r="2448" spans="8:10" x14ac:dyDescent="0.3">
      <c r="H2448" s="3"/>
      <c r="I2448" s="3"/>
      <c r="J2448" s="3"/>
    </row>
    <row r="2449" spans="8:10" x14ac:dyDescent="0.3">
      <c r="H2449" s="3"/>
      <c r="I2449" s="3"/>
      <c r="J2449" s="3"/>
    </row>
    <row r="2450" spans="8:10" x14ac:dyDescent="0.3">
      <c r="H2450" s="3"/>
      <c r="I2450" s="3"/>
      <c r="J2450" s="3"/>
    </row>
    <row r="2451" spans="8:10" x14ac:dyDescent="0.3">
      <c r="H2451" s="3"/>
      <c r="I2451" s="3"/>
      <c r="J2451" s="3"/>
    </row>
    <row r="2452" spans="8:10" x14ac:dyDescent="0.3">
      <c r="H2452" s="3"/>
      <c r="I2452" s="3"/>
      <c r="J2452" s="3"/>
    </row>
    <row r="2453" spans="8:10" x14ac:dyDescent="0.3">
      <c r="H2453" s="3"/>
      <c r="I2453" s="3"/>
      <c r="J2453" s="3"/>
    </row>
    <row r="2454" spans="8:10" x14ac:dyDescent="0.3">
      <c r="H2454" s="3"/>
      <c r="I2454" s="3"/>
      <c r="J2454" s="3"/>
    </row>
    <row r="2455" spans="8:10" x14ac:dyDescent="0.3">
      <c r="H2455" s="3"/>
      <c r="I2455" s="3"/>
      <c r="J2455" s="3"/>
    </row>
    <row r="2456" spans="8:10" x14ac:dyDescent="0.3">
      <c r="H2456" s="3"/>
      <c r="I2456" s="3"/>
      <c r="J2456" s="3"/>
    </row>
    <row r="2457" spans="8:10" x14ac:dyDescent="0.3">
      <c r="H2457" s="3"/>
      <c r="I2457" s="3"/>
      <c r="J2457" s="3"/>
    </row>
    <row r="2458" spans="8:10" x14ac:dyDescent="0.3">
      <c r="H2458" s="3"/>
      <c r="I2458" s="3"/>
      <c r="J2458" s="3"/>
    </row>
    <row r="2459" spans="8:10" x14ac:dyDescent="0.3">
      <c r="H2459" s="3"/>
      <c r="I2459" s="3"/>
      <c r="J2459" s="3"/>
    </row>
    <row r="2460" spans="8:10" x14ac:dyDescent="0.3">
      <c r="H2460" s="3"/>
      <c r="I2460" s="3"/>
      <c r="J2460" s="3"/>
    </row>
    <row r="2461" spans="8:10" x14ac:dyDescent="0.3">
      <c r="H2461" s="3"/>
      <c r="I2461" s="3"/>
      <c r="J2461" s="3"/>
    </row>
    <row r="2462" spans="8:10" x14ac:dyDescent="0.3">
      <c r="H2462" s="3"/>
      <c r="I2462" s="3"/>
      <c r="J2462" s="3"/>
    </row>
    <row r="2463" spans="8:10" x14ac:dyDescent="0.3">
      <c r="H2463" s="3"/>
      <c r="I2463" s="3"/>
      <c r="J2463" s="3"/>
    </row>
    <row r="2464" spans="8:10" x14ac:dyDescent="0.3">
      <c r="H2464" s="3"/>
      <c r="I2464" s="3"/>
      <c r="J2464" s="3"/>
    </row>
    <row r="2465" spans="8:10" x14ac:dyDescent="0.3">
      <c r="H2465" s="3"/>
      <c r="I2465" s="3"/>
      <c r="J2465" s="3"/>
    </row>
    <row r="2466" spans="8:10" x14ac:dyDescent="0.3">
      <c r="H2466" s="3"/>
      <c r="I2466" s="3"/>
      <c r="J2466" s="3"/>
    </row>
    <row r="2467" spans="8:10" x14ac:dyDescent="0.3">
      <c r="H2467" s="3"/>
      <c r="I2467" s="3"/>
      <c r="J2467" s="3"/>
    </row>
    <row r="2468" spans="8:10" x14ac:dyDescent="0.3">
      <c r="H2468" s="3"/>
      <c r="I2468" s="3"/>
      <c r="J2468" s="3"/>
    </row>
    <row r="2469" spans="8:10" x14ac:dyDescent="0.3">
      <c r="H2469" s="3"/>
      <c r="I2469" s="3"/>
      <c r="J2469" s="3"/>
    </row>
    <row r="2470" spans="8:10" x14ac:dyDescent="0.3">
      <c r="H2470" s="3"/>
      <c r="I2470" s="3"/>
      <c r="J2470" s="3"/>
    </row>
    <row r="2471" spans="8:10" x14ac:dyDescent="0.3">
      <c r="H2471" s="3"/>
      <c r="I2471" s="3"/>
      <c r="J2471" s="3"/>
    </row>
    <row r="2472" spans="8:10" x14ac:dyDescent="0.3">
      <c r="H2472" s="3"/>
      <c r="I2472" s="3"/>
      <c r="J2472" s="3"/>
    </row>
    <row r="2473" spans="8:10" x14ac:dyDescent="0.3">
      <c r="H2473" s="3"/>
      <c r="I2473" s="3"/>
      <c r="J2473" s="3"/>
    </row>
    <row r="2474" spans="8:10" x14ac:dyDescent="0.3">
      <c r="H2474" s="3"/>
      <c r="I2474" s="3"/>
      <c r="J2474" s="3"/>
    </row>
    <row r="2475" spans="8:10" x14ac:dyDescent="0.3">
      <c r="H2475" s="3"/>
      <c r="I2475" s="3"/>
      <c r="J2475" s="3"/>
    </row>
    <row r="2476" spans="8:10" x14ac:dyDescent="0.3">
      <c r="H2476" s="3"/>
      <c r="I2476" s="3"/>
      <c r="J2476" s="3"/>
    </row>
    <row r="2477" spans="8:10" x14ac:dyDescent="0.3">
      <c r="H2477" s="3"/>
      <c r="I2477" s="3"/>
      <c r="J2477" s="3"/>
    </row>
    <row r="2478" spans="8:10" x14ac:dyDescent="0.3">
      <c r="H2478" s="3"/>
      <c r="I2478" s="3"/>
      <c r="J2478" s="3"/>
    </row>
    <row r="2479" spans="8:10" x14ac:dyDescent="0.3">
      <c r="H2479" s="3"/>
      <c r="I2479" s="3"/>
      <c r="J2479" s="3"/>
    </row>
    <row r="2480" spans="8:10" x14ac:dyDescent="0.3">
      <c r="H2480" s="3"/>
      <c r="I2480" s="3"/>
      <c r="J2480" s="3"/>
    </row>
    <row r="2481" spans="8:10" x14ac:dyDescent="0.3">
      <c r="H2481" s="3"/>
      <c r="I2481" s="3"/>
      <c r="J2481" s="3"/>
    </row>
    <row r="2482" spans="8:10" x14ac:dyDescent="0.3">
      <c r="H2482" s="3"/>
      <c r="I2482" s="3"/>
      <c r="J2482" s="3"/>
    </row>
    <row r="2483" spans="8:10" x14ac:dyDescent="0.3">
      <c r="H2483" s="3"/>
      <c r="I2483" s="3"/>
      <c r="J2483" s="3"/>
    </row>
    <row r="2484" spans="8:10" x14ac:dyDescent="0.3">
      <c r="H2484" s="3"/>
      <c r="I2484" s="3"/>
      <c r="J2484" s="3"/>
    </row>
    <row r="2485" spans="8:10" x14ac:dyDescent="0.3">
      <c r="H2485" s="3"/>
      <c r="I2485" s="3"/>
      <c r="J2485" s="3"/>
    </row>
    <row r="2486" spans="8:10" x14ac:dyDescent="0.3">
      <c r="H2486" s="3"/>
      <c r="I2486" s="3"/>
      <c r="J2486" s="3"/>
    </row>
    <row r="2487" spans="8:10" x14ac:dyDescent="0.3">
      <c r="H2487" s="3"/>
      <c r="I2487" s="3"/>
      <c r="J2487" s="3"/>
    </row>
    <row r="2488" spans="8:10" x14ac:dyDescent="0.3">
      <c r="H2488" s="3"/>
      <c r="I2488" s="3"/>
      <c r="J2488" s="3"/>
    </row>
    <row r="2489" spans="8:10" x14ac:dyDescent="0.3">
      <c r="H2489" s="3"/>
      <c r="I2489" s="3"/>
      <c r="J2489" s="3"/>
    </row>
    <row r="2490" spans="8:10" x14ac:dyDescent="0.3">
      <c r="H2490" s="3"/>
      <c r="I2490" s="3"/>
      <c r="J2490" s="3"/>
    </row>
    <row r="2491" spans="8:10" x14ac:dyDescent="0.3">
      <c r="H2491" s="3"/>
      <c r="I2491" s="3"/>
      <c r="J2491" s="3"/>
    </row>
    <row r="2492" spans="8:10" x14ac:dyDescent="0.3">
      <c r="H2492" s="3"/>
      <c r="I2492" s="3"/>
      <c r="J2492" s="3"/>
    </row>
    <row r="2493" spans="8:10" x14ac:dyDescent="0.3">
      <c r="H2493" s="3"/>
      <c r="I2493" s="3"/>
      <c r="J2493" s="3"/>
    </row>
    <row r="2494" spans="8:10" x14ac:dyDescent="0.3">
      <c r="H2494" s="3"/>
      <c r="I2494" s="3"/>
      <c r="J2494" s="3"/>
    </row>
    <row r="2495" spans="8:10" x14ac:dyDescent="0.3">
      <c r="H2495" s="3"/>
      <c r="I2495" s="3"/>
      <c r="J2495" s="3"/>
    </row>
    <row r="2496" spans="8:10" x14ac:dyDescent="0.3">
      <c r="H2496" s="3"/>
      <c r="I2496" s="3"/>
      <c r="J2496" s="3"/>
    </row>
    <row r="2497" spans="8:10" x14ac:dyDescent="0.3">
      <c r="H2497" s="3"/>
      <c r="I2497" s="3"/>
      <c r="J2497" s="3"/>
    </row>
    <row r="2498" spans="8:10" x14ac:dyDescent="0.3">
      <c r="H2498" s="3"/>
      <c r="I2498" s="3"/>
      <c r="J2498" s="3"/>
    </row>
    <row r="2499" spans="8:10" x14ac:dyDescent="0.3">
      <c r="H2499" s="3"/>
      <c r="I2499" s="3"/>
      <c r="J2499" s="3"/>
    </row>
    <row r="2500" spans="8:10" x14ac:dyDescent="0.3">
      <c r="H2500" s="3"/>
      <c r="I2500" s="3"/>
      <c r="J2500" s="3"/>
    </row>
    <row r="2501" spans="8:10" x14ac:dyDescent="0.3">
      <c r="H2501" s="3"/>
      <c r="I2501" s="3"/>
      <c r="J2501" s="3"/>
    </row>
    <row r="2502" spans="8:10" x14ac:dyDescent="0.3">
      <c r="H2502" s="3"/>
      <c r="I2502" s="3"/>
      <c r="J2502" s="3"/>
    </row>
    <row r="2503" spans="8:10" x14ac:dyDescent="0.3">
      <c r="H2503" s="3"/>
      <c r="I2503" s="3"/>
      <c r="J2503" s="3"/>
    </row>
    <row r="2504" spans="8:10" x14ac:dyDescent="0.3">
      <c r="H2504" s="3"/>
      <c r="I2504" s="3"/>
      <c r="J2504" s="3"/>
    </row>
    <row r="2505" spans="8:10" x14ac:dyDescent="0.3">
      <c r="H2505" s="3"/>
      <c r="I2505" s="3"/>
      <c r="J2505" s="3"/>
    </row>
    <row r="2506" spans="8:10" x14ac:dyDescent="0.3">
      <c r="H2506" s="3"/>
      <c r="I2506" s="3"/>
      <c r="J2506" s="3"/>
    </row>
    <row r="2507" spans="8:10" x14ac:dyDescent="0.3">
      <c r="H2507" s="3"/>
      <c r="I2507" s="3"/>
      <c r="J2507" s="3"/>
    </row>
    <row r="2508" spans="8:10" x14ac:dyDescent="0.3">
      <c r="H2508" s="3"/>
      <c r="I2508" s="3"/>
      <c r="J2508" s="3"/>
    </row>
    <row r="2509" spans="8:10" x14ac:dyDescent="0.3">
      <c r="H2509" s="3"/>
      <c r="I2509" s="3"/>
      <c r="J2509" s="3"/>
    </row>
    <row r="2510" spans="8:10" x14ac:dyDescent="0.3">
      <c r="H2510" s="3"/>
      <c r="I2510" s="3"/>
      <c r="J2510" s="3"/>
    </row>
    <row r="2511" spans="8:10" x14ac:dyDescent="0.3">
      <c r="H2511" s="3"/>
      <c r="I2511" s="3"/>
      <c r="J2511" s="3"/>
    </row>
    <row r="2512" spans="8:10" x14ac:dyDescent="0.3">
      <c r="H2512" s="3"/>
      <c r="I2512" s="3"/>
      <c r="J2512" s="3"/>
    </row>
    <row r="2513" spans="8:10" x14ac:dyDescent="0.3">
      <c r="H2513" s="3"/>
      <c r="I2513" s="3"/>
      <c r="J2513" s="3"/>
    </row>
    <row r="2514" spans="8:10" x14ac:dyDescent="0.3">
      <c r="H2514" s="3"/>
      <c r="I2514" s="3"/>
      <c r="J2514" s="3"/>
    </row>
    <row r="2515" spans="8:10" x14ac:dyDescent="0.3">
      <c r="H2515" s="3"/>
      <c r="I2515" s="3"/>
      <c r="J2515" s="3"/>
    </row>
    <row r="2516" spans="8:10" x14ac:dyDescent="0.3">
      <c r="H2516" s="3"/>
      <c r="I2516" s="3"/>
      <c r="J2516" s="3"/>
    </row>
    <row r="2517" spans="8:10" x14ac:dyDescent="0.3">
      <c r="H2517" s="3"/>
      <c r="I2517" s="3"/>
      <c r="J2517" s="3"/>
    </row>
    <row r="2518" spans="8:10" x14ac:dyDescent="0.3">
      <c r="H2518" s="3"/>
      <c r="I2518" s="3"/>
      <c r="J2518" s="3"/>
    </row>
    <row r="2519" spans="8:10" x14ac:dyDescent="0.3">
      <c r="H2519" s="3"/>
      <c r="I2519" s="3"/>
      <c r="J2519" s="3"/>
    </row>
    <row r="2520" spans="8:10" x14ac:dyDescent="0.3">
      <c r="H2520" s="3"/>
      <c r="I2520" s="3"/>
      <c r="J2520" s="3"/>
    </row>
    <row r="2521" spans="8:10" x14ac:dyDescent="0.3">
      <c r="H2521" s="3"/>
      <c r="I2521" s="3"/>
      <c r="J2521" s="3"/>
    </row>
    <row r="2522" spans="8:10" x14ac:dyDescent="0.3">
      <c r="H2522" s="3"/>
      <c r="I2522" s="3"/>
      <c r="J2522" s="3"/>
    </row>
    <row r="2523" spans="8:10" x14ac:dyDescent="0.3">
      <c r="H2523" s="3"/>
      <c r="I2523" s="3"/>
      <c r="J2523" s="3"/>
    </row>
    <row r="2524" spans="8:10" x14ac:dyDescent="0.3">
      <c r="H2524" s="3"/>
      <c r="I2524" s="3"/>
      <c r="J2524" s="3"/>
    </row>
    <row r="2525" spans="8:10" x14ac:dyDescent="0.3">
      <c r="H2525" s="3"/>
      <c r="I2525" s="3"/>
      <c r="J2525" s="3"/>
    </row>
    <row r="2526" spans="8:10" x14ac:dyDescent="0.3">
      <c r="H2526" s="3"/>
      <c r="I2526" s="3"/>
      <c r="J2526" s="3"/>
    </row>
    <row r="2527" spans="8:10" x14ac:dyDescent="0.3">
      <c r="H2527" s="3"/>
      <c r="I2527" s="3"/>
      <c r="J2527" s="3"/>
    </row>
    <row r="2528" spans="8:10" x14ac:dyDescent="0.3">
      <c r="H2528" s="3"/>
      <c r="I2528" s="3"/>
      <c r="J2528" s="3"/>
    </row>
    <row r="2529" spans="8:10" x14ac:dyDescent="0.3">
      <c r="H2529" s="3"/>
      <c r="I2529" s="3"/>
      <c r="J2529" s="3"/>
    </row>
    <row r="2530" spans="8:10" x14ac:dyDescent="0.3">
      <c r="H2530" s="3"/>
      <c r="I2530" s="3"/>
      <c r="J2530" s="3"/>
    </row>
    <row r="2531" spans="8:10" x14ac:dyDescent="0.3">
      <c r="H2531" s="3"/>
      <c r="I2531" s="3"/>
      <c r="J2531" s="3"/>
    </row>
    <row r="2532" spans="8:10" x14ac:dyDescent="0.3">
      <c r="H2532" s="3"/>
      <c r="I2532" s="3"/>
      <c r="J2532" s="3"/>
    </row>
    <row r="2533" spans="8:10" x14ac:dyDescent="0.3">
      <c r="H2533" s="3"/>
      <c r="I2533" s="3"/>
      <c r="J2533" s="3"/>
    </row>
    <row r="2534" spans="8:10" x14ac:dyDescent="0.3">
      <c r="H2534" s="3"/>
      <c r="I2534" s="3"/>
      <c r="J2534" s="3"/>
    </row>
    <row r="2535" spans="8:10" x14ac:dyDescent="0.3">
      <c r="H2535" s="3"/>
      <c r="I2535" s="3"/>
      <c r="J2535" s="3"/>
    </row>
    <row r="2536" spans="8:10" x14ac:dyDescent="0.3">
      <c r="H2536" s="3"/>
      <c r="I2536" s="3"/>
      <c r="J2536" s="3"/>
    </row>
    <row r="2537" spans="8:10" x14ac:dyDescent="0.3">
      <c r="H2537" s="3"/>
      <c r="I2537" s="3"/>
      <c r="J2537" s="3"/>
    </row>
    <row r="2538" spans="8:10" x14ac:dyDescent="0.3">
      <c r="H2538" s="3"/>
      <c r="I2538" s="3"/>
      <c r="J2538" s="3"/>
    </row>
    <row r="2539" spans="8:10" x14ac:dyDescent="0.3">
      <c r="H2539" s="3"/>
      <c r="I2539" s="3"/>
      <c r="J2539" s="3"/>
    </row>
    <row r="2540" spans="8:10" x14ac:dyDescent="0.3">
      <c r="H2540" s="3"/>
      <c r="I2540" s="3"/>
      <c r="J2540" s="3"/>
    </row>
    <row r="2541" spans="8:10" x14ac:dyDescent="0.3">
      <c r="H2541" s="3"/>
      <c r="I2541" s="3"/>
      <c r="J2541" s="3"/>
    </row>
    <row r="2542" spans="8:10" x14ac:dyDescent="0.3">
      <c r="H2542" s="3"/>
      <c r="I2542" s="3"/>
      <c r="J2542" s="3"/>
    </row>
    <row r="2543" spans="8:10" x14ac:dyDescent="0.3">
      <c r="H2543" s="3"/>
      <c r="I2543" s="3"/>
      <c r="J2543" s="3"/>
    </row>
    <row r="2544" spans="8:10" x14ac:dyDescent="0.3">
      <c r="H2544" s="3"/>
      <c r="I2544" s="3"/>
      <c r="J2544" s="3"/>
    </row>
    <row r="2545" spans="8:10" x14ac:dyDescent="0.3">
      <c r="H2545" s="3"/>
      <c r="I2545" s="3"/>
      <c r="J2545" s="3"/>
    </row>
    <row r="2546" spans="8:10" x14ac:dyDescent="0.3">
      <c r="H2546" s="3"/>
      <c r="I2546" s="3"/>
      <c r="J2546" s="3"/>
    </row>
    <row r="2547" spans="8:10" x14ac:dyDescent="0.3">
      <c r="H2547" s="3"/>
      <c r="I2547" s="3"/>
      <c r="J2547" s="3"/>
    </row>
    <row r="2548" spans="8:10" x14ac:dyDescent="0.3">
      <c r="H2548" s="3"/>
      <c r="I2548" s="3"/>
      <c r="J2548" s="3"/>
    </row>
    <row r="2549" spans="8:10" x14ac:dyDescent="0.3">
      <c r="H2549" s="3"/>
      <c r="I2549" s="3"/>
      <c r="J2549" s="3"/>
    </row>
    <row r="2550" spans="8:10" x14ac:dyDescent="0.3">
      <c r="H2550" s="3"/>
      <c r="I2550" s="3"/>
      <c r="J2550" s="3"/>
    </row>
    <row r="2551" spans="8:10" x14ac:dyDescent="0.3">
      <c r="H2551" s="3"/>
      <c r="I2551" s="3"/>
      <c r="J2551" s="3"/>
    </row>
    <row r="2552" spans="8:10" x14ac:dyDescent="0.3">
      <c r="H2552" s="3"/>
      <c r="I2552" s="3"/>
      <c r="J2552" s="3"/>
    </row>
    <row r="2553" spans="8:10" x14ac:dyDescent="0.3">
      <c r="H2553" s="3"/>
      <c r="I2553" s="3"/>
      <c r="J2553" s="3"/>
    </row>
    <row r="2554" spans="8:10" x14ac:dyDescent="0.3">
      <c r="H2554" s="3"/>
      <c r="I2554" s="3"/>
      <c r="J2554" s="3"/>
    </row>
    <row r="2555" spans="8:10" x14ac:dyDescent="0.3">
      <c r="H2555" s="3"/>
      <c r="I2555" s="3"/>
      <c r="J2555" s="3"/>
    </row>
    <row r="2556" spans="8:10" x14ac:dyDescent="0.3">
      <c r="H2556" s="3"/>
      <c r="I2556" s="3"/>
      <c r="J2556" s="3"/>
    </row>
    <row r="2557" spans="8:10" x14ac:dyDescent="0.3">
      <c r="H2557" s="3"/>
      <c r="I2557" s="3"/>
      <c r="J2557" s="3"/>
    </row>
    <row r="2558" spans="8:10" x14ac:dyDescent="0.3">
      <c r="H2558" s="3"/>
      <c r="I2558" s="3"/>
      <c r="J2558" s="3"/>
    </row>
    <row r="2559" spans="8:10" x14ac:dyDescent="0.3">
      <c r="H2559" s="3"/>
      <c r="I2559" s="3"/>
      <c r="J2559" s="3"/>
    </row>
    <row r="2560" spans="8:10" x14ac:dyDescent="0.3">
      <c r="H2560" s="3"/>
      <c r="I2560" s="3"/>
      <c r="J2560" s="3"/>
    </row>
    <row r="2561" spans="8:10" x14ac:dyDescent="0.3">
      <c r="H2561" s="3"/>
      <c r="I2561" s="3"/>
      <c r="J2561" s="3"/>
    </row>
    <row r="2562" spans="8:10" x14ac:dyDescent="0.3">
      <c r="H2562" s="3"/>
      <c r="I2562" s="3"/>
      <c r="J2562" s="3"/>
    </row>
    <row r="2563" spans="8:10" x14ac:dyDescent="0.3">
      <c r="H2563" s="3"/>
      <c r="I2563" s="3"/>
      <c r="J2563" s="3"/>
    </row>
    <row r="2564" spans="8:10" x14ac:dyDescent="0.3">
      <c r="H2564" s="3"/>
      <c r="I2564" s="3"/>
      <c r="J2564" s="3"/>
    </row>
    <row r="2565" spans="8:10" x14ac:dyDescent="0.3">
      <c r="H2565" s="3"/>
      <c r="I2565" s="3"/>
      <c r="J2565" s="3"/>
    </row>
    <row r="2566" spans="8:10" x14ac:dyDescent="0.3">
      <c r="H2566" s="3"/>
      <c r="I2566" s="3"/>
      <c r="J2566" s="3"/>
    </row>
    <row r="2567" spans="8:10" x14ac:dyDescent="0.3">
      <c r="H2567" s="3"/>
      <c r="I2567" s="3"/>
      <c r="J2567" s="3"/>
    </row>
    <row r="2568" spans="8:10" x14ac:dyDescent="0.3">
      <c r="H2568" s="3"/>
      <c r="I2568" s="3"/>
      <c r="J2568" s="3"/>
    </row>
    <row r="2569" spans="8:10" x14ac:dyDescent="0.3">
      <c r="H2569" s="3"/>
      <c r="I2569" s="3"/>
      <c r="J2569" s="3"/>
    </row>
    <row r="2570" spans="8:10" x14ac:dyDescent="0.3">
      <c r="H2570" s="3"/>
      <c r="I2570" s="3"/>
      <c r="J2570" s="3"/>
    </row>
    <row r="2571" spans="8:10" x14ac:dyDescent="0.3">
      <c r="H2571" s="3"/>
      <c r="I2571" s="3"/>
      <c r="J2571" s="3"/>
    </row>
    <row r="2572" spans="8:10" x14ac:dyDescent="0.3">
      <c r="H2572" s="3"/>
      <c r="I2572" s="3"/>
      <c r="J2572" s="3"/>
    </row>
    <row r="2573" spans="8:10" x14ac:dyDescent="0.3">
      <c r="H2573" s="3"/>
      <c r="I2573" s="3"/>
      <c r="J2573" s="3"/>
    </row>
    <row r="2574" spans="8:10" x14ac:dyDescent="0.3">
      <c r="H2574" s="3"/>
      <c r="I2574" s="3"/>
      <c r="J2574" s="3"/>
    </row>
    <row r="2575" spans="8:10" x14ac:dyDescent="0.3">
      <c r="H2575" s="3"/>
      <c r="I2575" s="3"/>
      <c r="J2575" s="3"/>
    </row>
    <row r="2576" spans="8:10" x14ac:dyDescent="0.3">
      <c r="H2576" s="3"/>
      <c r="I2576" s="3"/>
      <c r="J2576" s="3"/>
    </row>
    <row r="2577" spans="8:10" x14ac:dyDescent="0.3">
      <c r="H2577" s="3"/>
      <c r="I2577" s="3"/>
      <c r="J2577" s="3"/>
    </row>
    <row r="2578" spans="8:10" x14ac:dyDescent="0.3">
      <c r="H2578" s="3"/>
      <c r="I2578" s="3"/>
      <c r="J2578" s="3"/>
    </row>
    <row r="2579" spans="8:10" x14ac:dyDescent="0.3">
      <c r="H2579" s="3"/>
      <c r="I2579" s="3"/>
      <c r="J2579" s="3"/>
    </row>
    <row r="2580" spans="8:10" x14ac:dyDescent="0.3">
      <c r="H2580" s="3"/>
      <c r="I2580" s="3"/>
      <c r="J2580" s="3"/>
    </row>
    <row r="2581" spans="8:10" x14ac:dyDescent="0.3">
      <c r="H2581" s="3"/>
      <c r="I2581" s="3"/>
      <c r="J2581" s="3"/>
    </row>
    <row r="2582" spans="8:10" x14ac:dyDescent="0.3">
      <c r="H2582" s="3"/>
      <c r="I2582" s="3"/>
      <c r="J2582" s="3"/>
    </row>
    <row r="2583" spans="8:10" x14ac:dyDescent="0.3">
      <c r="H2583" s="3"/>
      <c r="I2583" s="3"/>
      <c r="J2583" s="3"/>
    </row>
    <row r="2584" spans="8:10" x14ac:dyDescent="0.3">
      <c r="H2584" s="3"/>
      <c r="I2584" s="3"/>
      <c r="J2584" s="3"/>
    </row>
    <row r="2585" spans="8:10" x14ac:dyDescent="0.3">
      <c r="H2585" s="3"/>
      <c r="I2585" s="3"/>
      <c r="J2585" s="3"/>
    </row>
    <row r="2586" spans="8:10" x14ac:dyDescent="0.3">
      <c r="H2586" s="3"/>
      <c r="I2586" s="3"/>
      <c r="J2586" s="3"/>
    </row>
    <row r="2587" spans="8:10" x14ac:dyDescent="0.3">
      <c r="H2587" s="3"/>
      <c r="I2587" s="3"/>
      <c r="J2587" s="3"/>
    </row>
    <row r="2588" spans="8:10" x14ac:dyDescent="0.3">
      <c r="H2588" s="3"/>
      <c r="I2588" s="3"/>
      <c r="J2588" s="3"/>
    </row>
    <row r="2589" spans="8:10" x14ac:dyDescent="0.3">
      <c r="H2589" s="3"/>
      <c r="I2589" s="3"/>
      <c r="J2589" s="3"/>
    </row>
    <row r="2590" spans="8:10" x14ac:dyDescent="0.3">
      <c r="H2590" s="3"/>
      <c r="I2590" s="3"/>
      <c r="J2590" s="3"/>
    </row>
    <row r="2591" spans="8:10" x14ac:dyDescent="0.3">
      <c r="H2591" s="3"/>
      <c r="I2591" s="3"/>
      <c r="J2591" s="3"/>
    </row>
    <row r="2592" spans="8:10" x14ac:dyDescent="0.3">
      <c r="H2592" s="3"/>
      <c r="I2592" s="3"/>
      <c r="J2592" s="3"/>
    </row>
    <row r="2593" spans="8:10" x14ac:dyDescent="0.3">
      <c r="H2593" s="3"/>
      <c r="I2593" s="3"/>
      <c r="J2593" s="3"/>
    </row>
    <row r="2594" spans="8:10" x14ac:dyDescent="0.3">
      <c r="H2594" s="3"/>
      <c r="I2594" s="3"/>
      <c r="J2594" s="3"/>
    </row>
    <row r="2595" spans="8:10" x14ac:dyDescent="0.3">
      <c r="H2595" s="3"/>
      <c r="I2595" s="3"/>
      <c r="J2595" s="3"/>
    </row>
    <row r="2596" spans="8:10" x14ac:dyDescent="0.3">
      <c r="H2596" s="3"/>
      <c r="I2596" s="3"/>
      <c r="J2596" s="3"/>
    </row>
    <row r="2597" spans="8:10" x14ac:dyDescent="0.3">
      <c r="H2597" s="3"/>
      <c r="I2597" s="3"/>
      <c r="J2597" s="3"/>
    </row>
    <row r="2598" spans="8:10" x14ac:dyDescent="0.3">
      <c r="H2598" s="3"/>
      <c r="I2598" s="3"/>
      <c r="J2598" s="3"/>
    </row>
    <row r="2599" spans="8:10" x14ac:dyDescent="0.3">
      <c r="H2599" s="3"/>
      <c r="I2599" s="3"/>
      <c r="J2599" s="3"/>
    </row>
    <row r="2600" spans="8:10" x14ac:dyDescent="0.3">
      <c r="H2600" s="3"/>
      <c r="I2600" s="3"/>
      <c r="J2600" s="3"/>
    </row>
    <row r="2601" spans="8:10" x14ac:dyDescent="0.3">
      <c r="H2601" s="3"/>
      <c r="I2601" s="3"/>
      <c r="J2601" s="3"/>
    </row>
    <row r="2602" spans="8:10" x14ac:dyDescent="0.3">
      <c r="H2602" s="3"/>
      <c r="I2602" s="3"/>
      <c r="J2602" s="3"/>
    </row>
    <row r="2603" spans="8:10" x14ac:dyDescent="0.3">
      <c r="H2603" s="3"/>
      <c r="I2603" s="3"/>
      <c r="J2603" s="3"/>
    </row>
    <row r="2604" spans="8:10" x14ac:dyDescent="0.3">
      <c r="H2604" s="3"/>
      <c r="I2604" s="3"/>
      <c r="J2604" s="3"/>
    </row>
    <row r="2605" spans="8:10" x14ac:dyDescent="0.3">
      <c r="H2605" s="3"/>
      <c r="I2605" s="3"/>
      <c r="J2605" s="3"/>
    </row>
    <row r="2606" spans="8:10" x14ac:dyDescent="0.3">
      <c r="H2606" s="3"/>
      <c r="I2606" s="3"/>
      <c r="J2606" s="3"/>
    </row>
    <row r="2607" spans="8:10" x14ac:dyDescent="0.3">
      <c r="H2607" s="3"/>
      <c r="I2607" s="3"/>
      <c r="J2607" s="3"/>
    </row>
    <row r="2608" spans="8:10" x14ac:dyDescent="0.3">
      <c r="H2608" s="3"/>
      <c r="I2608" s="3"/>
      <c r="J2608" s="3"/>
    </row>
    <row r="2609" spans="8:10" x14ac:dyDescent="0.3">
      <c r="H2609" s="3"/>
      <c r="I2609" s="3"/>
      <c r="J2609" s="3"/>
    </row>
    <row r="2610" spans="8:10" x14ac:dyDescent="0.3">
      <c r="H2610" s="3"/>
      <c r="I2610" s="3"/>
      <c r="J2610" s="3"/>
    </row>
    <row r="2611" spans="8:10" x14ac:dyDescent="0.3">
      <c r="H2611" s="3"/>
      <c r="I2611" s="3"/>
      <c r="J2611" s="3"/>
    </row>
    <row r="2612" spans="8:10" x14ac:dyDescent="0.3">
      <c r="H2612" s="3"/>
      <c r="I2612" s="3"/>
      <c r="J2612" s="3"/>
    </row>
    <row r="2613" spans="8:10" x14ac:dyDescent="0.3">
      <c r="H2613" s="3"/>
      <c r="I2613" s="3"/>
      <c r="J2613" s="3"/>
    </row>
    <row r="2614" spans="8:10" x14ac:dyDescent="0.3">
      <c r="H2614" s="3"/>
      <c r="I2614" s="3"/>
      <c r="J2614" s="3"/>
    </row>
    <row r="2615" spans="8:10" x14ac:dyDescent="0.3">
      <c r="H2615" s="3"/>
      <c r="I2615" s="3"/>
      <c r="J2615" s="3"/>
    </row>
    <row r="2616" spans="8:10" x14ac:dyDescent="0.3">
      <c r="H2616" s="3"/>
      <c r="I2616" s="3"/>
      <c r="J2616" s="3"/>
    </row>
    <row r="2617" spans="8:10" x14ac:dyDescent="0.3">
      <c r="H2617" s="3"/>
      <c r="I2617" s="3"/>
      <c r="J2617" s="3"/>
    </row>
    <row r="2618" spans="8:10" x14ac:dyDescent="0.3">
      <c r="H2618" s="3"/>
      <c r="I2618" s="3"/>
      <c r="J2618" s="3"/>
    </row>
    <row r="2619" spans="8:10" x14ac:dyDescent="0.3">
      <c r="H2619" s="3"/>
      <c r="I2619" s="3"/>
      <c r="J2619" s="3"/>
    </row>
    <row r="2620" spans="8:10" x14ac:dyDescent="0.3">
      <c r="H2620" s="3"/>
      <c r="I2620" s="3"/>
      <c r="J2620" s="3"/>
    </row>
    <row r="2621" spans="8:10" x14ac:dyDescent="0.3">
      <c r="H2621" s="3"/>
      <c r="I2621" s="3"/>
      <c r="J2621" s="3"/>
    </row>
    <row r="2622" spans="8:10" x14ac:dyDescent="0.3">
      <c r="H2622" s="3"/>
      <c r="I2622" s="3"/>
      <c r="J2622" s="3"/>
    </row>
    <row r="2623" spans="8:10" x14ac:dyDescent="0.3">
      <c r="H2623" s="3"/>
      <c r="I2623" s="3"/>
      <c r="J2623" s="3"/>
    </row>
    <row r="2624" spans="8:10" x14ac:dyDescent="0.3">
      <c r="H2624" s="3"/>
      <c r="I2624" s="3"/>
      <c r="J2624" s="3"/>
    </row>
    <row r="2625" spans="8:10" x14ac:dyDescent="0.3">
      <c r="H2625" s="3"/>
      <c r="I2625" s="3"/>
      <c r="J2625" s="3"/>
    </row>
    <row r="2626" spans="8:10" x14ac:dyDescent="0.3">
      <c r="H2626" s="3"/>
      <c r="I2626" s="3"/>
      <c r="J2626" s="3"/>
    </row>
    <row r="2627" spans="8:10" x14ac:dyDescent="0.3">
      <c r="H2627" s="3"/>
      <c r="I2627" s="3"/>
      <c r="J2627" s="3"/>
    </row>
    <row r="2628" spans="8:10" x14ac:dyDescent="0.3">
      <c r="H2628" s="3"/>
      <c r="I2628" s="3"/>
      <c r="J2628" s="3"/>
    </row>
    <row r="2629" spans="8:10" x14ac:dyDescent="0.3">
      <c r="H2629" s="3"/>
      <c r="I2629" s="3"/>
      <c r="J2629" s="3"/>
    </row>
    <row r="2630" spans="8:10" x14ac:dyDescent="0.3">
      <c r="H2630" s="3"/>
      <c r="I2630" s="3"/>
      <c r="J2630" s="3"/>
    </row>
    <row r="2631" spans="8:10" x14ac:dyDescent="0.3">
      <c r="H2631" s="3"/>
      <c r="I2631" s="3"/>
      <c r="J2631" s="3"/>
    </row>
    <row r="2632" spans="8:10" x14ac:dyDescent="0.3">
      <c r="H2632" s="3"/>
      <c r="I2632" s="3"/>
      <c r="J2632" s="3"/>
    </row>
    <row r="2633" spans="8:10" x14ac:dyDescent="0.3">
      <c r="H2633" s="3"/>
      <c r="I2633" s="3"/>
      <c r="J2633" s="3"/>
    </row>
    <row r="2634" spans="8:10" x14ac:dyDescent="0.3">
      <c r="H2634" s="3"/>
      <c r="I2634" s="3"/>
      <c r="J2634" s="3"/>
    </row>
    <row r="2635" spans="8:10" x14ac:dyDescent="0.3">
      <c r="H2635" s="3"/>
      <c r="I2635" s="3"/>
      <c r="J2635" s="3"/>
    </row>
    <row r="2636" spans="8:10" x14ac:dyDescent="0.3">
      <c r="H2636" s="3"/>
      <c r="I2636" s="3"/>
      <c r="J2636" s="3"/>
    </row>
    <row r="2637" spans="8:10" x14ac:dyDescent="0.3">
      <c r="H2637" s="3"/>
      <c r="I2637" s="3"/>
      <c r="J2637" s="3"/>
    </row>
    <row r="2638" spans="8:10" x14ac:dyDescent="0.3">
      <c r="H2638" s="3"/>
      <c r="I2638" s="3"/>
      <c r="J2638" s="3"/>
    </row>
    <row r="2639" spans="8:10" x14ac:dyDescent="0.3">
      <c r="H2639" s="3"/>
      <c r="I2639" s="3"/>
      <c r="J2639" s="3"/>
    </row>
    <row r="2640" spans="8:10" x14ac:dyDescent="0.3">
      <c r="H2640" s="3"/>
      <c r="I2640" s="3"/>
      <c r="J2640" s="3"/>
    </row>
    <row r="2641" spans="8:10" x14ac:dyDescent="0.3">
      <c r="H2641" s="3"/>
      <c r="I2641" s="3"/>
      <c r="J2641" s="3"/>
    </row>
    <row r="2642" spans="8:10" x14ac:dyDescent="0.3">
      <c r="H2642" s="3"/>
      <c r="I2642" s="3"/>
      <c r="J2642" s="3"/>
    </row>
    <row r="2643" spans="8:10" x14ac:dyDescent="0.3">
      <c r="H2643" s="3"/>
      <c r="I2643" s="3"/>
      <c r="J2643" s="3"/>
    </row>
    <row r="2644" spans="8:10" x14ac:dyDescent="0.3">
      <c r="H2644" s="3"/>
      <c r="I2644" s="3"/>
      <c r="J2644" s="3"/>
    </row>
    <row r="2645" spans="8:10" x14ac:dyDescent="0.3">
      <c r="H2645" s="3"/>
      <c r="I2645" s="3"/>
      <c r="J2645" s="3"/>
    </row>
    <row r="2646" spans="8:10" x14ac:dyDescent="0.3">
      <c r="H2646" s="3"/>
      <c r="I2646" s="3"/>
      <c r="J2646" s="3"/>
    </row>
    <row r="2647" spans="8:10" x14ac:dyDescent="0.3">
      <c r="H2647" s="3"/>
      <c r="I2647" s="3"/>
      <c r="J2647" s="3"/>
    </row>
    <row r="2648" spans="8:10" x14ac:dyDescent="0.3">
      <c r="H2648" s="3"/>
      <c r="I2648" s="3"/>
      <c r="J2648" s="3"/>
    </row>
    <row r="2649" spans="8:10" x14ac:dyDescent="0.3">
      <c r="H2649" s="3"/>
      <c r="I2649" s="3"/>
      <c r="J2649" s="3"/>
    </row>
    <row r="2650" spans="8:10" x14ac:dyDescent="0.3">
      <c r="H2650" s="3"/>
      <c r="I2650" s="3"/>
      <c r="J2650" s="3"/>
    </row>
    <row r="2651" spans="8:10" x14ac:dyDescent="0.3">
      <c r="H2651" s="3"/>
      <c r="I2651" s="3"/>
      <c r="J2651" s="3"/>
    </row>
    <row r="2652" spans="8:10" x14ac:dyDescent="0.3">
      <c r="H2652" s="3"/>
      <c r="I2652" s="3"/>
      <c r="J2652" s="3"/>
    </row>
    <row r="2653" spans="8:10" x14ac:dyDescent="0.3">
      <c r="H2653" s="3"/>
      <c r="I2653" s="3"/>
      <c r="J2653" s="3"/>
    </row>
    <row r="2654" spans="8:10" x14ac:dyDescent="0.3">
      <c r="H2654" s="3"/>
      <c r="I2654" s="3"/>
      <c r="J2654" s="3"/>
    </row>
    <row r="2655" spans="8:10" x14ac:dyDescent="0.3">
      <c r="H2655" s="3"/>
      <c r="I2655" s="3"/>
      <c r="J2655" s="3"/>
    </row>
    <row r="2656" spans="8:10" x14ac:dyDescent="0.3">
      <c r="H2656" s="3"/>
      <c r="I2656" s="3"/>
      <c r="J2656" s="3"/>
    </row>
    <row r="2657" spans="8:10" x14ac:dyDescent="0.3">
      <c r="H2657" s="3"/>
      <c r="I2657" s="3"/>
      <c r="J2657" s="3"/>
    </row>
    <row r="2658" spans="8:10" x14ac:dyDescent="0.3">
      <c r="H2658" s="3"/>
      <c r="I2658" s="3"/>
      <c r="J2658" s="3"/>
    </row>
    <row r="2659" spans="8:10" x14ac:dyDescent="0.3">
      <c r="H2659" s="3"/>
      <c r="I2659" s="3"/>
      <c r="J2659" s="3"/>
    </row>
    <row r="2660" spans="8:10" x14ac:dyDescent="0.3">
      <c r="H2660" s="3"/>
      <c r="I2660" s="3"/>
      <c r="J2660" s="3"/>
    </row>
    <row r="2661" spans="8:10" x14ac:dyDescent="0.3">
      <c r="H2661" s="3"/>
      <c r="I2661" s="3"/>
      <c r="J2661" s="3"/>
    </row>
    <row r="2662" spans="8:10" x14ac:dyDescent="0.3">
      <c r="H2662" s="3"/>
      <c r="I2662" s="3"/>
      <c r="J2662" s="3"/>
    </row>
    <row r="2663" spans="8:10" x14ac:dyDescent="0.3">
      <c r="H2663" s="3"/>
      <c r="I2663" s="3"/>
      <c r="J2663" s="3"/>
    </row>
    <row r="2664" spans="8:10" x14ac:dyDescent="0.3">
      <c r="H2664" s="3"/>
      <c r="I2664" s="3"/>
      <c r="J2664" s="3"/>
    </row>
    <row r="2665" spans="8:10" x14ac:dyDescent="0.3">
      <c r="H2665" s="3"/>
      <c r="I2665" s="3"/>
      <c r="J2665" s="3"/>
    </row>
    <row r="2666" spans="8:10" x14ac:dyDescent="0.3">
      <c r="H2666" s="3"/>
      <c r="I2666" s="3"/>
      <c r="J2666" s="3"/>
    </row>
    <row r="2667" spans="8:10" x14ac:dyDescent="0.3">
      <c r="H2667" s="3"/>
      <c r="I2667" s="3"/>
      <c r="J2667" s="3"/>
    </row>
    <row r="2668" spans="8:10" x14ac:dyDescent="0.3">
      <c r="H2668" s="3"/>
      <c r="I2668" s="3"/>
      <c r="J2668" s="3"/>
    </row>
    <row r="2669" spans="8:10" x14ac:dyDescent="0.3">
      <c r="H2669" s="3"/>
      <c r="I2669" s="3"/>
      <c r="J2669" s="3"/>
    </row>
    <row r="2670" spans="8:10" x14ac:dyDescent="0.3">
      <c r="H2670" s="3"/>
      <c r="I2670" s="3"/>
      <c r="J2670" s="3"/>
    </row>
    <row r="2671" spans="8:10" x14ac:dyDescent="0.3">
      <c r="H2671" s="3"/>
      <c r="I2671" s="3"/>
      <c r="J2671" s="3"/>
    </row>
    <row r="2672" spans="8:10" x14ac:dyDescent="0.3">
      <c r="H2672" s="3"/>
      <c r="I2672" s="3"/>
      <c r="J2672" s="3"/>
    </row>
    <row r="2673" spans="8:10" x14ac:dyDescent="0.3">
      <c r="H2673" s="3"/>
      <c r="I2673" s="3"/>
      <c r="J2673" s="3"/>
    </row>
    <row r="2674" spans="8:10" x14ac:dyDescent="0.3">
      <c r="H2674" s="3"/>
      <c r="I2674" s="3"/>
      <c r="J2674" s="3"/>
    </row>
    <row r="2675" spans="8:10" x14ac:dyDescent="0.3">
      <c r="H2675" s="3"/>
      <c r="I2675" s="3"/>
      <c r="J2675" s="3"/>
    </row>
    <row r="2676" spans="8:10" x14ac:dyDescent="0.3">
      <c r="H2676" s="3"/>
      <c r="I2676" s="3"/>
      <c r="J2676" s="3"/>
    </row>
    <row r="2677" spans="8:10" x14ac:dyDescent="0.3">
      <c r="H2677" s="3"/>
      <c r="I2677" s="3"/>
      <c r="J2677" s="3"/>
    </row>
    <row r="2678" spans="8:10" x14ac:dyDescent="0.3">
      <c r="H2678" s="3"/>
      <c r="I2678" s="3"/>
      <c r="J2678" s="3"/>
    </row>
    <row r="2679" spans="8:10" x14ac:dyDescent="0.3">
      <c r="H2679" s="3"/>
      <c r="I2679" s="3"/>
      <c r="J2679" s="3"/>
    </row>
    <row r="2680" spans="8:10" x14ac:dyDescent="0.3">
      <c r="H2680" s="3"/>
      <c r="I2680" s="3"/>
      <c r="J2680" s="3"/>
    </row>
    <row r="2681" spans="8:10" x14ac:dyDescent="0.3">
      <c r="H2681" s="3"/>
      <c r="I2681" s="3"/>
      <c r="J2681" s="3"/>
    </row>
    <row r="2682" spans="8:10" x14ac:dyDescent="0.3">
      <c r="H2682" s="3"/>
      <c r="I2682" s="3"/>
      <c r="J2682" s="3"/>
    </row>
    <row r="2683" spans="8:10" x14ac:dyDescent="0.3">
      <c r="H2683" s="3"/>
      <c r="I2683" s="3"/>
      <c r="J2683" s="3"/>
    </row>
    <row r="2684" spans="8:10" x14ac:dyDescent="0.3">
      <c r="H2684" s="3"/>
      <c r="I2684" s="3"/>
      <c r="J2684" s="3"/>
    </row>
    <row r="2685" spans="8:10" x14ac:dyDescent="0.3">
      <c r="H2685" s="3"/>
      <c r="I2685" s="3"/>
      <c r="J2685" s="3"/>
    </row>
    <row r="2686" spans="8:10" x14ac:dyDescent="0.3">
      <c r="H2686" s="3"/>
      <c r="I2686" s="3"/>
      <c r="J2686" s="3"/>
    </row>
    <row r="2687" spans="8:10" x14ac:dyDescent="0.3">
      <c r="H2687" s="3"/>
      <c r="I2687" s="3"/>
      <c r="J2687" s="3"/>
    </row>
    <row r="2688" spans="8:10" x14ac:dyDescent="0.3">
      <c r="H2688" s="3"/>
      <c r="I2688" s="3"/>
      <c r="J2688" s="3"/>
    </row>
    <row r="2689" spans="8:10" x14ac:dyDescent="0.3">
      <c r="H2689" s="3"/>
      <c r="I2689" s="3"/>
      <c r="J2689" s="3"/>
    </row>
    <row r="2690" spans="8:10" x14ac:dyDescent="0.3">
      <c r="H2690" s="3"/>
      <c r="I2690" s="3"/>
      <c r="J2690" s="3"/>
    </row>
    <row r="2691" spans="8:10" x14ac:dyDescent="0.3">
      <c r="H2691" s="3"/>
      <c r="I2691" s="3"/>
      <c r="J2691" s="3"/>
    </row>
    <row r="2692" spans="8:10" x14ac:dyDescent="0.3">
      <c r="H2692" s="3"/>
      <c r="I2692" s="3"/>
      <c r="J2692" s="3"/>
    </row>
    <row r="2693" spans="8:10" x14ac:dyDescent="0.3">
      <c r="H2693" s="3"/>
      <c r="I2693" s="3"/>
      <c r="J2693" s="3"/>
    </row>
    <row r="2694" spans="8:10" x14ac:dyDescent="0.3">
      <c r="H2694" s="3"/>
      <c r="I2694" s="3"/>
      <c r="J2694" s="3"/>
    </row>
    <row r="2695" spans="8:10" x14ac:dyDescent="0.3">
      <c r="H2695" s="3"/>
      <c r="I2695" s="3"/>
      <c r="J2695" s="3"/>
    </row>
    <row r="2696" spans="8:10" x14ac:dyDescent="0.3">
      <c r="H2696" s="3"/>
      <c r="I2696" s="3"/>
      <c r="J2696" s="3"/>
    </row>
    <row r="2697" spans="8:10" x14ac:dyDescent="0.3">
      <c r="H2697" s="3"/>
      <c r="I2697" s="3"/>
      <c r="J2697" s="3"/>
    </row>
    <row r="2698" spans="8:10" x14ac:dyDescent="0.3">
      <c r="H2698" s="3"/>
      <c r="I2698" s="3"/>
      <c r="J2698" s="3"/>
    </row>
    <row r="2699" spans="8:10" x14ac:dyDescent="0.3">
      <c r="H2699" s="3"/>
      <c r="I2699" s="3"/>
      <c r="J2699" s="3"/>
    </row>
    <row r="2700" spans="8:10" x14ac:dyDescent="0.3">
      <c r="H2700" s="3"/>
      <c r="I2700" s="3"/>
      <c r="J2700" s="3"/>
    </row>
    <row r="2701" spans="8:10" x14ac:dyDescent="0.3">
      <c r="H2701" s="3"/>
      <c r="I2701" s="3"/>
      <c r="J2701" s="3"/>
    </row>
    <row r="2702" spans="8:10" x14ac:dyDescent="0.3">
      <c r="H2702" s="3"/>
      <c r="I2702" s="3"/>
      <c r="J2702" s="3"/>
    </row>
    <row r="2703" spans="8:10" x14ac:dyDescent="0.3">
      <c r="H2703" s="3"/>
      <c r="I2703" s="3"/>
      <c r="J2703" s="3"/>
    </row>
    <row r="2704" spans="8:10" x14ac:dyDescent="0.3">
      <c r="H2704" s="3"/>
      <c r="I2704" s="3"/>
      <c r="J2704" s="3"/>
    </row>
    <row r="2705" spans="8:10" x14ac:dyDescent="0.3">
      <c r="H2705" s="3"/>
      <c r="I2705" s="3"/>
      <c r="J2705" s="3"/>
    </row>
    <row r="2706" spans="8:10" x14ac:dyDescent="0.3">
      <c r="H2706" s="3"/>
      <c r="I2706" s="3"/>
      <c r="J2706" s="3"/>
    </row>
    <row r="2707" spans="8:10" x14ac:dyDescent="0.3">
      <c r="H2707" s="3"/>
      <c r="I2707" s="3"/>
      <c r="J2707" s="3"/>
    </row>
    <row r="2708" spans="8:10" x14ac:dyDescent="0.3">
      <c r="H2708" s="3"/>
      <c r="I2708" s="3"/>
      <c r="J2708" s="3"/>
    </row>
    <row r="2709" spans="8:10" x14ac:dyDescent="0.3">
      <c r="H2709" s="3"/>
      <c r="I2709" s="3"/>
      <c r="J2709" s="3"/>
    </row>
    <row r="2710" spans="8:10" x14ac:dyDescent="0.3">
      <c r="H2710" s="3"/>
      <c r="I2710" s="3"/>
      <c r="J2710" s="3"/>
    </row>
    <row r="2711" spans="8:10" x14ac:dyDescent="0.3">
      <c r="H2711" s="3"/>
      <c r="I2711" s="3"/>
      <c r="J2711" s="3"/>
    </row>
    <row r="2712" spans="8:10" x14ac:dyDescent="0.3">
      <c r="H2712" s="3"/>
      <c r="I2712" s="3"/>
      <c r="J2712" s="3"/>
    </row>
    <row r="2713" spans="8:10" x14ac:dyDescent="0.3">
      <c r="H2713" s="3"/>
      <c r="I2713" s="3"/>
      <c r="J2713" s="3"/>
    </row>
    <row r="2714" spans="8:10" x14ac:dyDescent="0.3">
      <c r="H2714" s="3"/>
      <c r="I2714" s="3"/>
      <c r="J2714" s="3"/>
    </row>
    <row r="2715" spans="8:10" x14ac:dyDescent="0.3">
      <c r="H2715" s="3"/>
      <c r="I2715" s="3"/>
      <c r="J2715" s="3"/>
    </row>
    <row r="2716" spans="8:10" x14ac:dyDescent="0.3">
      <c r="H2716" s="3"/>
      <c r="I2716" s="3"/>
      <c r="J2716" s="3"/>
    </row>
    <row r="2717" spans="8:10" x14ac:dyDescent="0.3">
      <c r="H2717" s="3"/>
      <c r="I2717" s="3"/>
      <c r="J2717" s="3"/>
    </row>
    <row r="2718" spans="8:10" x14ac:dyDescent="0.3">
      <c r="H2718" s="3"/>
      <c r="I2718" s="3"/>
      <c r="J2718" s="3"/>
    </row>
    <row r="2719" spans="8:10" x14ac:dyDescent="0.3">
      <c r="H2719" s="3"/>
      <c r="I2719" s="3"/>
      <c r="J2719" s="3"/>
    </row>
    <row r="2720" spans="8:10" x14ac:dyDescent="0.3">
      <c r="H2720" s="3"/>
      <c r="I2720" s="3"/>
      <c r="J2720" s="3"/>
    </row>
    <row r="2721" spans="8:10" x14ac:dyDescent="0.3">
      <c r="H2721" s="3"/>
      <c r="I2721" s="3"/>
      <c r="J2721" s="3"/>
    </row>
    <row r="2722" spans="8:10" x14ac:dyDescent="0.3">
      <c r="H2722" s="3"/>
      <c r="I2722" s="3"/>
      <c r="J2722" s="3"/>
    </row>
    <row r="2723" spans="8:10" x14ac:dyDescent="0.3">
      <c r="H2723" s="3"/>
      <c r="I2723" s="3"/>
      <c r="J2723" s="3"/>
    </row>
    <row r="2724" spans="8:10" x14ac:dyDescent="0.3">
      <c r="H2724" s="3"/>
      <c r="I2724" s="3"/>
      <c r="J2724" s="3"/>
    </row>
    <row r="2725" spans="8:10" x14ac:dyDescent="0.3">
      <c r="H2725" s="3"/>
      <c r="I2725" s="3"/>
      <c r="J2725" s="3"/>
    </row>
    <row r="2726" spans="8:10" x14ac:dyDescent="0.3">
      <c r="H2726" s="3"/>
      <c r="I2726" s="3"/>
      <c r="J2726" s="3"/>
    </row>
    <row r="2727" spans="8:10" x14ac:dyDescent="0.3">
      <c r="H2727" s="3"/>
      <c r="I2727" s="3"/>
      <c r="J2727" s="3"/>
    </row>
    <row r="2728" spans="8:10" x14ac:dyDescent="0.3">
      <c r="H2728" s="3"/>
      <c r="I2728" s="3"/>
      <c r="J2728" s="3"/>
    </row>
    <row r="2729" spans="8:10" x14ac:dyDescent="0.3">
      <c r="H2729" s="3"/>
      <c r="I2729" s="3"/>
      <c r="J2729" s="3"/>
    </row>
    <row r="2730" spans="8:10" x14ac:dyDescent="0.3">
      <c r="H2730" s="3"/>
      <c r="I2730" s="3"/>
      <c r="J2730" s="3"/>
    </row>
    <row r="2731" spans="8:10" x14ac:dyDescent="0.3">
      <c r="H2731" s="3"/>
      <c r="I2731" s="3"/>
      <c r="J2731" s="3"/>
    </row>
    <row r="2732" spans="8:10" x14ac:dyDescent="0.3">
      <c r="H2732" s="3"/>
      <c r="I2732" s="3"/>
      <c r="J2732" s="3"/>
    </row>
    <row r="2733" spans="8:10" x14ac:dyDescent="0.3">
      <c r="H2733" s="3"/>
      <c r="I2733" s="3"/>
      <c r="J2733" s="3"/>
    </row>
    <row r="2734" spans="8:10" x14ac:dyDescent="0.3">
      <c r="H2734" s="3"/>
      <c r="I2734" s="3"/>
      <c r="J2734" s="3"/>
    </row>
    <row r="2735" spans="8:10" x14ac:dyDescent="0.3">
      <c r="H2735" s="3"/>
      <c r="I2735" s="3"/>
      <c r="J2735" s="3"/>
    </row>
    <row r="2736" spans="8:10" x14ac:dyDescent="0.3">
      <c r="H2736" s="3"/>
      <c r="I2736" s="3"/>
      <c r="J2736" s="3"/>
    </row>
    <row r="2737" spans="8:10" x14ac:dyDescent="0.3">
      <c r="H2737" s="3"/>
      <c r="I2737" s="3"/>
      <c r="J2737" s="3"/>
    </row>
    <row r="2738" spans="8:10" x14ac:dyDescent="0.3">
      <c r="H2738" s="3"/>
      <c r="I2738" s="3"/>
      <c r="J2738" s="3"/>
    </row>
    <row r="2739" spans="8:10" x14ac:dyDescent="0.3">
      <c r="H2739" s="3"/>
      <c r="I2739" s="3"/>
      <c r="J2739" s="3"/>
    </row>
    <row r="2740" spans="8:10" x14ac:dyDescent="0.3">
      <c r="H2740" s="3"/>
      <c r="I2740" s="3"/>
      <c r="J2740" s="3"/>
    </row>
    <row r="2741" spans="8:10" x14ac:dyDescent="0.3">
      <c r="H2741" s="3"/>
      <c r="I2741" s="3"/>
      <c r="J2741" s="3"/>
    </row>
    <row r="2742" spans="8:10" x14ac:dyDescent="0.3">
      <c r="H2742" s="3"/>
      <c r="I2742" s="3"/>
      <c r="J2742" s="3"/>
    </row>
    <row r="2743" spans="8:10" x14ac:dyDescent="0.3">
      <c r="H2743" s="3"/>
      <c r="I2743" s="3"/>
      <c r="J2743" s="3"/>
    </row>
    <row r="2744" spans="8:10" x14ac:dyDescent="0.3">
      <c r="H2744" s="3"/>
      <c r="I2744" s="3"/>
      <c r="J2744" s="3"/>
    </row>
    <row r="2745" spans="8:10" x14ac:dyDescent="0.3">
      <c r="H2745" s="3"/>
      <c r="I2745" s="3"/>
      <c r="J2745" s="3"/>
    </row>
    <row r="2746" spans="8:10" x14ac:dyDescent="0.3">
      <c r="H2746" s="3"/>
      <c r="I2746" s="3"/>
      <c r="J2746" s="3"/>
    </row>
    <row r="2747" spans="8:10" x14ac:dyDescent="0.3">
      <c r="H2747" s="3"/>
      <c r="I2747" s="3"/>
      <c r="J2747" s="3"/>
    </row>
    <row r="2748" spans="8:10" x14ac:dyDescent="0.3">
      <c r="H2748" s="3"/>
      <c r="I2748" s="3"/>
      <c r="J2748" s="3"/>
    </row>
    <row r="2749" spans="8:10" x14ac:dyDescent="0.3">
      <c r="H2749" s="3"/>
      <c r="I2749" s="3"/>
      <c r="J2749" s="3"/>
    </row>
    <row r="2750" spans="8:10" x14ac:dyDescent="0.3">
      <c r="H2750" s="3"/>
      <c r="I2750" s="3"/>
      <c r="J2750" s="3"/>
    </row>
    <row r="2751" spans="8:10" x14ac:dyDescent="0.3">
      <c r="H2751" s="3"/>
      <c r="I2751" s="3"/>
      <c r="J2751" s="3"/>
    </row>
    <row r="2752" spans="8:10" x14ac:dyDescent="0.3">
      <c r="H2752" s="3"/>
      <c r="I2752" s="3"/>
      <c r="J2752" s="3"/>
    </row>
    <row r="2753" spans="8:10" x14ac:dyDescent="0.3">
      <c r="H2753" s="3"/>
      <c r="I2753" s="3"/>
      <c r="J2753" s="3"/>
    </row>
    <row r="2754" spans="8:10" x14ac:dyDescent="0.3">
      <c r="H2754" s="3"/>
      <c r="I2754" s="3"/>
      <c r="J2754" s="3"/>
    </row>
    <row r="2755" spans="8:10" x14ac:dyDescent="0.3">
      <c r="H2755" s="3"/>
      <c r="I2755" s="3"/>
      <c r="J2755" s="3"/>
    </row>
    <row r="2756" spans="8:10" x14ac:dyDescent="0.3">
      <c r="H2756" s="3"/>
      <c r="I2756" s="3"/>
      <c r="J2756" s="3"/>
    </row>
    <row r="2757" spans="8:10" x14ac:dyDescent="0.3">
      <c r="H2757" s="3"/>
      <c r="I2757" s="3"/>
      <c r="J2757" s="3"/>
    </row>
    <row r="2758" spans="8:10" x14ac:dyDescent="0.3">
      <c r="H2758" s="3"/>
      <c r="I2758" s="3"/>
      <c r="J2758" s="3"/>
    </row>
    <row r="2759" spans="8:10" x14ac:dyDescent="0.3">
      <c r="H2759" s="3"/>
      <c r="I2759" s="3"/>
      <c r="J2759" s="3"/>
    </row>
    <row r="2760" spans="8:10" x14ac:dyDescent="0.3">
      <c r="H2760" s="3"/>
      <c r="I2760" s="3"/>
      <c r="J2760" s="3"/>
    </row>
    <row r="2761" spans="8:10" x14ac:dyDescent="0.3">
      <c r="H2761" s="3"/>
      <c r="I2761" s="3"/>
      <c r="J2761" s="3"/>
    </row>
    <row r="2762" spans="8:10" x14ac:dyDescent="0.3">
      <c r="H2762" s="3"/>
      <c r="I2762" s="3"/>
      <c r="J2762" s="3"/>
    </row>
    <row r="2763" spans="8:10" x14ac:dyDescent="0.3">
      <c r="H2763" s="3"/>
      <c r="I2763" s="3"/>
      <c r="J2763" s="3"/>
    </row>
    <row r="2764" spans="8:10" x14ac:dyDescent="0.3">
      <c r="H2764" s="3"/>
      <c r="I2764" s="3"/>
      <c r="J2764" s="3"/>
    </row>
    <row r="2765" spans="8:10" x14ac:dyDescent="0.3">
      <c r="H2765" s="3"/>
      <c r="I2765" s="3"/>
      <c r="J2765" s="3"/>
    </row>
    <row r="2766" spans="8:10" x14ac:dyDescent="0.3">
      <c r="H2766" s="3"/>
      <c r="I2766" s="3"/>
      <c r="J2766" s="3"/>
    </row>
    <row r="2767" spans="8:10" x14ac:dyDescent="0.3">
      <c r="H2767" s="3"/>
      <c r="I2767" s="3"/>
      <c r="J2767" s="3"/>
    </row>
    <row r="2768" spans="8:10" x14ac:dyDescent="0.3">
      <c r="H2768" s="3"/>
      <c r="I2768" s="3"/>
      <c r="J2768" s="3"/>
    </row>
    <row r="2769" spans="8:10" x14ac:dyDescent="0.3">
      <c r="H2769" s="3"/>
      <c r="I2769" s="3"/>
      <c r="J2769" s="3"/>
    </row>
    <row r="2770" spans="8:10" x14ac:dyDescent="0.3">
      <c r="H2770" s="3"/>
      <c r="I2770" s="3"/>
      <c r="J2770" s="3"/>
    </row>
    <row r="2771" spans="8:10" x14ac:dyDescent="0.3">
      <c r="H2771" s="3"/>
      <c r="I2771" s="3"/>
      <c r="J2771" s="3"/>
    </row>
    <row r="2772" spans="8:10" x14ac:dyDescent="0.3">
      <c r="H2772" s="3"/>
      <c r="I2772" s="3"/>
      <c r="J2772" s="3"/>
    </row>
    <row r="2773" spans="8:10" x14ac:dyDescent="0.3">
      <c r="H2773" s="3"/>
      <c r="I2773" s="3"/>
      <c r="J2773" s="3"/>
    </row>
    <row r="2774" spans="8:10" x14ac:dyDescent="0.3">
      <c r="H2774" s="3"/>
      <c r="I2774" s="3"/>
      <c r="J2774" s="3"/>
    </row>
    <row r="2775" spans="8:10" x14ac:dyDescent="0.3">
      <c r="H2775" s="3"/>
      <c r="I2775" s="3"/>
      <c r="J2775" s="3"/>
    </row>
    <row r="2776" spans="8:10" x14ac:dyDescent="0.3">
      <c r="H2776" s="3"/>
      <c r="I2776" s="3"/>
      <c r="J2776" s="3"/>
    </row>
    <row r="2777" spans="8:10" x14ac:dyDescent="0.3">
      <c r="H2777" s="3"/>
      <c r="I2777" s="3"/>
      <c r="J2777" s="3"/>
    </row>
    <row r="2778" spans="8:10" x14ac:dyDescent="0.3">
      <c r="H2778" s="3"/>
      <c r="I2778" s="3"/>
      <c r="J2778" s="3"/>
    </row>
    <row r="2779" spans="8:10" x14ac:dyDescent="0.3">
      <c r="H2779" s="3"/>
      <c r="I2779" s="3"/>
      <c r="J2779" s="3"/>
    </row>
    <row r="2780" spans="8:10" x14ac:dyDescent="0.3">
      <c r="H2780" s="3"/>
      <c r="I2780" s="3"/>
      <c r="J2780" s="3"/>
    </row>
    <row r="2781" spans="8:10" x14ac:dyDescent="0.3">
      <c r="H2781" s="3"/>
      <c r="I2781" s="3"/>
      <c r="J2781" s="3"/>
    </row>
    <row r="2782" spans="8:10" x14ac:dyDescent="0.3">
      <c r="H2782" s="3"/>
      <c r="I2782" s="3"/>
      <c r="J2782" s="3"/>
    </row>
    <row r="2783" spans="8:10" x14ac:dyDescent="0.3">
      <c r="H2783" s="3"/>
      <c r="I2783" s="3"/>
      <c r="J2783" s="3"/>
    </row>
    <row r="2784" spans="8:10" x14ac:dyDescent="0.3">
      <c r="H2784" s="3"/>
      <c r="I2784" s="3"/>
      <c r="J2784" s="3"/>
    </row>
    <row r="2785" spans="8:10" x14ac:dyDescent="0.3">
      <c r="H2785" s="3"/>
      <c r="I2785" s="3"/>
      <c r="J2785" s="3"/>
    </row>
    <row r="2786" spans="8:10" x14ac:dyDescent="0.3">
      <c r="H2786" s="3"/>
      <c r="I2786" s="3"/>
      <c r="J2786" s="3"/>
    </row>
    <row r="2787" spans="8:10" x14ac:dyDescent="0.3">
      <c r="H2787" s="3"/>
      <c r="I2787" s="3"/>
      <c r="J2787" s="3"/>
    </row>
    <row r="2788" spans="8:10" x14ac:dyDescent="0.3">
      <c r="H2788" s="3"/>
      <c r="I2788" s="3"/>
      <c r="J2788" s="3"/>
    </row>
    <row r="2789" spans="8:10" x14ac:dyDescent="0.3">
      <c r="H2789" s="3"/>
      <c r="I2789" s="3"/>
      <c r="J2789" s="3"/>
    </row>
    <row r="2790" spans="8:10" x14ac:dyDescent="0.3">
      <c r="H2790" s="3"/>
      <c r="I2790" s="3"/>
      <c r="J2790" s="3"/>
    </row>
    <row r="2791" spans="8:10" x14ac:dyDescent="0.3">
      <c r="H2791" s="3"/>
      <c r="I2791" s="3"/>
      <c r="J2791" s="3"/>
    </row>
    <row r="2792" spans="8:10" x14ac:dyDescent="0.3">
      <c r="H2792" s="3"/>
      <c r="I2792" s="3"/>
      <c r="J2792" s="3"/>
    </row>
    <row r="2793" spans="8:10" x14ac:dyDescent="0.3">
      <c r="H2793" s="3"/>
      <c r="I2793" s="3"/>
      <c r="J2793" s="3"/>
    </row>
    <row r="2794" spans="8:10" x14ac:dyDescent="0.3">
      <c r="H2794" s="3"/>
      <c r="I2794" s="3"/>
      <c r="J2794" s="3"/>
    </row>
    <row r="2795" spans="8:10" x14ac:dyDescent="0.3">
      <c r="H2795" s="3"/>
      <c r="I2795" s="3"/>
      <c r="J2795" s="3"/>
    </row>
    <row r="2796" spans="8:10" x14ac:dyDescent="0.3">
      <c r="H2796" s="3"/>
      <c r="I2796" s="3"/>
      <c r="J2796" s="3"/>
    </row>
    <row r="2797" spans="8:10" x14ac:dyDescent="0.3">
      <c r="H2797" s="3"/>
      <c r="I2797" s="3"/>
      <c r="J2797" s="3"/>
    </row>
    <row r="2798" spans="8:10" x14ac:dyDescent="0.3">
      <c r="H2798" s="3"/>
      <c r="I2798" s="3"/>
      <c r="J2798" s="3"/>
    </row>
    <row r="2799" spans="8:10" x14ac:dyDescent="0.3">
      <c r="H2799" s="3"/>
      <c r="I2799" s="3"/>
      <c r="J2799" s="3"/>
    </row>
    <row r="2800" spans="8:10" x14ac:dyDescent="0.3">
      <c r="H2800" s="3"/>
      <c r="I2800" s="3"/>
      <c r="J2800" s="3"/>
    </row>
    <row r="2801" spans="8:10" x14ac:dyDescent="0.3">
      <c r="H2801" s="3"/>
      <c r="I2801" s="3"/>
      <c r="J2801" s="3"/>
    </row>
    <row r="2802" spans="8:10" x14ac:dyDescent="0.3">
      <c r="H2802" s="3"/>
      <c r="I2802" s="3"/>
      <c r="J2802" s="3"/>
    </row>
    <row r="2803" spans="8:10" x14ac:dyDescent="0.3">
      <c r="H2803" s="3"/>
      <c r="I2803" s="3"/>
      <c r="J2803" s="3"/>
    </row>
    <row r="2804" spans="8:10" x14ac:dyDescent="0.3">
      <c r="H2804" s="3"/>
      <c r="I2804" s="3"/>
      <c r="J2804" s="3"/>
    </row>
    <row r="2805" spans="8:10" x14ac:dyDescent="0.3">
      <c r="H2805" s="3"/>
      <c r="I2805" s="3"/>
      <c r="J2805" s="3"/>
    </row>
    <row r="2806" spans="8:10" x14ac:dyDescent="0.3">
      <c r="H2806" s="3"/>
      <c r="I2806" s="3"/>
      <c r="J2806" s="3"/>
    </row>
    <row r="2807" spans="8:10" x14ac:dyDescent="0.3">
      <c r="H2807" s="3"/>
      <c r="I2807" s="3"/>
      <c r="J2807" s="3"/>
    </row>
    <row r="2808" spans="8:10" x14ac:dyDescent="0.3">
      <c r="H2808" s="3"/>
      <c r="I2808" s="3"/>
      <c r="J2808" s="3"/>
    </row>
    <row r="2809" spans="8:10" x14ac:dyDescent="0.3">
      <c r="H2809" s="3"/>
      <c r="I2809" s="3"/>
      <c r="J2809" s="3"/>
    </row>
    <row r="2810" spans="8:10" x14ac:dyDescent="0.3">
      <c r="H2810" s="3"/>
      <c r="I2810" s="3"/>
      <c r="J2810" s="3"/>
    </row>
    <row r="2811" spans="8:10" x14ac:dyDescent="0.3">
      <c r="H2811" s="3"/>
      <c r="I2811" s="3"/>
      <c r="J2811" s="3"/>
    </row>
    <row r="2812" spans="8:10" x14ac:dyDescent="0.3">
      <c r="H2812" s="3"/>
      <c r="I2812" s="3"/>
      <c r="J2812" s="3"/>
    </row>
    <row r="2813" spans="8:10" x14ac:dyDescent="0.3">
      <c r="H2813" s="3"/>
      <c r="I2813" s="3"/>
      <c r="J2813" s="3"/>
    </row>
    <row r="2814" spans="8:10" x14ac:dyDescent="0.3">
      <c r="H2814" s="3"/>
      <c r="I2814" s="3"/>
      <c r="J2814" s="3"/>
    </row>
    <row r="2815" spans="8:10" x14ac:dyDescent="0.3">
      <c r="H2815" s="3"/>
      <c r="I2815" s="3"/>
      <c r="J2815" s="3"/>
    </row>
    <row r="2816" spans="8:10" x14ac:dyDescent="0.3">
      <c r="H2816" s="3"/>
      <c r="I2816" s="3"/>
      <c r="J2816" s="3"/>
    </row>
    <row r="2817" spans="8:10" x14ac:dyDescent="0.3">
      <c r="H2817" s="3"/>
      <c r="I2817" s="3"/>
      <c r="J2817" s="3"/>
    </row>
    <row r="2818" spans="8:10" x14ac:dyDescent="0.3">
      <c r="H2818" s="3"/>
      <c r="I2818" s="3"/>
      <c r="J2818" s="3"/>
    </row>
    <row r="2819" spans="8:10" x14ac:dyDescent="0.3">
      <c r="H2819" s="3"/>
      <c r="I2819" s="3"/>
      <c r="J2819" s="3"/>
    </row>
    <row r="2820" spans="8:10" x14ac:dyDescent="0.3">
      <c r="H2820" s="3"/>
      <c r="I2820" s="3"/>
      <c r="J2820" s="3"/>
    </row>
    <row r="2821" spans="8:10" x14ac:dyDescent="0.3">
      <c r="H2821" s="3"/>
      <c r="I2821" s="3"/>
      <c r="J2821" s="3"/>
    </row>
    <row r="2822" spans="8:10" x14ac:dyDescent="0.3">
      <c r="H2822" s="3"/>
      <c r="I2822" s="3"/>
      <c r="J2822" s="3"/>
    </row>
    <row r="2823" spans="8:10" x14ac:dyDescent="0.3">
      <c r="H2823" s="3"/>
      <c r="I2823" s="3"/>
      <c r="J2823" s="3"/>
    </row>
    <row r="2824" spans="8:10" x14ac:dyDescent="0.3">
      <c r="H2824" s="3"/>
      <c r="I2824" s="3"/>
      <c r="J2824" s="3"/>
    </row>
    <row r="2825" spans="8:10" x14ac:dyDescent="0.3">
      <c r="H2825" s="3"/>
      <c r="I2825" s="3"/>
      <c r="J2825" s="3"/>
    </row>
    <row r="2826" spans="8:10" x14ac:dyDescent="0.3">
      <c r="H2826" s="3"/>
      <c r="I2826" s="3"/>
      <c r="J2826" s="3"/>
    </row>
    <row r="2827" spans="8:10" x14ac:dyDescent="0.3">
      <c r="H2827" s="3"/>
      <c r="I2827" s="3"/>
      <c r="J2827" s="3"/>
    </row>
    <row r="2828" spans="8:10" x14ac:dyDescent="0.3">
      <c r="H2828" s="3"/>
      <c r="I2828" s="3"/>
      <c r="J2828" s="3"/>
    </row>
    <row r="2829" spans="8:10" x14ac:dyDescent="0.3">
      <c r="H2829" s="3"/>
      <c r="I2829" s="3"/>
      <c r="J2829" s="3"/>
    </row>
    <row r="2830" spans="8:10" x14ac:dyDescent="0.3">
      <c r="H2830" s="3"/>
      <c r="I2830" s="3"/>
      <c r="J2830" s="3"/>
    </row>
    <row r="2831" spans="8:10" x14ac:dyDescent="0.3">
      <c r="H2831" s="3"/>
      <c r="I2831" s="3"/>
      <c r="J2831" s="3"/>
    </row>
    <row r="2832" spans="8:10" x14ac:dyDescent="0.3">
      <c r="H2832" s="3"/>
      <c r="I2832" s="3"/>
      <c r="J2832" s="3"/>
    </row>
    <row r="2833" spans="8:10" x14ac:dyDescent="0.3">
      <c r="H2833" s="3"/>
      <c r="I2833" s="3"/>
      <c r="J2833" s="3"/>
    </row>
    <row r="2834" spans="8:10" x14ac:dyDescent="0.3">
      <c r="H2834" s="3"/>
      <c r="I2834" s="3"/>
      <c r="J2834" s="3"/>
    </row>
    <row r="2835" spans="8:10" x14ac:dyDescent="0.3">
      <c r="H2835" s="3"/>
      <c r="I2835" s="3"/>
      <c r="J2835" s="3"/>
    </row>
    <row r="2836" spans="8:10" x14ac:dyDescent="0.3">
      <c r="H2836" s="3"/>
      <c r="I2836" s="3"/>
      <c r="J2836" s="3"/>
    </row>
    <row r="2837" spans="8:10" x14ac:dyDescent="0.3">
      <c r="H2837" s="3"/>
      <c r="I2837" s="3"/>
      <c r="J2837" s="3"/>
    </row>
    <row r="2838" spans="8:10" x14ac:dyDescent="0.3">
      <c r="H2838" s="3"/>
      <c r="I2838" s="3"/>
      <c r="J2838" s="3"/>
    </row>
    <row r="2839" spans="8:10" x14ac:dyDescent="0.3">
      <c r="H2839" s="3"/>
      <c r="I2839" s="3"/>
      <c r="J2839" s="3"/>
    </row>
    <row r="2840" spans="8:10" x14ac:dyDescent="0.3">
      <c r="H2840" s="3"/>
      <c r="I2840" s="3"/>
      <c r="J2840" s="3"/>
    </row>
    <row r="2841" spans="8:10" x14ac:dyDescent="0.3">
      <c r="H2841" s="3"/>
      <c r="I2841" s="3"/>
      <c r="J2841" s="3"/>
    </row>
    <row r="2842" spans="8:10" x14ac:dyDescent="0.3">
      <c r="H2842" s="3"/>
      <c r="I2842" s="3"/>
      <c r="J2842" s="3"/>
    </row>
    <row r="2843" spans="8:10" x14ac:dyDescent="0.3">
      <c r="H2843" s="3"/>
      <c r="I2843" s="3"/>
      <c r="J2843" s="3"/>
    </row>
    <row r="2844" spans="8:10" x14ac:dyDescent="0.3">
      <c r="H2844" s="3"/>
      <c r="I2844" s="3"/>
      <c r="J2844" s="3"/>
    </row>
    <row r="2845" spans="8:10" x14ac:dyDescent="0.3">
      <c r="H2845" s="3"/>
      <c r="I2845" s="3"/>
      <c r="J2845" s="3"/>
    </row>
    <row r="2846" spans="8:10" x14ac:dyDescent="0.3">
      <c r="H2846" s="3"/>
      <c r="I2846" s="3"/>
      <c r="J2846" s="3"/>
    </row>
    <row r="2847" spans="8:10" x14ac:dyDescent="0.3">
      <c r="H2847" s="3"/>
      <c r="I2847" s="3"/>
      <c r="J2847" s="3"/>
    </row>
    <row r="2848" spans="8:10" x14ac:dyDescent="0.3">
      <c r="H2848" s="3"/>
      <c r="I2848" s="3"/>
      <c r="J2848" s="3"/>
    </row>
    <row r="2849" spans="8:10" x14ac:dyDescent="0.3">
      <c r="H2849" s="3"/>
      <c r="I2849" s="3"/>
      <c r="J2849" s="3"/>
    </row>
    <row r="2850" spans="8:10" x14ac:dyDescent="0.3">
      <c r="H2850" s="3"/>
      <c r="I2850" s="3"/>
      <c r="J2850" s="3"/>
    </row>
    <row r="2851" spans="8:10" x14ac:dyDescent="0.3">
      <c r="H2851" s="3"/>
      <c r="I2851" s="3"/>
      <c r="J2851" s="3"/>
    </row>
    <row r="2852" spans="8:10" x14ac:dyDescent="0.3">
      <c r="H2852" s="3"/>
      <c r="I2852" s="3"/>
      <c r="J2852" s="3"/>
    </row>
    <row r="2853" spans="8:10" x14ac:dyDescent="0.3">
      <c r="H2853" s="3"/>
      <c r="I2853" s="3"/>
      <c r="J2853" s="3"/>
    </row>
    <row r="2854" spans="8:10" x14ac:dyDescent="0.3">
      <c r="H2854" s="3"/>
      <c r="I2854" s="3"/>
      <c r="J2854" s="3"/>
    </row>
    <row r="2855" spans="8:10" x14ac:dyDescent="0.3">
      <c r="H2855" s="3"/>
      <c r="I2855" s="3"/>
      <c r="J2855" s="3"/>
    </row>
    <row r="2856" spans="8:10" x14ac:dyDescent="0.3">
      <c r="H2856" s="3"/>
      <c r="I2856" s="3"/>
      <c r="J2856" s="3"/>
    </row>
    <row r="2857" spans="8:10" x14ac:dyDescent="0.3">
      <c r="H2857" s="3"/>
      <c r="I2857" s="3"/>
      <c r="J2857" s="3"/>
    </row>
    <row r="2858" spans="8:10" x14ac:dyDescent="0.3">
      <c r="H2858" s="3"/>
      <c r="I2858" s="3"/>
      <c r="J2858" s="3"/>
    </row>
    <row r="2859" spans="8:10" x14ac:dyDescent="0.3">
      <c r="H2859" s="3"/>
      <c r="I2859" s="3"/>
      <c r="J2859" s="3"/>
    </row>
    <row r="2860" spans="8:10" x14ac:dyDescent="0.3">
      <c r="H2860" s="3"/>
      <c r="I2860" s="3"/>
      <c r="J2860" s="3"/>
    </row>
    <row r="2861" spans="8:10" x14ac:dyDescent="0.3">
      <c r="H2861" s="3"/>
      <c r="I2861" s="3"/>
      <c r="J2861" s="3"/>
    </row>
    <row r="2862" spans="8:10" x14ac:dyDescent="0.3">
      <c r="H2862" s="3"/>
      <c r="I2862" s="3"/>
      <c r="J2862" s="3"/>
    </row>
    <row r="2863" spans="8:10" x14ac:dyDescent="0.3">
      <c r="H2863" s="3"/>
      <c r="I2863" s="3"/>
      <c r="J2863" s="3"/>
    </row>
    <row r="2864" spans="8:10" x14ac:dyDescent="0.3">
      <c r="H2864" s="3"/>
      <c r="I2864" s="3"/>
      <c r="J2864" s="3"/>
    </row>
    <row r="2865" spans="8:10" x14ac:dyDescent="0.3">
      <c r="H2865" s="3"/>
      <c r="I2865" s="3"/>
      <c r="J2865" s="3"/>
    </row>
    <row r="2866" spans="8:10" x14ac:dyDescent="0.3">
      <c r="H2866" s="3"/>
      <c r="I2866" s="3"/>
      <c r="J2866" s="3"/>
    </row>
    <row r="2867" spans="8:10" x14ac:dyDescent="0.3">
      <c r="H2867" s="3"/>
      <c r="I2867" s="3"/>
      <c r="J2867" s="3"/>
    </row>
    <row r="2868" spans="8:10" x14ac:dyDescent="0.3">
      <c r="H2868" s="3"/>
      <c r="I2868" s="3"/>
      <c r="J2868" s="3"/>
    </row>
    <row r="2869" spans="8:10" x14ac:dyDescent="0.3">
      <c r="H2869" s="3"/>
      <c r="I2869" s="3"/>
      <c r="J2869" s="3"/>
    </row>
    <row r="2870" spans="8:10" x14ac:dyDescent="0.3">
      <c r="H2870" s="3"/>
      <c r="I2870" s="3"/>
      <c r="J2870" s="3"/>
    </row>
    <row r="2871" spans="8:10" x14ac:dyDescent="0.3">
      <c r="H2871" s="3"/>
      <c r="I2871" s="3"/>
      <c r="J2871" s="3"/>
    </row>
    <row r="2872" spans="8:10" x14ac:dyDescent="0.3">
      <c r="H2872" s="3"/>
      <c r="I2872" s="3"/>
      <c r="J2872" s="3"/>
    </row>
    <row r="2873" spans="8:10" x14ac:dyDescent="0.3">
      <c r="H2873" s="3"/>
      <c r="I2873" s="3"/>
      <c r="J2873" s="3"/>
    </row>
    <row r="2874" spans="8:10" x14ac:dyDescent="0.3">
      <c r="H2874" s="3"/>
      <c r="I2874" s="3"/>
      <c r="J2874" s="3"/>
    </row>
    <row r="2875" spans="8:10" x14ac:dyDescent="0.3">
      <c r="H2875" s="3"/>
      <c r="I2875" s="3"/>
      <c r="J2875" s="3"/>
    </row>
    <row r="2876" spans="8:10" x14ac:dyDescent="0.3">
      <c r="H2876" s="3"/>
      <c r="I2876" s="3"/>
      <c r="J2876" s="3"/>
    </row>
    <row r="2877" spans="8:10" x14ac:dyDescent="0.3">
      <c r="H2877" s="3"/>
      <c r="I2877" s="3"/>
      <c r="J2877" s="3"/>
    </row>
    <row r="2878" spans="8:10" x14ac:dyDescent="0.3">
      <c r="H2878" s="3"/>
      <c r="I2878" s="3"/>
      <c r="J2878" s="3"/>
    </row>
    <row r="2879" spans="8:10" x14ac:dyDescent="0.3">
      <c r="H2879" s="3"/>
      <c r="I2879" s="3"/>
      <c r="J2879" s="3"/>
    </row>
    <row r="2880" spans="8:10" x14ac:dyDescent="0.3">
      <c r="H2880" s="3"/>
      <c r="I2880" s="3"/>
      <c r="J2880" s="3"/>
    </row>
    <row r="2881" spans="8:10" x14ac:dyDescent="0.3">
      <c r="H2881" s="3"/>
      <c r="I2881" s="3"/>
      <c r="J2881" s="3"/>
    </row>
    <row r="2882" spans="8:10" x14ac:dyDescent="0.3">
      <c r="H2882" s="3"/>
      <c r="I2882" s="3"/>
      <c r="J2882" s="3"/>
    </row>
    <row r="2883" spans="8:10" x14ac:dyDescent="0.3">
      <c r="H2883" s="3"/>
      <c r="I2883" s="3"/>
      <c r="J2883" s="3"/>
    </row>
    <row r="2884" spans="8:10" x14ac:dyDescent="0.3">
      <c r="H2884" s="3"/>
      <c r="I2884" s="3"/>
      <c r="J2884" s="3"/>
    </row>
    <row r="2885" spans="8:10" x14ac:dyDescent="0.3">
      <c r="H2885" s="3"/>
      <c r="I2885" s="3"/>
      <c r="J2885" s="3"/>
    </row>
    <row r="2886" spans="8:10" x14ac:dyDescent="0.3">
      <c r="H2886" s="3"/>
      <c r="I2886" s="3"/>
      <c r="J2886" s="3"/>
    </row>
    <row r="2887" spans="8:10" x14ac:dyDescent="0.3">
      <c r="H2887" s="3"/>
      <c r="I2887" s="3"/>
      <c r="J2887" s="3"/>
    </row>
    <row r="2888" spans="8:10" x14ac:dyDescent="0.3">
      <c r="H2888" s="3"/>
      <c r="I2888" s="3"/>
      <c r="J2888" s="3"/>
    </row>
    <row r="2889" spans="8:10" x14ac:dyDescent="0.3">
      <c r="H2889" s="3"/>
      <c r="I2889" s="3"/>
      <c r="J2889" s="3"/>
    </row>
    <row r="2890" spans="8:10" x14ac:dyDescent="0.3">
      <c r="H2890" s="3"/>
      <c r="I2890" s="3"/>
      <c r="J2890" s="3"/>
    </row>
    <row r="2891" spans="8:10" x14ac:dyDescent="0.3">
      <c r="H2891" s="3"/>
      <c r="I2891" s="3"/>
      <c r="J2891" s="3"/>
    </row>
    <row r="2892" spans="8:10" x14ac:dyDescent="0.3">
      <c r="H2892" s="3"/>
      <c r="I2892" s="3"/>
      <c r="J2892" s="3"/>
    </row>
    <row r="2893" spans="8:10" x14ac:dyDescent="0.3">
      <c r="H2893" s="3"/>
      <c r="I2893" s="3"/>
      <c r="J2893" s="3"/>
    </row>
    <row r="2894" spans="8:10" x14ac:dyDescent="0.3">
      <c r="H2894" s="3"/>
      <c r="I2894" s="3"/>
      <c r="J2894" s="3"/>
    </row>
    <row r="2895" spans="8:10" x14ac:dyDescent="0.3">
      <c r="H2895" s="3"/>
      <c r="I2895" s="3"/>
      <c r="J2895" s="3"/>
    </row>
    <row r="2896" spans="8:10" x14ac:dyDescent="0.3">
      <c r="H2896" s="3"/>
      <c r="I2896" s="3"/>
      <c r="J2896" s="3"/>
    </row>
    <row r="2897" spans="8:10" x14ac:dyDescent="0.3">
      <c r="H2897" s="3"/>
      <c r="I2897" s="3"/>
      <c r="J2897" s="3"/>
    </row>
    <row r="2898" spans="8:10" x14ac:dyDescent="0.3">
      <c r="H2898" s="3"/>
      <c r="I2898" s="3"/>
      <c r="J2898" s="3"/>
    </row>
    <row r="2899" spans="8:10" x14ac:dyDescent="0.3">
      <c r="H2899" s="3"/>
      <c r="I2899" s="3"/>
      <c r="J2899" s="3"/>
    </row>
    <row r="2900" spans="8:10" x14ac:dyDescent="0.3">
      <c r="H2900" s="3"/>
      <c r="I2900" s="3"/>
      <c r="J2900" s="3"/>
    </row>
    <row r="2901" spans="8:10" x14ac:dyDescent="0.3">
      <c r="H2901" s="3"/>
      <c r="I2901" s="3"/>
      <c r="J2901" s="3"/>
    </row>
    <row r="2902" spans="8:10" x14ac:dyDescent="0.3">
      <c r="H2902" s="3"/>
      <c r="I2902" s="3"/>
      <c r="J2902" s="3"/>
    </row>
    <row r="2903" spans="8:10" x14ac:dyDescent="0.3">
      <c r="H2903" s="3"/>
      <c r="I2903" s="3"/>
      <c r="J2903" s="3"/>
    </row>
    <row r="2904" spans="8:10" x14ac:dyDescent="0.3">
      <c r="H2904" s="3"/>
      <c r="I2904" s="3"/>
      <c r="J2904" s="3"/>
    </row>
    <row r="2905" spans="8:10" x14ac:dyDescent="0.3">
      <c r="H2905" s="3"/>
      <c r="I2905" s="3"/>
      <c r="J2905" s="3"/>
    </row>
    <row r="2906" spans="8:10" x14ac:dyDescent="0.3">
      <c r="H2906" s="3"/>
      <c r="I2906" s="3"/>
      <c r="J2906" s="3"/>
    </row>
    <row r="2907" spans="8:10" x14ac:dyDescent="0.3">
      <c r="H2907" s="3"/>
      <c r="I2907" s="3"/>
      <c r="J2907" s="3"/>
    </row>
    <row r="2908" spans="8:10" x14ac:dyDescent="0.3">
      <c r="H2908" s="3"/>
      <c r="I2908" s="3"/>
      <c r="J2908" s="3"/>
    </row>
    <row r="2909" spans="8:10" x14ac:dyDescent="0.3">
      <c r="H2909" s="3"/>
      <c r="I2909" s="3"/>
      <c r="J2909" s="3"/>
    </row>
    <row r="2910" spans="8:10" x14ac:dyDescent="0.3">
      <c r="H2910" s="3"/>
      <c r="I2910" s="3"/>
      <c r="J2910" s="3"/>
    </row>
    <row r="2911" spans="8:10" x14ac:dyDescent="0.3">
      <c r="H2911" s="3"/>
      <c r="I2911" s="3"/>
      <c r="J2911" s="3"/>
    </row>
    <row r="2912" spans="8:10" x14ac:dyDescent="0.3">
      <c r="H2912" s="3"/>
      <c r="I2912" s="3"/>
      <c r="J2912" s="3"/>
    </row>
    <row r="2913" spans="8:10" x14ac:dyDescent="0.3">
      <c r="H2913" s="3"/>
      <c r="I2913" s="3"/>
      <c r="J2913" s="3"/>
    </row>
    <row r="2914" spans="8:10" x14ac:dyDescent="0.3">
      <c r="H2914" s="3"/>
      <c r="I2914" s="3"/>
      <c r="J2914" s="3"/>
    </row>
    <row r="2915" spans="8:10" x14ac:dyDescent="0.3">
      <c r="H2915" s="3"/>
      <c r="I2915" s="3"/>
      <c r="J2915" s="3"/>
    </row>
    <row r="2916" spans="8:10" x14ac:dyDescent="0.3">
      <c r="H2916" s="3"/>
      <c r="I2916" s="3"/>
      <c r="J2916" s="3"/>
    </row>
    <row r="2917" spans="8:10" x14ac:dyDescent="0.3">
      <c r="H2917" s="3"/>
      <c r="I2917" s="3"/>
      <c r="J2917" s="3"/>
    </row>
    <row r="2918" spans="8:10" x14ac:dyDescent="0.3">
      <c r="H2918" s="3"/>
      <c r="I2918" s="3"/>
      <c r="J2918" s="3"/>
    </row>
    <row r="2919" spans="8:10" x14ac:dyDescent="0.3">
      <c r="H2919" s="3"/>
      <c r="I2919" s="3"/>
      <c r="J2919" s="3"/>
    </row>
    <row r="2920" spans="8:10" x14ac:dyDescent="0.3">
      <c r="H2920" s="3"/>
      <c r="I2920" s="3"/>
      <c r="J2920" s="3"/>
    </row>
    <row r="2921" spans="8:10" x14ac:dyDescent="0.3">
      <c r="H2921" s="3"/>
      <c r="I2921" s="3"/>
      <c r="J2921" s="3"/>
    </row>
    <row r="2922" spans="8:10" x14ac:dyDescent="0.3">
      <c r="H2922" s="3"/>
      <c r="I2922" s="3"/>
      <c r="J2922" s="3"/>
    </row>
    <row r="2923" spans="8:10" x14ac:dyDescent="0.3">
      <c r="H2923" s="3"/>
      <c r="I2923" s="3"/>
      <c r="J2923" s="3"/>
    </row>
    <row r="2924" spans="8:10" x14ac:dyDescent="0.3">
      <c r="H2924" s="3"/>
      <c r="I2924" s="3"/>
      <c r="J2924" s="3"/>
    </row>
    <row r="2925" spans="8:10" x14ac:dyDescent="0.3">
      <c r="H2925" s="3"/>
      <c r="I2925" s="3"/>
      <c r="J2925" s="3"/>
    </row>
    <row r="2926" spans="8:10" x14ac:dyDescent="0.3">
      <c r="H2926" s="3"/>
      <c r="I2926" s="3"/>
      <c r="J2926" s="3"/>
    </row>
    <row r="2927" spans="8:10" x14ac:dyDescent="0.3">
      <c r="H2927" s="3"/>
      <c r="I2927" s="3"/>
      <c r="J2927" s="3"/>
    </row>
    <row r="2928" spans="8:10" x14ac:dyDescent="0.3">
      <c r="H2928" s="3"/>
      <c r="I2928" s="3"/>
      <c r="J2928" s="3"/>
    </row>
    <row r="2929" spans="8:10" x14ac:dyDescent="0.3">
      <c r="H2929" s="3"/>
      <c r="I2929" s="3"/>
      <c r="J2929" s="3"/>
    </row>
    <row r="2930" spans="8:10" x14ac:dyDescent="0.3">
      <c r="H2930" s="3"/>
      <c r="I2930" s="3"/>
      <c r="J2930" s="3"/>
    </row>
    <row r="2931" spans="8:10" x14ac:dyDescent="0.3">
      <c r="H2931" s="3"/>
      <c r="I2931" s="3"/>
      <c r="J2931" s="3"/>
    </row>
    <row r="2932" spans="8:10" x14ac:dyDescent="0.3">
      <c r="H2932" s="3"/>
      <c r="I2932" s="3"/>
      <c r="J2932" s="3"/>
    </row>
    <row r="2933" spans="8:10" x14ac:dyDescent="0.3">
      <c r="H2933" s="3"/>
      <c r="I2933" s="3"/>
      <c r="J2933" s="3"/>
    </row>
    <row r="2934" spans="8:10" x14ac:dyDescent="0.3">
      <c r="H2934" s="3"/>
      <c r="I2934" s="3"/>
      <c r="J2934" s="3"/>
    </row>
    <row r="2935" spans="8:10" x14ac:dyDescent="0.3">
      <c r="H2935" s="3"/>
      <c r="I2935" s="3"/>
      <c r="J2935" s="3"/>
    </row>
    <row r="2936" spans="8:10" x14ac:dyDescent="0.3">
      <c r="H2936" s="3"/>
      <c r="I2936" s="3"/>
      <c r="J2936" s="3"/>
    </row>
    <row r="2937" spans="8:10" x14ac:dyDescent="0.3">
      <c r="H2937" s="3"/>
      <c r="I2937" s="3"/>
      <c r="J2937" s="3"/>
    </row>
    <row r="2938" spans="8:10" x14ac:dyDescent="0.3">
      <c r="H2938" s="3"/>
      <c r="I2938" s="3"/>
      <c r="J2938" s="3"/>
    </row>
    <row r="2939" spans="8:10" x14ac:dyDescent="0.3">
      <c r="H2939" s="3"/>
      <c r="I2939" s="3"/>
      <c r="J2939" s="3"/>
    </row>
    <row r="2940" spans="8:10" x14ac:dyDescent="0.3">
      <c r="H2940" s="3"/>
      <c r="I2940" s="3"/>
      <c r="J2940" s="3"/>
    </row>
    <row r="2941" spans="8:10" x14ac:dyDescent="0.3">
      <c r="H2941" s="3"/>
      <c r="I2941" s="3"/>
      <c r="J2941" s="3"/>
    </row>
    <row r="2942" spans="8:10" x14ac:dyDescent="0.3">
      <c r="H2942" s="3"/>
      <c r="I2942" s="3"/>
      <c r="J2942" s="3"/>
    </row>
    <row r="2943" spans="8:10" x14ac:dyDescent="0.3">
      <c r="H2943" s="3"/>
      <c r="I2943" s="3"/>
      <c r="J2943" s="3"/>
    </row>
    <row r="2944" spans="8:10" x14ac:dyDescent="0.3">
      <c r="H2944" s="3"/>
      <c r="I2944" s="3"/>
      <c r="J2944" s="3"/>
    </row>
    <row r="2945" spans="8:10" x14ac:dyDescent="0.3">
      <c r="H2945" s="3"/>
      <c r="I2945" s="3"/>
      <c r="J2945" s="3"/>
    </row>
    <row r="2946" spans="8:10" x14ac:dyDescent="0.3">
      <c r="H2946" s="3"/>
      <c r="I2946" s="3"/>
      <c r="J2946" s="3"/>
    </row>
    <row r="2947" spans="8:10" x14ac:dyDescent="0.3">
      <c r="H2947" s="3"/>
      <c r="I2947" s="3"/>
      <c r="J2947" s="3"/>
    </row>
    <row r="2948" spans="8:10" x14ac:dyDescent="0.3">
      <c r="H2948" s="3"/>
      <c r="I2948" s="3"/>
      <c r="J2948" s="3"/>
    </row>
    <row r="2949" spans="8:10" x14ac:dyDescent="0.3">
      <c r="H2949" s="3"/>
      <c r="I2949" s="3"/>
      <c r="J2949" s="3"/>
    </row>
    <row r="2950" spans="8:10" x14ac:dyDescent="0.3">
      <c r="H2950" s="3"/>
      <c r="I2950" s="3"/>
      <c r="J2950" s="3"/>
    </row>
    <row r="2951" spans="8:10" x14ac:dyDescent="0.3">
      <c r="H2951" s="3"/>
      <c r="I2951" s="3"/>
      <c r="J2951" s="3"/>
    </row>
    <row r="2952" spans="8:10" x14ac:dyDescent="0.3">
      <c r="H2952" s="3"/>
      <c r="I2952" s="3"/>
      <c r="J2952" s="3"/>
    </row>
    <row r="2953" spans="8:10" x14ac:dyDescent="0.3">
      <c r="H2953" s="3"/>
      <c r="I2953" s="3"/>
      <c r="J2953" s="3"/>
    </row>
    <row r="2954" spans="8:10" x14ac:dyDescent="0.3">
      <c r="H2954" s="3"/>
      <c r="I2954" s="3"/>
      <c r="J2954" s="3"/>
    </row>
    <row r="2955" spans="8:10" x14ac:dyDescent="0.3">
      <c r="H2955" s="3"/>
      <c r="I2955" s="3"/>
      <c r="J2955" s="3"/>
    </row>
    <row r="2956" spans="8:10" x14ac:dyDescent="0.3">
      <c r="H2956" s="3"/>
      <c r="I2956" s="3"/>
      <c r="J2956" s="3"/>
    </row>
    <row r="2957" spans="8:10" x14ac:dyDescent="0.3">
      <c r="H2957" s="3"/>
      <c r="I2957" s="3"/>
      <c r="J2957" s="3"/>
    </row>
    <row r="2958" spans="8:10" x14ac:dyDescent="0.3">
      <c r="H2958" s="3"/>
      <c r="I2958" s="3"/>
      <c r="J2958" s="3"/>
    </row>
    <row r="2959" spans="8:10" x14ac:dyDescent="0.3">
      <c r="H2959" s="3"/>
      <c r="I2959" s="3"/>
      <c r="J2959" s="3"/>
    </row>
    <row r="2960" spans="8:10" x14ac:dyDescent="0.3">
      <c r="H2960" s="3"/>
      <c r="I2960" s="3"/>
      <c r="J2960" s="3"/>
    </row>
    <row r="2961" spans="8:10" x14ac:dyDescent="0.3">
      <c r="H2961" s="3"/>
      <c r="I2961" s="3"/>
      <c r="J2961" s="3"/>
    </row>
    <row r="2962" spans="8:10" x14ac:dyDescent="0.3">
      <c r="H2962" s="3"/>
      <c r="I2962" s="3"/>
      <c r="J2962" s="3"/>
    </row>
    <row r="2963" spans="8:10" x14ac:dyDescent="0.3">
      <c r="H2963" s="3"/>
      <c r="I2963" s="3"/>
      <c r="J2963" s="3"/>
    </row>
    <row r="2964" spans="8:10" x14ac:dyDescent="0.3">
      <c r="H2964" s="3"/>
      <c r="I2964" s="3"/>
      <c r="J2964" s="3"/>
    </row>
    <row r="2965" spans="8:10" x14ac:dyDescent="0.3">
      <c r="H2965" s="3"/>
      <c r="I2965" s="3"/>
      <c r="J2965" s="3"/>
    </row>
    <row r="2966" spans="8:10" x14ac:dyDescent="0.3">
      <c r="H2966" s="3"/>
      <c r="I2966" s="3"/>
      <c r="J2966" s="3"/>
    </row>
    <row r="2967" spans="8:10" x14ac:dyDescent="0.3">
      <c r="H2967" s="3"/>
      <c r="I2967" s="3"/>
      <c r="J2967" s="3"/>
    </row>
    <row r="2968" spans="8:10" x14ac:dyDescent="0.3">
      <c r="H2968" s="3"/>
      <c r="I2968" s="3"/>
      <c r="J2968" s="3"/>
    </row>
    <row r="2969" spans="8:10" x14ac:dyDescent="0.3">
      <c r="H2969" s="3"/>
      <c r="I2969" s="3"/>
      <c r="J2969" s="3"/>
    </row>
    <row r="2970" spans="8:10" x14ac:dyDescent="0.3">
      <c r="H2970" s="3"/>
      <c r="I2970" s="3"/>
      <c r="J2970" s="3"/>
    </row>
    <row r="2971" spans="8:10" x14ac:dyDescent="0.3">
      <c r="H2971" s="3"/>
      <c r="I2971" s="3"/>
      <c r="J2971" s="3"/>
    </row>
    <row r="2972" spans="8:10" x14ac:dyDescent="0.3">
      <c r="H2972" s="3"/>
      <c r="I2972" s="3"/>
      <c r="J2972" s="3"/>
    </row>
    <row r="2973" spans="8:10" x14ac:dyDescent="0.3">
      <c r="H2973" s="3"/>
      <c r="I2973" s="3"/>
      <c r="J2973" s="3"/>
    </row>
    <row r="2974" spans="8:10" x14ac:dyDescent="0.3">
      <c r="H2974" s="3"/>
      <c r="I2974" s="3"/>
      <c r="J2974" s="3"/>
    </row>
    <row r="2975" spans="8:10" x14ac:dyDescent="0.3">
      <c r="H2975" s="3"/>
      <c r="I2975" s="3"/>
      <c r="J2975" s="3"/>
    </row>
    <row r="2976" spans="8:10" x14ac:dyDescent="0.3">
      <c r="H2976" s="3"/>
      <c r="I2976" s="3"/>
      <c r="J2976" s="3"/>
    </row>
    <row r="2977" spans="8:10" x14ac:dyDescent="0.3">
      <c r="H2977" s="3"/>
      <c r="I2977" s="3"/>
      <c r="J2977" s="3"/>
    </row>
    <row r="2978" spans="8:10" x14ac:dyDescent="0.3">
      <c r="H2978" s="3"/>
      <c r="I2978" s="3"/>
      <c r="J2978" s="3"/>
    </row>
    <row r="2979" spans="8:10" x14ac:dyDescent="0.3">
      <c r="H2979" s="3"/>
      <c r="I2979" s="3"/>
      <c r="J2979" s="3"/>
    </row>
    <row r="2980" spans="8:10" x14ac:dyDescent="0.3">
      <c r="H2980" s="3"/>
      <c r="I2980" s="3"/>
      <c r="J2980" s="3"/>
    </row>
    <row r="2981" spans="8:10" x14ac:dyDescent="0.3">
      <c r="H2981" s="3"/>
      <c r="I2981" s="3"/>
      <c r="J2981" s="3"/>
    </row>
    <row r="2982" spans="8:10" x14ac:dyDescent="0.3">
      <c r="H2982" s="3"/>
      <c r="I2982" s="3"/>
      <c r="J2982" s="3"/>
    </row>
    <row r="2983" spans="8:10" x14ac:dyDescent="0.3">
      <c r="H2983" s="3"/>
      <c r="I2983" s="3"/>
      <c r="J2983" s="3"/>
    </row>
    <row r="2984" spans="8:10" x14ac:dyDescent="0.3">
      <c r="H2984" s="3"/>
      <c r="I2984" s="3"/>
      <c r="J2984" s="3"/>
    </row>
    <row r="2985" spans="8:10" x14ac:dyDescent="0.3">
      <c r="H2985" s="3"/>
      <c r="I2985" s="3"/>
      <c r="J2985" s="3"/>
    </row>
    <row r="2986" spans="8:10" x14ac:dyDescent="0.3">
      <c r="H2986" s="3"/>
      <c r="I2986" s="3"/>
      <c r="J2986" s="3"/>
    </row>
    <row r="2987" spans="8:10" x14ac:dyDescent="0.3">
      <c r="H2987" s="3"/>
      <c r="I2987" s="3"/>
      <c r="J2987" s="3"/>
    </row>
    <row r="2988" spans="8:10" x14ac:dyDescent="0.3">
      <c r="H2988" s="3"/>
      <c r="I2988" s="3"/>
      <c r="J2988" s="3"/>
    </row>
    <row r="2989" spans="8:10" x14ac:dyDescent="0.3">
      <c r="H2989" s="3"/>
      <c r="I2989" s="3"/>
      <c r="J2989" s="3"/>
    </row>
    <row r="2990" spans="8:10" x14ac:dyDescent="0.3">
      <c r="H2990" s="3"/>
      <c r="I2990" s="3"/>
      <c r="J2990" s="3"/>
    </row>
    <row r="2991" spans="8:10" x14ac:dyDescent="0.3">
      <c r="H2991" s="3"/>
      <c r="I2991" s="3"/>
      <c r="J2991" s="3"/>
    </row>
    <row r="2992" spans="8:10" x14ac:dyDescent="0.3">
      <c r="H2992" s="3"/>
      <c r="I2992" s="3"/>
      <c r="J2992" s="3"/>
    </row>
    <row r="2993" spans="8:10" x14ac:dyDescent="0.3">
      <c r="H2993" s="3"/>
      <c r="I2993" s="3"/>
      <c r="J2993" s="3"/>
    </row>
    <row r="2994" spans="8:10" x14ac:dyDescent="0.3">
      <c r="H2994" s="3"/>
      <c r="I2994" s="3"/>
      <c r="J2994" s="3"/>
    </row>
    <row r="2995" spans="8:10" x14ac:dyDescent="0.3">
      <c r="H2995" s="3"/>
      <c r="I2995" s="3"/>
      <c r="J2995" s="3"/>
    </row>
    <row r="2996" spans="8:10" x14ac:dyDescent="0.3">
      <c r="H2996" s="3"/>
      <c r="I2996" s="3"/>
      <c r="J2996" s="3"/>
    </row>
    <row r="2997" spans="8:10" x14ac:dyDescent="0.3">
      <c r="H2997" s="3"/>
      <c r="I2997" s="3"/>
      <c r="J2997" s="3"/>
    </row>
    <row r="2998" spans="8:10" x14ac:dyDescent="0.3">
      <c r="H2998" s="3"/>
      <c r="I2998" s="3"/>
      <c r="J2998" s="3"/>
    </row>
    <row r="2999" spans="8:10" x14ac:dyDescent="0.3">
      <c r="H2999" s="3"/>
      <c r="I2999" s="3"/>
      <c r="J2999" s="3"/>
    </row>
    <row r="3000" spans="8:10" x14ac:dyDescent="0.3">
      <c r="H3000" s="3"/>
      <c r="I3000" s="3"/>
      <c r="J3000" s="3"/>
    </row>
    <row r="3001" spans="8:10" x14ac:dyDescent="0.3">
      <c r="H3001" s="3"/>
      <c r="I3001" s="3"/>
      <c r="J3001" s="3"/>
    </row>
    <row r="3002" spans="8:10" x14ac:dyDescent="0.3">
      <c r="H3002" s="3"/>
      <c r="I3002" s="3"/>
      <c r="J3002" s="3"/>
    </row>
    <row r="3003" spans="8:10" x14ac:dyDescent="0.3">
      <c r="H3003" s="3"/>
      <c r="I3003" s="3"/>
      <c r="J3003" s="3"/>
    </row>
    <row r="3004" spans="8:10" x14ac:dyDescent="0.3">
      <c r="H3004" s="3"/>
      <c r="I3004" s="3"/>
      <c r="J3004" s="3"/>
    </row>
    <row r="3005" spans="8:10" x14ac:dyDescent="0.3">
      <c r="H3005" s="3"/>
      <c r="I3005" s="3"/>
      <c r="J3005" s="3"/>
    </row>
    <row r="3006" spans="8:10" x14ac:dyDescent="0.3">
      <c r="H3006" s="3"/>
      <c r="I3006" s="3"/>
      <c r="J3006" s="3"/>
    </row>
    <row r="3007" spans="8:10" x14ac:dyDescent="0.3">
      <c r="H3007" s="3"/>
      <c r="I3007" s="3"/>
      <c r="J3007" s="3"/>
    </row>
    <row r="3008" spans="8:10" x14ac:dyDescent="0.3">
      <c r="H3008" s="3"/>
      <c r="I3008" s="3"/>
      <c r="J3008" s="3"/>
    </row>
    <row r="3009" spans="8:10" x14ac:dyDescent="0.3">
      <c r="H3009" s="3"/>
      <c r="I3009" s="3"/>
      <c r="J3009" s="3"/>
    </row>
    <row r="3010" spans="8:10" x14ac:dyDescent="0.3">
      <c r="H3010" s="3"/>
      <c r="I3010" s="3"/>
      <c r="J3010" s="3"/>
    </row>
    <row r="3011" spans="8:10" x14ac:dyDescent="0.3">
      <c r="H3011" s="3"/>
      <c r="I3011" s="3"/>
      <c r="J3011" s="3"/>
    </row>
    <row r="3012" spans="8:10" x14ac:dyDescent="0.3">
      <c r="H3012" s="3"/>
      <c r="I3012" s="3"/>
      <c r="J3012" s="3"/>
    </row>
    <row r="3013" spans="8:10" x14ac:dyDescent="0.3">
      <c r="H3013" s="3"/>
      <c r="I3013" s="3"/>
      <c r="J3013" s="3"/>
    </row>
    <row r="3014" spans="8:10" x14ac:dyDescent="0.3">
      <c r="H3014" s="3"/>
      <c r="I3014" s="3"/>
      <c r="J3014" s="3"/>
    </row>
    <row r="3015" spans="8:10" x14ac:dyDescent="0.3">
      <c r="H3015" s="3"/>
      <c r="I3015" s="3"/>
      <c r="J3015" s="3"/>
    </row>
    <row r="3016" spans="8:10" x14ac:dyDescent="0.3">
      <c r="H3016" s="3"/>
      <c r="I3016" s="3"/>
      <c r="J3016" s="3"/>
    </row>
    <row r="3017" spans="8:10" x14ac:dyDescent="0.3">
      <c r="H3017" s="3"/>
      <c r="I3017" s="3"/>
      <c r="J3017" s="3"/>
    </row>
    <row r="3018" spans="8:10" x14ac:dyDescent="0.3">
      <c r="H3018" s="3"/>
      <c r="I3018" s="3"/>
      <c r="J3018" s="3"/>
    </row>
    <row r="3019" spans="8:10" x14ac:dyDescent="0.3">
      <c r="H3019" s="3"/>
      <c r="I3019" s="3"/>
      <c r="J3019" s="3"/>
    </row>
    <row r="3020" spans="8:10" x14ac:dyDescent="0.3">
      <c r="H3020" s="3"/>
      <c r="I3020" s="3"/>
      <c r="J3020" s="3"/>
    </row>
    <row r="3021" spans="8:10" x14ac:dyDescent="0.3">
      <c r="H3021" s="3"/>
      <c r="I3021" s="3"/>
      <c r="J3021" s="3"/>
    </row>
    <row r="3022" spans="8:10" x14ac:dyDescent="0.3">
      <c r="H3022" s="3"/>
      <c r="I3022" s="3"/>
      <c r="J3022" s="3"/>
    </row>
    <row r="3023" spans="8:10" x14ac:dyDescent="0.3">
      <c r="H3023" s="3"/>
      <c r="I3023" s="3"/>
      <c r="J3023" s="3"/>
    </row>
    <row r="3024" spans="8:10" x14ac:dyDescent="0.3">
      <c r="H3024" s="3"/>
      <c r="I3024" s="3"/>
      <c r="J3024" s="3"/>
    </row>
    <row r="3025" spans="8:10" x14ac:dyDescent="0.3">
      <c r="H3025" s="3"/>
      <c r="I3025" s="3"/>
      <c r="J3025" s="3"/>
    </row>
    <row r="3026" spans="8:10" x14ac:dyDescent="0.3">
      <c r="H3026" s="3"/>
      <c r="I3026" s="3"/>
      <c r="J3026" s="3"/>
    </row>
    <row r="3027" spans="8:10" x14ac:dyDescent="0.3">
      <c r="H3027" s="3"/>
      <c r="I3027" s="3"/>
      <c r="J3027" s="3"/>
    </row>
    <row r="3028" spans="8:10" x14ac:dyDescent="0.3">
      <c r="H3028" s="3"/>
      <c r="I3028" s="3"/>
      <c r="J3028" s="3"/>
    </row>
    <row r="3029" spans="8:10" x14ac:dyDescent="0.3">
      <c r="H3029" s="3"/>
      <c r="I3029" s="3"/>
      <c r="J3029" s="3"/>
    </row>
    <row r="3030" spans="8:10" x14ac:dyDescent="0.3">
      <c r="H3030" s="3"/>
      <c r="I3030" s="3"/>
      <c r="J3030" s="3"/>
    </row>
    <row r="3031" spans="8:10" x14ac:dyDescent="0.3">
      <c r="H3031" s="3"/>
      <c r="I3031" s="3"/>
      <c r="J3031" s="3"/>
    </row>
    <row r="3032" spans="8:10" x14ac:dyDescent="0.3">
      <c r="H3032" s="3"/>
      <c r="I3032" s="3"/>
      <c r="J3032" s="3"/>
    </row>
    <row r="3033" spans="8:10" x14ac:dyDescent="0.3">
      <c r="H3033" s="3"/>
      <c r="I3033" s="3"/>
      <c r="J3033" s="3"/>
    </row>
    <row r="3034" spans="8:10" x14ac:dyDescent="0.3">
      <c r="H3034" s="3"/>
      <c r="I3034" s="3"/>
      <c r="J3034" s="3"/>
    </row>
    <row r="3035" spans="8:10" x14ac:dyDescent="0.3">
      <c r="H3035" s="3"/>
      <c r="I3035" s="3"/>
      <c r="J3035" s="3"/>
    </row>
    <row r="3036" spans="8:10" x14ac:dyDescent="0.3">
      <c r="H3036" s="3"/>
      <c r="I3036" s="3"/>
      <c r="J3036" s="3"/>
    </row>
    <row r="3037" spans="8:10" x14ac:dyDescent="0.3">
      <c r="H3037" s="3"/>
      <c r="I3037" s="3"/>
      <c r="J3037" s="3"/>
    </row>
    <row r="3038" spans="8:10" x14ac:dyDescent="0.3">
      <c r="H3038" s="3"/>
      <c r="I3038" s="3"/>
      <c r="J3038" s="3"/>
    </row>
    <row r="3039" spans="8:10" x14ac:dyDescent="0.3">
      <c r="H3039" s="3"/>
      <c r="I3039" s="3"/>
      <c r="J3039" s="3"/>
    </row>
    <row r="3040" spans="8:10" x14ac:dyDescent="0.3">
      <c r="H3040" s="3"/>
      <c r="I3040" s="3"/>
      <c r="J3040" s="3"/>
    </row>
    <row r="3041" spans="8:10" x14ac:dyDescent="0.3">
      <c r="H3041" s="3"/>
      <c r="I3041" s="3"/>
      <c r="J3041" s="3"/>
    </row>
    <row r="3042" spans="8:10" x14ac:dyDescent="0.3">
      <c r="H3042" s="3"/>
      <c r="I3042" s="3"/>
      <c r="J3042" s="3"/>
    </row>
    <row r="3043" spans="8:10" x14ac:dyDescent="0.3">
      <c r="H3043" s="3"/>
      <c r="I3043" s="3"/>
      <c r="J3043" s="3"/>
    </row>
    <row r="3044" spans="8:10" x14ac:dyDescent="0.3">
      <c r="H3044" s="3"/>
      <c r="I3044" s="3"/>
      <c r="J3044" s="3"/>
    </row>
    <row r="3045" spans="8:10" x14ac:dyDescent="0.3">
      <c r="H3045" s="3"/>
      <c r="I3045" s="3"/>
      <c r="J3045" s="3"/>
    </row>
    <row r="3046" spans="8:10" x14ac:dyDescent="0.3">
      <c r="H3046" s="3"/>
      <c r="I3046" s="3"/>
      <c r="J3046" s="3"/>
    </row>
    <row r="3047" spans="8:10" x14ac:dyDescent="0.3">
      <c r="H3047" s="3"/>
      <c r="I3047" s="3"/>
      <c r="J3047" s="3"/>
    </row>
    <row r="3048" spans="8:10" x14ac:dyDescent="0.3">
      <c r="H3048" s="3"/>
      <c r="I3048" s="3"/>
      <c r="J3048" s="3"/>
    </row>
    <row r="3049" spans="8:10" x14ac:dyDescent="0.3">
      <c r="H3049" s="3"/>
      <c r="I3049" s="3"/>
      <c r="J3049" s="3"/>
    </row>
    <row r="3050" spans="8:10" x14ac:dyDescent="0.3">
      <c r="H3050" s="3"/>
      <c r="I3050" s="3"/>
      <c r="J3050" s="3"/>
    </row>
    <row r="3051" spans="8:10" x14ac:dyDescent="0.3">
      <c r="H3051" s="3"/>
      <c r="I3051" s="3"/>
      <c r="J3051" s="3"/>
    </row>
    <row r="3052" spans="8:10" x14ac:dyDescent="0.3">
      <c r="H3052" s="3"/>
      <c r="I3052" s="3"/>
      <c r="J3052" s="3"/>
    </row>
    <row r="3053" spans="8:10" x14ac:dyDescent="0.3">
      <c r="H3053" s="3"/>
      <c r="I3053" s="3"/>
      <c r="J3053" s="3"/>
    </row>
    <row r="3054" spans="8:10" x14ac:dyDescent="0.3">
      <c r="H3054" s="3"/>
      <c r="I3054" s="3"/>
      <c r="J3054" s="3"/>
    </row>
    <row r="3055" spans="8:10" x14ac:dyDescent="0.3">
      <c r="H3055" s="3"/>
      <c r="I3055" s="3"/>
      <c r="J3055" s="3"/>
    </row>
    <row r="3056" spans="8:10" x14ac:dyDescent="0.3">
      <c r="H3056" s="3"/>
      <c r="I3056" s="3"/>
      <c r="J3056" s="3"/>
    </row>
    <row r="3057" spans="8:10" x14ac:dyDescent="0.3">
      <c r="H3057" s="3"/>
      <c r="I3057" s="3"/>
      <c r="J3057" s="3"/>
    </row>
    <row r="3058" spans="8:10" x14ac:dyDescent="0.3">
      <c r="H3058" s="3"/>
      <c r="I3058" s="3"/>
      <c r="J3058" s="3"/>
    </row>
    <row r="3059" spans="8:10" x14ac:dyDescent="0.3">
      <c r="H3059" s="3"/>
      <c r="I3059" s="3"/>
      <c r="J3059" s="3"/>
    </row>
    <row r="3060" spans="8:10" x14ac:dyDescent="0.3">
      <c r="H3060" s="3"/>
      <c r="I3060" s="3"/>
      <c r="J3060" s="3"/>
    </row>
    <row r="3061" spans="8:10" x14ac:dyDescent="0.3">
      <c r="H3061" s="3"/>
      <c r="I3061" s="3"/>
      <c r="J3061" s="3"/>
    </row>
    <row r="3062" spans="8:10" x14ac:dyDescent="0.3">
      <c r="H3062" s="3"/>
      <c r="I3062" s="3"/>
      <c r="J3062" s="3"/>
    </row>
    <row r="3063" spans="8:10" x14ac:dyDescent="0.3">
      <c r="H3063" s="3"/>
      <c r="I3063" s="3"/>
      <c r="J3063" s="3"/>
    </row>
    <row r="3064" spans="8:10" x14ac:dyDescent="0.3">
      <c r="H3064" s="3"/>
      <c r="I3064" s="3"/>
      <c r="J3064" s="3"/>
    </row>
    <row r="3065" spans="8:10" x14ac:dyDescent="0.3">
      <c r="H3065" s="3"/>
      <c r="I3065" s="3"/>
      <c r="J3065" s="3"/>
    </row>
    <row r="3066" spans="8:10" x14ac:dyDescent="0.3">
      <c r="H3066" s="3"/>
      <c r="I3066" s="3"/>
      <c r="J3066" s="3"/>
    </row>
    <row r="3067" spans="8:10" x14ac:dyDescent="0.3">
      <c r="H3067" s="3"/>
      <c r="I3067" s="3"/>
      <c r="J3067" s="3"/>
    </row>
    <row r="3068" spans="8:10" x14ac:dyDescent="0.3">
      <c r="H3068" s="3"/>
      <c r="I3068" s="3"/>
      <c r="J3068" s="3"/>
    </row>
    <row r="3069" spans="8:10" x14ac:dyDescent="0.3">
      <c r="H3069" s="3"/>
      <c r="I3069" s="3"/>
      <c r="J3069" s="3"/>
    </row>
    <row r="3070" spans="8:10" x14ac:dyDescent="0.3">
      <c r="H3070" s="3"/>
      <c r="I3070" s="3"/>
      <c r="J3070" s="3"/>
    </row>
    <row r="3071" spans="8:10" x14ac:dyDescent="0.3">
      <c r="H3071" s="3"/>
      <c r="I3071" s="3"/>
      <c r="J3071" s="3"/>
    </row>
    <row r="3072" spans="8:10" x14ac:dyDescent="0.3">
      <c r="H3072" s="3"/>
      <c r="I3072" s="3"/>
      <c r="J3072" s="3"/>
    </row>
    <row r="3073" spans="8:10" x14ac:dyDescent="0.3">
      <c r="H3073" s="3"/>
      <c r="I3073" s="3"/>
      <c r="J3073" s="3"/>
    </row>
    <row r="3074" spans="8:10" x14ac:dyDescent="0.3">
      <c r="H3074" s="3"/>
      <c r="I3074" s="3"/>
      <c r="J3074" s="3"/>
    </row>
    <row r="3075" spans="8:10" x14ac:dyDescent="0.3">
      <c r="H3075" s="3"/>
      <c r="I3075" s="3"/>
      <c r="J3075" s="3"/>
    </row>
    <row r="3076" spans="8:10" x14ac:dyDescent="0.3">
      <c r="H3076" s="3"/>
      <c r="I3076" s="3"/>
      <c r="J3076" s="3"/>
    </row>
    <row r="3077" spans="8:10" x14ac:dyDescent="0.3">
      <c r="H3077" s="3"/>
      <c r="I3077" s="3"/>
      <c r="J3077" s="3"/>
    </row>
    <row r="3078" spans="8:10" x14ac:dyDescent="0.3">
      <c r="H3078" s="3"/>
      <c r="I3078" s="3"/>
      <c r="J3078" s="3"/>
    </row>
    <row r="3079" spans="8:10" x14ac:dyDescent="0.3">
      <c r="H3079" s="3"/>
      <c r="I3079" s="3"/>
      <c r="J3079" s="3"/>
    </row>
    <row r="3080" spans="8:10" x14ac:dyDescent="0.3">
      <c r="H3080" s="3"/>
      <c r="I3080" s="3"/>
      <c r="J3080" s="3"/>
    </row>
    <row r="3081" spans="8:10" x14ac:dyDescent="0.3">
      <c r="H3081" s="3"/>
      <c r="I3081" s="3"/>
      <c r="J3081" s="3"/>
    </row>
    <row r="3082" spans="8:10" x14ac:dyDescent="0.3">
      <c r="H3082" s="3"/>
      <c r="I3082" s="3"/>
      <c r="J3082" s="3"/>
    </row>
    <row r="3083" spans="8:10" x14ac:dyDescent="0.3">
      <c r="H3083" s="3"/>
      <c r="I3083" s="3"/>
      <c r="J3083" s="3"/>
    </row>
    <row r="3084" spans="8:10" x14ac:dyDescent="0.3">
      <c r="H3084" s="3"/>
      <c r="I3084" s="3"/>
      <c r="J3084" s="3"/>
    </row>
    <row r="3085" spans="8:10" x14ac:dyDescent="0.3">
      <c r="H3085" s="3"/>
      <c r="I3085" s="3"/>
      <c r="J3085" s="3"/>
    </row>
    <row r="3086" spans="8:10" x14ac:dyDescent="0.3">
      <c r="H3086" s="3"/>
      <c r="I3086" s="3"/>
      <c r="J3086" s="3"/>
    </row>
    <row r="3087" spans="8:10" x14ac:dyDescent="0.3">
      <c r="H3087" s="3"/>
      <c r="I3087" s="3"/>
      <c r="J3087" s="3"/>
    </row>
    <row r="3088" spans="8:10" x14ac:dyDescent="0.3">
      <c r="H3088" s="3"/>
      <c r="I3088" s="3"/>
      <c r="J3088" s="3"/>
    </row>
    <row r="3089" spans="8:10" x14ac:dyDescent="0.3">
      <c r="H3089" s="3"/>
      <c r="I3089" s="3"/>
      <c r="J3089" s="3"/>
    </row>
    <row r="3090" spans="8:10" x14ac:dyDescent="0.3">
      <c r="H3090" s="3"/>
      <c r="I3090" s="3"/>
      <c r="J3090" s="3"/>
    </row>
    <row r="3091" spans="8:10" x14ac:dyDescent="0.3">
      <c r="H3091" s="3"/>
      <c r="I3091" s="3"/>
      <c r="J3091" s="3"/>
    </row>
    <row r="3092" spans="8:10" x14ac:dyDescent="0.3">
      <c r="H3092" s="3"/>
      <c r="I3092" s="3"/>
      <c r="J3092" s="3"/>
    </row>
    <row r="3093" spans="8:10" x14ac:dyDescent="0.3">
      <c r="H3093" s="3"/>
      <c r="I3093" s="3"/>
      <c r="J3093" s="3"/>
    </row>
    <row r="3094" spans="8:10" x14ac:dyDescent="0.3">
      <c r="H3094" s="3"/>
      <c r="I3094" s="3"/>
      <c r="J3094" s="3"/>
    </row>
    <row r="3095" spans="8:10" x14ac:dyDescent="0.3">
      <c r="H3095" s="3"/>
      <c r="I3095" s="3"/>
      <c r="J3095" s="3"/>
    </row>
    <row r="3096" spans="8:10" x14ac:dyDescent="0.3">
      <c r="H3096" s="3"/>
      <c r="I3096" s="3"/>
      <c r="J3096" s="3"/>
    </row>
    <row r="3097" spans="8:10" x14ac:dyDescent="0.3">
      <c r="H3097" s="3"/>
      <c r="I3097" s="3"/>
      <c r="J3097" s="3"/>
    </row>
    <row r="3098" spans="8:10" x14ac:dyDescent="0.3">
      <c r="H3098" s="3"/>
      <c r="I3098" s="3"/>
      <c r="J3098" s="3"/>
    </row>
    <row r="3099" spans="8:10" x14ac:dyDescent="0.3">
      <c r="H3099" s="3"/>
      <c r="I3099" s="3"/>
      <c r="J3099" s="3"/>
    </row>
    <row r="3100" spans="8:10" x14ac:dyDescent="0.3">
      <c r="H3100" s="3"/>
      <c r="I3100" s="3"/>
      <c r="J3100" s="3"/>
    </row>
    <row r="3101" spans="8:10" x14ac:dyDescent="0.3">
      <c r="H3101" s="3"/>
      <c r="I3101" s="3"/>
      <c r="J3101" s="3"/>
    </row>
    <row r="3102" spans="8:10" x14ac:dyDescent="0.3">
      <c r="H3102" s="3"/>
      <c r="I3102" s="3"/>
      <c r="J3102" s="3"/>
    </row>
    <row r="3103" spans="8:10" x14ac:dyDescent="0.3">
      <c r="H3103" s="3"/>
      <c r="I3103" s="3"/>
      <c r="J3103" s="3"/>
    </row>
    <row r="3104" spans="8:10" x14ac:dyDescent="0.3">
      <c r="H3104" s="3"/>
      <c r="I3104" s="3"/>
      <c r="J3104" s="3"/>
    </row>
    <row r="3105" spans="8:10" x14ac:dyDescent="0.3">
      <c r="H3105" s="3"/>
      <c r="I3105" s="3"/>
      <c r="J3105" s="3"/>
    </row>
    <row r="3106" spans="8:10" x14ac:dyDescent="0.3">
      <c r="H3106" s="3"/>
      <c r="I3106" s="3"/>
      <c r="J3106" s="3"/>
    </row>
    <row r="3107" spans="8:10" x14ac:dyDescent="0.3">
      <c r="H3107" s="3"/>
      <c r="I3107" s="3"/>
      <c r="J3107" s="3"/>
    </row>
    <row r="3108" spans="8:10" x14ac:dyDescent="0.3">
      <c r="H3108" s="3"/>
      <c r="I3108" s="3"/>
      <c r="J3108" s="3"/>
    </row>
    <row r="3109" spans="8:10" x14ac:dyDescent="0.3">
      <c r="H3109" s="3"/>
      <c r="I3109" s="3"/>
      <c r="J3109" s="3"/>
    </row>
    <row r="3110" spans="8:10" x14ac:dyDescent="0.3">
      <c r="H3110" s="3"/>
      <c r="I3110" s="3"/>
      <c r="J3110" s="3"/>
    </row>
    <row r="3111" spans="8:10" x14ac:dyDescent="0.3">
      <c r="H3111" s="3"/>
      <c r="I3111" s="3"/>
      <c r="J3111" s="3"/>
    </row>
    <row r="3112" spans="8:10" x14ac:dyDescent="0.3">
      <c r="H3112" s="3"/>
      <c r="I3112" s="3"/>
      <c r="J3112" s="3"/>
    </row>
    <row r="3113" spans="8:10" x14ac:dyDescent="0.3">
      <c r="H3113" s="3"/>
      <c r="I3113" s="3"/>
      <c r="J3113" s="3"/>
    </row>
    <row r="3114" spans="8:10" x14ac:dyDescent="0.3">
      <c r="H3114" s="3"/>
      <c r="I3114" s="3"/>
      <c r="J3114" s="3"/>
    </row>
    <row r="3115" spans="8:10" x14ac:dyDescent="0.3">
      <c r="H3115" s="3"/>
      <c r="I3115" s="3"/>
      <c r="J3115" s="3"/>
    </row>
    <row r="3116" spans="8:10" x14ac:dyDescent="0.3">
      <c r="H3116" s="3"/>
      <c r="I3116" s="3"/>
      <c r="J3116" s="3"/>
    </row>
    <row r="3117" spans="8:10" x14ac:dyDescent="0.3">
      <c r="H3117" s="3"/>
      <c r="I3117" s="3"/>
      <c r="J3117" s="3"/>
    </row>
    <row r="3118" spans="8:10" x14ac:dyDescent="0.3">
      <c r="H3118" s="3"/>
      <c r="I3118" s="3"/>
      <c r="J3118" s="3"/>
    </row>
    <row r="3119" spans="8:10" x14ac:dyDescent="0.3">
      <c r="H3119" s="3"/>
      <c r="I3119" s="3"/>
      <c r="J3119" s="3"/>
    </row>
    <row r="3120" spans="8:10" x14ac:dyDescent="0.3">
      <c r="H3120" s="3"/>
      <c r="I3120" s="3"/>
      <c r="J3120" s="3"/>
    </row>
    <row r="3121" spans="8:10" x14ac:dyDescent="0.3">
      <c r="H3121" s="3"/>
      <c r="I3121" s="3"/>
      <c r="J3121" s="3"/>
    </row>
    <row r="3122" spans="8:10" x14ac:dyDescent="0.3">
      <c r="H3122" s="3"/>
      <c r="I3122" s="3"/>
      <c r="J3122" s="3"/>
    </row>
    <row r="3123" spans="8:10" x14ac:dyDescent="0.3">
      <c r="H3123" s="3"/>
      <c r="I3123" s="3"/>
      <c r="J3123" s="3"/>
    </row>
    <row r="3124" spans="8:10" x14ac:dyDescent="0.3">
      <c r="H3124" s="3"/>
      <c r="I3124" s="3"/>
      <c r="J3124" s="3"/>
    </row>
    <row r="3125" spans="8:10" x14ac:dyDescent="0.3">
      <c r="H3125" s="3"/>
      <c r="I3125" s="3"/>
      <c r="J3125" s="3"/>
    </row>
    <row r="3126" spans="8:10" x14ac:dyDescent="0.3">
      <c r="H3126" s="3"/>
      <c r="I3126" s="3"/>
      <c r="J3126" s="3"/>
    </row>
    <row r="3127" spans="8:10" x14ac:dyDescent="0.3">
      <c r="H3127" s="3"/>
      <c r="I3127" s="3"/>
      <c r="J3127" s="3"/>
    </row>
    <row r="3128" spans="8:10" x14ac:dyDescent="0.3">
      <c r="H3128" s="3"/>
      <c r="I3128" s="3"/>
      <c r="J3128" s="3"/>
    </row>
    <row r="3129" spans="8:10" x14ac:dyDescent="0.3">
      <c r="H3129" s="3"/>
      <c r="I3129" s="3"/>
      <c r="J3129" s="3"/>
    </row>
    <row r="3130" spans="8:10" x14ac:dyDescent="0.3">
      <c r="H3130" s="3"/>
      <c r="I3130" s="3"/>
      <c r="J3130" s="3"/>
    </row>
    <row r="3131" spans="8:10" x14ac:dyDescent="0.3">
      <c r="H3131" s="3"/>
      <c r="I3131" s="3"/>
      <c r="J3131" s="3"/>
    </row>
    <row r="3132" spans="8:10" x14ac:dyDescent="0.3">
      <c r="H3132" s="3"/>
      <c r="I3132" s="3"/>
      <c r="J3132" s="3"/>
    </row>
    <row r="3133" spans="8:10" x14ac:dyDescent="0.3">
      <c r="H3133" s="3"/>
      <c r="I3133" s="3"/>
      <c r="J3133" s="3"/>
    </row>
    <row r="3134" spans="8:10" x14ac:dyDescent="0.3">
      <c r="H3134" s="3"/>
      <c r="I3134" s="3"/>
      <c r="J3134" s="3"/>
    </row>
    <row r="3135" spans="8:10" x14ac:dyDescent="0.3">
      <c r="H3135" s="3"/>
      <c r="I3135" s="3"/>
      <c r="J3135" s="3"/>
    </row>
    <row r="3136" spans="8:10" x14ac:dyDescent="0.3">
      <c r="H3136" s="3"/>
      <c r="I3136" s="3"/>
      <c r="J3136" s="3"/>
    </row>
    <row r="3137" spans="8:10" x14ac:dyDescent="0.3">
      <c r="H3137" s="3"/>
      <c r="I3137" s="3"/>
      <c r="J3137" s="3"/>
    </row>
    <row r="3138" spans="8:10" x14ac:dyDescent="0.3">
      <c r="H3138" s="3"/>
      <c r="I3138" s="3"/>
      <c r="J3138" s="3"/>
    </row>
    <row r="3139" spans="8:10" x14ac:dyDescent="0.3">
      <c r="H3139" s="3"/>
      <c r="I3139" s="3"/>
      <c r="J3139" s="3"/>
    </row>
    <row r="3140" spans="8:10" x14ac:dyDescent="0.3">
      <c r="H3140" s="3"/>
      <c r="I3140" s="3"/>
      <c r="J3140" s="3"/>
    </row>
    <row r="3141" spans="8:10" x14ac:dyDescent="0.3">
      <c r="H3141" s="3"/>
      <c r="I3141" s="3"/>
      <c r="J3141" s="3"/>
    </row>
    <row r="3142" spans="8:10" x14ac:dyDescent="0.3">
      <c r="H3142" s="3"/>
      <c r="I3142" s="3"/>
      <c r="J3142" s="3"/>
    </row>
    <row r="3143" spans="8:10" x14ac:dyDescent="0.3">
      <c r="H3143" s="3"/>
      <c r="I3143" s="3"/>
      <c r="J3143" s="3"/>
    </row>
    <row r="3144" spans="8:10" x14ac:dyDescent="0.3">
      <c r="H3144" s="3"/>
      <c r="I3144" s="3"/>
      <c r="J3144" s="3"/>
    </row>
    <row r="3145" spans="8:10" x14ac:dyDescent="0.3">
      <c r="H3145" s="3"/>
      <c r="I3145" s="3"/>
      <c r="J3145" s="3"/>
    </row>
    <row r="3146" spans="8:10" x14ac:dyDescent="0.3">
      <c r="H3146" s="3"/>
      <c r="I3146" s="3"/>
      <c r="J3146" s="3"/>
    </row>
    <row r="3147" spans="8:10" x14ac:dyDescent="0.3">
      <c r="H3147" s="3"/>
      <c r="I3147" s="3"/>
      <c r="J3147" s="3"/>
    </row>
    <row r="3148" spans="8:10" x14ac:dyDescent="0.3">
      <c r="H3148" s="3"/>
      <c r="I3148" s="3"/>
      <c r="J3148" s="3"/>
    </row>
    <row r="3149" spans="8:10" x14ac:dyDescent="0.3">
      <c r="H3149" s="3"/>
      <c r="I3149" s="3"/>
      <c r="J3149" s="3"/>
    </row>
    <row r="3150" spans="8:10" x14ac:dyDescent="0.3">
      <c r="H3150" s="3"/>
      <c r="I3150" s="3"/>
      <c r="J3150" s="3"/>
    </row>
    <row r="3151" spans="8:10" x14ac:dyDescent="0.3">
      <c r="H3151" s="3"/>
      <c r="I3151" s="3"/>
      <c r="J3151" s="3"/>
    </row>
    <row r="3152" spans="8:10" x14ac:dyDescent="0.3">
      <c r="H3152" s="3"/>
      <c r="I3152" s="3"/>
      <c r="J3152" s="3"/>
    </row>
    <row r="3153" spans="8:10" x14ac:dyDescent="0.3">
      <c r="H3153" s="3"/>
      <c r="I3153" s="3"/>
      <c r="J3153" s="3"/>
    </row>
    <row r="3154" spans="8:10" x14ac:dyDescent="0.3">
      <c r="H3154" s="3"/>
      <c r="I3154" s="3"/>
      <c r="J3154" s="3"/>
    </row>
    <row r="3155" spans="8:10" x14ac:dyDescent="0.3">
      <c r="H3155" s="3"/>
      <c r="I3155" s="3"/>
      <c r="J3155" s="3"/>
    </row>
    <row r="3156" spans="8:10" x14ac:dyDescent="0.3">
      <c r="H3156" s="3"/>
      <c r="I3156" s="3"/>
      <c r="J3156" s="3"/>
    </row>
    <row r="3157" spans="8:10" x14ac:dyDescent="0.3">
      <c r="H3157" s="3"/>
      <c r="I3157" s="3"/>
      <c r="J3157" s="3"/>
    </row>
    <row r="3158" spans="8:10" x14ac:dyDescent="0.3">
      <c r="H3158" s="3"/>
      <c r="I3158" s="3"/>
      <c r="J3158" s="3"/>
    </row>
    <row r="3159" spans="8:10" x14ac:dyDescent="0.3">
      <c r="H3159" s="3"/>
      <c r="I3159" s="3"/>
      <c r="J3159" s="3"/>
    </row>
    <row r="3160" spans="8:10" x14ac:dyDescent="0.3">
      <c r="H3160" s="3"/>
      <c r="I3160" s="3"/>
      <c r="J3160" s="3"/>
    </row>
    <row r="3161" spans="8:10" x14ac:dyDescent="0.3">
      <c r="H3161" s="3"/>
      <c r="I3161" s="3"/>
      <c r="J3161" s="3"/>
    </row>
    <row r="3162" spans="8:10" x14ac:dyDescent="0.3">
      <c r="H3162" s="3"/>
      <c r="I3162" s="3"/>
      <c r="J3162" s="3"/>
    </row>
    <row r="3163" spans="8:10" x14ac:dyDescent="0.3">
      <c r="H3163" s="3"/>
      <c r="I3163" s="3"/>
      <c r="J3163" s="3"/>
    </row>
    <row r="3164" spans="8:10" x14ac:dyDescent="0.3">
      <c r="H3164" s="3"/>
      <c r="I3164" s="3"/>
      <c r="J3164" s="3"/>
    </row>
    <row r="3165" spans="8:10" x14ac:dyDescent="0.3">
      <c r="H3165" s="3"/>
      <c r="I3165" s="3"/>
      <c r="J3165" s="3"/>
    </row>
    <row r="3166" spans="8:10" x14ac:dyDescent="0.3">
      <c r="H3166" s="3"/>
      <c r="I3166" s="3"/>
      <c r="J3166" s="3"/>
    </row>
    <row r="3167" spans="8:10" x14ac:dyDescent="0.3">
      <c r="H3167" s="3"/>
      <c r="I3167" s="3"/>
      <c r="J3167" s="3"/>
    </row>
    <row r="3168" spans="8:10" x14ac:dyDescent="0.3">
      <c r="H3168" s="3"/>
      <c r="I3168" s="3"/>
      <c r="J3168" s="3"/>
    </row>
    <row r="3169" spans="8:10" x14ac:dyDescent="0.3">
      <c r="H3169" s="3"/>
      <c r="I3169" s="3"/>
      <c r="J3169" s="3"/>
    </row>
    <row r="3170" spans="8:10" x14ac:dyDescent="0.3">
      <c r="H3170" s="3"/>
      <c r="I3170" s="3"/>
      <c r="J3170" s="3"/>
    </row>
    <row r="3171" spans="8:10" x14ac:dyDescent="0.3">
      <c r="H3171" s="3"/>
      <c r="I3171" s="3"/>
      <c r="J3171" s="3"/>
    </row>
    <row r="3172" spans="8:10" x14ac:dyDescent="0.3">
      <c r="H3172" s="3"/>
      <c r="I3172" s="3"/>
      <c r="J3172" s="3"/>
    </row>
    <row r="3173" spans="8:10" x14ac:dyDescent="0.3">
      <c r="H3173" s="3"/>
      <c r="I3173" s="3"/>
      <c r="J3173" s="3"/>
    </row>
    <row r="3174" spans="8:10" x14ac:dyDescent="0.3">
      <c r="H3174" s="3"/>
      <c r="I3174" s="3"/>
      <c r="J3174" s="3"/>
    </row>
    <row r="3175" spans="8:10" x14ac:dyDescent="0.3">
      <c r="H3175" s="3"/>
      <c r="I3175" s="3"/>
      <c r="J3175" s="3"/>
    </row>
    <row r="3176" spans="8:10" x14ac:dyDescent="0.3">
      <c r="H3176" s="3"/>
      <c r="I3176" s="3"/>
      <c r="J3176" s="3"/>
    </row>
    <row r="3177" spans="8:10" x14ac:dyDescent="0.3">
      <c r="H3177" s="3"/>
      <c r="I3177" s="3"/>
      <c r="J3177" s="3"/>
    </row>
    <row r="3178" spans="8:10" x14ac:dyDescent="0.3">
      <c r="H3178" s="3"/>
      <c r="I3178" s="3"/>
      <c r="J3178" s="3"/>
    </row>
    <row r="3179" spans="8:10" x14ac:dyDescent="0.3">
      <c r="H3179" s="3"/>
      <c r="I3179" s="3"/>
      <c r="J3179" s="3"/>
    </row>
    <row r="3180" spans="8:10" x14ac:dyDescent="0.3">
      <c r="H3180" s="3"/>
      <c r="I3180" s="3"/>
      <c r="J3180" s="3"/>
    </row>
    <row r="3181" spans="8:10" x14ac:dyDescent="0.3">
      <c r="H3181" s="3"/>
      <c r="I3181" s="3"/>
      <c r="J3181" s="3"/>
    </row>
    <row r="3182" spans="8:10" x14ac:dyDescent="0.3">
      <c r="H3182" s="3"/>
      <c r="I3182" s="3"/>
      <c r="J3182" s="3"/>
    </row>
    <row r="3183" spans="8:10" x14ac:dyDescent="0.3">
      <c r="H3183" s="3"/>
      <c r="I3183" s="3"/>
      <c r="J3183" s="3"/>
    </row>
    <row r="3184" spans="8:10" x14ac:dyDescent="0.3">
      <c r="H3184" s="3"/>
      <c r="I3184" s="3"/>
      <c r="J3184" s="3"/>
    </row>
    <row r="3185" spans="8:10" x14ac:dyDescent="0.3">
      <c r="H3185" s="3"/>
      <c r="I3185" s="3"/>
      <c r="J3185" s="3"/>
    </row>
    <row r="3186" spans="8:10" x14ac:dyDescent="0.3">
      <c r="H3186" s="3"/>
      <c r="I3186" s="3"/>
      <c r="J3186" s="3"/>
    </row>
    <row r="3187" spans="8:10" x14ac:dyDescent="0.3">
      <c r="H3187" s="3"/>
      <c r="I3187" s="3"/>
      <c r="J3187" s="3"/>
    </row>
    <row r="3188" spans="8:10" x14ac:dyDescent="0.3">
      <c r="H3188" s="3"/>
      <c r="I3188" s="3"/>
      <c r="J3188" s="3"/>
    </row>
    <row r="3189" spans="8:10" x14ac:dyDescent="0.3">
      <c r="H3189" s="3"/>
      <c r="I3189" s="3"/>
      <c r="J3189" s="3"/>
    </row>
    <row r="3190" spans="8:10" x14ac:dyDescent="0.3">
      <c r="H3190" s="3"/>
      <c r="I3190" s="3"/>
      <c r="J3190" s="3"/>
    </row>
    <row r="3191" spans="8:10" x14ac:dyDescent="0.3">
      <c r="H3191" s="3"/>
      <c r="I3191" s="3"/>
      <c r="J3191" s="3"/>
    </row>
    <row r="3192" spans="8:10" x14ac:dyDescent="0.3">
      <c r="H3192" s="3"/>
      <c r="I3192" s="3"/>
      <c r="J3192" s="3"/>
    </row>
    <row r="3193" spans="8:10" x14ac:dyDescent="0.3">
      <c r="H3193" s="3"/>
      <c r="I3193" s="3"/>
      <c r="J3193" s="3"/>
    </row>
    <row r="3194" spans="8:10" x14ac:dyDescent="0.3">
      <c r="H3194" s="3"/>
      <c r="I3194" s="3"/>
      <c r="J3194" s="3"/>
    </row>
    <row r="3195" spans="8:10" x14ac:dyDescent="0.3">
      <c r="H3195" s="3"/>
      <c r="I3195" s="3"/>
      <c r="J3195" s="3"/>
    </row>
    <row r="3196" spans="8:10" x14ac:dyDescent="0.3">
      <c r="H3196" s="3"/>
      <c r="I3196" s="3"/>
      <c r="J3196" s="3"/>
    </row>
    <row r="3197" spans="8:10" x14ac:dyDescent="0.3">
      <c r="H3197" s="3"/>
      <c r="I3197" s="3"/>
      <c r="J3197" s="3"/>
    </row>
    <row r="3198" spans="8:10" x14ac:dyDescent="0.3">
      <c r="H3198" s="3"/>
      <c r="I3198" s="3"/>
      <c r="J3198" s="3"/>
    </row>
    <row r="3199" spans="8:10" x14ac:dyDescent="0.3">
      <c r="H3199" s="3"/>
      <c r="I3199" s="3"/>
      <c r="J3199" s="3"/>
    </row>
    <row r="3200" spans="8:10" x14ac:dyDescent="0.3">
      <c r="H3200" s="3"/>
      <c r="I3200" s="3"/>
      <c r="J3200" s="3"/>
    </row>
    <row r="3201" spans="8:10" x14ac:dyDescent="0.3">
      <c r="H3201" s="3"/>
      <c r="I3201" s="3"/>
      <c r="J3201" s="3"/>
    </row>
    <row r="3202" spans="8:10" x14ac:dyDescent="0.3">
      <c r="H3202" s="3"/>
      <c r="I3202" s="3"/>
      <c r="J3202" s="3"/>
    </row>
    <row r="3203" spans="8:10" x14ac:dyDescent="0.3">
      <c r="H3203" s="3"/>
      <c r="I3203" s="3"/>
      <c r="J3203" s="3"/>
    </row>
    <row r="3204" spans="8:10" x14ac:dyDescent="0.3">
      <c r="H3204" s="3"/>
      <c r="I3204" s="3"/>
      <c r="J3204" s="3"/>
    </row>
    <row r="3205" spans="8:10" x14ac:dyDescent="0.3">
      <c r="H3205" s="3"/>
      <c r="I3205" s="3"/>
      <c r="J3205" s="3"/>
    </row>
    <row r="3206" spans="8:10" x14ac:dyDescent="0.3">
      <c r="H3206" s="3"/>
      <c r="I3206" s="3"/>
      <c r="J3206" s="3"/>
    </row>
    <row r="3207" spans="8:10" x14ac:dyDescent="0.3">
      <c r="H3207" s="3"/>
      <c r="I3207" s="3"/>
      <c r="J3207" s="3"/>
    </row>
    <row r="3208" spans="8:10" x14ac:dyDescent="0.3">
      <c r="H3208" s="3"/>
      <c r="I3208" s="3"/>
      <c r="J3208" s="3"/>
    </row>
    <row r="3209" spans="8:10" x14ac:dyDescent="0.3">
      <c r="H3209" s="3"/>
      <c r="I3209" s="3"/>
      <c r="J3209" s="3"/>
    </row>
    <row r="3210" spans="8:10" x14ac:dyDescent="0.3">
      <c r="H3210" s="3"/>
      <c r="I3210" s="3"/>
      <c r="J3210" s="3"/>
    </row>
    <row r="3211" spans="8:10" x14ac:dyDescent="0.3">
      <c r="H3211" s="3"/>
      <c r="I3211" s="3"/>
      <c r="J3211" s="3"/>
    </row>
    <row r="3212" spans="8:10" x14ac:dyDescent="0.3">
      <c r="H3212" s="3"/>
      <c r="I3212" s="3"/>
      <c r="J3212" s="3"/>
    </row>
    <row r="3213" spans="8:10" x14ac:dyDescent="0.3">
      <c r="H3213" s="3"/>
      <c r="I3213" s="3"/>
      <c r="J3213" s="3"/>
    </row>
    <row r="3214" spans="8:10" x14ac:dyDescent="0.3">
      <c r="H3214" s="3"/>
      <c r="I3214" s="3"/>
      <c r="J3214" s="3"/>
    </row>
    <row r="3215" spans="8:10" x14ac:dyDescent="0.3">
      <c r="H3215" s="3"/>
      <c r="I3215" s="3"/>
      <c r="J3215" s="3"/>
    </row>
    <row r="3216" spans="8:10" x14ac:dyDescent="0.3">
      <c r="H3216" s="3"/>
      <c r="I3216" s="3"/>
      <c r="J3216" s="3"/>
    </row>
    <row r="3217" spans="8:10" x14ac:dyDescent="0.3">
      <c r="H3217" s="3"/>
      <c r="I3217" s="3"/>
      <c r="J3217" s="3"/>
    </row>
    <row r="3218" spans="8:10" x14ac:dyDescent="0.3">
      <c r="H3218" s="3"/>
      <c r="I3218" s="3"/>
      <c r="J3218" s="3"/>
    </row>
    <row r="3219" spans="8:10" x14ac:dyDescent="0.3">
      <c r="H3219" s="3"/>
      <c r="I3219" s="3"/>
      <c r="J3219" s="3"/>
    </row>
    <row r="3220" spans="8:10" x14ac:dyDescent="0.3">
      <c r="H3220" s="3"/>
      <c r="I3220" s="3"/>
      <c r="J3220" s="3"/>
    </row>
    <row r="3221" spans="8:10" x14ac:dyDescent="0.3">
      <c r="H3221" s="3"/>
      <c r="I3221" s="3"/>
      <c r="J3221" s="3"/>
    </row>
    <row r="3222" spans="8:10" x14ac:dyDescent="0.3">
      <c r="H3222" s="3"/>
      <c r="I3222" s="3"/>
      <c r="J3222" s="3"/>
    </row>
    <row r="3223" spans="8:10" x14ac:dyDescent="0.3">
      <c r="H3223" s="3"/>
      <c r="I3223" s="3"/>
      <c r="J3223" s="3"/>
    </row>
    <row r="3224" spans="8:10" x14ac:dyDescent="0.3">
      <c r="H3224" s="3"/>
      <c r="I3224" s="3"/>
      <c r="J3224" s="3"/>
    </row>
    <row r="3225" spans="8:10" x14ac:dyDescent="0.3">
      <c r="H3225" s="3"/>
      <c r="I3225" s="3"/>
      <c r="J3225" s="3"/>
    </row>
    <row r="3226" spans="8:10" x14ac:dyDescent="0.3">
      <c r="H3226" s="3"/>
      <c r="I3226" s="3"/>
      <c r="J3226" s="3"/>
    </row>
    <row r="3227" spans="8:10" x14ac:dyDescent="0.3">
      <c r="H3227" s="3"/>
      <c r="I3227" s="3"/>
      <c r="J3227" s="3"/>
    </row>
    <row r="3228" spans="8:10" x14ac:dyDescent="0.3">
      <c r="H3228" s="3"/>
      <c r="I3228" s="3"/>
      <c r="J3228" s="3"/>
    </row>
    <row r="3229" spans="8:10" x14ac:dyDescent="0.3">
      <c r="H3229" s="3"/>
      <c r="I3229" s="3"/>
      <c r="J3229" s="3"/>
    </row>
    <row r="3230" spans="8:10" x14ac:dyDescent="0.3">
      <c r="H3230" s="3"/>
      <c r="I3230" s="3"/>
      <c r="J3230" s="3"/>
    </row>
    <row r="3231" spans="8:10" x14ac:dyDescent="0.3">
      <c r="H3231" s="3"/>
      <c r="I3231" s="3"/>
      <c r="J3231" s="3"/>
    </row>
    <row r="3232" spans="8:10" x14ac:dyDescent="0.3">
      <c r="H3232" s="3"/>
      <c r="I3232" s="3"/>
      <c r="J3232" s="3"/>
    </row>
    <row r="3233" spans="8:10" x14ac:dyDescent="0.3">
      <c r="H3233" s="3"/>
      <c r="I3233" s="3"/>
      <c r="J3233" s="3"/>
    </row>
    <row r="3234" spans="8:10" x14ac:dyDescent="0.3">
      <c r="H3234" s="3"/>
      <c r="I3234" s="3"/>
      <c r="J3234" s="3"/>
    </row>
    <row r="3235" spans="8:10" x14ac:dyDescent="0.3">
      <c r="H3235" s="3"/>
      <c r="I3235" s="3"/>
      <c r="J3235" s="3"/>
    </row>
    <row r="3236" spans="8:10" x14ac:dyDescent="0.3">
      <c r="H3236" s="3"/>
      <c r="I3236" s="3"/>
      <c r="J3236" s="3"/>
    </row>
    <row r="3237" spans="8:10" x14ac:dyDescent="0.3">
      <c r="H3237" s="3"/>
      <c r="I3237" s="3"/>
      <c r="J3237" s="3"/>
    </row>
    <row r="3238" spans="8:10" x14ac:dyDescent="0.3">
      <c r="H3238" s="3"/>
      <c r="I3238" s="3"/>
      <c r="J3238" s="3"/>
    </row>
    <row r="3239" spans="8:10" x14ac:dyDescent="0.3">
      <c r="H3239" s="3"/>
      <c r="I3239" s="3"/>
      <c r="J3239" s="3"/>
    </row>
    <row r="3240" spans="8:10" x14ac:dyDescent="0.3">
      <c r="H3240" s="3"/>
      <c r="I3240" s="3"/>
      <c r="J3240" s="3"/>
    </row>
    <row r="3241" spans="8:10" x14ac:dyDescent="0.3">
      <c r="H3241" s="3"/>
      <c r="I3241" s="3"/>
      <c r="J3241" s="3"/>
    </row>
    <row r="3242" spans="8:10" x14ac:dyDescent="0.3">
      <c r="H3242" s="3"/>
      <c r="I3242" s="3"/>
      <c r="J3242" s="3"/>
    </row>
    <row r="3243" spans="8:10" x14ac:dyDescent="0.3">
      <c r="H3243" s="3"/>
      <c r="I3243" s="3"/>
      <c r="J3243" s="3"/>
    </row>
    <row r="3244" spans="8:10" x14ac:dyDescent="0.3">
      <c r="H3244" s="3"/>
      <c r="I3244" s="3"/>
      <c r="J3244" s="3"/>
    </row>
    <row r="3245" spans="8:10" x14ac:dyDescent="0.3">
      <c r="H3245" s="3"/>
      <c r="I3245" s="3"/>
      <c r="J3245" s="3"/>
    </row>
    <row r="3246" spans="8:10" x14ac:dyDescent="0.3">
      <c r="H3246" s="3"/>
      <c r="I3246" s="3"/>
      <c r="J3246" s="3"/>
    </row>
    <row r="3247" spans="8:10" x14ac:dyDescent="0.3">
      <c r="H3247" s="3"/>
      <c r="I3247" s="3"/>
      <c r="J3247" s="3"/>
    </row>
    <row r="3248" spans="8:10" x14ac:dyDescent="0.3">
      <c r="H3248" s="3"/>
      <c r="I3248" s="3"/>
      <c r="J3248" s="3"/>
    </row>
    <row r="3249" spans="8:10" x14ac:dyDescent="0.3">
      <c r="H3249" s="3"/>
      <c r="I3249" s="3"/>
      <c r="J3249" s="3"/>
    </row>
    <row r="3250" spans="8:10" x14ac:dyDescent="0.3">
      <c r="H3250" s="3"/>
      <c r="I3250" s="3"/>
      <c r="J3250" s="3"/>
    </row>
    <row r="3251" spans="8:10" x14ac:dyDescent="0.3">
      <c r="H3251" s="3"/>
      <c r="I3251" s="3"/>
      <c r="J3251" s="3"/>
    </row>
    <row r="3252" spans="8:10" x14ac:dyDescent="0.3">
      <c r="H3252" s="3"/>
      <c r="I3252" s="3"/>
      <c r="J3252" s="3"/>
    </row>
    <row r="3253" spans="8:10" x14ac:dyDescent="0.3">
      <c r="H3253" s="3"/>
      <c r="I3253" s="3"/>
      <c r="J3253" s="3"/>
    </row>
    <row r="3254" spans="8:10" x14ac:dyDescent="0.3">
      <c r="H3254" s="3"/>
      <c r="I3254" s="3"/>
      <c r="J3254" s="3"/>
    </row>
    <row r="3255" spans="8:10" x14ac:dyDescent="0.3">
      <c r="H3255" s="3"/>
      <c r="I3255" s="3"/>
      <c r="J3255" s="3"/>
    </row>
    <row r="3256" spans="8:10" x14ac:dyDescent="0.3">
      <c r="H3256" s="3"/>
      <c r="I3256" s="3"/>
      <c r="J3256" s="3"/>
    </row>
    <row r="3257" spans="8:10" x14ac:dyDescent="0.3">
      <c r="H3257" s="3"/>
      <c r="I3257" s="3"/>
      <c r="J3257" s="3"/>
    </row>
    <row r="3258" spans="8:10" x14ac:dyDescent="0.3">
      <c r="H3258" s="3"/>
      <c r="I3258" s="3"/>
      <c r="J3258" s="3"/>
    </row>
    <row r="3259" spans="8:10" x14ac:dyDescent="0.3">
      <c r="H3259" s="3"/>
      <c r="I3259" s="3"/>
      <c r="J3259" s="3"/>
    </row>
    <row r="3260" spans="8:10" x14ac:dyDescent="0.3">
      <c r="H3260" s="3"/>
      <c r="I3260" s="3"/>
      <c r="J3260" s="3"/>
    </row>
    <row r="3261" spans="8:10" x14ac:dyDescent="0.3">
      <c r="H3261" s="3"/>
      <c r="I3261" s="3"/>
      <c r="J3261" s="3"/>
    </row>
    <row r="3262" spans="8:10" x14ac:dyDescent="0.3">
      <c r="H3262" s="3"/>
      <c r="I3262" s="3"/>
      <c r="J3262" s="3"/>
    </row>
    <row r="3263" spans="8:10" x14ac:dyDescent="0.3">
      <c r="H3263" s="3"/>
      <c r="I3263" s="3"/>
      <c r="J3263" s="3"/>
    </row>
    <row r="3264" spans="8:10" x14ac:dyDescent="0.3">
      <c r="H3264" s="3"/>
      <c r="I3264" s="3"/>
      <c r="J3264" s="3"/>
    </row>
    <row r="3265" spans="8:10" x14ac:dyDescent="0.3">
      <c r="H3265" s="3"/>
      <c r="I3265" s="3"/>
      <c r="J3265" s="3"/>
    </row>
    <row r="3266" spans="8:10" x14ac:dyDescent="0.3">
      <c r="H3266" s="3"/>
      <c r="I3266" s="3"/>
      <c r="J3266" s="3"/>
    </row>
    <row r="3267" spans="8:10" x14ac:dyDescent="0.3">
      <c r="H3267" s="3"/>
      <c r="I3267" s="3"/>
      <c r="J3267" s="3"/>
    </row>
    <row r="3268" spans="8:10" x14ac:dyDescent="0.3">
      <c r="H3268" s="3"/>
      <c r="I3268" s="3"/>
      <c r="J3268" s="3"/>
    </row>
    <row r="3269" spans="8:10" x14ac:dyDescent="0.3">
      <c r="H3269" s="3"/>
      <c r="I3269" s="3"/>
      <c r="J3269" s="3"/>
    </row>
    <row r="3270" spans="8:10" x14ac:dyDescent="0.3">
      <c r="H3270" s="3"/>
      <c r="I3270" s="3"/>
      <c r="J3270" s="3"/>
    </row>
    <row r="3271" spans="8:10" x14ac:dyDescent="0.3">
      <c r="H3271" s="3"/>
      <c r="I3271" s="3"/>
      <c r="J3271" s="3"/>
    </row>
    <row r="3272" spans="8:10" x14ac:dyDescent="0.3">
      <c r="H3272" s="3"/>
      <c r="I3272" s="3"/>
      <c r="J3272" s="3"/>
    </row>
    <row r="3273" spans="8:10" x14ac:dyDescent="0.3">
      <c r="H3273" s="3"/>
      <c r="I3273" s="3"/>
      <c r="J3273" s="3"/>
    </row>
    <row r="3274" spans="8:10" x14ac:dyDescent="0.3">
      <c r="H3274" s="3"/>
      <c r="I3274" s="3"/>
      <c r="J3274" s="3"/>
    </row>
    <row r="3275" spans="8:10" x14ac:dyDescent="0.3">
      <c r="H3275" s="3"/>
      <c r="I3275" s="3"/>
      <c r="J3275" s="3"/>
    </row>
    <row r="3276" spans="8:10" x14ac:dyDescent="0.3">
      <c r="H3276" s="3"/>
      <c r="I3276" s="3"/>
      <c r="J3276" s="3"/>
    </row>
    <row r="3277" spans="8:10" x14ac:dyDescent="0.3">
      <c r="H3277" s="3"/>
      <c r="I3277" s="3"/>
      <c r="J3277" s="3"/>
    </row>
    <row r="3278" spans="8:10" x14ac:dyDescent="0.3">
      <c r="H3278" s="3"/>
      <c r="I3278" s="3"/>
      <c r="J3278" s="3"/>
    </row>
    <row r="3279" spans="8:10" x14ac:dyDescent="0.3">
      <c r="H3279" s="3"/>
      <c r="I3279" s="3"/>
      <c r="J3279" s="3"/>
    </row>
    <row r="3280" spans="8:10" x14ac:dyDescent="0.3">
      <c r="H3280" s="3"/>
      <c r="I3280" s="3"/>
      <c r="J3280" s="3"/>
    </row>
    <row r="3281" spans="8:10" x14ac:dyDescent="0.3">
      <c r="H3281" s="3"/>
      <c r="I3281" s="3"/>
      <c r="J3281" s="3"/>
    </row>
    <row r="3282" spans="8:10" x14ac:dyDescent="0.3">
      <c r="H3282" s="3"/>
      <c r="I3282" s="3"/>
      <c r="J3282" s="3"/>
    </row>
    <row r="3283" spans="8:10" x14ac:dyDescent="0.3">
      <c r="H3283" s="3"/>
      <c r="I3283" s="3"/>
      <c r="J3283" s="3"/>
    </row>
    <row r="3284" spans="8:10" x14ac:dyDescent="0.3">
      <c r="H3284" s="3"/>
      <c r="I3284" s="3"/>
      <c r="J3284" s="3"/>
    </row>
    <row r="3285" spans="8:10" x14ac:dyDescent="0.3">
      <c r="H3285" s="3"/>
      <c r="I3285" s="3"/>
      <c r="J3285" s="3"/>
    </row>
    <row r="3286" spans="8:10" x14ac:dyDescent="0.3">
      <c r="H3286" s="3"/>
      <c r="I3286" s="3"/>
      <c r="J3286" s="3"/>
    </row>
    <row r="3287" spans="8:10" x14ac:dyDescent="0.3">
      <c r="H3287" s="3"/>
      <c r="I3287" s="3"/>
      <c r="J3287" s="3"/>
    </row>
    <row r="3288" spans="8:10" x14ac:dyDescent="0.3">
      <c r="H3288" s="3"/>
      <c r="I3288" s="3"/>
      <c r="J3288" s="3"/>
    </row>
    <row r="3289" spans="8:10" x14ac:dyDescent="0.3">
      <c r="H3289" s="3"/>
      <c r="I3289" s="3"/>
      <c r="J3289" s="3"/>
    </row>
    <row r="3290" spans="8:10" x14ac:dyDescent="0.3">
      <c r="H3290" s="3"/>
      <c r="I3290" s="3"/>
      <c r="J3290" s="3"/>
    </row>
    <row r="3291" spans="8:10" x14ac:dyDescent="0.3">
      <c r="H3291" s="3"/>
      <c r="I3291" s="3"/>
      <c r="J3291" s="3"/>
    </row>
    <row r="3292" spans="8:10" x14ac:dyDescent="0.3">
      <c r="H3292" s="3"/>
      <c r="I3292" s="3"/>
      <c r="J3292" s="3"/>
    </row>
    <row r="3293" spans="8:10" x14ac:dyDescent="0.3">
      <c r="H3293" s="3"/>
      <c r="I3293" s="3"/>
      <c r="J3293" s="3"/>
    </row>
    <row r="3294" spans="8:10" x14ac:dyDescent="0.3">
      <c r="H3294" s="3"/>
      <c r="I3294" s="3"/>
      <c r="J3294" s="3"/>
    </row>
    <row r="3295" spans="8:10" x14ac:dyDescent="0.3">
      <c r="H3295" s="3"/>
      <c r="I3295" s="3"/>
      <c r="J3295" s="3"/>
    </row>
    <row r="3296" spans="8:10" x14ac:dyDescent="0.3">
      <c r="H3296" s="3"/>
      <c r="I3296" s="3"/>
      <c r="J3296" s="3"/>
    </row>
    <row r="3297" spans="8:10" x14ac:dyDescent="0.3">
      <c r="H3297" s="3"/>
      <c r="I3297" s="3"/>
      <c r="J3297" s="3"/>
    </row>
    <row r="3298" spans="8:10" x14ac:dyDescent="0.3">
      <c r="H3298" s="3"/>
      <c r="I3298" s="3"/>
      <c r="J3298" s="3"/>
    </row>
    <row r="3299" spans="8:10" x14ac:dyDescent="0.3">
      <c r="H3299" s="3"/>
      <c r="I3299" s="3"/>
      <c r="J3299" s="3"/>
    </row>
    <row r="3300" spans="8:10" x14ac:dyDescent="0.3">
      <c r="H3300" s="3"/>
      <c r="I3300" s="3"/>
      <c r="J3300" s="3"/>
    </row>
    <row r="3301" spans="8:10" x14ac:dyDescent="0.3">
      <c r="H3301" s="3"/>
      <c r="I3301" s="3"/>
      <c r="J3301" s="3"/>
    </row>
    <row r="3302" spans="8:10" x14ac:dyDescent="0.3">
      <c r="H3302" s="3"/>
      <c r="I3302" s="3"/>
      <c r="J3302" s="3"/>
    </row>
    <row r="3303" spans="8:10" x14ac:dyDescent="0.3">
      <c r="H3303" s="3"/>
      <c r="I3303" s="3"/>
      <c r="J3303" s="3"/>
    </row>
    <row r="3304" spans="8:10" x14ac:dyDescent="0.3">
      <c r="H3304" s="3"/>
      <c r="I3304" s="3"/>
      <c r="J3304" s="3"/>
    </row>
    <row r="3305" spans="8:10" x14ac:dyDescent="0.3">
      <c r="H3305" s="3"/>
      <c r="I3305" s="3"/>
      <c r="J3305" s="3"/>
    </row>
    <row r="3306" spans="8:10" x14ac:dyDescent="0.3">
      <c r="H3306" s="3"/>
      <c r="I3306" s="3"/>
      <c r="J3306" s="3"/>
    </row>
    <row r="3307" spans="8:10" x14ac:dyDescent="0.3">
      <c r="H3307" s="3"/>
      <c r="I3307" s="3"/>
      <c r="J3307" s="3"/>
    </row>
    <row r="3308" spans="8:10" x14ac:dyDescent="0.3">
      <c r="H3308" s="3"/>
      <c r="I3308" s="3"/>
      <c r="J3308" s="3"/>
    </row>
    <row r="3309" spans="8:10" x14ac:dyDescent="0.3">
      <c r="H3309" s="3"/>
      <c r="I3309" s="3"/>
      <c r="J3309" s="3"/>
    </row>
    <row r="3310" spans="8:10" x14ac:dyDescent="0.3">
      <c r="H3310" s="3"/>
      <c r="I3310" s="3"/>
      <c r="J3310" s="3"/>
    </row>
    <row r="3311" spans="8:10" x14ac:dyDescent="0.3">
      <c r="H3311" s="3"/>
      <c r="I3311" s="3"/>
      <c r="J3311" s="3"/>
    </row>
    <row r="3312" spans="8:10" x14ac:dyDescent="0.3">
      <c r="H3312" s="3"/>
      <c r="I3312" s="3"/>
      <c r="J3312" s="3"/>
    </row>
    <row r="3313" spans="8:10" x14ac:dyDescent="0.3">
      <c r="H3313" s="3"/>
      <c r="I3313" s="3"/>
      <c r="J3313" s="3"/>
    </row>
    <row r="3314" spans="8:10" x14ac:dyDescent="0.3">
      <c r="H3314" s="3"/>
      <c r="I3314" s="3"/>
      <c r="J3314" s="3"/>
    </row>
    <row r="3315" spans="8:10" x14ac:dyDescent="0.3">
      <c r="H3315" s="3"/>
      <c r="I3315" s="3"/>
      <c r="J3315" s="3"/>
    </row>
    <row r="3316" spans="8:10" x14ac:dyDescent="0.3">
      <c r="H3316" s="3"/>
      <c r="I3316" s="3"/>
      <c r="J3316" s="3"/>
    </row>
    <row r="3317" spans="8:10" x14ac:dyDescent="0.3">
      <c r="H3317" s="3"/>
      <c r="I3317" s="3"/>
      <c r="J3317" s="3"/>
    </row>
    <row r="3318" spans="8:10" x14ac:dyDescent="0.3">
      <c r="H3318" s="3"/>
      <c r="I3318" s="3"/>
      <c r="J3318" s="3"/>
    </row>
    <row r="3319" spans="8:10" x14ac:dyDescent="0.3">
      <c r="H3319" s="3"/>
      <c r="I3319" s="3"/>
      <c r="J3319" s="3"/>
    </row>
    <row r="3320" spans="8:10" x14ac:dyDescent="0.3">
      <c r="H3320" s="3"/>
      <c r="I3320" s="3"/>
      <c r="J3320" s="3"/>
    </row>
    <row r="3321" spans="8:10" x14ac:dyDescent="0.3">
      <c r="H3321" s="3"/>
      <c r="I3321" s="3"/>
      <c r="J3321" s="3"/>
    </row>
    <row r="3322" spans="8:10" x14ac:dyDescent="0.3">
      <c r="H3322" s="3"/>
      <c r="I3322" s="3"/>
      <c r="J3322" s="3"/>
    </row>
    <row r="3323" spans="8:10" x14ac:dyDescent="0.3">
      <c r="H3323" s="3"/>
      <c r="I3323" s="3"/>
      <c r="J3323" s="3"/>
    </row>
    <row r="3324" spans="8:10" x14ac:dyDescent="0.3">
      <c r="H3324" s="3"/>
      <c r="I3324" s="3"/>
      <c r="J3324" s="3"/>
    </row>
    <row r="3325" spans="8:10" x14ac:dyDescent="0.3">
      <c r="H3325" s="3"/>
      <c r="I3325" s="3"/>
      <c r="J3325" s="3"/>
    </row>
    <row r="3326" spans="8:10" x14ac:dyDescent="0.3">
      <c r="H3326" s="3"/>
      <c r="I3326" s="3"/>
      <c r="J3326" s="3"/>
    </row>
    <row r="3327" spans="8:10" x14ac:dyDescent="0.3">
      <c r="H3327" s="3"/>
      <c r="I3327" s="3"/>
      <c r="J3327" s="3"/>
    </row>
    <row r="3328" spans="8:10" x14ac:dyDescent="0.3">
      <c r="H3328" s="3"/>
      <c r="I3328" s="3"/>
      <c r="J3328" s="3"/>
    </row>
    <row r="3329" spans="8:10" x14ac:dyDescent="0.3">
      <c r="H3329" s="3"/>
      <c r="I3329" s="3"/>
      <c r="J3329" s="3"/>
    </row>
    <row r="3330" spans="8:10" x14ac:dyDescent="0.3">
      <c r="H3330" s="3"/>
      <c r="I3330" s="3"/>
      <c r="J3330" s="3"/>
    </row>
    <row r="3331" spans="8:10" x14ac:dyDescent="0.3">
      <c r="H3331" s="3"/>
      <c r="I3331" s="3"/>
      <c r="J3331" s="3"/>
    </row>
    <row r="3332" spans="8:10" x14ac:dyDescent="0.3">
      <c r="H3332" s="3"/>
      <c r="I3332" s="3"/>
      <c r="J3332" s="3"/>
    </row>
    <row r="3333" spans="8:10" x14ac:dyDescent="0.3">
      <c r="H3333" s="3"/>
      <c r="I3333" s="3"/>
      <c r="J3333" s="3"/>
    </row>
    <row r="3334" spans="8:10" x14ac:dyDescent="0.3">
      <c r="H3334" s="3"/>
      <c r="I3334" s="3"/>
      <c r="J3334" s="3"/>
    </row>
    <row r="3335" spans="8:10" x14ac:dyDescent="0.3">
      <c r="H3335" s="3"/>
      <c r="I3335" s="3"/>
      <c r="J3335" s="3"/>
    </row>
    <row r="3336" spans="8:10" x14ac:dyDescent="0.3">
      <c r="H3336" s="3"/>
      <c r="I3336" s="3"/>
      <c r="J3336" s="3"/>
    </row>
    <row r="3337" spans="8:10" x14ac:dyDescent="0.3">
      <c r="H3337" s="3"/>
      <c r="I3337" s="3"/>
      <c r="J3337" s="3"/>
    </row>
    <row r="3338" spans="8:10" x14ac:dyDescent="0.3">
      <c r="H3338" s="3"/>
      <c r="I3338" s="3"/>
      <c r="J3338" s="3"/>
    </row>
    <row r="3339" spans="8:10" x14ac:dyDescent="0.3">
      <c r="H3339" s="3"/>
      <c r="I3339" s="3"/>
      <c r="J3339" s="3"/>
    </row>
    <row r="3340" spans="8:10" x14ac:dyDescent="0.3">
      <c r="H3340" s="3"/>
      <c r="I3340" s="3"/>
      <c r="J3340" s="3"/>
    </row>
    <row r="3341" spans="8:10" x14ac:dyDescent="0.3">
      <c r="H3341" s="3"/>
      <c r="I3341" s="3"/>
      <c r="J3341" s="3"/>
    </row>
    <row r="3342" spans="8:10" x14ac:dyDescent="0.3">
      <c r="H3342" s="3"/>
      <c r="I3342" s="3"/>
      <c r="J3342" s="3"/>
    </row>
    <row r="3343" spans="8:10" x14ac:dyDescent="0.3">
      <c r="H3343" s="3"/>
      <c r="I3343" s="3"/>
      <c r="J3343" s="3"/>
    </row>
    <row r="3344" spans="8:10" x14ac:dyDescent="0.3">
      <c r="H3344" s="3"/>
      <c r="I3344" s="3"/>
      <c r="J3344" s="3"/>
    </row>
    <row r="3345" spans="8:10" x14ac:dyDescent="0.3">
      <c r="H3345" s="3"/>
      <c r="I3345" s="3"/>
      <c r="J3345" s="3"/>
    </row>
    <row r="3346" spans="8:10" x14ac:dyDescent="0.3">
      <c r="H3346" s="3"/>
      <c r="I3346" s="3"/>
      <c r="J3346" s="3"/>
    </row>
    <row r="3347" spans="8:10" x14ac:dyDescent="0.3">
      <c r="H3347" s="3"/>
      <c r="I3347" s="3"/>
      <c r="J3347" s="3"/>
    </row>
    <row r="3348" spans="8:10" x14ac:dyDescent="0.3">
      <c r="H3348" s="3"/>
      <c r="I3348" s="3"/>
      <c r="J3348" s="3"/>
    </row>
    <row r="3349" spans="8:10" x14ac:dyDescent="0.3">
      <c r="H3349" s="3"/>
      <c r="I3349" s="3"/>
      <c r="J3349" s="3"/>
    </row>
    <row r="3350" spans="8:10" x14ac:dyDescent="0.3">
      <c r="H3350" s="3"/>
      <c r="I3350" s="3"/>
      <c r="J3350" s="3"/>
    </row>
    <row r="3351" spans="8:10" x14ac:dyDescent="0.3">
      <c r="H3351" s="3"/>
      <c r="I3351" s="3"/>
      <c r="J3351" s="3"/>
    </row>
    <row r="3352" spans="8:10" x14ac:dyDescent="0.3">
      <c r="H3352" s="3"/>
      <c r="I3352" s="3"/>
      <c r="J3352" s="3"/>
    </row>
    <row r="3353" spans="8:10" x14ac:dyDescent="0.3">
      <c r="H3353" s="3"/>
      <c r="I3353" s="3"/>
      <c r="J3353" s="3"/>
    </row>
    <row r="3354" spans="8:10" x14ac:dyDescent="0.3">
      <c r="H3354" s="3"/>
      <c r="I3354" s="3"/>
      <c r="J3354" s="3"/>
    </row>
    <row r="3355" spans="8:10" x14ac:dyDescent="0.3">
      <c r="H3355" s="3"/>
      <c r="I3355" s="3"/>
      <c r="J3355" s="3"/>
    </row>
    <row r="3356" spans="8:10" x14ac:dyDescent="0.3">
      <c r="H3356" s="3"/>
      <c r="I3356" s="3"/>
      <c r="J3356" s="3"/>
    </row>
    <row r="3357" spans="8:10" x14ac:dyDescent="0.3">
      <c r="H3357" s="3"/>
      <c r="I3357" s="3"/>
      <c r="J3357" s="3"/>
    </row>
    <row r="3358" spans="8:10" x14ac:dyDescent="0.3">
      <c r="H3358" s="3"/>
      <c r="I3358" s="3"/>
      <c r="J3358" s="3"/>
    </row>
    <row r="3359" spans="8:10" x14ac:dyDescent="0.3">
      <c r="H3359" s="3"/>
      <c r="I3359" s="3"/>
      <c r="J3359" s="3"/>
    </row>
    <row r="3360" spans="8:10" x14ac:dyDescent="0.3">
      <c r="H3360" s="3"/>
      <c r="I3360" s="3"/>
      <c r="J3360" s="3"/>
    </row>
    <row r="3361" spans="8:10" x14ac:dyDescent="0.3">
      <c r="H3361" s="3"/>
      <c r="I3361" s="3"/>
      <c r="J3361" s="3"/>
    </row>
    <row r="3362" spans="8:10" x14ac:dyDescent="0.3">
      <c r="H3362" s="3"/>
      <c r="I3362" s="3"/>
      <c r="J3362" s="3"/>
    </row>
    <row r="3363" spans="8:10" x14ac:dyDescent="0.3">
      <c r="H3363" s="3"/>
      <c r="I3363" s="3"/>
      <c r="J3363" s="3"/>
    </row>
    <row r="3364" spans="8:10" x14ac:dyDescent="0.3">
      <c r="H3364" s="3"/>
      <c r="I3364" s="3"/>
      <c r="J3364" s="3"/>
    </row>
    <row r="3365" spans="8:10" x14ac:dyDescent="0.3">
      <c r="H3365" s="3"/>
      <c r="I3365" s="3"/>
      <c r="J3365" s="3"/>
    </row>
    <row r="3366" spans="8:10" x14ac:dyDescent="0.3">
      <c r="H3366" s="3"/>
      <c r="I3366" s="3"/>
      <c r="J3366" s="3"/>
    </row>
    <row r="3367" spans="8:10" x14ac:dyDescent="0.3">
      <c r="H3367" s="3"/>
      <c r="I3367" s="3"/>
      <c r="J3367" s="3"/>
    </row>
    <row r="3368" spans="8:10" x14ac:dyDescent="0.3">
      <c r="H3368" s="3"/>
      <c r="I3368" s="3"/>
      <c r="J3368" s="3"/>
    </row>
    <row r="3369" spans="8:10" x14ac:dyDescent="0.3">
      <c r="H3369" s="3"/>
      <c r="I3369" s="3"/>
      <c r="J3369" s="3"/>
    </row>
    <row r="3370" spans="8:10" x14ac:dyDescent="0.3">
      <c r="H3370" s="3"/>
      <c r="I3370" s="3"/>
      <c r="J3370" s="3"/>
    </row>
    <row r="3371" spans="8:10" x14ac:dyDescent="0.3">
      <c r="H3371" s="3"/>
      <c r="I3371" s="3"/>
      <c r="J3371" s="3"/>
    </row>
    <row r="3372" spans="8:10" x14ac:dyDescent="0.3">
      <c r="H3372" s="3"/>
      <c r="I3372" s="3"/>
      <c r="J3372" s="3"/>
    </row>
    <row r="3373" spans="8:10" x14ac:dyDescent="0.3">
      <c r="H3373" s="3"/>
      <c r="I3373" s="3"/>
      <c r="J3373" s="3"/>
    </row>
    <row r="3374" spans="8:10" x14ac:dyDescent="0.3">
      <c r="H3374" s="3"/>
      <c r="I3374" s="3"/>
      <c r="J3374" s="3"/>
    </row>
    <row r="3375" spans="8:10" x14ac:dyDescent="0.3">
      <c r="H3375" s="3"/>
      <c r="I3375" s="3"/>
      <c r="J3375" s="3"/>
    </row>
    <row r="3376" spans="8:10" x14ac:dyDescent="0.3">
      <c r="H3376" s="3"/>
      <c r="I3376" s="3"/>
      <c r="J3376" s="3"/>
    </row>
    <row r="3377" spans="8:10" x14ac:dyDescent="0.3">
      <c r="H3377" s="3"/>
      <c r="I3377" s="3"/>
      <c r="J3377" s="3"/>
    </row>
    <row r="3378" spans="8:10" x14ac:dyDescent="0.3">
      <c r="H3378" s="3"/>
      <c r="I3378" s="3"/>
      <c r="J3378" s="3"/>
    </row>
    <row r="3379" spans="8:10" x14ac:dyDescent="0.3">
      <c r="H3379" s="3"/>
      <c r="I3379" s="3"/>
      <c r="J3379" s="3"/>
    </row>
    <row r="3380" spans="8:10" x14ac:dyDescent="0.3">
      <c r="H3380" s="3"/>
      <c r="I3380" s="3"/>
      <c r="J3380" s="3"/>
    </row>
    <row r="3381" spans="8:10" x14ac:dyDescent="0.3">
      <c r="H3381" s="3"/>
      <c r="I3381" s="3"/>
      <c r="J3381" s="3"/>
    </row>
    <row r="3382" spans="8:10" x14ac:dyDescent="0.3">
      <c r="H3382" s="3"/>
      <c r="I3382" s="3"/>
      <c r="J3382" s="3"/>
    </row>
    <row r="3383" spans="8:10" x14ac:dyDescent="0.3">
      <c r="H3383" s="3"/>
      <c r="I3383" s="3"/>
      <c r="J3383" s="3"/>
    </row>
    <row r="3384" spans="8:10" x14ac:dyDescent="0.3">
      <c r="H3384" s="3"/>
      <c r="I3384" s="3"/>
      <c r="J3384" s="3"/>
    </row>
    <row r="3385" spans="8:10" x14ac:dyDescent="0.3">
      <c r="H3385" s="3"/>
      <c r="I3385" s="3"/>
      <c r="J3385" s="3"/>
    </row>
    <row r="3386" spans="8:10" x14ac:dyDescent="0.3">
      <c r="H3386" s="3"/>
      <c r="I3386" s="3"/>
      <c r="J3386" s="3"/>
    </row>
    <row r="3387" spans="8:10" x14ac:dyDescent="0.3">
      <c r="H3387" s="3"/>
      <c r="I3387" s="3"/>
      <c r="J3387" s="3"/>
    </row>
    <row r="3388" spans="8:10" x14ac:dyDescent="0.3">
      <c r="H3388" s="3"/>
      <c r="I3388" s="3"/>
      <c r="J3388" s="3"/>
    </row>
    <row r="3389" spans="8:10" x14ac:dyDescent="0.3">
      <c r="H3389" s="3"/>
      <c r="I3389" s="3"/>
      <c r="J3389" s="3"/>
    </row>
    <row r="3390" spans="8:10" x14ac:dyDescent="0.3">
      <c r="H3390" s="3"/>
      <c r="I3390" s="3"/>
      <c r="J3390" s="3"/>
    </row>
    <row r="3391" spans="8:10" x14ac:dyDescent="0.3">
      <c r="H3391" s="3"/>
      <c r="I3391" s="3"/>
      <c r="J3391" s="3"/>
    </row>
    <row r="3392" spans="8:10" x14ac:dyDescent="0.3">
      <c r="H3392" s="3"/>
      <c r="I3392" s="3"/>
      <c r="J3392" s="3"/>
    </row>
    <row r="3393" spans="8:10" x14ac:dyDescent="0.3">
      <c r="H3393" s="3"/>
      <c r="I3393" s="3"/>
      <c r="J3393" s="3"/>
    </row>
    <row r="3394" spans="8:10" x14ac:dyDescent="0.3">
      <c r="H3394" s="3"/>
      <c r="I3394" s="3"/>
      <c r="J3394" s="3"/>
    </row>
    <row r="3395" spans="8:10" x14ac:dyDescent="0.3">
      <c r="H3395" s="3"/>
      <c r="I3395" s="3"/>
      <c r="J3395" s="3"/>
    </row>
    <row r="3396" spans="8:10" x14ac:dyDescent="0.3">
      <c r="H3396" s="3"/>
      <c r="I3396" s="3"/>
      <c r="J3396" s="3"/>
    </row>
    <row r="3397" spans="8:10" x14ac:dyDescent="0.3">
      <c r="H3397" s="3"/>
      <c r="I3397" s="3"/>
      <c r="J3397" s="3"/>
    </row>
    <row r="3398" spans="8:10" x14ac:dyDescent="0.3">
      <c r="H3398" s="3"/>
      <c r="I3398" s="3"/>
      <c r="J3398" s="3"/>
    </row>
    <row r="3399" spans="8:10" x14ac:dyDescent="0.3">
      <c r="H3399" s="3"/>
      <c r="I3399" s="3"/>
      <c r="J3399" s="3"/>
    </row>
    <row r="3400" spans="8:10" x14ac:dyDescent="0.3">
      <c r="H3400" s="3"/>
      <c r="I3400" s="3"/>
      <c r="J3400" s="3"/>
    </row>
    <row r="3401" spans="8:10" x14ac:dyDescent="0.3">
      <c r="H3401" s="3"/>
      <c r="I3401" s="3"/>
      <c r="J3401" s="3"/>
    </row>
    <row r="3402" spans="8:10" x14ac:dyDescent="0.3">
      <c r="H3402" s="3"/>
      <c r="I3402" s="3"/>
      <c r="J3402" s="3"/>
    </row>
    <row r="3403" spans="8:10" x14ac:dyDescent="0.3">
      <c r="H3403" s="3"/>
      <c r="I3403" s="3"/>
      <c r="J3403" s="3"/>
    </row>
    <row r="3404" spans="8:10" x14ac:dyDescent="0.3">
      <c r="H3404" s="3"/>
      <c r="I3404" s="3"/>
      <c r="J3404" s="3"/>
    </row>
    <row r="3405" spans="8:10" x14ac:dyDescent="0.3">
      <c r="H3405" s="3"/>
      <c r="I3405" s="3"/>
      <c r="J3405" s="3"/>
    </row>
    <row r="3406" spans="8:10" x14ac:dyDescent="0.3">
      <c r="H3406" s="3"/>
      <c r="I3406" s="3"/>
      <c r="J3406" s="3"/>
    </row>
    <row r="3407" spans="8:10" x14ac:dyDescent="0.3">
      <c r="H3407" s="3"/>
      <c r="I3407" s="3"/>
      <c r="J3407" s="3"/>
    </row>
    <row r="3408" spans="8:10" x14ac:dyDescent="0.3">
      <c r="H3408" s="3"/>
      <c r="I3408" s="3"/>
      <c r="J3408" s="3"/>
    </row>
    <row r="3409" spans="8:10" x14ac:dyDescent="0.3">
      <c r="H3409" s="3"/>
      <c r="I3409" s="3"/>
      <c r="J3409" s="3"/>
    </row>
    <row r="3410" spans="8:10" x14ac:dyDescent="0.3">
      <c r="H3410" s="3"/>
      <c r="I3410" s="3"/>
      <c r="J3410" s="3"/>
    </row>
    <row r="3411" spans="8:10" x14ac:dyDescent="0.3">
      <c r="H3411" s="3"/>
      <c r="I3411" s="3"/>
      <c r="J3411" s="3"/>
    </row>
    <row r="3412" spans="8:10" x14ac:dyDescent="0.3">
      <c r="H3412" s="3"/>
      <c r="I3412" s="3"/>
      <c r="J3412" s="3"/>
    </row>
    <row r="3413" spans="8:10" x14ac:dyDescent="0.3">
      <c r="H3413" s="3"/>
      <c r="I3413" s="3"/>
      <c r="J3413" s="3"/>
    </row>
    <row r="3414" spans="8:10" x14ac:dyDescent="0.3">
      <c r="H3414" s="3"/>
      <c r="I3414" s="3"/>
      <c r="J3414" s="3"/>
    </row>
    <row r="3415" spans="8:10" x14ac:dyDescent="0.3">
      <c r="H3415" s="3"/>
      <c r="I3415" s="3"/>
      <c r="J3415" s="3"/>
    </row>
    <row r="3416" spans="8:10" x14ac:dyDescent="0.3">
      <c r="H3416" s="3"/>
      <c r="I3416" s="3"/>
      <c r="J3416" s="3"/>
    </row>
    <row r="3417" spans="8:10" x14ac:dyDescent="0.3">
      <c r="H3417" s="3"/>
      <c r="I3417" s="3"/>
      <c r="J3417" s="3"/>
    </row>
    <row r="3418" spans="8:10" x14ac:dyDescent="0.3">
      <c r="H3418" s="3"/>
      <c r="I3418" s="3"/>
      <c r="J3418" s="3"/>
    </row>
    <row r="3419" spans="8:10" x14ac:dyDescent="0.3">
      <c r="H3419" s="3"/>
      <c r="I3419" s="3"/>
      <c r="J3419" s="3"/>
    </row>
    <row r="3420" spans="8:10" x14ac:dyDescent="0.3">
      <c r="H3420" s="3"/>
      <c r="I3420" s="3"/>
      <c r="J3420" s="3"/>
    </row>
    <row r="3421" spans="8:10" x14ac:dyDescent="0.3">
      <c r="H3421" s="3"/>
      <c r="I3421" s="3"/>
      <c r="J3421" s="3"/>
    </row>
    <row r="3422" spans="8:10" x14ac:dyDescent="0.3">
      <c r="H3422" s="3"/>
      <c r="I3422" s="3"/>
      <c r="J3422" s="3"/>
    </row>
    <row r="3423" spans="8:10" x14ac:dyDescent="0.3">
      <c r="H3423" s="3"/>
      <c r="I3423" s="3"/>
      <c r="J3423" s="3"/>
    </row>
    <row r="3424" spans="8:10" x14ac:dyDescent="0.3">
      <c r="H3424" s="3"/>
      <c r="I3424" s="3"/>
      <c r="J3424" s="3"/>
    </row>
    <row r="3425" spans="8:10" x14ac:dyDescent="0.3">
      <c r="H3425" s="3"/>
      <c r="I3425" s="3"/>
      <c r="J3425" s="3"/>
    </row>
    <row r="3426" spans="8:10" x14ac:dyDescent="0.3">
      <c r="H3426" s="3"/>
      <c r="I3426" s="3"/>
      <c r="J3426" s="3"/>
    </row>
    <row r="3427" spans="8:10" x14ac:dyDescent="0.3">
      <c r="H3427" s="3"/>
      <c r="I3427" s="3"/>
      <c r="J3427" s="3"/>
    </row>
    <row r="3428" spans="8:10" x14ac:dyDescent="0.3">
      <c r="H3428" s="3"/>
      <c r="I3428" s="3"/>
      <c r="J3428" s="3"/>
    </row>
    <row r="3429" spans="8:10" x14ac:dyDescent="0.3">
      <c r="H3429" s="3"/>
      <c r="I3429" s="3"/>
      <c r="J3429" s="3"/>
    </row>
    <row r="3430" spans="8:10" x14ac:dyDescent="0.3">
      <c r="H3430" s="3"/>
      <c r="I3430" s="3"/>
      <c r="J3430" s="3"/>
    </row>
    <row r="3431" spans="8:10" x14ac:dyDescent="0.3">
      <c r="H3431" s="3"/>
      <c r="I3431" s="3"/>
      <c r="J3431" s="3"/>
    </row>
    <row r="3432" spans="8:10" x14ac:dyDescent="0.3">
      <c r="H3432" s="3"/>
      <c r="I3432" s="3"/>
      <c r="J3432" s="3"/>
    </row>
    <row r="3433" spans="8:10" x14ac:dyDescent="0.3">
      <c r="H3433" s="3"/>
      <c r="I3433" s="3"/>
      <c r="J3433" s="3"/>
    </row>
    <row r="3434" spans="8:10" x14ac:dyDescent="0.3">
      <c r="H3434" s="3"/>
      <c r="I3434" s="3"/>
      <c r="J3434" s="3"/>
    </row>
    <row r="3435" spans="8:10" x14ac:dyDescent="0.3">
      <c r="H3435" s="3"/>
      <c r="I3435" s="3"/>
      <c r="J3435" s="3"/>
    </row>
    <row r="3436" spans="8:10" x14ac:dyDescent="0.3">
      <c r="H3436" s="3"/>
      <c r="I3436" s="3"/>
      <c r="J3436" s="3"/>
    </row>
    <row r="3437" spans="8:10" x14ac:dyDescent="0.3">
      <c r="H3437" s="3"/>
      <c r="I3437" s="3"/>
      <c r="J3437" s="3"/>
    </row>
    <row r="3438" spans="8:10" x14ac:dyDescent="0.3">
      <c r="H3438" s="3"/>
      <c r="I3438" s="3"/>
      <c r="J3438" s="3"/>
    </row>
    <row r="3439" spans="8:10" x14ac:dyDescent="0.3">
      <c r="H3439" s="3"/>
      <c r="I3439" s="3"/>
      <c r="J3439" s="3"/>
    </row>
    <row r="3440" spans="8:10" x14ac:dyDescent="0.3">
      <c r="H3440" s="3"/>
      <c r="I3440" s="3"/>
      <c r="J3440" s="3"/>
    </row>
    <row r="3441" spans="8:10" x14ac:dyDescent="0.3">
      <c r="H3441" s="3"/>
      <c r="I3441" s="3"/>
      <c r="J3441" s="3"/>
    </row>
    <row r="3442" spans="8:10" x14ac:dyDescent="0.3">
      <c r="H3442" s="3"/>
      <c r="I3442" s="3"/>
      <c r="J3442" s="3"/>
    </row>
    <row r="3443" spans="8:10" x14ac:dyDescent="0.3">
      <c r="H3443" s="3"/>
      <c r="I3443" s="3"/>
      <c r="J3443" s="3"/>
    </row>
    <row r="3444" spans="8:10" x14ac:dyDescent="0.3">
      <c r="H3444" s="3"/>
      <c r="I3444" s="3"/>
      <c r="J3444" s="3"/>
    </row>
    <row r="3445" spans="8:10" x14ac:dyDescent="0.3">
      <c r="H3445" s="3"/>
      <c r="I3445" s="3"/>
      <c r="J3445" s="3"/>
    </row>
    <row r="3446" spans="8:10" x14ac:dyDescent="0.3">
      <c r="H3446" s="3"/>
      <c r="I3446" s="3"/>
      <c r="J3446" s="3"/>
    </row>
    <row r="3447" spans="8:10" x14ac:dyDescent="0.3">
      <c r="H3447" s="3"/>
      <c r="I3447" s="3"/>
      <c r="J3447" s="3"/>
    </row>
    <row r="3448" spans="8:10" x14ac:dyDescent="0.3">
      <c r="H3448" s="3"/>
      <c r="I3448" s="3"/>
      <c r="J3448" s="3"/>
    </row>
    <row r="3449" spans="8:10" x14ac:dyDescent="0.3">
      <c r="H3449" s="3"/>
      <c r="I3449" s="3"/>
      <c r="J3449" s="3"/>
    </row>
    <row r="3450" spans="8:10" x14ac:dyDescent="0.3">
      <c r="H3450" s="3"/>
      <c r="I3450" s="3"/>
      <c r="J3450" s="3"/>
    </row>
    <row r="3451" spans="8:10" x14ac:dyDescent="0.3">
      <c r="H3451" s="3"/>
      <c r="I3451" s="3"/>
      <c r="J3451" s="3"/>
    </row>
    <row r="3452" spans="8:10" x14ac:dyDescent="0.3">
      <c r="H3452" s="3"/>
      <c r="I3452" s="3"/>
      <c r="J3452" s="3"/>
    </row>
    <row r="3453" spans="8:10" x14ac:dyDescent="0.3">
      <c r="H3453" s="3"/>
      <c r="I3453" s="3"/>
      <c r="J3453" s="3"/>
    </row>
    <row r="3454" spans="8:10" x14ac:dyDescent="0.3">
      <c r="H3454" s="3"/>
      <c r="I3454" s="3"/>
      <c r="J3454" s="3"/>
    </row>
    <row r="3455" spans="8:10" x14ac:dyDescent="0.3">
      <c r="H3455" s="3"/>
      <c r="I3455" s="3"/>
      <c r="J3455" s="3"/>
    </row>
    <row r="3456" spans="8:10" x14ac:dyDescent="0.3">
      <c r="H3456" s="3"/>
      <c r="I3456" s="3"/>
      <c r="J3456" s="3"/>
    </row>
    <row r="3457" spans="8:10" x14ac:dyDescent="0.3">
      <c r="H3457" s="3"/>
      <c r="I3457" s="3"/>
      <c r="J3457" s="3"/>
    </row>
    <row r="3458" spans="8:10" x14ac:dyDescent="0.3">
      <c r="H3458" s="3"/>
      <c r="I3458" s="3"/>
      <c r="J3458" s="3"/>
    </row>
    <row r="3459" spans="8:10" x14ac:dyDescent="0.3">
      <c r="H3459" s="3"/>
      <c r="I3459" s="3"/>
      <c r="J3459" s="3"/>
    </row>
    <row r="3460" spans="8:10" x14ac:dyDescent="0.3">
      <c r="H3460" s="3"/>
      <c r="I3460" s="3"/>
      <c r="J3460" s="3"/>
    </row>
    <row r="3461" spans="8:10" x14ac:dyDescent="0.3">
      <c r="H3461" s="3"/>
      <c r="I3461" s="3"/>
      <c r="J3461" s="3"/>
    </row>
    <row r="3462" spans="8:10" x14ac:dyDescent="0.3">
      <c r="H3462" s="3"/>
      <c r="I3462" s="3"/>
      <c r="J3462" s="3"/>
    </row>
    <row r="3463" spans="8:10" x14ac:dyDescent="0.3">
      <c r="H3463" s="3"/>
      <c r="I3463" s="3"/>
      <c r="J3463" s="3"/>
    </row>
    <row r="3464" spans="8:10" x14ac:dyDescent="0.3">
      <c r="H3464" s="3"/>
      <c r="I3464" s="3"/>
      <c r="J3464" s="3"/>
    </row>
    <row r="3465" spans="8:10" x14ac:dyDescent="0.3">
      <c r="H3465" s="3"/>
      <c r="I3465" s="3"/>
      <c r="J3465" s="3"/>
    </row>
    <row r="3466" spans="8:10" x14ac:dyDescent="0.3">
      <c r="H3466" s="3"/>
      <c r="I3466" s="3"/>
      <c r="J3466" s="3"/>
    </row>
    <row r="3467" spans="8:10" x14ac:dyDescent="0.3">
      <c r="H3467" s="3"/>
      <c r="I3467" s="3"/>
      <c r="J3467" s="3"/>
    </row>
    <row r="3468" spans="8:10" x14ac:dyDescent="0.3">
      <c r="H3468" s="3"/>
      <c r="I3468" s="3"/>
      <c r="J3468" s="3"/>
    </row>
    <row r="3469" spans="8:10" x14ac:dyDescent="0.3">
      <c r="H3469" s="3"/>
      <c r="I3469" s="3"/>
      <c r="J3469" s="3"/>
    </row>
    <row r="3470" spans="8:10" x14ac:dyDescent="0.3">
      <c r="H3470" s="3"/>
      <c r="I3470" s="3"/>
      <c r="J3470" s="3"/>
    </row>
    <row r="3471" spans="8:10" x14ac:dyDescent="0.3">
      <c r="H3471" s="3"/>
      <c r="I3471" s="3"/>
      <c r="J3471" s="3"/>
    </row>
    <row r="3472" spans="8:10" x14ac:dyDescent="0.3">
      <c r="H3472" s="3"/>
      <c r="I3472" s="3"/>
      <c r="J3472" s="3"/>
    </row>
    <row r="3473" spans="8:10" x14ac:dyDescent="0.3">
      <c r="H3473" s="3"/>
      <c r="I3473" s="3"/>
      <c r="J3473" s="3"/>
    </row>
    <row r="3474" spans="8:10" x14ac:dyDescent="0.3">
      <c r="H3474" s="3"/>
      <c r="I3474" s="3"/>
      <c r="J3474" s="3"/>
    </row>
    <row r="3475" spans="8:10" x14ac:dyDescent="0.3">
      <c r="H3475" s="3"/>
      <c r="I3475" s="3"/>
      <c r="J3475" s="3"/>
    </row>
    <row r="3476" spans="8:10" x14ac:dyDescent="0.3">
      <c r="H3476" s="3"/>
      <c r="I3476" s="3"/>
      <c r="J3476" s="3"/>
    </row>
    <row r="3477" spans="8:10" x14ac:dyDescent="0.3">
      <c r="H3477" s="3"/>
      <c r="I3477" s="3"/>
      <c r="J3477" s="3"/>
    </row>
    <row r="3478" spans="8:10" x14ac:dyDescent="0.3">
      <c r="H3478" s="3"/>
      <c r="I3478" s="3"/>
      <c r="J3478" s="3"/>
    </row>
    <row r="3479" spans="8:10" x14ac:dyDescent="0.3">
      <c r="H3479" s="3"/>
      <c r="I3479" s="3"/>
      <c r="J3479" s="3"/>
    </row>
    <row r="3480" spans="8:10" x14ac:dyDescent="0.3">
      <c r="H3480" s="3"/>
      <c r="I3480" s="3"/>
      <c r="J3480" s="3"/>
    </row>
    <row r="3481" spans="8:10" x14ac:dyDescent="0.3">
      <c r="H3481" s="3"/>
      <c r="I3481" s="3"/>
      <c r="J3481" s="3"/>
    </row>
    <row r="3482" spans="8:10" x14ac:dyDescent="0.3">
      <c r="H3482" s="3"/>
      <c r="I3482" s="3"/>
      <c r="J3482" s="3"/>
    </row>
    <row r="3483" spans="8:10" x14ac:dyDescent="0.3">
      <c r="H3483" s="3"/>
      <c r="I3483" s="3"/>
      <c r="J3483" s="3"/>
    </row>
    <row r="3484" spans="8:10" x14ac:dyDescent="0.3">
      <c r="H3484" s="3"/>
      <c r="I3484" s="3"/>
      <c r="J3484" s="3"/>
    </row>
    <row r="3485" spans="8:10" x14ac:dyDescent="0.3">
      <c r="H3485" s="3"/>
      <c r="I3485" s="3"/>
      <c r="J3485" s="3"/>
    </row>
    <row r="3486" spans="8:10" x14ac:dyDescent="0.3">
      <c r="H3486" s="3"/>
      <c r="I3486" s="3"/>
      <c r="J3486" s="3"/>
    </row>
    <row r="3487" spans="8:10" x14ac:dyDescent="0.3">
      <c r="H3487" s="3"/>
      <c r="I3487" s="3"/>
      <c r="J3487" s="3"/>
    </row>
    <row r="3488" spans="8:10" x14ac:dyDescent="0.3">
      <c r="H3488" s="3"/>
      <c r="I3488" s="3"/>
      <c r="J3488" s="3"/>
    </row>
    <row r="3489" spans="8:10" x14ac:dyDescent="0.3">
      <c r="H3489" s="3"/>
      <c r="I3489" s="3"/>
      <c r="J3489" s="3"/>
    </row>
    <row r="3490" spans="8:10" x14ac:dyDescent="0.3">
      <c r="H3490" s="3"/>
      <c r="I3490" s="3"/>
      <c r="J3490" s="3"/>
    </row>
    <row r="3491" spans="8:10" x14ac:dyDescent="0.3">
      <c r="H3491" s="3"/>
      <c r="I3491" s="3"/>
      <c r="J3491" s="3"/>
    </row>
    <row r="3492" spans="8:10" x14ac:dyDescent="0.3">
      <c r="H3492" s="3"/>
      <c r="I3492" s="3"/>
      <c r="J3492" s="3"/>
    </row>
    <row r="3493" spans="8:10" x14ac:dyDescent="0.3">
      <c r="H3493" s="3"/>
      <c r="I3493" s="3"/>
      <c r="J3493" s="3"/>
    </row>
    <row r="3494" spans="8:10" x14ac:dyDescent="0.3">
      <c r="H3494" s="3"/>
      <c r="I3494" s="3"/>
      <c r="J3494" s="3"/>
    </row>
    <row r="3495" spans="8:10" x14ac:dyDescent="0.3">
      <c r="H3495" s="3"/>
      <c r="I3495" s="3"/>
      <c r="J3495" s="3"/>
    </row>
    <row r="3496" spans="8:10" x14ac:dyDescent="0.3">
      <c r="H3496" s="3"/>
      <c r="I3496" s="3"/>
      <c r="J3496" s="3"/>
    </row>
    <row r="3497" spans="8:10" x14ac:dyDescent="0.3">
      <c r="H3497" s="3"/>
      <c r="I3497" s="3"/>
      <c r="J3497" s="3"/>
    </row>
    <row r="3498" spans="8:10" x14ac:dyDescent="0.3">
      <c r="H3498" s="3"/>
      <c r="I3498" s="3"/>
      <c r="J3498" s="3"/>
    </row>
    <row r="3499" spans="8:10" x14ac:dyDescent="0.3">
      <c r="H3499" s="3"/>
      <c r="I3499" s="3"/>
      <c r="J3499" s="3"/>
    </row>
    <row r="3500" spans="8:10" x14ac:dyDescent="0.3">
      <c r="H3500" s="3"/>
      <c r="I3500" s="3"/>
      <c r="J3500" s="3"/>
    </row>
    <row r="3501" spans="8:10" x14ac:dyDescent="0.3">
      <c r="H3501" s="3"/>
      <c r="I3501" s="3"/>
      <c r="J3501" s="3"/>
    </row>
    <row r="3502" spans="8:10" x14ac:dyDescent="0.3">
      <c r="H3502" s="3"/>
      <c r="I3502" s="3"/>
      <c r="J3502" s="3"/>
    </row>
    <row r="3503" spans="8:10" x14ac:dyDescent="0.3">
      <c r="H3503" s="3"/>
      <c r="I3503" s="3"/>
      <c r="J3503" s="3"/>
    </row>
    <row r="3504" spans="8:10" x14ac:dyDescent="0.3">
      <c r="H3504" s="3"/>
      <c r="I3504" s="3"/>
      <c r="J3504" s="3"/>
    </row>
    <row r="3505" spans="8:10" x14ac:dyDescent="0.3">
      <c r="H3505" s="3"/>
      <c r="I3505" s="3"/>
      <c r="J3505" s="3"/>
    </row>
    <row r="3506" spans="8:10" x14ac:dyDescent="0.3">
      <c r="H3506" s="3"/>
      <c r="I3506" s="3"/>
      <c r="J3506" s="3"/>
    </row>
    <row r="3507" spans="8:10" x14ac:dyDescent="0.3">
      <c r="H3507" s="3"/>
      <c r="I3507" s="3"/>
      <c r="J3507" s="3"/>
    </row>
    <row r="3508" spans="8:10" x14ac:dyDescent="0.3">
      <c r="H3508" s="3"/>
      <c r="I3508" s="3"/>
      <c r="J3508" s="3"/>
    </row>
    <row r="3509" spans="8:10" x14ac:dyDescent="0.3">
      <c r="H3509" s="3"/>
      <c r="I3509" s="3"/>
      <c r="J3509" s="3"/>
    </row>
    <row r="3510" spans="8:10" x14ac:dyDescent="0.3">
      <c r="H3510" s="3"/>
      <c r="I3510" s="3"/>
      <c r="J3510" s="3"/>
    </row>
    <row r="3511" spans="8:10" x14ac:dyDescent="0.3">
      <c r="H3511" s="3"/>
      <c r="I3511" s="3"/>
      <c r="J3511" s="3"/>
    </row>
    <row r="3512" spans="8:10" x14ac:dyDescent="0.3">
      <c r="H3512" s="3"/>
      <c r="I3512" s="3"/>
      <c r="J3512" s="3"/>
    </row>
    <row r="3513" spans="8:10" x14ac:dyDescent="0.3">
      <c r="H3513" s="3"/>
      <c r="I3513" s="3"/>
      <c r="J3513" s="3"/>
    </row>
    <row r="3514" spans="8:10" x14ac:dyDescent="0.3">
      <c r="H3514" s="3"/>
      <c r="I3514" s="3"/>
      <c r="J3514" s="3"/>
    </row>
    <row r="3515" spans="8:10" x14ac:dyDescent="0.3">
      <c r="H3515" s="3"/>
      <c r="I3515" s="3"/>
      <c r="J3515" s="3"/>
    </row>
    <row r="3516" spans="8:10" x14ac:dyDescent="0.3">
      <c r="H3516" s="3"/>
      <c r="I3516" s="3"/>
      <c r="J3516" s="3"/>
    </row>
    <row r="3517" spans="8:10" x14ac:dyDescent="0.3">
      <c r="H3517" s="3"/>
      <c r="I3517" s="3"/>
      <c r="J3517" s="3"/>
    </row>
    <row r="3518" spans="8:10" x14ac:dyDescent="0.3">
      <c r="H3518" s="3"/>
      <c r="I3518" s="3"/>
      <c r="J3518" s="3"/>
    </row>
    <row r="3519" spans="8:10" x14ac:dyDescent="0.3">
      <c r="H3519" s="3"/>
      <c r="I3519" s="3"/>
      <c r="J3519" s="3"/>
    </row>
    <row r="3520" spans="8:10" x14ac:dyDescent="0.3">
      <c r="H3520" s="3"/>
      <c r="I3520" s="3"/>
      <c r="J3520" s="3"/>
    </row>
    <row r="3521" spans="8:10" x14ac:dyDescent="0.3">
      <c r="H3521" s="3"/>
      <c r="I3521" s="3"/>
      <c r="J3521" s="3"/>
    </row>
    <row r="3522" spans="8:10" x14ac:dyDescent="0.3">
      <c r="H3522" s="3"/>
      <c r="I3522" s="3"/>
      <c r="J3522" s="3"/>
    </row>
    <row r="3523" spans="8:10" x14ac:dyDescent="0.3">
      <c r="H3523" s="3"/>
      <c r="I3523" s="3"/>
      <c r="J3523" s="3"/>
    </row>
    <row r="3524" spans="8:10" x14ac:dyDescent="0.3">
      <c r="H3524" s="3"/>
      <c r="I3524" s="3"/>
      <c r="J3524" s="3"/>
    </row>
    <row r="3525" spans="8:10" x14ac:dyDescent="0.3">
      <c r="H3525" s="3"/>
      <c r="I3525" s="3"/>
      <c r="J3525" s="3"/>
    </row>
    <row r="3526" spans="8:10" x14ac:dyDescent="0.3">
      <c r="H3526" s="3"/>
      <c r="I3526" s="3"/>
      <c r="J3526" s="3"/>
    </row>
    <row r="3527" spans="8:10" x14ac:dyDescent="0.3">
      <c r="H3527" s="3"/>
      <c r="I3527" s="3"/>
      <c r="J3527" s="3"/>
    </row>
    <row r="3528" spans="8:10" x14ac:dyDescent="0.3">
      <c r="H3528" s="3"/>
      <c r="I3528" s="3"/>
      <c r="J3528" s="3"/>
    </row>
    <row r="3529" spans="8:10" x14ac:dyDescent="0.3">
      <c r="H3529" s="3"/>
      <c r="I3529" s="3"/>
      <c r="J3529" s="3"/>
    </row>
    <row r="3530" spans="8:10" x14ac:dyDescent="0.3">
      <c r="H3530" s="3"/>
      <c r="I3530" s="3"/>
      <c r="J3530" s="3"/>
    </row>
    <row r="3531" spans="8:10" x14ac:dyDescent="0.3">
      <c r="H3531" s="3"/>
      <c r="I3531" s="3"/>
      <c r="J3531" s="3"/>
    </row>
    <row r="3532" spans="8:10" x14ac:dyDescent="0.3">
      <c r="H3532" s="3"/>
      <c r="I3532" s="3"/>
      <c r="J3532" s="3"/>
    </row>
    <row r="3533" spans="8:10" x14ac:dyDescent="0.3">
      <c r="H3533" s="3"/>
      <c r="I3533" s="3"/>
      <c r="J3533" s="3"/>
    </row>
    <row r="3534" spans="8:10" x14ac:dyDescent="0.3">
      <c r="H3534" s="3"/>
      <c r="I3534" s="3"/>
      <c r="J3534" s="3"/>
    </row>
    <row r="3535" spans="8:10" x14ac:dyDescent="0.3">
      <c r="H3535" s="3"/>
      <c r="I3535" s="3"/>
      <c r="J3535" s="3"/>
    </row>
    <row r="3536" spans="8:10" x14ac:dyDescent="0.3">
      <c r="H3536" s="3"/>
      <c r="I3536" s="3"/>
      <c r="J3536" s="3"/>
    </row>
    <row r="3537" spans="8:10" x14ac:dyDescent="0.3">
      <c r="H3537" s="3"/>
      <c r="I3537" s="3"/>
      <c r="J3537" s="3"/>
    </row>
    <row r="3538" spans="8:10" x14ac:dyDescent="0.3">
      <c r="H3538" s="3"/>
      <c r="I3538" s="3"/>
      <c r="J3538" s="3"/>
    </row>
    <row r="3539" spans="8:10" x14ac:dyDescent="0.3">
      <c r="H3539" s="3"/>
      <c r="I3539" s="3"/>
      <c r="J3539" s="3"/>
    </row>
    <row r="3540" spans="8:10" x14ac:dyDescent="0.3">
      <c r="H3540" s="3"/>
      <c r="I3540" s="3"/>
      <c r="J3540" s="3"/>
    </row>
    <row r="3541" spans="8:10" x14ac:dyDescent="0.3">
      <c r="H3541" s="3"/>
      <c r="I3541" s="3"/>
      <c r="J3541" s="3"/>
    </row>
    <row r="3542" spans="8:10" x14ac:dyDescent="0.3">
      <c r="H3542" s="3"/>
      <c r="I3542" s="3"/>
      <c r="J3542" s="3"/>
    </row>
    <row r="3543" spans="8:10" x14ac:dyDescent="0.3">
      <c r="H3543" s="3"/>
      <c r="I3543" s="3"/>
      <c r="J3543" s="3"/>
    </row>
    <row r="3544" spans="8:10" x14ac:dyDescent="0.3">
      <c r="H3544" s="3"/>
      <c r="I3544" s="3"/>
      <c r="J3544" s="3"/>
    </row>
    <row r="3545" spans="8:10" x14ac:dyDescent="0.3">
      <c r="H3545" s="3"/>
      <c r="I3545" s="3"/>
      <c r="J3545" s="3"/>
    </row>
    <row r="3546" spans="8:10" x14ac:dyDescent="0.3">
      <c r="H3546" s="3"/>
      <c r="I3546" s="3"/>
      <c r="J3546" s="3"/>
    </row>
    <row r="3547" spans="8:10" x14ac:dyDescent="0.3">
      <c r="H3547" s="3"/>
      <c r="I3547" s="3"/>
      <c r="J3547" s="3"/>
    </row>
    <row r="3548" spans="8:10" x14ac:dyDescent="0.3">
      <c r="H3548" s="3"/>
      <c r="I3548" s="3"/>
      <c r="J3548" s="3"/>
    </row>
    <row r="3549" spans="8:10" x14ac:dyDescent="0.3">
      <c r="H3549" s="3"/>
      <c r="I3549" s="3"/>
      <c r="J3549" s="3"/>
    </row>
    <row r="3550" spans="8:10" x14ac:dyDescent="0.3">
      <c r="H3550" s="3"/>
      <c r="I3550" s="3"/>
      <c r="J3550" s="3"/>
    </row>
    <row r="3551" spans="8:10" x14ac:dyDescent="0.3">
      <c r="H3551" s="3"/>
      <c r="I3551" s="3"/>
      <c r="J3551" s="3"/>
    </row>
    <row r="3552" spans="8:10" x14ac:dyDescent="0.3">
      <c r="H3552" s="3"/>
      <c r="I3552" s="3"/>
      <c r="J3552" s="3"/>
    </row>
    <row r="3553" spans="8:10" x14ac:dyDescent="0.3">
      <c r="H3553" s="3"/>
      <c r="I3553" s="3"/>
      <c r="J3553" s="3"/>
    </row>
    <row r="3554" spans="8:10" x14ac:dyDescent="0.3">
      <c r="H3554" s="3"/>
      <c r="I3554" s="3"/>
      <c r="J3554" s="3"/>
    </row>
    <row r="3555" spans="8:10" x14ac:dyDescent="0.3">
      <c r="H3555" s="3"/>
      <c r="I3555" s="3"/>
      <c r="J3555" s="3"/>
    </row>
    <row r="3556" spans="8:10" x14ac:dyDescent="0.3">
      <c r="H3556" s="3"/>
      <c r="I3556" s="3"/>
      <c r="J3556" s="3"/>
    </row>
    <row r="3557" spans="8:10" x14ac:dyDescent="0.3">
      <c r="H3557" s="3"/>
      <c r="I3557" s="3"/>
      <c r="J3557" s="3"/>
    </row>
    <row r="3558" spans="8:10" x14ac:dyDescent="0.3">
      <c r="H3558" s="3"/>
      <c r="I3558" s="3"/>
      <c r="J3558" s="3"/>
    </row>
    <row r="3559" spans="8:10" x14ac:dyDescent="0.3">
      <c r="H3559" s="3"/>
      <c r="I3559" s="3"/>
      <c r="J3559" s="3"/>
    </row>
    <row r="3560" spans="8:10" x14ac:dyDescent="0.3">
      <c r="H3560" s="3"/>
      <c r="I3560" s="3"/>
      <c r="J3560" s="3"/>
    </row>
    <row r="3561" spans="8:10" x14ac:dyDescent="0.3">
      <c r="H3561" s="3"/>
      <c r="I3561" s="3"/>
      <c r="J3561" s="3"/>
    </row>
    <row r="3562" spans="8:10" x14ac:dyDescent="0.3">
      <c r="H3562" s="3"/>
      <c r="I3562" s="3"/>
      <c r="J3562" s="3"/>
    </row>
    <row r="3563" spans="8:10" x14ac:dyDescent="0.3">
      <c r="H3563" s="3"/>
      <c r="I3563" s="3"/>
      <c r="J3563" s="3"/>
    </row>
    <row r="3564" spans="8:10" x14ac:dyDescent="0.3">
      <c r="H3564" s="3"/>
      <c r="I3564" s="3"/>
      <c r="J3564" s="3"/>
    </row>
    <row r="3565" spans="8:10" x14ac:dyDescent="0.3">
      <c r="H3565" s="3"/>
      <c r="I3565" s="3"/>
      <c r="J3565" s="3"/>
    </row>
    <row r="3566" spans="8:10" x14ac:dyDescent="0.3">
      <c r="H3566" s="3"/>
      <c r="I3566" s="3"/>
      <c r="J3566" s="3"/>
    </row>
    <row r="3567" spans="8:10" x14ac:dyDescent="0.3">
      <c r="H3567" s="3"/>
      <c r="I3567" s="3"/>
      <c r="J3567" s="3"/>
    </row>
    <row r="3568" spans="8:10" x14ac:dyDescent="0.3">
      <c r="H3568" s="3"/>
      <c r="I3568" s="3"/>
      <c r="J3568" s="3"/>
    </row>
    <row r="3569" spans="8:10" x14ac:dyDescent="0.3">
      <c r="H3569" s="3"/>
      <c r="I3569" s="3"/>
      <c r="J3569" s="3"/>
    </row>
    <row r="3570" spans="8:10" x14ac:dyDescent="0.3">
      <c r="H3570" s="3"/>
      <c r="I3570" s="3"/>
      <c r="J3570" s="3"/>
    </row>
    <row r="3571" spans="8:10" x14ac:dyDescent="0.3">
      <c r="H3571" s="3"/>
      <c r="I3571" s="3"/>
      <c r="J3571" s="3"/>
    </row>
    <row r="3572" spans="8:10" x14ac:dyDescent="0.3">
      <c r="H3572" s="3"/>
      <c r="I3572" s="3"/>
      <c r="J3572" s="3"/>
    </row>
    <row r="3573" spans="8:10" x14ac:dyDescent="0.3">
      <c r="H3573" s="3"/>
      <c r="I3573" s="3"/>
      <c r="J3573" s="3"/>
    </row>
    <row r="3574" spans="8:10" x14ac:dyDescent="0.3">
      <c r="H3574" s="3"/>
      <c r="I3574" s="3"/>
      <c r="J3574" s="3"/>
    </row>
    <row r="3575" spans="8:10" x14ac:dyDescent="0.3">
      <c r="H3575" s="3"/>
      <c r="I3575" s="3"/>
      <c r="J3575" s="3"/>
    </row>
    <row r="3576" spans="8:10" x14ac:dyDescent="0.3">
      <c r="H3576" s="3"/>
      <c r="I3576" s="3"/>
      <c r="J3576" s="3"/>
    </row>
    <row r="3577" spans="8:10" x14ac:dyDescent="0.3">
      <c r="H3577" s="3"/>
      <c r="I3577" s="3"/>
      <c r="J3577" s="3"/>
    </row>
    <row r="3578" spans="8:10" x14ac:dyDescent="0.3">
      <c r="H3578" s="3"/>
      <c r="I3578" s="3"/>
      <c r="J3578" s="3"/>
    </row>
    <row r="3579" spans="8:10" x14ac:dyDescent="0.3">
      <c r="H3579" s="3"/>
      <c r="I3579" s="3"/>
      <c r="J3579" s="3"/>
    </row>
    <row r="3580" spans="8:10" x14ac:dyDescent="0.3">
      <c r="H3580" s="3"/>
      <c r="I3580" s="3"/>
      <c r="J3580" s="3"/>
    </row>
    <row r="3581" spans="8:10" x14ac:dyDescent="0.3">
      <c r="H3581" s="3"/>
      <c r="I3581" s="3"/>
      <c r="J3581" s="3"/>
    </row>
    <row r="3582" spans="8:10" x14ac:dyDescent="0.3">
      <c r="H3582" s="3"/>
      <c r="I3582" s="3"/>
      <c r="J3582" s="3"/>
    </row>
    <row r="3583" spans="8:10" x14ac:dyDescent="0.3">
      <c r="H3583" s="3"/>
      <c r="I3583" s="3"/>
      <c r="J3583" s="3"/>
    </row>
    <row r="3584" spans="8:10" x14ac:dyDescent="0.3">
      <c r="H3584" s="3"/>
      <c r="I3584" s="3"/>
      <c r="J3584" s="3"/>
    </row>
    <row r="3585" spans="8:10" x14ac:dyDescent="0.3">
      <c r="H3585" s="3"/>
      <c r="I3585" s="3"/>
      <c r="J3585" s="3"/>
    </row>
    <row r="3586" spans="8:10" x14ac:dyDescent="0.3">
      <c r="H3586" s="3"/>
      <c r="I3586" s="3"/>
      <c r="J3586" s="3"/>
    </row>
    <row r="3587" spans="8:10" x14ac:dyDescent="0.3">
      <c r="H3587" s="3"/>
      <c r="I3587" s="3"/>
      <c r="J3587" s="3"/>
    </row>
    <row r="3588" spans="8:10" x14ac:dyDescent="0.3">
      <c r="H3588" s="3"/>
      <c r="I3588" s="3"/>
      <c r="J3588" s="3"/>
    </row>
    <row r="3589" spans="8:10" x14ac:dyDescent="0.3">
      <c r="H3589" s="3"/>
      <c r="I3589" s="3"/>
      <c r="J3589" s="3"/>
    </row>
    <row r="3590" spans="8:10" x14ac:dyDescent="0.3">
      <c r="H3590" s="3"/>
      <c r="I3590" s="3"/>
      <c r="J3590" s="3"/>
    </row>
    <row r="3591" spans="8:10" x14ac:dyDescent="0.3">
      <c r="H3591" s="3"/>
      <c r="I3591" s="3"/>
      <c r="J3591" s="3"/>
    </row>
    <row r="3592" spans="8:10" x14ac:dyDescent="0.3">
      <c r="H3592" s="3"/>
      <c r="I3592" s="3"/>
      <c r="J3592" s="3"/>
    </row>
    <row r="3593" spans="8:10" x14ac:dyDescent="0.3">
      <c r="H3593" s="3"/>
      <c r="I3593" s="3"/>
      <c r="J3593" s="3"/>
    </row>
    <row r="3594" spans="8:10" x14ac:dyDescent="0.3">
      <c r="H3594" s="3"/>
      <c r="I3594" s="3"/>
      <c r="J3594" s="3"/>
    </row>
    <row r="3595" spans="8:10" x14ac:dyDescent="0.3">
      <c r="H3595" s="3"/>
      <c r="I3595" s="3"/>
      <c r="J3595" s="3"/>
    </row>
    <row r="3596" spans="8:10" x14ac:dyDescent="0.3">
      <c r="H3596" s="3"/>
      <c r="I3596" s="3"/>
      <c r="J3596" s="3"/>
    </row>
    <row r="3597" spans="8:10" x14ac:dyDescent="0.3">
      <c r="H3597" s="3"/>
      <c r="I3597" s="3"/>
      <c r="J3597" s="3"/>
    </row>
    <row r="3598" spans="8:10" x14ac:dyDescent="0.3">
      <c r="H3598" s="3"/>
      <c r="I3598" s="3"/>
      <c r="J3598" s="3"/>
    </row>
    <row r="3599" spans="8:10" x14ac:dyDescent="0.3">
      <c r="H3599" s="3"/>
      <c r="I3599" s="3"/>
      <c r="J3599" s="3"/>
    </row>
    <row r="3600" spans="8:10" x14ac:dyDescent="0.3">
      <c r="H3600" s="3"/>
      <c r="I3600" s="3"/>
      <c r="J3600" s="3"/>
    </row>
    <row r="3601" spans="8:10" x14ac:dyDescent="0.3">
      <c r="H3601" s="3"/>
      <c r="I3601" s="3"/>
      <c r="J3601" s="3"/>
    </row>
    <row r="3602" spans="8:10" x14ac:dyDescent="0.3">
      <c r="H3602" s="3"/>
      <c r="I3602" s="3"/>
      <c r="J3602" s="3"/>
    </row>
    <row r="3603" spans="8:10" x14ac:dyDescent="0.3">
      <c r="H3603" s="3"/>
      <c r="I3603" s="3"/>
      <c r="J3603" s="3"/>
    </row>
    <row r="3604" spans="8:10" x14ac:dyDescent="0.3">
      <c r="H3604" s="3"/>
      <c r="I3604" s="3"/>
      <c r="J3604" s="3"/>
    </row>
    <row r="3605" spans="8:10" x14ac:dyDescent="0.3">
      <c r="H3605" s="3"/>
      <c r="I3605" s="3"/>
      <c r="J3605" s="3"/>
    </row>
    <row r="3606" spans="8:10" x14ac:dyDescent="0.3">
      <c r="H3606" s="3"/>
      <c r="I3606" s="3"/>
      <c r="J3606" s="3"/>
    </row>
    <row r="3607" spans="8:10" x14ac:dyDescent="0.3">
      <c r="H3607" s="3"/>
      <c r="I3607" s="3"/>
      <c r="J3607" s="3"/>
    </row>
    <row r="3608" spans="8:10" x14ac:dyDescent="0.3">
      <c r="H3608" s="3"/>
      <c r="I3608" s="3"/>
      <c r="J3608" s="3"/>
    </row>
    <row r="3609" spans="8:10" x14ac:dyDescent="0.3">
      <c r="H3609" s="3"/>
      <c r="I3609" s="3"/>
      <c r="J3609" s="3"/>
    </row>
    <row r="3610" spans="8:10" x14ac:dyDescent="0.3">
      <c r="H3610" s="3"/>
      <c r="I3610" s="3"/>
      <c r="J3610" s="3"/>
    </row>
    <row r="3611" spans="8:10" x14ac:dyDescent="0.3">
      <c r="H3611" s="3"/>
      <c r="I3611" s="3"/>
      <c r="J3611" s="3"/>
    </row>
    <row r="3612" spans="8:10" x14ac:dyDescent="0.3">
      <c r="H3612" s="3"/>
      <c r="I3612" s="3"/>
      <c r="J3612" s="3"/>
    </row>
    <row r="3613" spans="8:10" x14ac:dyDescent="0.3">
      <c r="H3613" s="3"/>
      <c r="I3613" s="3"/>
      <c r="J3613" s="3"/>
    </row>
    <row r="3614" spans="8:10" x14ac:dyDescent="0.3">
      <c r="H3614" s="3"/>
      <c r="I3614" s="3"/>
      <c r="J3614" s="3"/>
    </row>
    <row r="3615" spans="8:10" x14ac:dyDescent="0.3">
      <c r="H3615" s="3"/>
      <c r="I3615" s="3"/>
      <c r="J3615" s="3"/>
    </row>
    <row r="3616" spans="8:10" x14ac:dyDescent="0.3">
      <c r="H3616" s="3"/>
      <c r="I3616" s="3"/>
      <c r="J3616" s="3"/>
    </row>
    <row r="3617" spans="8:10" x14ac:dyDescent="0.3">
      <c r="H3617" s="3"/>
      <c r="I3617" s="3"/>
      <c r="J3617" s="3"/>
    </row>
    <row r="3618" spans="8:10" x14ac:dyDescent="0.3">
      <c r="H3618" s="3"/>
      <c r="I3618" s="3"/>
      <c r="J3618" s="3"/>
    </row>
    <row r="3619" spans="8:10" x14ac:dyDescent="0.3">
      <c r="H3619" s="3"/>
      <c r="I3619" s="3"/>
      <c r="J3619" s="3"/>
    </row>
    <row r="3620" spans="8:10" x14ac:dyDescent="0.3">
      <c r="H3620" s="3"/>
      <c r="I3620" s="3"/>
      <c r="J3620" s="3"/>
    </row>
    <row r="3621" spans="8:10" x14ac:dyDescent="0.3">
      <c r="H3621" s="3"/>
      <c r="I3621" s="3"/>
      <c r="J3621" s="3"/>
    </row>
    <row r="3622" spans="8:10" x14ac:dyDescent="0.3">
      <c r="H3622" s="3"/>
      <c r="I3622" s="3"/>
      <c r="J3622" s="3"/>
    </row>
    <row r="3623" spans="8:10" x14ac:dyDescent="0.3">
      <c r="H3623" s="3"/>
      <c r="I3623" s="3"/>
      <c r="J3623" s="3"/>
    </row>
    <row r="3624" spans="8:10" x14ac:dyDescent="0.3">
      <c r="H3624" s="3"/>
      <c r="I3624" s="3"/>
      <c r="J3624" s="3"/>
    </row>
    <row r="3625" spans="8:10" x14ac:dyDescent="0.3">
      <c r="H3625" s="3"/>
      <c r="I3625" s="3"/>
      <c r="J3625" s="3"/>
    </row>
    <row r="3626" spans="8:10" x14ac:dyDescent="0.3">
      <c r="H3626" s="3"/>
      <c r="I3626" s="3"/>
      <c r="J3626" s="3"/>
    </row>
    <row r="3627" spans="8:10" x14ac:dyDescent="0.3">
      <c r="H3627" s="3"/>
      <c r="I3627" s="3"/>
      <c r="J3627" s="3"/>
    </row>
    <row r="3628" spans="8:10" x14ac:dyDescent="0.3">
      <c r="H3628" s="3"/>
      <c r="I3628" s="3"/>
      <c r="J3628" s="3"/>
    </row>
    <row r="3629" spans="8:10" x14ac:dyDescent="0.3">
      <c r="H3629" s="3"/>
      <c r="I3629" s="3"/>
      <c r="J3629" s="3"/>
    </row>
    <row r="3630" spans="8:10" x14ac:dyDescent="0.3">
      <c r="H3630" s="3"/>
      <c r="I3630" s="3"/>
      <c r="J3630" s="3"/>
    </row>
    <row r="3631" spans="8:10" x14ac:dyDescent="0.3">
      <c r="H3631" s="3"/>
      <c r="I3631" s="3"/>
      <c r="J3631" s="3"/>
    </row>
    <row r="3632" spans="8:10" x14ac:dyDescent="0.3">
      <c r="H3632" s="3"/>
      <c r="I3632" s="3"/>
      <c r="J3632" s="3"/>
    </row>
    <row r="3633" spans="8:10" x14ac:dyDescent="0.3">
      <c r="H3633" s="3"/>
      <c r="I3633" s="3"/>
      <c r="J3633" s="3"/>
    </row>
    <row r="3634" spans="8:10" x14ac:dyDescent="0.3">
      <c r="H3634" s="3"/>
      <c r="I3634" s="3"/>
      <c r="J3634" s="3"/>
    </row>
    <row r="3635" spans="8:10" x14ac:dyDescent="0.3">
      <c r="H3635" s="3"/>
      <c r="I3635" s="3"/>
      <c r="J3635" s="3"/>
    </row>
    <row r="3636" spans="8:10" x14ac:dyDescent="0.3">
      <c r="H3636" s="3"/>
      <c r="I3636" s="3"/>
      <c r="J3636" s="3"/>
    </row>
    <row r="3637" spans="8:10" x14ac:dyDescent="0.3">
      <c r="H3637" s="3"/>
      <c r="I3637" s="3"/>
      <c r="J3637" s="3"/>
    </row>
    <row r="3638" spans="8:10" x14ac:dyDescent="0.3">
      <c r="H3638" s="3"/>
      <c r="I3638" s="3"/>
      <c r="J3638" s="3"/>
    </row>
    <row r="3639" spans="8:10" x14ac:dyDescent="0.3">
      <c r="H3639" s="3"/>
      <c r="I3639" s="3"/>
      <c r="J3639" s="3"/>
    </row>
    <row r="3640" spans="8:10" x14ac:dyDescent="0.3">
      <c r="H3640" s="3"/>
      <c r="I3640" s="3"/>
      <c r="J3640" s="3"/>
    </row>
    <row r="3641" spans="8:10" x14ac:dyDescent="0.3">
      <c r="H3641" s="3"/>
      <c r="I3641" s="3"/>
      <c r="J3641" s="3"/>
    </row>
    <row r="3642" spans="8:10" x14ac:dyDescent="0.3">
      <c r="H3642" s="3"/>
      <c r="I3642" s="3"/>
      <c r="J3642" s="3"/>
    </row>
    <row r="3643" spans="8:10" x14ac:dyDescent="0.3">
      <c r="H3643" s="3"/>
      <c r="I3643" s="3"/>
      <c r="J3643" s="3"/>
    </row>
    <row r="3644" spans="8:10" x14ac:dyDescent="0.3">
      <c r="H3644" s="3"/>
      <c r="I3644" s="3"/>
      <c r="J3644" s="3"/>
    </row>
    <row r="3645" spans="8:10" x14ac:dyDescent="0.3">
      <c r="H3645" s="3"/>
      <c r="I3645" s="3"/>
      <c r="J3645" s="3"/>
    </row>
    <row r="3646" spans="8:10" x14ac:dyDescent="0.3">
      <c r="H3646" s="3"/>
      <c r="I3646" s="3"/>
      <c r="J3646" s="3"/>
    </row>
    <row r="3647" spans="8:10" x14ac:dyDescent="0.3">
      <c r="H3647" s="3"/>
      <c r="I3647" s="3"/>
      <c r="J3647" s="3"/>
    </row>
    <row r="3648" spans="8:10" x14ac:dyDescent="0.3">
      <c r="H3648" s="3"/>
      <c r="I3648" s="3"/>
      <c r="J3648" s="3"/>
    </row>
    <row r="3649" spans="8:10" x14ac:dyDescent="0.3">
      <c r="H3649" s="3"/>
      <c r="I3649" s="3"/>
      <c r="J3649" s="3"/>
    </row>
    <row r="3650" spans="8:10" x14ac:dyDescent="0.3">
      <c r="H3650" s="3"/>
      <c r="I3650" s="3"/>
      <c r="J3650" s="3"/>
    </row>
    <row r="3651" spans="8:10" x14ac:dyDescent="0.3">
      <c r="H3651" s="3"/>
      <c r="I3651" s="3"/>
      <c r="J3651" s="3"/>
    </row>
    <row r="3652" spans="8:10" x14ac:dyDescent="0.3">
      <c r="H3652" s="3"/>
      <c r="I3652" s="3"/>
      <c r="J3652" s="3"/>
    </row>
    <row r="3653" spans="8:10" x14ac:dyDescent="0.3">
      <c r="H3653" s="3"/>
      <c r="I3653" s="3"/>
      <c r="J3653" s="3"/>
    </row>
    <row r="3654" spans="8:10" x14ac:dyDescent="0.3">
      <c r="H3654" s="3"/>
      <c r="I3654" s="3"/>
      <c r="J3654" s="3"/>
    </row>
    <row r="3655" spans="8:10" x14ac:dyDescent="0.3">
      <c r="H3655" s="3"/>
      <c r="I3655" s="3"/>
      <c r="J3655" s="3"/>
    </row>
    <row r="3656" spans="8:10" x14ac:dyDescent="0.3">
      <c r="H3656" s="3"/>
      <c r="I3656" s="3"/>
      <c r="J3656" s="3"/>
    </row>
    <row r="3657" spans="8:10" x14ac:dyDescent="0.3">
      <c r="H3657" s="3"/>
      <c r="I3657" s="3"/>
      <c r="J3657" s="3"/>
    </row>
    <row r="3658" spans="8:10" x14ac:dyDescent="0.3">
      <c r="H3658" s="3"/>
      <c r="I3658" s="3"/>
      <c r="J3658" s="3"/>
    </row>
    <row r="3659" spans="8:10" x14ac:dyDescent="0.3">
      <c r="H3659" s="3"/>
      <c r="I3659" s="3"/>
      <c r="J3659" s="3"/>
    </row>
    <row r="3660" spans="8:10" x14ac:dyDescent="0.3">
      <c r="H3660" s="3"/>
      <c r="I3660" s="3"/>
      <c r="J3660" s="3"/>
    </row>
    <row r="3661" spans="8:10" x14ac:dyDescent="0.3">
      <c r="H3661" s="3"/>
      <c r="I3661" s="3"/>
      <c r="J3661" s="3"/>
    </row>
    <row r="3662" spans="8:10" x14ac:dyDescent="0.3">
      <c r="H3662" s="3"/>
      <c r="I3662" s="3"/>
      <c r="J3662" s="3"/>
    </row>
    <row r="3663" spans="8:10" x14ac:dyDescent="0.3">
      <c r="H3663" s="3"/>
      <c r="I3663" s="3"/>
      <c r="J3663" s="3"/>
    </row>
    <row r="3664" spans="8:10" x14ac:dyDescent="0.3">
      <c r="H3664" s="3"/>
      <c r="I3664" s="3"/>
      <c r="J3664" s="3"/>
    </row>
    <row r="3665" spans="8:10" x14ac:dyDescent="0.3">
      <c r="H3665" s="3"/>
      <c r="I3665" s="3"/>
      <c r="J3665" s="3"/>
    </row>
    <row r="3666" spans="8:10" x14ac:dyDescent="0.3">
      <c r="H3666" s="3"/>
      <c r="I3666" s="3"/>
      <c r="J3666" s="3"/>
    </row>
    <row r="3667" spans="8:10" x14ac:dyDescent="0.3">
      <c r="H3667" s="3"/>
      <c r="I3667" s="3"/>
      <c r="J3667" s="3"/>
    </row>
    <row r="3668" spans="8:10" x14ac:dyDescent="0.3">
      <c r="H3668" s="3"/>
      <c r="I3668" s="3"/>
      <c r="J3668" s="3"/>
    </row>
    <row r="3669" spans="8:10" x14ac:dyDescent="0.3">
      <c r="H3669" s="3"/>
      <c r="I3669" s="3"/>
      <c r="J3669" s="3"/>
    </row>
    <row r="3670" spans="8:10" x14ac:dyDescent="0.3">
      <c r="H3670" s="3"/>
      <c r="I3670" s="3"/>
      <c r="J3670" s="3"/>
    </row>
    <row r="3671" spans="8:10" x14ac:dyDescent="0.3">
      <c r="H3671" s="3"/>
      <c r="I3671" s="3"/>
      <c r="J3671" s="3"/>
    </row>
    <row r="3672" spans="8:10" x14ac:dyDescent="0.3">
      <c r="H3672" s="3"/>
      <c r="I3672" s="3"/>
      <c r="J3672" s="3"/>
    </row>
    <row r="3673" spans="8:10" x14ac:dyDescent="0.3">
      <c r="H3673" s="3"/>
      <c r="I3673" s="3"/>
      <c r="J3673" s="3"/>
    </row>
    <row r="3674" spans="8:10" x14ac:dyDescent="0.3">
      <c r="H3674" s="3"/>
      <c r="I3674" s="3"/>
      <c r="J3674" s="3"/>
    </row>
    <row r="3675" spans="8:10" x14ac:dyDescent="0.3">
      <c r="H3675" s="3"/>
      <c r="I3675" s="3"/>
      <c r="J3675" s="3"/>
    </row>
    <row r="3676" spans="8:10" x14ac:dyDescent="0.3">
      <c r="H3676" s="3"/>
      <c r="I3676" s="3"/>
      <c r="J3676" s="3"/>
    </row>
    <row r="3677" spans="8:10" x14ac:dyDescent="0.3">
      <c r="H3677" s="3"/>
      <c r="I3677" s="3"/>
      <c r="J3677" s="3"/>
    </row>
    <row r="3678" spans="8:10" x14ac:dyDescent="0.3">
      <c r="H3678" s="3"/>
      <c r="I3678" s="3"/>
      <c r="J3678" s="3"/>
    </row>
    <row r="3679" spans="8:10" x14ac:dyDescent="0.3">
      <c r="H3679" s="3"/>
      <c r="I3679" s="3"/>
      <c r="J3679" s="3"/>
    </row>
    <row r="3680" spans="8:10" x14ac:dyDescent="0.3">
      <c r="H3680" s="3"/>
      <c r="I3680" s="3"/>
      <c r="J3680" s="3"/>
    </row>
    <row r="3681" spans="8:10" x14ac:dyDescent="0.3">
      <c r="H3681" s="3"/>
      <c r="I3681" s="3"/>
      <c r="J3681" s="3"/>
    </row>
    <row r="3682" spans="8:10" x14ac:dyDescent="0.3">
      <c r="H3682" s="3"/>
      <c r="I3682" s="3"/>
      <c r="J3682" s="3"/>
    </row>
    <row r="3683" spans="8:10" x14ac:dyDescent="0.3">
      <c r="H3683" s="3"/>
      <c r="I3683" s="3"/>
      <c r="J3683" s="3"/>
    </row>
    <row r="3684" spans="8:10" x14ac:dyDescent="0.3">
      <c r="H3684" s="3"/>
      <c r="I3684" s="3"/>
      <c r="J3684" s="3"/>
    </row>
    <row r="3685" spans="8:10" x14ac:dyDescent="0.3">
      <c r="H3685" s="3"/>
      <c r="I3685" s="3"/>
      <c r="J3685" s="3"/>
    </row>
    <row r="3686" spans="8:10" x14ac:dyDescent="0.3">
      <c r="H3686" s="3"/>
      <c r="I3686" s="3"/>
      <c r="J3686" s="3"/>
    </row>
    <row r="3687" spans="8:10" x14ac:dyDescent="0.3">
      <c r="H3687" s="3"/>
      <c r="I3687" s="3"/>
      <c r="J3687" s="3"/>
    </row>
    <row r="3688" spans="8:10" x14ac:dyDescent="0.3">
      <c r="H3688" s="3"/>
      <c r="I3688" s="3"/>
      <c r="J3688" s="3"/>
    </row>
    <row r="3689" spans="8:10" x14ac:dyDescent="0.3">
      <c r="H3689" s="3"/>
      <c r="I3689" s="3"/>
      <c r="J3689" s="3"/>
    </row>
    <row r="3690" spans="8:10" x14ac:dyDescent="0.3">
      <c r="H3690" s="3"/>
      <c r="I3690" s="3"/>
      <c r="J3690" s="3"/>
    </row>
    <row r="3691" spans="8:10" x14ac:dyDescent="0.3">
      <c r="H3691" s="3"/>
      <c r="I3691" s="3"/>
      <c r="J3691" s="3"/>
    </row>
    <row r="3692" spans="8:10" x14ac:dyDescent="0.3">
      <c r="H3692" s="3"/>
      <c r="I3692" s="3"/>
      <c r="J3692" s="3"/>
    </row>
    <row r="3693" spans="8:10" x14ac:dyDescent="0.3">
      <c r="H3693" s="3"/>
      <c r="I3693" s="3"/>
      <c r="J3693" s="3"/>
    </row>
    <row r="3694" spans="8:10" x14ac:dyDescent="0.3">
      <c r="H3694" s="3"/>
      <c r="I3694" s="3"/>
      <c r="J3694" s="3"/>
    </row>
    <row r="3695" spans="8:10" x14ac:dyDescent="0.3">
      <c r="H3695" s="3"/>
      <c r="I3695" s="3"/>
      <c r="J3695" s="3"/>
    </row>
    <row r="3696" spans="8:10" x14ac:dyDescent="0.3">
      <c r="H3696" s="3"/>
      <c r="I3696" s="3"/>
      <c r="J3696" s="3"/>
    </row>
    <row r="3697" spans="8:10" x14ac:dyDescent="0.3">
      <c r="H3697" s="3"/>
      <c r="I3697" s="3"/>
      <c r="J3697" s="3"/>
    </row>
    <row r="3698" spans="8:10" x14ac:dyDescent="0.3">
      <c r="H3698" s="3"/>
      <c r="I3698" s="3"/>
      <c r="J3698" s="3"/>
    </row>
    <row r="3699" spans="8:10" x14ac:dyDescent="0.3">
      <c r="H3699" s="3"/>
      <c r="I3699" s="3"/>
      <c r="J3699" s="3"/>
    </row>
    <row r="3700" spans="8:10" x14ac:dyDescent="0.3">
      <c r="H3700" s="3"/>
      <c r="I3700" s="3"/>
      <c r="J3700" s="3"/>
    </row>
    <row r="3701" spans="8:10" x14ac:dyDescent="0.3">
      <c r="H3701" s="3"/>
      <c r="I3701" s="3"/>
      <c r="J3701" s="3"/>
    </row>
    <row r="3702" spans="8:10" x14ac:dyDescent="0.3">
      <c r="H3702" s="3"/>
      <c r="I3702" s="3"/>
      <c r="J3702" s="3"/>
    </row>
    <row r="3703" spans="8:10" x14ac:dyDescent="0.3">
      <c r="H3703" s="3"/>
      <c r="I3703" s="3"/>
      <c r="J3703" s="3"/>
    </row>
    <row r="3704" spans="8:10" x14ac:dyDescent="0.3">
      <c r="H3704" s="3"/>
      <c r="I3704" s="3"/>
      <c r="J3704" s="3"/>
    </row>
    <row r="3705" spans="8:10" x14ac:dyDescent="0.3">
      <c r="H3705" s="3"/>
      <c r="I3705" s="3"/>
      <c r="J3705" s="3"/>
    </row>
    <row r="3706" spans="8:10" x14ac:dyDescent="0.3">
      <c r="H3706" s="3"/>
      <c r="I3706" s="3"/>
      <c r="J3706" s="3"/>
    </row>
    <row r="3707" spans="8:10" x14ac:dyDescent="0.3">
      <c r="H3707" s="3"/>
      <c r="I3707" s="3"/>
      <c r="J3707" s="3"/>
    </row>
    <row r="3708" spans="8:10" x14ac:dyDescent="0.3">
      <c r="H3708" s="3"/>
      <c r="I3708" s="3"/>
      <c r="J3708" s="3"/>
    </row>
    <row r="3709" spans="8:10" x14ac:dyDescent="0.3">
      <c r="H3709" s="3"/>
      <c r="I3709" s="3"/>
      <c r="J3709" s="3"/>
    </row>
    <row r="3710" spans="8:10" x14ac:dyDescent="0.3">
      <c r="H3710" s="3"/>
      <c r="I3710" s="3"/>
      <c r="J3710" s="3"/>
    </row>
    <row r="3711" spans="8:10" x14ac:dyDescent="0.3">
      <c r="H3711" s="3"/>
      <c r="I3711" s="3"/>
      <c r="J3711" s="3"/>
    </row>
    <row r="3712" spans="8:10" x14ac:dyDescent="0.3">
      <c r="H3712" s="3"/>
      <c r="I3712" s="3"/>
      <c r="J3712" s="3"/>
    </row>
    <row r="3713" spans="8:10" x14ac:dyDescent="0.3">
      <c r="H3713" s="3"/>
      <c r="I3713" s="3"/>
      <c r="J3713" s="3"/>
    </row>
    <row r="3714" spans="8:10" x14ac:dyDescent="0.3">
      <c r="H3714" s="3"/>
      <c r="I3714" s="3"/>
      <c r="J3714" s="3"/>
    </row>
    <row r="3715" spans="8:10" x14ac:dyDescent="0.3">
      <c r="H3715" s="3"/>
      <c r="I3715" s="3"/>
      <c r="J3715" s="3"/>
    </row>
    <row r="3716" spans="8:10" x14ac:dyDescent="0.3">
      <c r="H3716" s="3"/>
      <c r="I3716" s="3"/>
      <c r="J3716" s="3"/>
    </row>
    <row r="3717" spans="8:10" x14ac:dyDescent="0.3">
      <c r="H3717" s="3"/>
      <c r="I3717" s="3"/>
      <c r="J3717" s="3"/>
    </row>
    <row r="3718" spans="8:10" x14ac:dyDescent="0.3">
      <c r="H3718" s="3"/>
      <c r="I3718" s="3"/>
      <c r="J3718" s="3"/>
    </row>
    <row r="3719" spans="8:10" x14ac:dyDescent="0.3">
      <c r="H3719" s="3"/>
      <c r="I3719" s="3"/>
      <c r="J3719" s="3"/>
    </row>
    <row r="3720" spans="8:10" x14ac:dyDescent="0.3">
      <c r="H3720" s="3"/>
      <c r="I3720" s="3"/>
      <c r="J3720" s="3"/>
    </row>
    <row r="3721" spans="8:10" x14ac:dyDescent="0.3">
      <c r="H3721" s="3"/>
      <c r="I3721" s="3"/>
      <c r="J3721" s="3"/>
    </row>
    <row r="3722" spans="8:10" x14ac:dyDescent="0.3">
      <c r="H3722" s="3"/>
      <c r="I3722" s="3"/>
      <c r="J3722" s="3"/>
    </row>
    <row r="3723" spans="8:10" x14ac:dyDescent="0.3">
      <c r="H3723" s="3"/>
      <c r="I3723" s="3"/>
      <c r="J3723" s="3"/>
    </row>
    <row r="3724" spans="8:10" x14ac:dyDescent="0.3">
      <c r="H3724" s="3"/>
      <c r="I3724" s="3"/>
      <c r="J3724" s="3"/>
    </row>
    <row r="3725" spans="8:10" x14ac:dyDescent="0.3">
      <c r="H3725" s="3"/>
      <c r="I3725" s="3"/>
      <c r="J3725" s="3"/>
    </row>
    <row r="3726" spans="8:10" x14ac:dyDescent="0.3">
      <c r="H3726" s="3"/>
      <c r="I3726" s="3"/>
      <c r="J3726" s="3"/>
    </row>
    <row r="3727" spans="8:10" x14ac:dyDescent="0.3">
      <c r="H3727" s="3"/>
      <c r="I3727" s="3"/>
      <c r="J3727" s="3"/>
    </row>
    <row r="3728" spans="8:10" x14ac:dyDescent="0.3">
      <c r="H3728" s="3"/>
      <c r="I3728" s="3"/>
      <c r="J3728" s="3"/>
    </row>
    <row r="3729" spans="8:10" x14ac:dyDescent="0.3">
      <c r="H3729" s="3"/>
      <c r="I3729" s="3"/>
      <c r="J3729" s="3"/>
    </row>
    <row r="3730" spans="8:10" x14ac:dyDescent="0.3">
      <c r="H3730" s="3"/>
      <c r="I3730" s="3"/>
      <c r="J3730" s="3"/>
    </row>
    <row r="3731" spans="8:10" x14ac:dyDescent="0.3">
      <c r="H3731" s="3"/>
      <c r="I3731" s="3"/>
      <c r="J3731" s="3"/>
    </row>
    <row r="3732" spans="8:10" x14ac:dyDescent="0.3">
      <c r="H3732" s="3"/>
      <c r="I3732" s="3"/>
      <c r="J3732" s="3"/>
    </row>
    <row r="3733" spans="8:10" x14ac:dyDescent="0.3">
      <c r="H3733" s="3"/>
      <c r="I3733" s="3"/>
      <c r="J3733" s="3"/>
    </row>
    <row r="3734" spans="8:10" x14ac:dyDescent="0.3">
      <c r="H3734" s="3"/>
      <c r="I3734" s="3"/>
      <c r="J3734" s="3"/>
    </row>
    <row r="3735" spans="8:10" x14ac:dyDescent="0.3">
      <c r="H3735" s="3"/>
      <c r="I3735" s="3"/>
      <c r="J3735" s="3"/>
    </row>
    <row r="3736" spans="8:10" x14ac:dyDescent="0.3">
      <c r="H3736" s="3"/>
      <c r="I3736" s="3"/>
      <c r="J3736" s="3"/>
    </row>
    <row r="3737" spans="8:10" x14ac:dyDescent="0.3">
      <c r="H3737" s="3"/>
      <c r="I3737" s="3"/>
      <c r="J3737" s="3"/>
    </row>
    <row r="3738" spans="8:10" x14ac:dyDescent="0.3">
      <c r="H3738" s="3"/>
      <c r="I3738" s="3"/>
      <c r="J3738" s="3"/>
    </row>
    <row r="3739" spans="8:10" x14ac:dyDescent="0.3">
      <c r="H3739" s="3"/>
      <c r="I3739" s="3"/>
      <c r="J3739" s="3"/>
    </row>
    <row r="3740" spans="8:10" x14ac:dyDescent="0.3">
      <c r="H3740" s="3"/>
      <c r="I3740" s="3"/>
      <c r="J3740" s="3"/>
    </row>
    <row r="3741" spans="8:10" x14ac:dyDescent="0.3">
      <c r="H3741" s="3"/>
      <c r="I3741" s="3"/>
      <c r="J3741" s="3"/>
    </row>
    <row r="3742" spans="8:10" x14ac:dyDescent="0.3">
      <c r="H3742" s="3"/>
      <c r="I3742" s="3"/>
      <c r="J3742" s="3"/>
    </row>
    <row r="3743" spans="8:10" x14ac:dyDescent="0.3">
      <c r="H3743" s="3"/>
      <c r="I3743" s="3"/>
      <c r="J3743" s="3"/>
    </row>
    <row r="3744" spans="8:10" x14ac:dyDescent="0.3">
      <c r="H3744" s="3"/>
      <c r="I3744" s="3"/>
      <c r="J3744" s="3"/>
    </row>
    <row r="3745" spans="8:10" x14ac:dyDescent="0.3">
      <c r="H3745" s="3"/>
      <c r="I3745" s="3"/>
      <c r="J3745" s="3"/>
    </row>
    <row r="3746" spans="8:10" x14ac:dyDescent="0.3">
      <c r="H3746" s="3"/>
      <c r="I3746" s="3"/>
      <c r="J3746" s="3"/>
    </row>
    <row r="3747" spans="8:10" x14ac:dyDescent="0.3">
      <c r="H3747" s="3"/>
      <c r="I3747" s="3"/>
      <c r="J3747" s="3"/>
    </row>
    <row r="3748" spans="8:10" x14ac:dyDescent="0.3">
      <c r="H3748" s="3"/>
      <c r="I3748" s="3"/>
      <c r="J3748" s="3"/>
    </row>
    <row r="3749" spans="8:10" x14ac:dyDescent="0.3">
      <c r="H3749" s="3"/>
      <c r="I3749" s="3"/>
      <c r="J3749" s="3"/>
    </row>
    <row r="3750" spans="8:10" x14ac:dyDescent="0.3">
      <c r="H3750" s="3"/>
      <c r="I3750" s="3"/>
      <c r="J3750" s="3"/>
    </row>
    <row r="3751" spans="8:10" x14ac:dyDescent="0.3">
      <c r="H3751" s="3"/>
      <c r="I3751" s="3"/>
      <c r="J3751" s="3"/>
    </row>
    <row r="3752" spans="8:10" x14ac:dyDescent="0.3">
      <c r="H3752" s="3"/>
      <c r="I3752" s="3"/>
      <c r="J3752" s="3"/>
    </row>
    <row r="3753" spans="8:10" x14ac:dyDescent="0.3">
      <c r="H3753" s="3"/>
      <c r="I3753" s="3"/>
      <c r="J3753" s="3"/>
    </row>
    <row r="3754" spans="8:10" x14ac:dyDescent="0.3">
      <c r="H3754" s="3"/>
      <c r="I3754" s="3"/>
      <c r="J3754" s="3"/>
    </row>
    <row r="3755" spans="8:10" x14ac:dyDescent="0.3">
      <c r="H3755" s="3"/>
      <c r="I3755" s="3"/>
      <c r="J3755" s="3"/>
    </row>
    <row r="3756" spans="8:10" x14ac:dyDescent="0.3">
      <c r="H3756" s="3"/>
      <c r="I3756" s="3"/>
      <c r="J3756" s="3"/>
    </row>
    <row r="3757" spans="8:10" x14ac:dyDescent="0.3">
      <c r="H3757" s="3"/>
      <c r="I3757" s="3"/>
      <c r="J3757" s="3"/>
    </row>
    <row r="3758" spans="8:10" x14ac:dyDescent="0.3">
      <c r="H3758" s="3"/>
      <c r="I3758" s="3"/>
      <c r="J3758" s="3"/>
    </row>
    <row r="3759" spans="8:10" x14ac:dyDescent="0.3">
      <c r="H3759" s="3"/>
      <c r="I3759" s="3"/>
      <c r="J3759" s="3"/>
    </row>
    <row r="3760" spans="8:10" x14ac:dyDescent="0.3">
      <c r="H3760" s="3"/>
      <c r="I3760" s="3"/>
      <c r="J3760" s="3"/>
    </row>
    <row r="3761" spans="8:10" x14ac:dyDescent="0.3">
      <c r="H3761" s="3"/>
      <c r="I3761" s="3"/>
      <c r="J3761" s="3"/>
    </row>
    <row r="3762" spans="8:10" x14ac:dyDescent="0.3">
      <c r="H3762" s="3"/>
      <c r="I3762" s="3"/>
      <c r="J3762" s="3"/>
    </row>
    <row r="3763" spans="8:10" x14ac:dyDescent="0.3">
      <c r="H3763" s="3"/>
      <c r="I3763" s="3"/>
      <c r="J3763" s="3"/>
    </row>
    <row r="3764" spans="8:10" x14ac:dyDescent="0.3">
      <c r="H3764" s="3"/>
      <c r="I3764" s="3"/>
      <c r="J3764" s="3"/>
    </row>
    <row r="3765" spans="8:10" x14ac:dyDescent="0.3">
      <c r="H3765" s="3"/>
      <c r="I3765" s="3"/>
      <c r="J3765" s="3"/>
    </row>
    <row r="3766" spans="8:10" x14ac:dyDescent="0.3">
      <c r="H3766" s="3"/>
      <c r="I3766" s="3"/>
      <c r="J3766" s="3"/>
    </row>
    <row r="3767" spans="8:10" x14ac:dyDescent="0.3">
      <c r="H3767" s="3"/>
      <c r="I3767" s="3"/>
      <c r="J3767" s="3"/>
    </row>
    <row r="3768" spans="8:10" x14ac:dyDescent="0.3">
      <c r="H3768" s="3"/>
      <c r="I3768" s="3"/>
      <c r="J3768" s="3"/>
    </row>
    <row r="3769" spans="8:10" x14ac:dyDescent="0.3">
      <c r="H3769" s="3"/>
      <c r="I3769" s="3"/>
      <c r="J3769" s="3"/>
    </row>
    <row r="3770" spans="8:10" x14ac:dyDescent="0.3">
      <c r="H3770" s="3"/>
      <c r="I3770" s="3"/>
      <c r="J3770" s="3"/>
    </row>
    <row r="3771" spans="8:10" x14ac:dyDescent="0.3">
      <c r="H3771" s="3"/>
      <c r="I3771" s="3"/>
      <c r="J3771" s="3"/>
    </row>
    <row r="3772" spans="8:10" x14ac:dyDescent="0.3">
      <c r="H3772" s="3"/>
      <c r="I3772" s="3"/>
      <c r="J3772" s="3"/>
    </row>
    <row r="3773" spans="8:10" x14ac:dyDescent="0.3">
      <c r="H3773" s="3"/>
      <c r="I3773" s="3"/>
      <c r="J3773" s="3"/>
    </row>
    <row r="3774" spans="8:10" x14ac:dyDescent="0.3">
      <c r="H3774" s="3"/>
      <c r="I3774" s="3"/>
      <c r="J3774" s="3"/>
    </row>
    <row r="3775" spans="8:10" x14ac:dyDescent="0.3">
      <c r="H3775" s="3"/>
      <c r="I3775" s="3"/>
      <c r="J3775" s="3"/>
    </row>
    <row r="3776" spans="8:10" x14ac:dyDescent="0.3">
      <c r="H3776" s="3"/>
      <c r="I3776" s="3"/>
      <c r="J3776" s="3"/>
    </row>
    <row r="3777" spans="8:10" x14ac:dyDescent="0.3">
      <c r="H3777" s="3"/>
      <c r="I3777" s="3"/>
      <c r="J3777" s="3"/>
    </row>
    <row r="3778" spans="8:10" x14ac:dyDescent="0.3">
      <c r="H3778" s="3"/>
      <c r="I3778" s="3"/>
      <c r="J3778" s="3"/>
    </row>
    <row r="3779" spans="8:10" x14ac:dyDescent="0.3">
      <c r="H3779" s="3"/>
      <c r="I3779" s="3"/>
      <c r="J3779" s="3"/>
    </row>
    <row r="3780" spans="8:10" x14ac:dyDescent="0.3">
      <c r="H3780" s="3"/>
      <c r="I3780" s="3"/>
      <c r="J3780" s="3"/>
    </row>
    <row r="3781" spans="8:10" x14ac:dyDescent="0.3">
      <c r="H3781" s="3"/>
      <c r="I3781" s="3"/>
      <c r="J3781" s="3"/>
    </row>
    <row r="3782" spans="8:10" x14ac:dyDescent="0.3">
      <c r="H3782" s="3"/>
      <c r="I3782" s="3"/>
      <c r="J3782" s="3"/>
    </row>
    <row r="3783" spans="8:10" x14ac:dyDescent="0.3">
      <c r="H3783" s="3"/>
      <c r="I3783" s="3"/>
      <c r="J3783" s="3"/>
    </row>
    <row r="3784" spans="8:10" x14ac:dyDescent="0.3">
      <c r="H3784" s="3"/>
      <c r="I3784" s="3"/>
      <c r="J3784" s="3"/>
    </row>
    <row r="3785" spans="8:10" x14ac:dyDescent="0.3">
      <c r="H3785" s="3"/>
      <c r="I3785" s="3"/>
      <c r="J3785" s="3"/>
    </row>
    <row r="3786" spans="8:10" x14ac:dyDescent="0.3">
      <c r="H3786" s="3"/>
      <c r="I3786" s="3"/>
      <c r="J3786" s="3"/>
    </row>
    <row r="3787" spans="8:10" x14ac:dyDescent="0.3">
      <c r="H3787" s="3"/>
      <c r="I3787" s="3"/>
      <c r="J3787" s="3"/>
    </row>
    <row r="3788" spans="8:10" x14ac:dyDescent="0.3">
      <c r="H3788" s="3"/>
      <c r="I3788" s="3"/>
      <c r="J3788" s="3"/>
    </row>
    <row r="3789" spans="8:10" x14ac:dyDescent="0.3">
      <c r="H3789" s="3"/>
      <c r="I3789" s="3"/>
      <c r="J3789" s="3"/>
    </row>
    <row r="3790" spans="8:10" x14ac:dyDescent="0.3">
      <c r="H3790" s="3"/>
      <c r="I3790" s="3"/>
      <c r="J3790" s="3"/>
    </row>
    <row r="3791" spans="8:10" x14ac:dyDescent="0.3">
      <c r="H3791" s="3"/>
      <c r="I3791" s="3"/>
      <c r="J3791" s="3"/>
    </row>
    <row r="3792" spans="8:10" x14ac:dyDescent="0.3">
      <c r="H3792" s="3"/>
      <c r="I3792" s="3"/>
      <c r="J3792" s="3"/>
    </row>
    <row r="3793" spans="8:10" x14ac:dyDescent="0.3">
      <c r="H3793" s="3"/>
      <c r="I3793" s="3"/>
      <c r="J3793" s="3"/>
    </row>
    <row r="3794" spans="8:10" x14ac:dyDescent="0.3">
      <c r="H3794" s="3"/>
      <c r="I3794" s="3"/>
      <c r="J3794" s="3"/>
    </row>
    <row r="3795" spans="8:10" x14ac:dyDescent="0.3">
      <c r="H3795" s="3"/>
      <c r="I3795" s="3"/>
      <c r="J3795" s="3"/>
    </row>
    <row r="3796" spans="8:10" x14ac:dyDescent="0.3">
      <c r="H3796" s="3"/>
      <c r="I3796" s="3"/>
      <c r="J3796" s="3"/>
    </row>
    <row r="3797" spans="8:10" x14ac:dyDescent="0.3">
      <c r="H3797" s="3"/>
      <c r="I3797" s="3"/>
      <c r="J3797" s="3"/>
    </row>
    <row r="3798" spans="8:10" x14ac:dyDescent="0.3">
      <c r="H3798" s="3"/>
      <c r="I3798" s="3"/>
      <c r="J3798" s="3"/>
    </row>
    <row r="3799" spans="8:10" x14ac:dyDescent="0.3">
      <c r="H3799" s="3"/>
      <c r="I3799" s="3"/>
      <c r="J3799" s="3"/>
    </row>
    <row r="3800" spans="8:10" x14ac:dyDescent="0.3">
      <c r="H3800" s="3"/>
      <c r="I3800" s="3"/>
      <c r="J3800" s="3"/>
    </row>
    <row r="3801" spans="8:10" x14ac:dyDescent="0.3">
      <c r="H3801" s="3"/>
      <c r="I3801" s="3"/>
      <c r="J3801" s="3"/>
    </row>
    <row r="3802" spans="8:10" x14ac:dyDescent="0.3">
      <c r="H3802" s="3"/>
      <c r="I3802" s="3"/>
      <c r="J3802" s="3"/>
    </row>
    <row r="3803" spans="8:10" x14ac:dyDescent="0.3">
      <c r="H3803" s="3"/>
      <c r="I3803" s="3"/>
      <c r="J3803" s="3"/>
    </row>
    <row r="3804" spans="8:10" x14ac:dyDescent="0.3">
      <c r="H3804" s="3"/>
      <c r="I3804" s="3"/>
      <c r="J3804" s="3"/>
    </row>
    <row r="3805" spans="8:10" x14ac:dyDescent="0.3">
      <c r="H3805" s="3"/>
      <c r="I3805" s="3"/>
      <c r="J3805" s="3"/>
    </row>
    <row r="3806" spans="8:10" x14ac:dyDescent="0.3">
      <c r="H3806" s="3"/>
      <c r="I3806" s="3"/>
      <c r="J3806" s="3"/>
    </row>
    <row r="3807" spans="8:10" x14ac:dyDescent="0.3">
      <c r="H3807" s="3"/>
      <c r="I3807" s="3"/>
      <c r="J3807" s="3"/>
    </row>
    <row r="3808" spans="8:10" x14ac:dyDescent="0.3">
      <c r="H3808" s="3"/>
      <c r="I3808" s="3"/>
      <c r="J3808" s="3"/>
    </row>
    <row r="3809" spans="8:10" x14ac:dyDescent="0.3">
      <c r="H3809" s="3"/>
      <c r="I3809" s="3"/>
      <c r="J3809" s="3"/>
    </row>
    <row r="3810" spans="8:10" x14ac:dyDescent="0.3">
      <c r="H3810" s="3"/>
      <c r="I3810" s="3"/>
      <c r="J3810" s="3"/>
    </row>
    <row r="3811" spans="8:10" x14ac:dyDescent="0.3">
      <c r="H3811" s="3"/>
      <c r="I3811" s="3"/>
      <c r="J3811" s="3"/>
    </row>
    <row r="3812" spans="8:10" x14ac:dyDescent="0.3">
      <c r="H3812" s="3"/>
      <c r="I3812" s="3"/>
      <c r="J3812" s="3"/>
    </row>
    <row r="3813" spans="8:10" x14ac:dyDescent="0.3">
      <c r="H3813" s="3"/>
      <c r="I3813" s="3"/>
      <c r="J3813" s="3"/>
    </row>
    <row r="3814" spans="8:10" x14ac:dyDescent="0.3">
      <c r="H3814" s="3"/>
      <c r="I3814" s="3"/>
      <c r="J3814" s="3"/>
    </row>
    <row r="3815" spans="8:10" x14ac:dyDescent="0.3">
      <c r="H3815" s="3"/>
      <c r="I3815" s="3"/>
      <c r="J3815" s="3"/>
    </row>
    <row r="3816" spans="8:10" x14ac:dyDescent="0.3">
      <c r="H3816" s="3"/>
      <c r="I3816" s="3"/>
      <c r="J3816" s="3"/>
    </row>
    <row r="3817" spans="8:10" x14ac:dyDescent="0.3">
      <c r="H3817" s="3"/>
      <c r="I3817" s="3"/>
      <c r="J3817" s="3"/>
    </row>
    <row r="3818" spans="8:10" x14ac:dyDescent="0.3">
      <c r="H3818" s="3"/>
      <c r="I3818" s="3"/>
      <c r="J3818" s="3"/>
    </row>
    <row r="3819" spans="8:10" x14ac:dyDescent="0.3">
      <c r="H3819" s="3"/>
      <c r="I3819" s="3"/>
      <c r="J3819" s="3"/>
    </row>
    <row r="3820" spans="8:10" x14ac:dyDescent="0.3">
      <c r="H3820" s="3"/>
      <c r="I3820" s="3"/>
      <c r="J3820" s="3"/>
    </row>
    <row r="3821" spans="8:10" x14ac:dyDescent="0.3">
      <c r="H3821" s="3"/>
      <c r="I3821" s="3"/>
      <c r="J3821" s="3"/>
    </row>
    <row r="3822" spans="8:10" x14ac:dyDescent="0.3">
      <c r="H3822" s="3"/>
      <c r="I3822" s="3"/>
      <c r="J3822" s="3"/>
    </row>
    <row r="3823" spans="8:10" x14ac:dyDescent="0.3">
      <c r="H3823" s="3"/>
      <c r="I3823" s="3"/>
      <c r="J3823" s="3"/>
    </row>
    <row r="3824" spans="8:10" x14ac:dyDescent="0.3">
      <c r="H3824" s="3"/>
      <c r="I3824" s="3"/>
      <c r="J3824" s="3"/>
    </row>
    <row r="3825" spans="8:10" x14ac:dyDescent="0.3">
      <c r="H3825" s="3"/>
      <c r="I3825" s="3"/>
      <c r="J3825" s="3"/>
    </row>
    <row r="3826" spans="8:10" x14ac:dyDescent="0.3">
      <c r="H3826" s="3"/>
      <c r="I3826" s="3"/>
      <c r="J3826" s="3"/>
    </row>
    <row r="3827" spans="8:10" x14ac:dyDescent="0.3">
      <c r="H3827" s="3"/>
      <c r="I3827" s="3"/>
      <c r="J3827" s="3"/>
    </row>
    <row r="3828" spans="8:10" x14ac:dyDescent="0.3">
      <c r="H3828" s="3"/>
      <c r="I3828" s="3"/>
      <c r="J3828" s="3"/>
    </row>
    <row r="3829" spans="8:10" x14ac:dyDescent="0.3">
      <c r="H3829" s="3"/>
      <c r="I3829" s="3"/>
      <c r="J3829" s="3"/>
    </row>
    <row r="3830" spans="8:10" x14ac:dyDescent="0.3">
      <c r="H3830" s="3"/>
      <c r="I3830" s="3"/>
      <c r="J3830" s="3"/>
    </row>
    <row r="3831" spans="8:10" x14ac:dyDescent="0.3">
      <c r="H3831" s="3"/>
      <c r="I3831" s="3"/>
      <c r="J3831" s="3"/>
    </row>
    <row r="3832" spans="8:10" x14ac:dyDescent="0.3">
      <c r="H3832" s="3"/>
      <c r="I3832" s="3"/>
      <c r="J3832" s="3"/>
    </row>
    <row r="3833" spans="8:10" x14ac:dyDescent="0.3">
      <c r="H3833" s="3"/>
      <c r="I3833" s="3"/>
      <c r="J3833" s="3"/>
    </row>
    <row r="3834" spans="8:10" x14ac:dyDescent="0.3">
      <c r="H3834" s="3"/>
      <c r="I3834" s="3"/>
      <c r="J3834" s="3"/>
    </row>
    <row r="3835" spans="8:10" x14ac:dyDescent="0.3">
      <c r="H3835" s="3"/>
      <c r="I3835" s="3"/>
      <c r="J3835" s="3"/>
    </row>
    <row r="3836" spans="8:10" x14ac:dyDescent="0.3">
      <c r="H3836" s="3"/>
      <c r="I3836" s="3"/>
      <c r="J3836" s="3"/>
    </row>
    <row r="3837" spans="8:10" x14ac:dyDescent="0.3">
      <c r="H3837" s="3"/>
      <c r="I3837" s="3"/>
      <c r="J3837" s="3"/>
    </row>
    <row r="3838" spans="8:10" x14ac:dyDescent="0.3">
      <c r="H3838" s="3"/>
      <c r="I3838" s="3"/>
      <c r="J3838" s="3"/>
    </row>
    <row r="3839" spans="8:10" x14ac:dyDescent="0.3">
      <c r="H3839" s="3"/>
      <c r="I3839" s="3"/>
      <c r="J3839" s="3"/>
    </row>
    <row r="3840" spans="8:10" x14ac:dyDescent="0.3">
      <c r="H3840" s="3"/>
      <c r="I3840" s="3"/>
      <c r="J3840" s="3"/>
    </row>
    <row r="3841" spans="8:10" x14ac:dyDescent="0.3">
      <c r="H3841" s="3"/>
      <c r="I3841" s="3"/>
      <c r="J3841" s="3"/>
    </row>
    <row r="3842" spans="8:10" x14ac:dyDescent="0.3">
      <c r="H3842" s="3"/>
      <c r="I3842" s="3"/>
      <c r="J3842" s="3"/>
    </row>
    <row r="3843" spans="8:10" x14ac:dyDescent="0.3">
      <c r="H3843" s="3"/>
      <c r="I3843" s="3"/>
      <c r="J3843" s="3"/>
    </row>
    <row r="3844" spans="8:10" x14ac:dyDescent="0.3">
      <c r="H3844" s="3"/>
      <c r="I3844" s="3"/>
      <c r="J3844" s="3"/>
    </row>
    <row r="3845" spans="8:10" x14ac:dyDescent="0.3">
      <c r="H3845" s="3"/>
      <c r="I3845" s="3"/>
      <c r="J3845" s="3"/>
    </row>
    <row r="3846" spans="8:10" x14ac:dyDescent="0.3">
      <c r="H3846" s="3"/>
      <c r="I3846" s="3"/>
      <c r="J3846" s="3"/>
    </row>
    <row r="3847" spans="8:10" x14ac:dyDescent="0.3">
      <c r="H3847" s="3"/>
      <c r="I3847" s="3"/>
      <c r="J3847" s="3"/>
    </row>
    <row r="3848" spans="8:10" x14ac:dyDescent="0.3">
      <c r="H3848" s="3"/>
      <c r="I3848" s="3"/>
      <c r="J3848" s="3"/>
    </row>
    <row r="3849" spans="8:10" x14ac:dyDescent="0.3">
      <c r="H3849" s="3"/>
      <c r="I3849" s="3"/>
      <c r="J3849" s="3"/>
    </row>
    <row r="3850" spans="8:10" x14ac:dyDescent="0.3">
      <c r="H3850" s="3"/>
      <c r="I3850" s="3"/>
      <c r="J3850" s="3"/>
    </row>
    <row r="3851" spans="8:10" x14ac:dyDescent="0.3">
      <c r="H3851" s="3"/>
      <c r="I3851" s="3"/>
      <c r="J3851" s="3"/>
    </row>
    <row r="3852" spans="8:10" x14ac:dyDescent="0.3">
      <c r="H3852" s="3"/>
      <c r="I3852" s="3"/>
      <c r="J3852" s="3"/>
    </row>
    <row r="3853" spans="8:10" x14ac:dyDescent="0.3">
      <c r="H3853" s="3"/>
      <c r="I3853" s="3"/>
      <c r="J3853" s="3"/>
    </row>
    <row r="3854" spans="8:10" x14ac:dyDescent="0.3">
      <c r="H3854" s="3"/>
      <c r="I3854" s="3"/>
      <c r="J3854" s="3"/>
    </row>
    <row r="3855" spans="8:10" x14ac:dyDescent="0.3">
      <c r="H3855" s="3"/>
      <c r="I3855" s="3"/>
      <c r="J3855" s="3"/>
    </row>
    <row r="3856" spans="8:10" x14ac:dyDescent="0.3">
      <c r="H3856" s="3"/>
      <c r="I3856" s="3"/>
      <c r="J3856" s="3"/>
    </row>
    <row r="3857" spans="8:10" x14ac:dyDescent="0.3">
      <c r="H3857" s="3"/>
      <c r="I3857" s="3"/>
      <c r="J3857" s="3"/>
    </row>
    <row r="3858" spans="8:10" x14ac:dyDescent="0.3">
      <c r="H3858" s="3"/>
      <c r="I3858" s="3"/>
      <c r="J3858" s="3"/>
    </row>
    <row r="3859" spans="8:10" x14ac:dyDescent="0.3">
      <c r="H3859" s="3"/>
      <c r="I3859" s="3"/>
      <c r="J3859" s="3"/>
    </row>
    <row r="3860" spans="8:10" x14ac:dyDescent="0.3">
      <c r="H3860" s="3"/>
      <c r="I3860" s="3"/>
      <c r="J3860" s="3"/>
    </row>
    <row r="3861" spans="8:10" x14ac:dyDescent="0.3">
      <c r="H3861" s="3"/>
      <c r="I3861" s="3"/>
      <c r="J3861" s="3"/>
    </row>
    <row r="3862" spans="8:10" x14ac:dyDescent="0.3">
      <c r="H3862" s="3"/>
      <c r="I3862" s="3"/>
      <c r="J3862" s="3"/>
    </row>
    <row r="3863" spans="8:10" x14ac:dyDescent="0.3">
      <c r="H3863" s="3"/>
      <c r="I3863" s="3"/>
      <c r="J3863" s="3"/>
    </row>
    <row r="3864" spans="8:10" x14ac:dyDescent="0.3">
      <c r="H3864" s="3"/>
      <c r="I3864" s="3"/>
      <c r="J3864" s="3"/>
    </row>
    <row r="3865" spans="8:10" x14ac:dyDescent="0.3">
      <c r="H3865" s="3"/>
      <c r="I3865" s="3"/>
      <c r="J3865" s="3"/>
    </row>
    <row r="3866" spans="8:10" x14ac:dyDescent="0.3">
      <c r="H3866" s="3"/>
      <c r="I3866" s="3"/>
      <c r="J3866" s="3"/>
    </row>
    <row r="3867" spans="8:10" x14ac:dyDescent="0.3">
      <c r="H3867" s="3"/>
      <c r="I3867" s="3"/>
      <c r="J3867" s="3"/>
    </row>
    <row r="3868" spans="8:10" x14ac:dyDescent="0.3">
      <c r="H3868" s="3"/>
      <c r="I3868" s="3"/>
      <c r="J3868" s="3"/>
    </row>
    <row r="3869" spans="8:10" x14ac:dyDescent="0.3">
      <c r="H3869" s="3"/>
      <c r="I3869" s="3"/>
      <c r="J3869" s="3"/>
    </row>
    <row r="3870" spans="8:10" x14ac:dyDescent="0.3">
      <c r="H3870" s="3"/>
      <c r="I3870" s="3"/>
      <c r="J3870" s="3"/>
    </row>
    <row r="3871" spans="8:10" x14ac:dyDescent="0.3">
      <c r="H3871" s="3"/>
      <c r="I3871" s="3"/>
      <c r="J3871" s="3"/>
    </row>
    <row r="3872" spans="8:10" x14ac:dyDescent="0.3">
      <c r="H3872" s="3"/>
      <c r="I3872" s="3"/>
      <c r="J3872" s="3"/>
    </row>
    <row r="3873" spans="8:10" x14ac:dyDescent="0.3">
      <c r="H3873" s="3"/>
      <c r="I3873" s="3"/>
      <c r="J3873" s="3"/>
    </row>
    <row r="3874" spans="8:10" x14ac:dyDescent="0.3">
      <c r="H3874" s="3"/>
      <c r="I3874" s="3"/>
      <c r="J3874" s="3"/>
    </row>
    <row r="3875" spans="8:10" x14ac:dyDescent="0.3">
      <c r="H3875" s="3"/>
      <c r="I3875" s="3"/>
      <c r="J3875" s="3"/>
    </row>
    <row r="3876" spans="8:10" x14ac:dyDescent="0.3">
      <c r="H3876" s="3"/>
      <c r="I3876" s="3"/>
      <c r="J3876" s="3"/>
    </row>
    <row r="3877" spans="8:10" x14ac:dyDescent="0.3">
      <c r="H3877" s="3"/>
      <c r="I3877" s="3"/>
      <c r="J3877" s="3"/>
    </row>
    <row r="3878" spans="8:10" x14ac:dyDescent="0.3">
      <c r="H3878" s="3"/>
      <c r="I3878" s="3"/>
      <c r="J3878" s="3"/>
    </row>
    <row r="3879" spans="8:10" x14ac:dyDescent="0.3">
      <c r="H3879" s="3"/>
      <c r="I3879" s="3"/>
      <c r="J3879" s="3"/>
    </row>
    <row r="3880" spans="8:10" x14ac:dyDescent="0.3">
      <c r="H3880" s="3"/>
      <c r="I3880" s="3"/>
      <c r="J3880" s="3"/>
    </row>
    <row r="3881" spans="8:10" x14ac:dyDescent="0.3">
      <c r="H3881" s="3"/>
      <c r="I3881" s="3"/>
      <c r="J3881" s="3"/>
    </row>
    <row r="3882" spans="8:10" x14ac:dyDescent="0.3">
      <c r="H3882" s="3"/>
      <c r="I3882" s="3"/>
      <c r="J3882" s="3"/>
    </row>
    <row r="3883" spans="8:10" x14ac:dyDescent="0.3">
      <c r="H3883" s="3"/>
      <c r="I3883" s="3"/>
      <c r="J3883" s="3"/>
    </row>
    <row r="3884" spans="8:10" x14ac:dyDescent="0.3">
      <c r="H3884" s="3"/>
      <c r="I3884" s="3"/>
      <c r="J3884" s="3"/>
    </row>
    <row r="3885" spans="8:10" x14ac:dyDescent="0.3">
      <c r="H3885" s="3"/>
      <c r="I3885" s="3"/>
      <c r="J3885" s="3"/>
    </row>
    <row r="3886" spans="8:10" x14ac:dyDescent="0.3">
      <c r="H3886" s="3"/>
      <c r="I3886" s="3"/>
      <c r="J3886" s="3"/>
    </row>
    <row r="3887" spans="8:10" x14ac:dyDescent="0.3">
      <c r="H3887" s="3"/>
      <c r="I3887" s="3"/>
      <c r="J3887" s="3"/>
    </row>
    <row r="3888" spans="8:10" x14ac:dyDescent="0.3">
      <c r="H3888" s="3"/>
      <c r="I3888" s="3"/>
      <c r="J3888" s="3"/>
    </row>
    <row r="3889" spans="8:10" x14ac:dyDescent="0.3">
      <c r="H3889" s="3"/>
      <c r="I3889" s="3"/>
      <c r="J3889" s="3"/>
    </row>
    <row r="3890" spans="8:10" x14ac:dyDescent="0.3">
      <c r="H3890" s="3"/>
      <c r="I3890" s="3"/>
      <c r="J3890" s="3"/>
    </row>
    <row r="3891" spans="8:10" x14ac:dyDescent="0.3">
      <c r="H3891" s="3"/>
      <c r="I3891" s="3"/>
      <c r="J3891" s="3"/>
    </row>
    <row r="3892" spans="8:10" x14ac:dyDescent="0.3">
      <c r="H3892" s="3"/>
      <c r="I3892" s="3"/>
      <c r="J3892" s="3"/>
    </row>
    <row r="3893" spans="8:10" x14ac:dyDescent="0.3">
      <c r="H3893" s="3"/>
      <c r="I3893" s="3"/>
      <c r="J3893" s="3"/>
    </row>
    <row r="3894" spans="8:10" x14ac:dyDescent="0.3">
      <c r="H3894" s="3"/>
      <c r="I3894" s="3"/>
      <c r="J3894" s="3"/>
    </row>
    <row r="3895" spans="8:10" x14ac:dyDescent="0.3">
      <c r="H3895" s="3"/>
      <c r="I3895" s="3"/>
      <c r="J3895" s="3"/>
    </row>
    <row r="3896" spans="8:10" x14ac:dyDescent="0.3">
      <c r="H3896" s="3"/>
      <c r="I3896" s="3"/>
      <c r="J3896" s="3"/>
    </row>
    <row r="3897" spans="8:10" x14ac:dyDescent="0.3">
      <c r="H3897" s="3"/>
      <c r="I3897" s="3"/>
      <c r="J3897" s="3"/>
    </row>
    <row r="3898" spans="8:10" x14ac:dyDescent="0.3">
      <c r="H3898" s="3"/>
      <c r="I3898" s="3"/>
      <c r="J3898" s="3"/>
    </row>
    <row r="3899" spans="8:10" x14ac:dyDescent="0.3">
      <c r="H3899" s="3"/>
      <c r="I3899" s="3"/>
      <c r="J3899" s="3"/>
    </row>
    <row r="3900" spans="8:10" x14ac:dyDescent="0.3">
      <c r="H3900" s="3"/>
      <c r="I3900" s="3"/>
      <c r="J3900" s="3"/>
    </row>
    <row r="3901" spans="8:10" x14ac:dyDescent="0.3">
      <c r="H3901" s="3"/>
      <c r="I3901" s="3"/>
      <c r="J3901" s="3"/>
    </row>
    <row r="3902" spans="8:10" x14ac:dyDescent="0.3">
      <c r="H3902" s="3"/>
      <c r="I3902" s="3"/>
      <c r="J3902" s="3"/>
    </row>
    <row r="3903" spans="8:10" x14ac:dyDescent="0.3">
      <c r="H3903" s="3"/>
      <c r="I3903" s="3"/>
      <c r="J3903" s="3"/>
    </row>
    <row r="3904" spans="8:10" x14ac:dyDescent="0.3">
      <c r="H3904" s="3"/>
      <c r="I3904" s="3"/>
      <c r="J3904" s="3"/>
    </row>
    <row r="3905" spans="8:10" x14ac:dyDescent="0.3">
      <c r="H3905" s="3"/>
      <c r="I3905" s="3"/>
      <c r="J3905" s="3"/>
    </row>
    <row r="3906" spans="8:10" x14ac:dyDescent="0.3">
      <c r="H3906" s="3"/>
      <c r="I3906" s="3"/>
      <c r="J3906" s="3"/>
    </row>
    <row r="3907" spans="8:10" x14ac:dyDescent="0.3">
      <c r="H3907" s="3"/>
      <c r="I3907" s="3"/>
      <c r="J3907" s="3"/>
    </row>
    <row r="3908" spans="8:10" x14ac:dyDescent="0.3">
      <c r="H3908" s="3"/>
      <c r="I3908" s="3"/>
      <c r="J3908" s="3"/>
    </row>
    <row r="3909" spans="8:10" x14ac:dyDescent="0.3">
      <c r="H3909" s="3"/>
      <c r="I3909" s="3"/>
      <c r="J3909" s="3"/>
    </row>
    <row r="3910" spans="8:10" x14ac:dyDescent="0.3">
      <c r="H3910" s="3"/>
      <c r="I3910" s="3"/>
      <c r="J3910" s="3"/>
    </row>
    <row r="3911" spans="8:10" x14ac:dyDescent="0.3">
      <c r="H3911" s="3"/>
      <c r="I3911" s="3"/>
      <c r="J3911" s="3"/>
    </row>
    <row r="3912" spans="8:10" x14ac:dyDescent="0.3">
      <c r="H3912" s="3"/>
      <c r="I3912" s="3"/>
      <c r="J3912" s="3"/>
    </row>
    <row r="3913" spans="8:10" x14ac:dyDescent="0.3">
      <c r="H3913" s="3"/>
      <c r="I3913" s="3"/>
      <c r="J3913" s="3"/>
    </row>
    <row r="3914" spans="8:10" x14ac:dyDescent="0.3">
      <c r="H3914" s="3"/>
      <c r="I3914" s="3"/>
      <c r="J3914" s="3"/>
    </row>
    <row r="3915" spans="8:10" x14ac:dyDescent="0.3">
      <c r="H3915" s="3"/>
      <c r="I3915" s="3"/>
      <c r="J3915" s="3"/>
    </row>
    <row r="3916" spans="8:10" x14ac:dyDescent="0.3">
      <c r="H3916" s="3"/>
      <c r="I3916" s="3"/>
      <c r="J3916" s="3"/>
    </row>
    <row r="3917" spans="8:10" x14ac:dyDescent="0.3">
      <c r="H3917" s="3"/>
      <c r="I3917" s="3"/>
      <c r="J3917" s="3"/>
    </row>
    <row r="3918" spans="8:10" x14ac:dyDescent="0.3">
      <c r="H3918" s="3"/>
      <c r="I3918" s="3"/>
      <c r="J3918" s="3"/>
    </row>
    <row r="3919" spans="8:10" x14ac:dyDescent="0.3">
      <c r="H3919" s="3"/>
      <c r="I3919" s="3"/>
      <c r="J3919" s="3"/>
    </row>
    <row r="3920" spans="8:10" x14ac:dyDescent="0.3">
      <c r="H3920" s="3"/>
      <c r="I3920" s="3"/>
      <c r="J3920" s="3"/>
    </row>
    <row r="3921" spans="8:10" x14ac:dyDescent="0.3">
      <c r="H3921" s="3"/>
      <c r="I3921" s="3"/>
      <c r="J3921" s="3"/>
    </row>
    <row r="3922" spans="8:10" x14ac:dyDescent="0.3">
      <c r="H3922" s="3"/>
      <c r="I3922" s="3"/>
      <c r="J3922" s="3"/>
    </row>
    <row r="3923" spans="8:10" x14ac:dyDescent="0.3">
      <c r="H3923" s="3"/>
      <c r="I3923" s="3"/>
      <c r="J3923" s="3"/>
    </row>
    <row r="3924" spans="8:10" x14ac:dyDescent="0.3">
      <c r="H3924" s="3"/>
      <c r="I3924" s="3"/>
      <c r="J3924" s="3"/>
    </row>
    <row r="3925" spans="8:10" x14ac:dyDescent="0.3">
      <c r="H3925" s="3"/>
      <c r="I3925" s="3"/>
      <c r="J3925" s="3"/>
    </row>
    <row r="3926" spans="8:10" x14ac:dyDescent="0.3">
      <c r="H3926" s="3"/>
      <c r="I3926" s="3"/>
      <c r="J3926" s="3"/>
    </row>
    <row r="3927" spans="8:10" x14ac:dyDescent="0.3">
      <c r="H3927" s="3"/>
      <c r="I3927" s="3"/>
      <c r="J3927" s="3"/>
    </row>
    <row r="3928" spans="8:10" x14ac:dyDescent="0.3">
      <c r="H3928" s="3"/>
      <c r="I3928" s="3"/>
      <c r="J3928" s="3"/>
    </row>
    <row r="3929" spans="8:10" x14ac:dyDescent="0.3">
      <c r="H3929" s="3"/>
      <c r="I3929" s="3"/>
      <c r="J3929" s="3"/>
    </row>
    <row r="3930" spans="8:10" x14ac:dyDescent="0.3">
      <c r="H3930" s="3"/>
      <c r="I3930" s="3"/>
      <c r="J3930" s="3"/>
    </row>
    <row r="3931" spans="8:10" x14ac:dyDescent="0.3">
      <c r="H3931" s="3"/>
      <c r="I3931" s="3"/>
      <c r="J3931" s="3"/>
    </row>
    <row r="3932" spans="8:10" x14ac:dyDescent="0.3">
      <c r="H3932" s="3"/>
      <c r="I3932" s="3"/>
      <c r="J3932" s="3"/>
    </row>
    <row r="3933" spans="8:10" x14ac:dyDescent="0.3">
      <c r="H3933" s="3"/>
      <c r="I3933" s="3"/>
      <c r="J3933" s="3"/>
    </row>
    <row r="3934" spans="8:10" x14ac:dyDescent="0.3">
      <c r="H3934" s="3"/>
      <c r="I3934" s="3"/>
      <c r="J3934" s="3"/>
    </row>
    <row r="3935" spans="8:10" x14ac:dyDescent="0.3">
      <c r="H3935" s="3"/>
      <c r="I3935" s="3"/>
      <c r="J3935" s="3"/>
    </row>
    <row r="3936" spans="8:10" x14ac:dyDescent="0.3">
      <c r="H3936" s="3"/>
      <c r="I3936" s="3"/>
      <c r="J3936" s="3"/>
    </row>
    <row r="3937" spans="8:10" x14ac:dyDescent="0.3">
      <c r="H3937" s="3"/>
      <c r="I3937" s="3"/>
      <c r="J3937" s="3"/>
    </row>
    <row r="3938" spans="8:10" x14ac:dyDescent="0.3">
      <c r="H3938" s="3"/>
      <c r="I3938" s="3"/>
      <c r="J3938" s="3"/>
    </row>
    <row r="3939" spans="8:10" x14ac:dyDescent="0.3">
      <c r="H3939" s="3"/>
      <c r="I3939" s="3"/>
      <c r="J3939" s="3"/>
    </row>
    <row r="3940" spans="8:10" x14ac:dyDescent="0.3">
      <c r="H3940" s="3"/>
      <c r="I3940" s="3"/>
      <c r="J3940" s="3"/>
    </row>
    <row r="3941" spans="8:10" x14ac:dyDescent="0.3">
      <c r="H3941" s="3"/>
      <c r="I3941" s="3"/>
      <c r="J3941" s="3"/>
    </row>
    <row r="3942" spans="8:10" x14ac:dyDescent="0.3">
      <c r="H3942" s="3"/>
      <c r="I3942" s="3"/>
      <c r="J3942" s="3"/>
    </row>
    <row r="3943" spans="8:10" x14ac:dyDescent="0.3">
      <c r="H3943" s="3"/>
      <c r="I3943" s="3"/>
      <c r="J3943" s="3"/>
    </row>
    <row r="3944" spans="8:10" x14ac:dyDescent="0.3">
      <c r="H3944" s="3"/>
      <c r="I3944" s="3"/>
      <c r="J3944" s="3"/>
    </row>
    <row r="3945" spans="8:10" x14ac:dyDescent="0.3">
      <c r="H3945" s="3"/>
      <c r="I3945" s="3"/>
      <c r="J3945" s="3"/>
    </row>
    <row r="3946" spans="8:10" x14ac:dyDescent="0.3">
      <c r="H3946" s="3"/>
      <c r="I3946" s="3"/>
      <c r="J3946" s="3"/>
    </row>
    <row r="3947" spans="8:10" x14ac:dyDescent="0.3">
      <c r="H3947" s="3"/>
      <c r="I3947" s="3"/>
      <c r="J3947" s="3"/>
    </row>
    <row r="3948" spans="8:10" x14ac:dyDescent="0.3">
      <c r="H3948" s="3"/>
      <c r="I3948" s="3"/>
      <c r="J3948" s="3"/>
    </row>
    <row r="3949" spans="8:10" x14ac:dyDescent="0.3">
      <c r="H3949" s="3"/>
      <c r="I3949" s="3"/>
      <c r="J3949" s="3"/>
    </row>
    <row r="3950" spans="8:10" x14ac:dyDescent="0.3">
      <c r="H3950" s="3"/>
      <c r="I3950" s="3"/>
      <c r="J3950" s="3"/>
    </row>
    <row r="3951" spans="8:10" x14ac:dyDescent="0.3">
      <c r="H3951" s="3"/>
      <c r="I3951" s="3"/>
      <c r="J3951" s="3"/>
    </row>
    <row r="3952" spans="8:10" x14ac:dyDescent="0.3">
      <c r="H3952" s="3"/>
      <c r="I3952" s="3"/>
      <c r="J3952" s="3"/>
    </row>
    <row r="3953" spans="8:10" x14ac:dyDescent="0.3">
      <c r="H3953" s="3"/>
      <c r="I3953" s="3"/>
      <c r="J3953" s="3"/>
    </row>
    <row r="3954" spans="8:10" x14ac:dyDescent="0.3">
      <c r="H3954" s="3"/>
      <c r="I3954" s="3"/>
      <c r="J3954" s="3"/>
    </row>
    <row r="3955" spans="8:10" x14ac:dyDescent="0.3">
      <c r="H3955" s="3"/>
      <c r="I3955" s="3"/>
      <c r="J3955" s="3"/>
    </row>
    <row r="3956" spans="8:10" x14ac:dyDescent="0.3">
      <c r="H3956" s="3"/>
      <c r="I3956" s="3"/>
      <c r="J3956" s="3"/>
    </row>
    <row r="3957" spans="8:10" x14ac:dyDescent="0.3">
      <c r="H3957" s="3"/>
      <c r="I3957" s="3"/>
      <c r="J3957" s="3"/>
    </row>
    <row r="3958" spans="8:10" x14ac:dyDescent="0.3">
      <c r="H3958" s="3"/>
      <c r="I3958" s="3"/>
      <c r="J3958" s="3"/>
    </row>
    <row r="3959" spans="8:10" x14ac:dyDescent="0.3">
      <c r="H3959" s="3"/>
      <c r="I3959" s="3"/>
      <c r="J3959" s="3"/>
    </row>
    <row r="3960" spans="8:10" x14ac:dyDescent="0.3">
      <c r="H3960" s="3"/>
      <c r="I3960" s="3"/>
      <c r="J3960" s="3"/>
    </row>
    <row r="3961" spans="8:10" x14ac:dyDescent="0.3">
      <c r="H3961" s="3"/>
      <c r="I3961" s="3"/>
      <c r="J3961" s="3"/>
    </row>
    <row r="3962" spans="8:10" x14ac:dyDescent="0.3">
      <c r="H3962" s="3"/>
      <c r="I3962" s="3"/>
      <c r="J3962" s="3"/>
    </row>
    <row r="3963" spans="8:10" x14ac:dyDescent="0.3">
      <c r="H3963" s="3"/>
      <c r="I3963" s="3"/>
      <c r="J3963" s="3"/>
    </row>
    <row r="3964" spans="8:10" x14ac:dyDescent="0.3">
      <c r="H3964" s="3"/>
      <c r="I3964" s="3"/>
      <c r="J3964" s="3"/>
    </row>
    <row r="3965" spans="8:10" x14ac:dyDescent="0.3">
      <c r="H3965" s="3"/>
      <c r="I3965" s="3"/>
      <c r="J3965" s="3"/>
    </row>
    <row r="3966" spans="8:10" x14ac:dyDescent="0.3">
      <c r="H3966" s="3"/>
      <c r="I3966" s="3"/>
      <c r="J3966" s="3"/>
    </row>
    <row r="3967" spans="8:10" x14ac:dyDescent="0.3">
      <c r="H3967" s="3"/>
      <c r="I3967" s="3"/>
      <c r="J3967" s="3"/>
    </row>
    <row r="3968" spans="8:10" x14ac:dyDescent="0.3">
      <c r="H3968" s="3"/>
      <c r="I3968" s="3"/>
      <c r="J3968" s="3"/>
    </row>
    <row r="3969" spans="8:10" x14ac:dyDescent="0.3">
      <c r="H3969" s="3"/>
      <c r="I3969" s="3"/>
      <c r="J3969" s="3"/>
    </row>
    <row r="3970" spans="8:10" x14ac:dyDescent="0.3">
      <c r="H3970" s="3"/>
      <c r="I3970" s="3"/>
      <c r="J3970" s="3"/>
    </row>
    <row r="3971" spans="8:10" x14ac:dyDescent="0.3">
      <c r="H3971" s="3"/>
      <c r="I3971" s="3"/>
      <c r="J3971" s="3"/>
    </row>
    <row r="3972" spans="8:10" x14ac:dyDescent="0.3">
      <c r="H3972" s="3"/>
      <c r="I3972" s="3"/>
      <c r="J3972" s="3"/>
    </row>
    <row r="3973" spans="8:10" x14ac:dyDescent="0.3">
      <c r="H3973" s="3"/>
      <c r="I3973" s="3"/>
      <c r="J3973" s="3"/>
    </row>
    <row r="3974" spans="8:10" x14ac:dyDescent="0.3">
      <c r="H3974" s="3"/>
      <c r="I3974" s="3"/>
      <c r="J3974" s="3"/>
    </row>
    <row r="3975" spans="8:10" x14ac:dyDescent="0.3">
      <c r="H3975" s="3"/>
      <c r="I3975" s="3"/>
      <c r="J3975" s="3"/>
    </row>
    <row r="3976" spans="8:10" x14ac:dyDescent="0.3">
      <c r="H3976" s="3"/>
      <c r="I3976" s="3"/>
      <c r="J3976" s="3"/>
    </row>
    <row r="3977" spans="8:10" x14ac:dyDescent="0.3">
      <c r="H3977" s="3"/>
      <c r="I3977" s="3"/>
      <c r="J3977" s="3"/>
    </row>
    <row r="3978" spans="8:10" x14ac:dyDescent="0.3">
      <c r="H3978" s="3"/>
      <c r="I3978" s="3"/>
      <c r="J3978" s="3"/>
    </row>
    <row r="3979" spans="8:10" x14ac:dyDescent="0.3">
      <c r="H3979" s="3"/>
      <c r="I3979" s="3"/>
      <c r="J3979" s="3"/>
    </row>
    <row r="3980" spans="8:10" x14ac:dyDescent="0.3">
      <c r="H3980" s="3"/>
      <c r="I3980" s="3"/>
      <c r="J3980" s="3"/>
    </row>
    <row r="3981" spans="8:10" x14ac:dyDescent="0.3">
      <c r="H3981" s="3"/>
      <c r="I3981" s="3"/>
      <c r="J3981" s="3"/>
    </row>
    <row r="3982" spans="8:10" x14ac:dyDescent="0.3">
      <c r="H3982" s="3"/>
      <c r="I3982" s="3"/>
      <c r="J3982" s="3"/>
    </row>
    <row r="3983" spans="8:10" x14ac:dyDescent="0.3">
      <c r="H3983" s="3"/>
      <c r="I3983" s="3"/>
      <c r="J3983" s="3"/>
    </row>
    <row r="3984" spans="8:10" x14ac:dyDescent="0.3">
      <c r="H3984" s="3"/>
      <c r="I3984" s="3"/>
      <c r="J3984" s="3"/>
    </row>
    <row r="3985" spans="8:10" x14ac:dyDescent="0.3">
      <c r="H3985" s="3"/>
      <c r="I3985" s="3"/>
      <c r="J3985" s="3"/>
    </row>
    <row r="3986" spans="8:10" x14ac:dyDescent="0.3">
      <c r="H3986" s="3"/>
      <c r="I3986" s="3"/>
      <c r="J3986" s="3"/>
    </row>
    <row r="3987" spans="8:10" x14ac:dyDescent="0.3">
      <c r="H3987" s="3"/>
      <c r="I3987" s="3"/>
      <c r="J3987" s="3"/>
    </row>
    <row r="3988" spans="8:10" x14ac:dyDescent="0.3">
      <c r="H3988" s="3"/>
      <c r="I3988" s="3"/>
      <c r="J3988" s="3"/>
    </row>
    <row r="3989" spans="8:10" x14ac:dyDescent="0.3">
      <c r="H3989" s="3"/>
      <c r="I3989" s="3"/>
      <c r="J3989" s="3"/>
    </row>
    <row r="3990" spans="8:10" x14ac:dyDescent="0.3">
      <c r="H3990" s="3"/>
      <c r="I3990" s="3"/>
      <c r="J3990" s="3"/>
    </row>
    <row r="3991" spans="8:10" x14ac:dyDescent="0.3">
      <c r="H3991" s="3"/>
      <c r="I3991" s="3"/>
      <c r="J3991" s="3"/>
    </row>
    <row r="3992" spans="8:10" x14ac:dyDescent="0.3">
      <c r="H3992" s="3"/>
      <c r="I3992" s="3"/>
      <c r="J3992" s="3"/>
    </row>
    <row r="3993" spans="8:10" x14ac:dyDescent="0.3">
      <c r="H3993" s="3"/>
      <c r="I3993" s="3"/>
      <c r="J3993" s="3"/>
    </row>
    <row r="3994" spans="8:10" x14ac:dyDescent="0.3">
      <c r="H3994" s="3"/>
      <c r="I3994" s="3"/>
      <c r="J3994" s="3"/>
    </row>
    <row r="3995" spans="8:10" x14ac:dyDescent="0.3">
      <c r="H3995" s="3"/>
      <c r="I3995" s="3"/>
      <c r="J3995" s="3"/>
    </row>
    <row r="3996" spans="8:10" x14ac:dyDescent="0.3">
      <c r="H3996" s="3"/>
      <c r="I3996" s="3"/>
      <c r="J3996" s="3"/>
    </row>
    <row r="3997" spans="8:10" x14ac:dyDescent="0.3">
      <c r="H3997" s="3"/>
      <c r="I3997" s="3"/>
      <c r="J3997" s="3"/>
    </row>
    <row r="3998" spans="8:10" x14ac:dyDescent="0.3">
      <c r="H3998" s="3"/>
      <c r="I3998" s="3"/>
      <c r="J3998" s="3"/>
    </row>
    <row r="3999" spans="8:10" x14ac:dyDescent="0.3">
      <c r="H3999" s="3"/>
      <c r="I3999" s="3"/>
      <c r="J3999" s="3"/>
    </row>
    <row r="4000" spans="8:10" x14ac:dyDescent="0.3">
      <c r="H4000" s="3"/>
      <c r="I4000" s="3"/>
      <c r="J4000" s="3"/>
    </row>
    <row r="4001" spans="8:10" x14ac:dyDescent="0.3">
      <c r="H4001" s="3"/>
      <c r="I4001" s="3"/>
      <c r="J4001" s="3"/>
    </row>
    <row r="4002" spans="8:10" x14ac:dyDescent="0.3">
      <c r="H4002" s="3"/>
      <c r="I4002" s="3"/>
      <c r="J4002" s="3"/>
    </row>
    <row r="4003" spans="8:10" x14ac:dyDescent="0.3">
      <c r="H4003" s="3"/>
      <c r="I4003" s="3"/>
      <c r="J4003" s="3"/>
    </row>
    <row r="4004" spans="8:10" x14ac:dyDescent="0.3">
      <c r="H4004" s="3"/>
      <c r="I4004" s="3"/>
      <c r="J4004" s="3"/>
    </row>
    <row r="4005" spans="8:10" x14ac:dyDescent="0.3">
      <c r="H4005" s="3"/>
      <c r="I4005" s="3"/>
      <c r="J4005" s="3"/>
    </row>
    <row r="4006" spans="8:10" x14ac:dyDescent="0.3">
      <c r="H4006" s="3"/>
      <c r="I4006" s="3"/>
      <c r="J4006" s="3"/>
    </row>
    <row r="4007" spans="8:10" x14ac:dyDescent="0.3">
      <c r="H4007" s="3"/>
      <c r="I4007" s="3"/>
      <c r="J4007" s="3"/>
    </row>
    <row r="4008" spans="8:10" x14ac:dyDescent="0.3">
      <c r="H4008" s="3"/>
      <c r="I4008" s="3"/>
      <c r="J4008" s="3"/>
    </row>
    <row r="4009" spans="8:10" x14ac:dyDescent="0.3">
      <c r="H4009" s="3"/>
      <c r="I4009" s="3"/>
      <c r="J4009" s="3"/>
    </row>
    <row r="4010" spans="8:10" x14ac:dyDescent="0.3">
      <c r="H4010" s="3"/>
      <c r="I4010" s="3"/>
      <c r="J4010" s="3"/>
    </row>
    <row r="4011" spans="8:10" x14ac:dyDescent="0.3">
      <c r="H4011" s="3"/>
      <c r="I4011" s="3"/>
      <c r="J4011" s="3"/>
    </row>
    <row r="4012" spans="8:10" x14ac:dyDescent="0.3">
      <c r="H4012" s="3"/>
      <c r="I4012" s="3"/>
      <c r="J4012" s="3"/>
    </row>
    <row r="4013" spans="8:10" x14ac:dyDescent="0.3">
      <c r="H4013" s="3"/>
      <c r="I4013" s="3"/>
      <c r="J4013" s="3"/>
    </row>
    <row r="4014" spans="8:10" x14ac:dyDescent="0.3">
      <c r="H4014" s="3"/>
      <c r="I4014" s="3"/>
      <c r="J4014" s="3"/>
    </row>
    <row r="4015" spans="8:10" x14ac:dyDescent="0.3">
      <c r="H4015" s="3"/>
      <c r="I4015" s="3"/>
      <c r="J4015" s="3"/>
    </row>
    <row r="4016" spans="8:10" x14ac:dyDescent="0.3">
      <c r="H4016" s="3"/>
      <c r="I4016" s="3"/>
      <c r="J4016" s="3"/>
    </row>
    <row r="4017" spans="8:10" x14ac:dyDescent="0.3">
      <c r="H4017" s="3"/>
      <c r="I4017" s="3"/>
      <c r="J4017" s="3"/>
    </row>
    <row r="4018" spans="8:10" x14ac:dyDescent="0.3">
      <c r="H4018" s="3"/>
      <c r="I4018" s="3"/>
      <c r="J4018" s="3"/>
    </row>
    <row r="4019" spans="8:10" x14ac:dyDescent="0.3">
      <c r="H4019" s="3"/>
      <c r="I4019" s="3"/>
      <c r="J4019" s="3"/>
    </row>
    <row r="4020" spans="8:10" x14ac:dyDescent="0.3">
      <c r="H4020" s="3"/>
      <c r="I4020" s="3"/>
      <c r="J4020" s="3"/>
    </row>
    <row r="4021" spans="8:10" x14ac:dyDescent="0.3">
      <c r="H4021" s="3"/>
      <c r="I4021" s="3"/>
      <c r="J4021" s="3"/>
    </row>
    <row r="4022" spans="8:10" x14ac:dyDescent="0.3">
      <c r="H4022" s="3"/>
      <c r="I4022" s="3"/>
      <c r="J4022" s="3"/>
    </row>
    <row r="4023" spans="8:10" x14ac:dyDescent="0.3">
      <c r="H4023" s="3"/>
      <c r="I4023" s="3"/>
      <c r="J4023" s="3"/>
    </row>
    <row r="4024" spans="8:10" x14ac:dyDescent="0.3">
      <c r="H4024" s="3"/>
      <c r="I4024" s="3"/>
      <c r="J4024" s="3"/>
    </row>
    <row r="4025" spans="8:10" x14ac:dyDescent="0.3">
      <c r="H4025" s="3"/>
      <c r="I4025" s="3"/>
      <c r="J4025" s="3"/>
    </row>
    <row r="4026" spans="8:10" x14ac:dyDescent="0.3">
      <c r="H4026" s="3"/>
      <c r="I4026" s="3"/>
      <c r="J4026" s="3"/>
    </row>
    <row r="4027" spans="8:10" x14ac:dyDescent="0.3">
      <c r="H4027" s="3"/>
      <c r="I4027" s="3"/>
      <c r="J4027" s="3"/>
    </row>
    <row r="4028" spans="8:10" x14ac:dyDescent="0.3">
      <c r="H4028" s="3"/>
      <c r="I4028" s="3"/>
      <c r="J4028" s="3"/>
    </row>
    <row r="4029" spans="8:10" x14ac:dyDescent="0.3">
      <c r="H4029" s="3"/>
      <c r="I4029" s="3"/>
      <c r="J4029" s="3"/>
    </row>
    <row r="4030" spans="8:10" x14ac:dyDescent="0.3">
      <c r="H4030" s="3"/>
      <c r="I4030" s="3"/>
      <c r="J4030" s="3"/>
    </row>
    <row r="4031" spans="8:10" x14ac:dyDescent="0.3">
      <c r="H4031" s="3"/>
      <c r="I4031" s="3"/>
      <c r="J4031" s="3"/>
    </row>
    <row r="4032" spans="8:10" x14ac:dyDescent="0.3">
      <c r="H4032" s="3"/>
      <c r="I4032" s="3"/>
      <c r="J4032" s="3"/>
    </row>
    <row r="4033" spans="8:10" x14ac:dyDescent="0.3">
      <c r="H4033" s="3"/>
      <c r="I4033" s="3"/>
      <c r="J4033" s="3"/>
    </row>
    <row r="4034" spans="8:10" x14ac:dyDescent="0.3">
      <c r="H4034" s="3"/>
      <c r="I4034" s="3"/>
      <c r="J4034" s="3"/>
    </row>
    <row r="4035" spans="8:10" x14ac:dyDescent="0.3">
      <c r="H4035" s="3"/>
      <c r="I4035" s="3"/>
      <c r="J4035" s="3"/>
    </row>
    <row r="4036" spans="8:10" x14ac:dyDescent="0.3">
      <c r="H4036" s="3"/>
      <c r="I4036" s="3"/>
      <c r="J4036" s="3"/>
    </row>
    <row r="4037" spans="8:10" x14ac:dyDescent="0.3">
      <c r="H4037" s="3"/>
      <c r="I4037" s="3"/>
      <c r="J4037" s="3"/>
    </row>
    <row r="4038" spans="8:10" x14ac:dyDescent="0.3">
      <c r="H4038" s="3"/>
      <c r="I4038" s="3"/>
      <c r="J4038" s="3"/>
    </row>
    <row r="4039" spans="8:10" x14ac:dyDescent="0.3">
      <c r="H4039" s="3"/>
      <c r="I4039" s="3"/>
      <c r="J4039" s="3"/>
    </row>
    <row r="4040" spans="8:10" x14ac:dyDescent="0.3">
      <c r="H4040" s="3"/>
      <c r="I4040" s="3"/>
      <c r="J4040" s="3"/>
    </row>
    <row r="4041" spans="8:10" x14ac:dyDescent="0.3">
      <c r="H4041" s="3"/>
      <c r="I4041" s="3"/>
      <c r="J4041" s="3"/>
    </row>
    <row r="4042" spans="8:10" x14ac:dyDescent="0.3">
      <c r="H4042" s="3"/>
      <c r="I4042" s="3"/>
      <c r="J4042" s="3"/>
    </row>
    <row r="4043" spans="8:10" x14ac:dyDescent="0.3">
      <c r="H4043" s="3"/>
      <c r="I4043" s="3"/>
      <c r="J4043" s="3"/>
    </row>
    <row r="4044" spans="8:10" x14ac:dyDescent="0.3">
      <c r="H4044" s="3"/>
      <c r="I4044" s="3"/>
      <c r="J4044" s="3"/>
    </row>
    <row r="4045" spans="8:10" x14ac:dyDescent="0.3">
      <c r="H4045" s="3"/>
      <c r="I4045" s="3"/>
      <c r="J4045" s="3"/>
    </row>
    <row r="4046" spans="8:10" x14ac:dyDescent="0.3">
      <c r="H4046" s="3"/>
      <c r="I4046" s="3"/>
      <c r="J4046" s="3"/>
    </row>
    <row r="4047" spans="8:10" x14ac:dyDescent="0.3">
      <c r="H4047" s="3"/>
      <c r="I4047" s="3"/>
      <c r="J4047" s="3"/>
    </row>
    <row r="4048" spans="8:10" x14ac:dyDescent="0.3">
      <c r="H4048" s="3"/>
      <c r="I4048" s="3"/>
      <c r="J4048" s="3"/>
    </row>
    <row r="4049" spans="8:10" x14ac:dyDescent="0.3">
      <c r="H4049" s="3"/>
      <c r="I4049" s="3"/>
      <c r="J4049" s="3"/>
    </row>
    <row r="4050" spans="8:10" x14ac:dyDescent="0.3">
      <c r="H4050" s="3"/>
      <c r="I4050" s="3"/>
      <c r="J4050" s="3"/>
    </row>
    <row r="4051" spans="8:10" x14ac:dyDescent="0.3">
      <c r="H4051" s="3"/>
      <c r="I4051" s="3"/>
      <c r="J4051" s="3"/>
    </row>
    <row r="4052" spans="8:10" x14ac:dyDescent="0.3">
      <c r="H4052" s="3"/>
      <c r="I4052" s="3"/>
      <c r="J4052" s="3"/>
    </row>
    <row r="4053" spans="8:10" x14ac:dyDescent="0.3">
      <c r="H4053" s="3"/>
      <c r="I4053" s="3"/>
      <c r="J4053" s="3"/>
    </row>
    <row r="4054" spans="8:10" x14ac:dyDescent="0.3">
      <c r="H4054" s="3"/>
      <c r="I4054" s="3"/>
      <c r="J4054" s="3"/>
    </row>
    <row r="4055" spans="8:10" x14ac:dyDescent="0.3">
      <c r="H4055" s="3"/>
      <c r="I4055" s="3"/>
      <c r="J4055" s="3"/>
    </row>
    <row r="4056" spans="8:10" x14ac:dyDescent="0.3">
      <c r="H4056" s="3"/>
      <c r="I4056" s="3"/>
      <c r="J4056" s="3"/>
    </row>
    <row r="4057" spans="8:10" x14ac:dyDescent="0.3">
      <c r="H4057" s="3"/>
      <c r="I4057" s="3"/>
      <c r="J4057" s="3"/>
    </row>
    <row r="4058" spans="8:10" x14ac:dyDescent="0.3">
      <c r="H4058" s="3"/>
      <c r="I4058" s="3"/>
      <c r="J4058" s="3"/>
    </row>
    <row r="4059" spans="8:10" x14ac:dyDescent="0.3">
      <c r="H4059" s="3"/>
      <c r="I4059" s="3"/>
      <c r="J4059" s="3"/>
    </row>
    <row r="4060" spans="8:10" x14ac:dyDescent="0.3">
      <c r="H4060" s="3"/>
      <c r="I4060" s="3"/>
      <c r="J4060" s="3"/>
    </row>
    <row r="4061" spans="8:10" x14ac:dyDescent="0.3">
      <c r="H4061" s="3"/>
      <c r="I4061" s="3"/>
      <c r="J4061" s="3"/>
    </row>
    <row r="4062" spans="8:10" x14ac:dyDescent="0.3">
      <c r="H4062" s="3"/>
      <c r="I4062" s="3"/>
      <c r="J4062" s="3"/>
    </row>
    <row r="4063" spans="8:10" x14ac:dyDescent="0.3">
      <c r="H4063" s="3"/>
      <c r="I4063" s="3"/>
      <c r="J4063" s="3"/>
    </row>
    <row r="4064" spans="8:10" x14ac:dyDescent="0.3">
      <c r="H4064" s="3"/>
      <c r="I4064" s="3"/>
      <c r="J4064" s="3"/>
    </row>
    <row r="4065" spans="8:10" x14ac:dyDescent="0.3">
      <c r="H4065" s="3"/>
      <c r="I4065" s="3"/>
      <c r="J4065" s="3"/>
    </row>
    <row r="4066" spans="8:10" x14ac:dyDescent="0.3">
      <c r="H4066" s="3"/>
      <c r="I4066" s="3"/>
      <c r="J4066" s="3"/>
    </row>
    <row r="4067" spans="8:10" x14ac:dyDescent="0.3">
      <c r="H4067" s="3"/>
      <c r="I4067" s="3"/>
      <c r="J4067" s="3"/>
    </row>
    <row r="4068" spans="8:10" x14ac:dyDescent="0.3">
      <c r="H4068" s="3"/>
      <c r="I4068" s="3"/>
      <c r="J4068" s="3"/>
    </row>
    <row r="4069" spans="8:10" x14ac:dyDescent="0.3">
      <c r="H4069" s="3"/>
      <c r="I4069" s="3"/>
      <c r="J4069" s="3"/>
    </row>
    <row r="4070" spans="8:10" x14ac:dyDescent="0.3">
      <c r="H4070" s="3"/>
      <c r="I4070" s="3"/>
      <c r="J4070" s="3"/>
    </row>
    <row r="4071" spans="8:10" x14ac:dyDescent="0.3">
      <c r="H4071" s="3"/>
      <c r="I4071" s="3"/>
      <c r="J4071" s="3"/>
    </row>
    <row r="4072" spans="8:10" x14ac:dyDescent="0.3">
      <c r="H4072" s="3"/>
      <c r="I4072" s="3"/>
      <c r="J4072" s="3"/>
    </row>
    <row r="4073" spans="8:10" x14ac:dyDescent="0.3">
      <c r="H4073" s="3"/>
      <c r="I4073" s="3"/>
      <c r="J4073" s="3"/>
    </row>
    <row r="4074" spans="8:10" x14ac:dyDescent="0.3">
      <c r="H4074" s="3"/>
      <c r="I4074" s="3"/>
      <c r="J4074" s="3"/>
    </row>
    <row r="4075" spans="8:10" x14ac:dyDescent="0.3">
      <c r="H4075" s="3"/>
      <c r="I4075" s="3"/>
      <c r="J4075" s="3"/>
    </row>
    <row r="4076" spans="8:10" x14ac:dyDescent="0.3">
      <c r="H4076" s="3"/>
      <c r="I4076" s="3"/>
      <c r="J4076" s="3"/>
    </row>
    <row r="4077" spans="8:10" x14ac:dyDescent="0.3">
      <c r="H4077" s="3"/>
      <c r="I4077" s="3"/>
      <c r="J4077" s="3"/>
    </row>
    <row r="4078" spans="8:10" x14ac:dyDescent="0.3">
      <c r="H4078" s="3"/>
      <c r="I4078" s="3"/>
      <c r="J4078" s="3"/>
    </row>
    <row r="4079" spans="8:10" x14ac:dyDescent="0.3">
      <c r="H4079" s="3"/>
      <c r="I4079" s="3"/>
      <c r="J4079" s="3"/>
    </row>
    <row r="4080" spans="8:10" x14ac:dyDescent="0.3">
      <c r="H4080" s="3"/>
      <c r="I4080" s="3"/>
      <c r="J4080" s="3"/>
    </row>
    <row r="4081" spans="8:10" x14ac:dyDescent="0.3">
      <c r="H4081" s="3"/>
      <c r="I4081" s="3"/>
      <c r="J4081" s="3"/>
    </row>
    <row r="4082" spans="8:10" x14ac:dyDescent="0.3">
      <c r="H4082" s="3"/>
      <c r="I4082" s="3"/>
      <c r="J4082" s="3"/>
    </row>
    <row r="4083" spans="8:10" x14ac:dyDescent="0.3">
      <c r="H4083" s="3"/>
      <c r="I4083" s="3"/>
      <c r="J4083" s="3"/>
    </row>
    <row r="4084" spans="8:10" x14ac:dyDescent="0.3">
      <c r="H4084" s="3"/>
      <c r="I4084" s="3"/>
      <c r="J4084" s="3"/>
    </row>
    <row r="4085" spans="8:10" x14ac:dyDescent="0.3">
      <c r="H4085" s="3"/>
      <c r="I4085" s="3"/>
      <c r="J4085" s="3"/>
    </row>
    <row r="4086" spans="8:10" x14ac:dyDescent="0.3">
      <c r="H4086" s="3"/>
      <c r="I4086" s="3"/>
      <c r="J4086" s="3"/>
    </row>
    <row r="4087" spans="8:10" x14ac:dyDescent="0.3">
      <c r="H4087" s="3"/>
      <c r="I4087" s="3"/>
      <c r="J4087" s="3"/>
    </row>
    <row r="4088" spans="8:10" x14ac:dyDescent="0.3">
      <c r="H4088" s="3"/>
      <c r="I4088" s="3"/>
      <c r="J4088" s="3"/>
    </row>
    <row r="4089" spans="8:10" x14ac:dyDescent="0.3">
      <c r="H4089" s="3"/>
      <c r="I4089" s="3"/>
      <c r="J4089" s="3"/>
    </row>
    <row r="4090" spans="8:10" x14ac:dyDescent="0.3">
      <c r="H4090" s="3"/>
      <c r="I4090" s="3"/>
      <c r="J4090" s="3"/>
    </row>
    <row r="4091" spans="8:10" x14ac:dyDescent="0.3">
      <c r="H4091" s="3"/>
      <c r="I4091" s="3"/>
      <c r="J4091" s="3"/>
    </row>
    <row r="4092" spans="8:10" x14ac:dyDescent="0.3">
      <c r="H4092" s="3"/>
      <c r="I4092" s="3"/>
      <c r="J4092" s="3"/>
    </row>
    <row r="4093" spans="8:10" x14ac:dyDescent="0.3">
      <c r="H4093" s="3"/>
      <c r="I4093" s="3"/>
      <c r="J4093" s="3"/>
    </row>
    <row r="4094" spans="8:10" x14ac:dyDescent="0.3">
      <c r="H4094" s="3"/>
      <c r="I4094" s="3"/>
      <c r="J4094" s="3"/>
    </row>
    <row r="4095" spans="8:10" x14ac:dyDescent="0.3">
      <c r="H4095" s="3"/>
      <c r="I4095" s="3"/>
      <c r="J4095" s="3"/>
    </row>
    <row r="4096" spans="8:10" x14ac:dyDescent="0.3">
      <c r="H4096" s="3"/>
      <c r="I4096" s="3"/>
      <c r="J4096" s="3"/>
    </row>
    <row r="4097" spans="8:10" x14ac:dyDescent="0.3">
      <c r="H4097" s="3"/>
      <c r="I4097" s="3"/>
      <c r="J4097" s="3"/>
    </row>
    <row r="4098" spans="8:10" x14ac:dyDescent="0.3">
      <c r="H4098" s="3"/>
      <c r="I4098" s="3"/>
      <c r="J4098" s="3"/>
    </row>
    <row r="4099" spans="8:10" x14ac:dyDescent="0.3">
      <c r="H4099" s="3"/>
      <c r="I4099" s="3"/>
      <c r="J4099" s="3"/>
    </row>
    <row r="4100" spans="8:10" x14ac:dyDescent="0.3">
      <c r="H4100" s="3"/>
      <c r="I4100" s="3"/>
      <c r="J4100" s="3"/>
    </row>
    <row r="4101" spans="8:10" x14ac:dyDescent="0.3">
      <c r="H4101" s="3"/>
      <c r="I4101" s="3"/>
      <c r="J4101" s="3"/>
    </row>
    <row r="4102" spans="8:10" x14ac:dyDescent="0.3">
      <c r="H4102" s="3"/>
      <c r="I4102" s="3"/>
      <c r="J4102" s="3"/>
    </row>
    <row r="4103" spans="8:10" x14ac:dyDescent="0.3">
      <c r="H4103" s="3"/>
      <c r="I4103" s="3"/>
      <c r="J4103" s="3"/>
    </row>
    <row r="4104" spans="8:10" x14ac:dyDescent="0.3">
      <c r="H4104" s="3"/>
      <c r="I4104" s="3"/>
      <c r="J4104" s="3"/>
    </row>
    <row r="4105" spans="8:10" x14ac:dyDescent="0.3">
      <c r="H4105" s="3"/>
      <c r="I4105" s="3"/>
      <c r="J4105" s="3"/>
    </row>
    <row r="4106" spans="8:10" x14ac:dyDescent="0.3">
      <c r="H4106" s="3"/>
      <c r="I4106" s="3"/>
      <c r="J4106" s="3"/>
    </row>
    <row r="4107" spans="8:10" x14ac:dyDescent="0.3">
      <c r="H4107" s="3"/>
      <c r="I4107" s="3"/>
      <c r="J4107" s="3"/>
    </row>
    <row r="4108" spans="8:10" x14ac:dyDescent="0.3">
      <c r="H4108" s="3"/>
      <c r="I4108" s="3"/>
      <c r="J4108" s="3"/>
    </row>
    <row r="4109" spans="8:10" x14ac:dyDescent="0.3">
      <c r="H4109" s="3"/>
      <c r="I4109" s="3"/>
      <c r="J4109" s="3"/>
    </row>
    <row r="4110" spans="8:10" x14ac:dyDescent="0.3">
      <c r="H4110" s="3"/>
      <c r="I4110" s="3"/>
      <c r="J4110" s="3"/>
    </row>
    <row r="4111" spans="8:10" x14ac:dyDescent="0.3">
      <c r="H4111" s="3"/>
      <c r="I4111" s="3"/>
      <c r="J4111" s="3"/>
    </row>
    <row r="4112" spans="8:10" x14ac:dyDescent="0.3">
      <c r="H4112" s="3"/>
      <c r="I4112" s="3"/>
      <c r="J4112" s="3"/>
    </row>
    <row r="4113" spans="8:10" x14ac:dyDescent="0.3">
      <c r="H4113" s="3"/>
      <c r="I4113" s="3"/>
      <c r="J4113" s="3"/>
    </row>
    <row r="4114" spans="8:10" x14ac:dyDescent="0.3">
      <c r="H4114" s="3"/>
      <c r="I4114" s="3"/>
      <c r="J4114" s="3"/>
    </row>
    <row r="4115" spans="8:10" x14ac:dyDescent="0.3">
      <c r="H4115" s="3"/>
      <c r="I4115" s="3"/>
      <c r="J4115" s="3"/>
    </row>
    <row r="4116" spans="8:10" x14ac:dyDescent="0.3">
      <c r="H4116" s="3"/>
      <c r="I4116" s="3"/>
      <c r="J4116" s="3"/>
    </row>
    <row r="4117" spans="8:10" x14ac:dyDescent="0.3">
      <c r="H4117" s="3"/>
      <c r="I4117" s="3"/>
      <c r="J4117" s="3"/>
    </row>
    <row r="4118" spans="8:10" x14ac:dyDescent="0.3">
      <c r="H4118" s="3"/>
      <c r="I4118" s="3"/>
      <c r="J4118" s="3"/>
    </row>
    <row r="4119" spans="8:10" x14ac:dyDescent="0.3">
      <c r="H4119" s="3"/>
      <c r="I4119" s="3"/>
      <c r="J4119" s="3"/>
    </row>
    <row r="4120" spans="8:10" x14ac:dyDescent="0.3">
      <c r="H4120" s="3"/>
      <c r="I4120" s="3"/>
      <c r="J4120" s="3"/>
    </row>
    <row r="4121" spans="8:10" x14ac:dyDescent="0.3">
      <c r="H4121" s="3"/>
      <c r="I4121" s="3"/>
      <c r="J4121" s="3"/>
    </row>
    <row r="4122" spans="8:10" x14ac:dyDescent="0.3">
      <c r="H4122" s="3"/>
      <c r="I4122" s="3"/>
      <c r="J4122" s="3"/>
    </row>
    <row r="4123" spans="8:10" x14ac:dyDescent="0.3">
      <c r="H4123" s="3"/>
      <c r="I4123" s="3"/>
      <c r="J4123" s="3"/>
    </row>
    <row r="4124" spans="8:10" x14ac:dyDescent="0.3">
      <c r="H4124" s="3"/>
      <c r="I4124" s="3"/>
      <c r="J4124" s="3"/>
    </row>
    <row r="4125" spans="8:10" x14ac:dyDescent="0.3">
      <c r="H4125" s="3"/>
      <c r="I4125" s="3"/>
      <c r="J4125" s="3"/>
    </row>
    <row r="4126" spans="8:10" x14ac:dyDescent="0.3">
      <c r="H4126" s="3"/>
      <c r="I4126" s="3"/>
      <c r="J4126" s="3"/>
    </row>
    <row r="4127" spans="8:10" x14ac:dyDescent="0.3">
      <c r="H4127" s="3"/>
      <c r="I4127" s="3"/>
      <c r="J4127" s="3"/>
    </row>
    <row r="4128" spans="8:10" x14ac:dyDescent="0.3">
      <c r="H4128" s="3"/>
      <c r="I4128" s="3"/>
      <c r="J4128" s="3"/>
    </row>
    <row r="4129" spans="8:10" x14ac:dyDescent="0.3">
      <c r="H4129" s="3"/>
      <c r="I4129" s="3"/>
      <c r="J4129" s="3"/>
    </row>
    <row r="4130" spans="8:10" x14ac:dyDescent="0.3">
      <c r="H4130" s="3"/>
      <c r="I4130" s="3"/>
      <c r="J4130" s="3"/>
    </row>
    <row r="4131" spans="8:10" x14ac:dyDescent="0.3">
      <c r="H4131" s="3"/>
      <c r="I4131" s="3"/>
      <c r="J4131" s="3"/>
    </row>
    <row r="4132" spans="8:10" x14ac:dyDescent="0.3">
      <c r="H4132" s="3"/>
      <c r="I4132" s="3"/>
      <c r="J4132" s="3"/>
    </row>
    <row r="4133" spans="8:10" x14ac:dyDescent="0.3">
      <c r="H4133" s="3"/>
      <c r="I4133" s="3"/>
      <c r="J4133" s="3"/>
    </row>
    <row r="4134" spans="8:10" x14ac:dyDescent="0.3">
      <c r="H4134" s="3"/>
      <c r="I4134" s="3"/>
      <c r="J4134" s="3"/>
    </row>
    <row r="4135" spans="8:10" x14ac:dyDescent="0.3">
      <c r="H4135" s="3"/>
      <c r="I4135" s="3"/>
      <c r="J4135" s="3"/>
    </row>
    <row r="4136" spans="8:10" x14ac:dyDescent="0.3">
      <c r="H4136" s="3"/>
      <c r="I4136" s="3"/>
      <c r="J4136" s="3"/>
    </row>
    <row r="4137" spans="8:10" x14ac:dyDescent="0.3">
      <c r="H4137" s="3"/>
      <c r="I4137" s="3"/>
      <c r="J4137" s="3"/>
    </row>
    <row r="4138" spans="8:10" x14ac:dyDescent="0.3">
      <c r="H4138" s="3"/>
      <c r="I4138" s="3"/>
      <c r="J4138" s="3"/>
    </row>
    <row r="4139" spans="8:10" x14ac:dyDescent="0.3">
      <c r="H4139" s="3"/>
      <c r="I4139" s="3"/>
      <c r="J4139" s="3"/>
    </row>
    <row r="4140" spans="8:10" x14ac:dyDescent="0.3">
      <c r="H4140" s="3"/>
      <c r="I4140" s="3"/>
      <c r="J4140" s="3"/>
    </row>
    <row r="4141" spans="8:10" x14ac:dyDescent="0.3">
      <c r="H4141" s="3"/>
      <c r="I4141" s="3"/>
      <c r="J4141" s="3"/>
    </row>
    <row r="4142" spans="8:10" x14ac:dyDescent="0.3">
      <c r="H4142" s="3"/>
      <c r="I4142" s="3"/>
      <c r="J4142" s="3"/>
    </row>
    <row r="4143" spans="8:10" x14ac:dyDescent="0.3">
      <c r="H4143" s="3"/>
      <c r="I4143" s="3"/>
      <c r="J4143" s="3"/>
    </row>
    <row r="4144" spans="8:10" x14ac:dyDescent="0.3">
      <c r="H4144" s="3"/>
      <c r="I4144" s="3"/>
      <c r="J4144" s="3"/>
    </row>
    <row r="4145" spans="8:10" x14ac:dyDescent="0.3">
      <c r="H4145" s="3"/>
      <c r="I4145" s="3"/>
      <c r="J4145" s="3"/>
    </row>
    <row r="4146" spans="8:10" x14ac:dyDescent="0.3">
      <c r="H4146" s="3"/>
      <c r="I4146" s="3"/>
      <c r="J4146" s="3"/>
    </row>
    <row r="4147" spans="8:10" x14ac:dyDescent="0.3">
      <c r="H4147" s="3"/>
      <c r="I4147" s="3"/>
      <c r="J4147" s="3"/>
    </row>
    <row r="4148" spans="8:10" x14ac:dyDescent="0.3">
      <c r="H4148" s="3"/>
      <c r="I4148" s="3"/>
      <c r="J4148" s="3"/>
    </row>
    <row r="4149" spans="8:10" x14ac:dyDescent="0.3">
      <c r="H4149" s="3"/>
      <c r="I4149" s="3"/>
      <c r="J4149" s="3"/>
    </row>
    <row r="4150" spans="8:10" x14ac:dyDescent="0.3">
      <c r="H4150" s="3"/>
      <c r="I4150" s="3"/>
      <c r="J4150" s="3"/>
    </row>
    <row r="4151" spans="8:10" x14ac:dyDescent="0.3">
      <c r="H4151" s="3"/>
      <c r="I4151" s="3"/>
      <c r="J4151" s="3"/>
    </row>
    <row r="4152" spans="8:10" x14ac:dyDescent="0.3">
      <c r="H4152" s="3"/>
      <c r="I4152" s="3"/>
      <c r="J4152" s="3"/>
    </row>
    <row r="4153" spans="8:10" x14ac:dyDescent="0.3">
      <c r="H4153" s="3"/>
      <c r="I4153" s="3"/>
      <c r="J4153" s="3"/>
    </row>
    <row r="4154" spans="8:10" x14ac:dyDescent="0.3">
      <c r="H4154" s="3"/>
      <c r="I4154" s="3"/>
      <c r="J4154" s="3"/>
    </row>
    <row r="4155" spans="8:10" x14ac:dyDescent="0.3">
      <c r="H4155" s="3"/>
      <c r="I4155" s="3"/>
      <c r="J4155" s="3"/>
    </row>
    <row r="4156" spans="8:10" x14ac:dyDescent="0.3">
      <c r="H4156" s="3"/>
      <c r="I4156" s="3"/>
      <c r="J4156" s="3"/>
    </row>
    <row r="4157" spans="8:10" x14ac:dyDescent="0.3">
      <c r="H4157" s="3"/>
      <c r="I4157" s="3"/>
      <c r="J4157" s="3"/>
    </row>
    <row r="4158" spans="8:10" x14ac:dyDescent="0.3">
      <c r="H4158" s="3"/>
      <c r="I4158" s="3"/>
      <c r="J4158" s="3"/>
    </row>
    <row r="4159" spans="8:10" x14ac:dyDescent="0.3">
      <c r="H4159" s="3"/>
      <c r="I4159" s="3"/>
      <c r="J4159" s="3"/>
    </row>
    <row r="4160" spans="8:10" x14ac:dyDescent="0.3">
      <c r="H4160" s="3"/>
      <c r="I4160" s="3"/>
      <c r="J4160" s="3"/>
    </row>
    <row r="4161" spans="8:10" x14ac:dyDescent="0.3">
      <c r="H4161" s="3"/>
      <c r="I4161" s="3"/>
      <c r="J4161" s="3"/>
    </row>
    <row r="4162" spans="8:10" x14ac:dyDescent="0.3">
      <c r="H4162" s="3"/>
      <c r="I4162" s="3"/>
      <c r="J4162" s="3"/>
    </row>
    <row r="4163" spans="8:10" x14ac:dyDescent="0.3">
      <c r="H4163" s="3"/>
      <c r="I4163" s="3"/>
      <c r="J4163" s="3"/>
    </row>
    <row r="4164" spans="8:10" x14ac:dyDescent="0.3">
      <c r="H4164" s="3"/>
      <c r="I4164" s="3"/>
      <c r="J4164" s="3"/>
    </row>
    <row r="4165" spans="8:10" x14ac:dyDescent="0.3">
      <c r="H4165" s="3"/>
      <c r="I4165" s="3"/>
      <c r="J4165" s="3"/>
    </row>
    <row r="4166" spans="8:10" x14ac:dyDescent="0.3">
      <c r="H4166" s="3"/>
      <c r="I4166" s="3"/>
      <c r="J4166" s="3"/>
    </row>
    <row r="4167" spans="8:10" x14ac:dyDescent="0.3">
      <c r="H4167" s="3"/>
      <c r="I4167" s="3"/>
      <c r="J4167" s="3"/>
    </row>
    <row r="4168" spans="8:10" x14ac:dyDescent="0.3">
      <c r="H4168" s="3"/>
      <c r="I4168" s="3"/>
      <c r="J4168" s="3"/>
    </row>
    <row r="4169" spans="8:10" x14ac:dyDescent="0.3">
      <c r="H4169" s="3"/>
      <c r="I4169" s="3"/>
      <c r="J4169" s="3"/>
    </row>
    <row r="4170" spans="8:10" x14ac:dyDescent="0.3">
      <c r="H4170" s="3"/>
      <c r="I4170" s="3"/>
      <c r="J4170" s="3"/>
    </row>
    <row r="4171" spans="8:10" x14ac:dyDescent="0.3">
      <c r="H4171" s="3"/>
      <c r="I4171" s="3"/>
      <c r="J4171" s="3"/>
    </row>
    <row r="4172" spans="8:10" x14ac:dyDescent="0.3">
      <c r="H4172" s="3"/>
      <c r="I4172" s="3"/>
      <c r="J4172" s="3"/>
    </row>
    <row r="4173" spans="8:10" x14ac:dyDescent="0.3">
      <c r="H4173" s="3"/>
      <c r="I4173" s="3"/>
      <c r="J4173" s="3"/>
    </row>
    <row r="4174" spans="8:10" x14ac:dyDescent="0.3">
      <c r="H4174" s="3"/>
      <c r="I4174" s="3"/>
      <c r="J4174" s="3"/>
    </row>
    <row r="4175" spans="8:10" x14ac:dyDescent="0.3">
      <c r="H4175" s="3"/>
      <c r="I4175" s="3"/>
      <c r="J4175" s="3"/>
    </row>
    <row r="4176" spans="8:10" x14ac:dyDescent="0.3">
      <c r="H4176" s="3"/>
      <c r="I4176" s="3"/>
      <c r="J4176" s="3"/>
    </row>
    <row r="4177" spans="8:10" x14ac:dyDescent="0.3">
      <c r="H4177" s="3"/>
      <c r="I4177" s="3"/>
      <c r="J4177" s="3"/>
    </row>
    <row r="4178" spans="8:10" x14ac:dyDescent="0.3">
      <c r="H4178" s="3"/>
      <c r="I4178" s="3"/>
      <c r="J4178" s="3"/>
    </row>
    <row r="4179" spans="8:10" x14ac:dyDescent="0.3">
      <c r="H4179" s="3"/>
      <c r="I4179" s="3"/>
      <c r="J4179" s="3"/>
    </row>
    <row r="4180" spans="8:10" x14ac:dyDescent="0.3">
      <c r="H4180" s="3"/>
      <c r="I4180" s="3"/>
      <c r="J4180" s="3"/>
    </row>
    <row r="4181" spans="8:10" x14ac:dyDescent="0.3">
      <c r="H4181" s="3"/>
      <c r="I4181" s="3"/>
      <c r="J4181" s="3"/>
    </row>
    <row r="4182" spans="8:10" x14ac:dyDescent="0.3">
      <c r="H4182" s="3"/>
      <c r="I4182" s="3"/>
      <c r="J4182" s="3"/>
    </row>
    <row r="4183" spans="8:10" x14ac:dyDescent="0.3">
      <c r="H4183" s="3"/>
      <c r="I4183" s="3"/>
      <c r="J4183" s="3"/>
    </row>
    <row r="4184" spans="8:10" x14ac:dyDescent="0.3">
      <c r="H4184" s="3"/>
      <c r="I4184" s="3"/>
      <c r="J4184" s="3"/>
    </row>
    <row r="4185" spans="8:10" x14ac:dyDescent="0.3">
      <c r="H4185" s="3"/>
      <c r="I4185" s="3"/>
      <c r="J4185" s="3"/>
    </row>
    <row r="4186" spans="8:10" x14ac:dyDescent="0.3">
      <c r="H4186" s="3"/>
      <c r="I4186" s="3"/>
      <c r="J4186" s="3"/>
    </row>
    <row r="4187" spans="8:10" x14ac:dyDescent="0.3">
      <c r="H4187" s="3"/>
      <c r="I4187" s="3"/>
      <c r="J4187" s="3"/>
    </row>
    <row r="4188" spans="8:10" x14ac:dyDescent="0.3">
      <c r="H4188" s="3"/>
      <c r="I4188" s="3"/>
      <c r="J4188" s="3"/>
    </row>
    <row r="4189" spans="8:10" x14ac:dyDescent="0.3">
      <c r="H4189" s="3"/>
      <c r="I4189" s="3"/>
      <c r="J4189" s="3"/>
    </row>
    <row r="4190" spans="8:10" x14ac:dyDescent="0.3">
      <c r="H4190" s="3"/>
      <c r="I4190" s="3"/>
      <c r="J4190" s="3"/>
    </row>
    <row r="4191" spans="8:10" x14ac:dyDescent="0.3">
      <c r="H4191" s="3"/>
      <c r="I4191" s="3"/>
      <c r="J4191" s="3"/>
    </row>
    <row r="4192" spans="8:10" x14ac:dyDescent="0.3">
      <c r="H4192" s="3"/>
      <c r="I4192" s="3"/>
      <c r="J4192" s="3"/>
    </row>
    <row r="4193" spans="8:10" x14ac:dyDescent="0.3">
      <c r="H4193" s="3"/>
      <c r="I4193" s="3"/>
      <c r="J4193" s="3"/>
    </row>
    <row r="4194" spans="8:10" x14ac:dyDescent="0.3">
      <c r="H4194" s="3"/>
      <c r="I4194" s="3"/>
      <c r="J4194" s="3"/>
    </row>
    <row r="4195" spans="8:10" x14ac:dyDescent="0.3">
      <c r="H4195" s="3"/>
      <c r="I4195" s="3"/>
      <c r="J4195" s="3"/>
    </row>
    <row r="4196" spans="8:10" x14ac:dyDescent="0.3">
      <c r="H4196" s="3"/>
      <c r="I4196" s="3"/>
      <c r="J4196" s="3"/>
    </row>
    <row r="4197" spans="8:10" x14ac:dyDescent="0.3">
      <c r="H4197" s="3"/>
      <c r="I4197" s="3"/>
      <c r="J4197" s="3"/>
    </row>
    <row r="4198" spans="8:10" x14ac:dyDescent="0.3">
      <c r="H4198" s="3"/>
      <c r="I4198" s="3"/>
      <c r="J4198" s="3"/>
    </row>
    <row r="4199" spans="8:10" x14ac:dyDescent="0.3">
      <c r="H4199" s="3"/>
      <c r="I4199" s="3"/>
      <c r="J4199" s="3"/>
    </row>
    <row r="4200" spans="8:10" x14ac:dyDescent="0.3">
      <c r="H4200" s="3"/>
      <c r="I4200" s="3"/>
      <c r="J4200" s="3"/>
    </row>
    <row r="4201" spans="8:10" x14ac:dyDescent="0.3">
      <c r="H4201" s="3"/>
      <c r="I4201" s="3"/>
      <c r="J4201" s="3"/>
    </row>
    <row r="4202" spans="8:10" x14ac:dyDescent="0.3">
      <c r="H4202" s="3"/>
      <c r="I4202" s="3"/>
      <c r="J4202" s="3"/>
    </row>
    <row r="4203" spans="8:10" x14ac:dyDescent="0.3">
      <c r="H4203" s="3"/>
      <c r="I4203" s="3"/>
      <c r="J4203" s="3"/>
    </row>
    <row r="4204" spans="8:10" x14ac:dyDescent="0.3">
      <c r="H4204" s="3"/>
      <c r="I4204" s="3"/>
      <c r="J4204" s="3"/>
    </row>
    <row r="4205" spans="8:10" x14ac:dyDescent="0.3">
      <c r="H4205" s="3"/>
      <c r="I4205" s="3"/>
      <c r="J4205" s="3"/>
    </row>
    <row r="4206" spans="8:10" x14ac:dyDescent="0.3">
      <c r="H4206" s="3"/>
      <c r="I4206" s="3"/>
      <c r="J4206" s="3"/>
    </row>
    <row r="4207" spans="8:10" x14ac:dyDescent="0.3">
      <c r="H4207" s="3"/>
      <c r="I4207" s="3"/>
      <c r="J4207" s="3"/>
    </row>
    <row r="4208" spans="8:10" x14ac:dyDescent="0.3">
      <c r="H4208" s="3"/>
      <c r="I4208" s="3"/>
      <c r="J4208" s="3"/>
    </row>
    <row r="4209" spans="8:10" x14ac:dyDescent="0.3">
      <c r="H4209" s="3"/>
      <c r="I4209" s="3"/>
      <c r="J4209" s="3"/>
    </row>
    <row r="4210" spans="8:10" x14ac:dyDescent="0.3">
      <c r="H4210" s="3"/>
      <c r="I4210" s="3"/>
      <c r="J4210" s="3"/>
    </row>
    <row r="4211" spans="8:10" x14ac:dyDescent="0.3">
      <c r="H4211" s="3"/>
      <c r="I4211" s="3"/>
      <c r="J4211" s="3"/>
    </row>
    <row r="4212" spans="8:10" x14ac:dyDescent="0.3">
      <c r="H4212" s="3"/>
      <c r="I4212" s="3"/>
      <c r="J4212" s="3"/>
    </row>
    <row r="4213" spans="8:10" x14ac:dyDescent="0.3">
      <c r="H4213" s="3"/>
      <c r="I4213" s="3"/>
      <c r="J4213" s="3"/>
    </row>
    <row r="4214" spans="8:10" x14ac:dyDescent="0.3">
      <c r="H4214" s="3"/>
      <c r="I4214" s="3"/>
      <c r="J4214" s="3"/>
    </row>
    <row r="4215" spans="8:10" x14ac:dyDescent="0.3">
      <c r="H4215" s="3"/>
      <c r="I4215" s="3"/>
      <c r="J4215" s="3"/>
    </row>
    <row r="4216" spans="8:10" x14ac:dyDescent="0.3">
      <c r="H4216" s="3"/>
      <c r="I4216" s="3"/>
      <c r="J4216" s="3"/>
    </row>
    <row r="4217" spans="8:10" x14ac:dyDescent="0.3">
      <c r="H4217" s="3"/>
      <c r="I4217" s="3"/>
      <c r="J4217" s="3"/>
    </row>
    <row r="4218" spans="8:10" x14ac:dyDescent="0.3">
      <c r="H4218" s="3"/>
      <c r="I4218" s="3"/>
      <c r="J4218" s="3"/>
    </row>
    <row r="4219" spans="8:10" x14ac:dyDescent="0.3">
      <c r="H4219" s="3"/>
      <c r="I4219" s="3"/>
      <c r="J4219" s="3"/>
    </row>
    <row r="4220" spans="8:10" x14ac:dyDescent="0.3">
      <c r="H4220" s="3"/>
      <c r="I4220" s="3"/>
      <c r="J4220" s="3"/>
    </row>
    <row r="4221" spans="8:10" x14ac:dyDescent="0.3">
      <c r="H4221" s="3"/>
      <c r="I4221" s="3"/>
      <c r="J4221" s="3"/>
    </row>
    <row r="4222" spans="8:10" x14ac:dyDescent="0.3">
      <c r="H4222" s="3"/>
      <c r="I4222" s="3"/>
      <c r="J4222" s="3"/>
    </row>
    <row r="4223" spans="8:10" x14ac:dyDescent="0.3">
      <c r="H4223" s="3"/>
      <c r="I4223" s="3"/>
      <c r="J4223" s="3"/>
    </row>
    <row r="4224" spans="8:10" x14ac:dyDescent="0.3">
      <c r="H4224" s="3"/>
      <c r="I4224" s="3"/>
      <c r="J4224" s="3"/>
    </row>
    <row r="4225" spans="8:10" x14ac:dyDescent="0.3">
      <c r="H4225" s="3"/>
      <c r="I4225" s="3"/>
      <c r="J4225" s="3"/>
    </row>
    <row r="4226" spans="8:10" x14ac:dyDescent="0.3">
      <c r="H4226" s="3"/>
      <c r="I4226" s="3"/>
      <c r="J4226" s="3"/>
    </row>
    <row r="4227" spans="8:10" x14ac:dyDescent="0.3">
      <c r="H4227" s="3"/>
      <c r="I4227" s="3"/>
      <c r="J4227" s="3"/>
    </row>
    <row r="4228" spans="8:10" x14ac:dyDescent="0.3">
      <c r="H4228" s="3"/>
      <c r="I4228" s="3"/>
      <c r="J4228" s="3"/>
    </row>
    <row r="4229" spans="8:10" x14ac:dyDescent="0.3">
      <c r="H4229" s="3"/>
      <c r="I4229" s="3"/>
      <c r="J4229" s="3"/>
    </row>
    <row r="4230" spans="8:10" x14ac:dyDescent="0.3">
      <c r="H4230" s="3"/>
      <c r="I4230" s="3"/>
      <c r="J4230" s="3"/>
    </row>
    <row r="4231" spans="8:10" x14ac:dyDescent="0.3">
      <c r="H4231" s="3"/>
      <c r="I4231" s="3"/>
      <c r="J4231" s="3"/>
    </row>
    <row r="4232" spans="8:10" x14ac:dyDescent="0.3">
      <c r="H4232" s="3"/>
      <c r="I4232" s="3"/>
      <c r="J4232" s="3"/>
    </row>
    <row r="4233" spans="8:10" x14ac:dyDescent="0.3">
      <c r="H4233" s="3"/>
      <c r="I4233" s="3"/>
      <c r="J4233" s="3"/>
    </row>
    <row r="4234" spans="8:10" x14ac:dyDescent="0.3">
      <c r="H4234" s="3"/>
      <c r="I4234" s="3"/>
      <c r="J4234" s="3"/>
    </row>
    <row r="4235" spans="8:10" x14ac:dyDescent="0.3">
      <c r="H4235" s="3"/>
      <c r="I4235" s="3"/>
      <c r="J4235" s="3"/>
    </row>
    <row r="4236" spans="8:10" x14ac:dyDescent="0.3">
      <c r="H4236" s="3"/>
      <c r="I4236" s="3"/>
      <c r="J4236" s="3"/>
    </row>
    <row r="4237" spans="8:10" x14ac:dyDescent="0.3">
      <c r="H4237" s="3"/>
      <c r="I4237" s="3"/>
      <c r="J4237" s="3"/>
    </row>
    <row r="4238" spans="8:10" x14ac:dyDescent="0.3">
      <c r="H4238" s="3"/>
      <c r="I4238" s="3"/>
      <c r="J4238" s="3"/>
    </row>
    <row r="4239" spans="8:10" x14ac:dyDescent="0.3">
      <c r="H4239" s="3"/>
      <c r="I4239" s="3"/>
      <c r="J4239" s="3"/>
    </row>
    <row r="4240" spans="8:10" x14ac:dyDescent="0.3">
      <c r="H4240" s="3"/>
      <c r="I4240" s="3"/>
      <c r="J4240" s="3"/>
    </row>
    <row r="4241" spans="8:10" x14ac:dyDescent="0.3">
      <c r="H4241" s="3"/>
      <c r="I4241" s="3"/>
      <c r="J4241" s="3"/>
    </row>
    <row r="4242" spans="8:10" x14ac:dyDescent="0.3">
      <c r="H4242" s="3"/>
      <c r="I4242" s="3"/>
      <c r="J4242" s="3"/>
    </row>
    <row r="4243" spans="8:10" x14ac:dyDescent="0.3">
      <c r="H4243" s="3"/>
      <c r="I4243" s="3"/>
      <c r="J4243" s="3"/>
    </row>
    <row r="4244" spans="8:10" x14ac:dyDescent="0.3">
      <c r="H4244" s="3"/>
      <c r="I4244" s="3"/>
      <c r="J4244" s="3"/>
    </row>
    <row r="4245" spans="8:10" x14ac:dyDescent="0.3">
      <c r="H4245" s="3"/>
      <c r="I4245" s="3"/>
      <c r="J4245" s="3"/>
    </row>
    <row r="4246" spans="8:10" x14ac:dyDescent="0.3">
      <c r="H4246" s="3"/>
      <c r="I4246" s="3"/>
      <c r="J4246" s="3"/>
    </row>
    <row r="4247" spans="8:10" x14ac:dyDescent="0.3">
      <c r="H4247" s="3"/>
      <c r="I4247" s="3"/>
      <c r="J4247" s="3"/>
    </row>
    <row r="4248" spans="8:10" x14ac:dyDescent="0.3">
      <c r="H4248" s="3"/>
      <c r="I4248" s="3"/>
      <c r="J4248" s="3"/>
    </row>
    <row r="4249" spans="8:10" x14ac:dyDescent="0.3">
      <c r="H4249" s="3"/>
      <c r="I4249" s="3"/>
      <c r="J4249" s="3"/>
    </row>
    <row r="4250" spans="8:10" x14ac:dyDescent="0.3">
      <c r="H4250" s="3"/>
      <c r="I4250" s="3"/>
      <c r="J4250" s="3"/>
    </row>
    <row r="4251" spans="8:10" x14ac:dyDescent="0.3">
      <c r="H4251" s="3"/>
      <c r="I4251" s="3"/>
      <c r="J4251" s="3"/>
    </row>
    <row r="4252" spans="8:10" x14ac:dyDescent="0.3">
      <c r="H4252" s="3"/>
      <c r="I4252" s="3"/>
      <c r="J4252" s="3"/>
    </row>
    <row r="4253" spans="8:10" x14ac:dyDescent="0.3">
      <c r="H4253" s="3"/>
      <c r="I4253" s="3"/>
      <c r="J4253" s="3"/>
    </row>
    <row r="4254" spans="8:10" x14ac:dyDescent="0.3">
      <c r="H4254" s="3"/>
      <c r="I4254" s="3"/>
      <c r="J4254" s="3"/>
    </row>
    <row r="4255" spans="8:10" x14ac:dyDescent="0.3">
      <c r="H4255" s="3"/>
      <c r="I4255" s="3"/>
      <c r="J4255" s="3"/>
    </row>
    <row r="4256" spans="8:10" x14ac:dyDescent="0.3">
      <c r="H4256" s="3"/>
      <c r="I4256" s="3"/>
      <c r="J4256" s="3"/>
    </row>
    <row r="4257" spans="8:10" x14ac:dyDescent="0.3">
      <c r="H4257" s="3"/>
      <c r="I4257" s="3"/>
      <c r="J4257" s="3"/>
    </row>
    <row r="4258" spans="8:10" x14ac:dyDescent="0.3">
      <c r="H4258" s="3"/>
      <c r="I4258" s="3"/>
      <c r="J4258" s="3"/>
    </row>
    <row r="4259" spans="8:10" x14ac:dyDescent="0.3">
      <c r="H4259" s="3"/>
      <c r="I4259" s="3"/>
      <c r="J4259" s="3"/>
    </row>
    <row r="4260" spans="8:10" x14ac:dyDescent="0.3">
      <c r="H4260" s="3"/>
      <c r="I4260" s="3"/>
      <c r="J4260" s="3"/>
    </row>
    <row r="4261" spans="8:10" x14ac:dyDescent="0.3">
      <c r="H4261" s="3"/>
      <c r="I4261" s="3"/>
      <c r="J4261" s="3"/>
    </row>
    <row r="4262" spans="8:10" x14ac:dyDescent="0.3">
      <c r="H4262" s="3"/>
      <c r="I4262" s="3"/>
      <c r="J4262" s="3"/>
    </row>
    <row r="4263" spans="8:10" x14ac:dyDescent="0.3">
      <c r="H4263" s="3"/>
      <c r="I4263" s="3"/>
      <c r="J4263" s="3"/>
    </row>
    <row r="4264" spans="8:10" x14ac:dyDescent="0.3">
      <c r="H4264" s="3"/>
      <c r="I4264" s="3"/>
      <c r="J4264" s="3"/>
    </row>
    <row r="4265" spans="8:10" x14ac:dyDescent="0.3">
      <c r="H4265" s="3"/>
      <c r="I4265" s="3"/>
      <c r="J4265" s="3"/>
    </row>
    <row r="4266" spans="8:10" x14ac:dyDescent="0.3">
      <c r="H4266" s="3"/>
      <c r="I4266" s="3"/>
      <c r="J4266" s="3"/>
    </row>
    <row r="4267" spans="8:10" x14ac:dyDescent="0.3">
      <c r="H4267" s="3"/>
      <c r="I4267" s="3"/>
      <c r="J4267" s="3"/>
    </row>
    <row r="4268" spans="8:10" x14ac:dyDescent="0.3">
      <c r="H4268" s="3"/>
      <c r="I4268" s="3"/>
      <c r="J4268" s="3"/>
    </row>
    <row r="4269" spans="8:10" x14ac:dyDescent="0.3">
      <c r="H4269" s="3"/>
      <c r="I4269" s="3"/>
      <c r="J4269" s="3"/>
    </row>
    <row r="4270" spans="8:10" x14ac:dyDescent="0.3">
      <c r="H4270" s="3"/>
      <c r="I4270" s="3"/>
      <c r="J4270" s="3"/>
    </row>
    <row r="4271" spans="8:10" x14ac:dyDescent="0.3">
      <c r="H4271" s="3"/>
      <c r="I4271" s="3"/>
      <c r="J4271" s="3"/>
    </row>
    <row r="4272" spans="8:10" x14ac:dyDescent="0.3">
      <c r="H4272" s="3"/>
      <c r="I4272" s="3"/>
      <c r="J4272" s="3"/>
    </row>
    <row r="4273" spans="8:10" x14ac:dyDescent="0.3">
      <c r="H4273" s="3"/>
      <c r="I4273" s="3"/>
      <c r="J4273" s="3"/>
    </row>
    <row r="4274" spans="8:10" x14ac:dyDescent="0.3">
      <c r="H4274" s="3"/>
      <c r="I4274" s="3"/>
      <c r="J4274" s="3"/>
    </row>
    <row r="4275" spans="8:10" x14ac:dyDescent="0.3">
      <c r="H4275" s="3"/>
      <c r="I4275" s="3"/>
      <c r="J4275" s="3"/>
    </row>
    <row r="4276" spans="8:10" x14ac:dyDescent="0.3">
      <c r="H4276" s="3"/>
      <c r="I4276" s="3"/>
      <c r="J4276" s="3"/>
    </row>
    <row r="4277" spans="8:10" x14ac:dyDescent="0.3">
      <c r="H4277" s="3"/>
      <c r="I4277" s="3"/>
      <c r="J4277" s="3"/>
    </row>
    <row r="4278" spans="8:10" x14ac:dyDescent="0.3">
      <c r="H4278" s="3"/>
      <c r="I4278" s="3"/>
      <c r="J4278" s="3"/>
    </row>
    <row r="4279" spans="8:10" x14ac:dyDescent="0.3">
      <c r="H4279" s="3"/>
      <c r="I4279" s="3"/>
      <c r="J4279" s="3"/>
    </row>
    <row r="4280" spans="8:10" x14ac:dyDescent="0.3">
      <c r="H4280" s="3"/>
      <c r="I4280" s="3"/>
      <c r="J4280" s="3"/>
    </row>
    <row r="4281" spans="8:10" x14ac:dyDescent="0.3">
      <c r="H4281" s="3"/>
      <c r="I4281" s="3"/>
      <c r="J4281" s="3"/>
    </row>
    <row r="4282" spans="8:10" x14ac:dyDescent="0.3">
      <c r="H4282" s="3"/>
      <c r="I4282" s="3"/>
      <c r="J4282" s="3"/>
    </row>
    <row r="4283" spans="8:10" x14ac:dyDescent="0.3">
      <c r="H4283" s="3"/>
      <c r="I4283" s="3"/>
      <c r="J4283" s="3"/>
    </row>
    <row r="4284" spans="8:10" x14ac:dyDescent="0.3">
      <c r="H4284" s="3"/>
      <c r="I4284" s="3"/>
      <c r="J4284" s="3"/>
    </row>
    <row r="4285" spans="8:10" x14ac:dyDescent="0.3">
      <c r="H4285" s="3"/>
      <c r="I4285" s="3"/>
      <c r="J4285" s="3"/>
    </row>
    <row r="4286" spans="8:10" x14ac:dyDescent="0.3">
      <c r="H4286" s="3"/>
      <c r="I4286" s="3"/>
      <c r="J4286" s="3"/>
    </row>
    <row r="4287" spans="8:10" x14ac:dyDescent="0.3">
      <c r="H4287" s="3"/>
      <c r="I4287" s="3"/>
      <c r="J4287" s="3"/>
    </row>
    <row r="4288" spans="8:10" x14ac:dyDescent="0.3">
      <c r="H4288" s="3"/>
      <c r="I4288" s="3"/>
      <c r="J4288" s="3"/>
    </row>
    <row r="4289" spans="8:10" x14ac:dyDescent="0.3">
      <c r="H4289" s="3"/>
      <c r="I4289" s="3"/>
      <c r="J4289" s="3"/>
    </row>
    <row r="4290" spans="8:10" x14ac:dyDescent="0.3">
      <c r="H4290" s="3"/>
      <c r="I4290" s="3"/>
      <c r="J4290" s="3"/>
    </row>
    <row r="4291" spans="8:10" x14ac:dyDescent="0.3">
      <c r="H4291" s="3"/>
      <c r="I4291" s="3"/>
      <c r="J4291" s="3"/>
    </row>
    <row r="4292" spans="8:10" x14ac:dyDescent="0.3">
      <c r="H4292" s="3"/>
      <c r="I4292" s="3"/>
      <c r="J4292" s="3"/>
    </row>
    <row r="4293" spans="8:10" x14ac:dyDescent="0.3">
      <c r="H4293" s="3"/>
      <c r="I4293" s="3"/>
      <c r="J4293" s="3"/>
    </row>
    <row r="4294" spans="8:10" x14ac:dyDescent="0.3">
      <c r="H4294" s="3"/>
      <c r="I4294" s="3"/>
      <c r="J4294" s="3"/>
    </row>
    <row r="4295" spans="8:10" x14ac:dyDescent="0.3">
      <c r="H4295" s="3"/>
      <c r="I4295" s="3"/>
      <c r="J4295" s="3"/>
    </row>
    <row r="4296" spans="8:10" x14ac:dyDescent="0.3">
      <c r="H4296" s="3"/>
      <c r="I4296" s="3"/>
      <c r="J4296" s="3"/>
    </row>
    <row r="4297" spans="8:10" x14ac:dyDescent="0.3">
      <c r="H4297" s="3"/>
      <c r="I4297" s="3"/>
      <c r="J4297" s="3"/>
    </row>
    <row r="4298" spans="8:10" x14ac:dyDescent="0.3">
      <c r="H4298" s="3"/>
      <c r="I4298" s="3"/>
      <c r="J4298" s="3"/>
    </row>
    <row r="4299" spans="8:10" x14ac:dyDescent="0.3">
      <c r="H4299" s="3"/>
      <c r="I4299" s="3"/>
      <c r="J4299" s="3"/>
    </row>
    <row r="4300" spans="8:10" x14ac:dyDescent="0.3">
      <c r="H4300" s="3"/>
      <c r="I4300" s="3"/>
      <c r="J4300" s="3"/>
    </row>
    <row r="4301" spans="8:10" x14ac:dyDescent="0.3">
      <c r="H4301" s="3"/>
      <c r="I4301" s="3"/>
      <c r="J4301" s="3"/>
    </row>
    <row r="4302" spans="8:10" x14ac:dyDescent="0.3">
      <c r="H4302" s="3"/>
      <c r="I4302" s="3"/>
      <c r="J4302" s="3"/>
    </row>
    <row r="4303" spans="8:10" x14ac:dyDescent="0.3">
      <c r="H4303" s="3"/>
      <c r="I4303" s="3"/>
      <c r="J4303" s="3"/>
    </row>
    <row r="4304" spans="8:10" x14ac:dyDescent="0.3">
      <c r="H4304" s="3"/>
      <c r="I4304" s="3"/>
      <c r="J4304" s="3"/>
    </row>
    <row r="4305" spans="8:10" x14ac:dyDescent="0.3">
      <c r="H4305" s="3"/>
      <c r="I4305" s="3"/>
      <c r="J4305" s="3"/>
    </row>
    <row r="4306" spans="8:10" x14ac:dyDescent="0.3">
      <c r="H4306" s="3"/>
      <c r="I4306" s="3"/>
      <c r="J4306" s="3"/>
    </row>
    <row r="4307" spans="8:10" x14ac:dyDescent="0.3">
      <c r="H4307" s="3"/>
      <c r="I4307" s="3"/>
      <c r="J4307" s="3"/>
    </row>
    <row r="4308" spans="8:10" x14ac:dyDescent="0.3">
      <c r="H4308" s="3"/>
      <c r="I4308" s="3"/>
      <c r="J4308" s="3"/>
    </row>
    <row r="4309" spans="8:10" x14ac:dyDescent="0.3">
      <c r="H4309" s="3"/>
      <c r="I4309" s="3"/>
      <c r="J4309" s="3"/>
    </row>
    <row r="4310" spans="8:10" x14ac:dyDescent="0.3">
      <c r="H4310" s="3"/>
      <c r="I4310" s="3"/>
      <c r="J4310" s="3"/>
    </row>
    <row r="4311" spans="8:10" x14ac:dyDescent="0.3">
      <c r="H4311" s="3"/>
      <c r="I4311" s="3"/>
      <c r="J4311" s="3"/>
    </row>
    <row r="4312" spans="8:10" x14ac:dyDescent="0.3">
      <c r="H4312" s="3"/>
      <c r="I4312" s="3"/>
      <c r="J4312" s="3"/>
    </row>
    <row r="4313" spans="8:10" x14ac:dyDescent="0.3">
      <c r="H4313" s="3"/>
      <c r="I4313" s="3"/>
      <c r="J4313" s="3"/>
    </row>
    <row r="4314" spans="8:10" x14ac:dyDescent="0.3">
      <c r="H4314" s="3"/>
      <c r="I4314" s="3"/>
      <c r="J4314" s="3"/>
    </row>
    <row r="4315" spans="8:10" x14ac:dyDescent="0.3">
      <c r="H4315" s="3"/>
      <c r="I4315" s="3"/>
      <c r="J4315" s="3"/>
    </row>
    <row r="4316" spans="8:10" x14ac:dyDescent="0.3">
      <c r="H4316" s="3"/>
      <c r="I4316" s="3"/>
      <c r="J4316" s="3"/>
    </row>
    <row r="4317" spans="8:10" x14ac:dyDescent="0.3">
      <c r="H4317" s="3"/>
      <c r="I4317" s="3"/>
      <c r="J4317" s="3"/>
    </row>
    <row r="4318" spans="8:10" x14ac:dyDescent="0.3">
      <c r="H4318" s="3"/>
      <c r="I4318" s="3"/>
      <c r="J4318" s="3"/>
    </row>
    <row r="4319" spans="8:10" x14ac:dyDescent="0.3">
      <c r="H4319" s="3"/>
      <c r="I4319" s="3"/>
      <c r="J4319" s="3"/>
    </row>
    <row r="4320" spans="8:10" x14ac:dyDescent="0.3">
      <c r="H4320" s="3"/>
      <c r="I4320" s="3"/>
      <c r="J4320" s="3"/>
    </row>
    <row r="4321" spans="8:10" x14ac:dyDescent="0.3">
      <c r="H4321" s="3"/>
      <c r="I4321" s="3"/>
      <c r="J4321" s="3"/>
    </row>
    <row r="4322" spans="8:10" x14ac:dyDescent="0.3">
      <c r="H4322" s="3"/>
      <c r="I4322" s="3"/>
      <c r="J4322" s="3"/>
    </row>
    <row r="4323" spans="8:10" x14ac:dyDescent="0.3">
      <c r="H4323" s="3"/>
      <c r="I4323" s="3"/>
      <c r="J4323" s="3"/>
    </row>
    <row r="4324" spans="8:10" x14ac:dyDescent="0.3">
      <c r="H4324" s="3"/>
      <c r="I4324" s="3"/>
      <c r="J4324" s="3"/>
    </row>
    <row r="4325" spans="8:10" x14ac:dyDescent="0.3">
      <c r="H4325" s="3"/>
      <c r="I4325" s="3"/>
      <c r="J4325" s="3"/>
    </row>
    <row r="4326" spans="8:10" x14ac:dyDescent="0.3">
      <c r="H4326" s="3"/>
      <c r="I4326" s="3"/>
      <c r="J4326" s="3"/>
    </row>
    <row r="4327" spans="8:10" x14ac:dyDescent="0.3">
      <c r="H4327" s="3"/>
      <c r="I4327" s="3"/>
      <c r="J4327" s="3"/>
    </row>
    <row r="4328" spans="8:10" x14ac:dyDescent="0.3">
      <c r="H4328" s="3"/>
      <c r="I4328" s="3"/>
      <c r="J4328" s="3"/>
    </row>
    <row r="4329" spans="8:10" x14ac:dyDescent="0.3">
      <c r="H4329" s="3"/>
      <c r="I4329" s="3"/>
      <c r="J4329" s="3"/>
    </row>
    <row r="4330" spans="8:10" x14ac:dyDescent="0.3">
      <c r="H4330" s="3"/>
      <c r="I4330" s="3"/>
      <c r="J4330" s="3"/>
    </row>
    <row r="4331" spans="8:10" x14ac:dyDescent="0.3">
      <c r="H4331" s="3"/>
      <c r="I4331" s="3"/>
      <c r="J4331" s="3"/>
    </row>
    <row r="4332" spans="8:10" x14ac:dyDescent="0.3">
      <c r="H4332" s="3"/>
      <c r="I4332" s="3"/>
      <c r="J4332" s="3"/>
    </row>
    <row r="4333" spans="8:10" x14ac:dyDescent="0.3">
      <c r="H4333" s="3"/>
      <c r="I4333" s="3"/>
      <c r="J4333" s="3"/>
    </row>
    <row r="4334" spans="8:10" x14ac:dyDescent="0.3">
      <c r="H4334" s="3"/>
      <c r="I4334" s="3"/>
      <c r="J4334" s="3"/>
    </row>
    <row r="4335" spans="8:10" x14ac:dyDescent="0.3">
      <c r="H4335" s="3"/>
      <c r="I4335" s="3"/>
      <c r="J4335" s="3"/>
    </row>
    <row r="4336" spans="8:10" x14ac:dyDescent="0.3">
      <c r="H4336" s="3"/>
      <c r="I4336" s="3"/>
      <c r="J4336" s="3"/>
    </row>
    <row r="4337" spans="8:10" x14ac:dyDescent="0.3">
      <c r="H4337" s="3"/>
      <c r="I4337" s="3"/>
      <c r="J4337" s="3"/>
    </row>
    <row r="4338" spans="8:10" x14ac:dyDescent="0.3">
      <c r="H4338" s="3"/>
      <c r="I4338" s="3"/>
      <c r="J4338" s="3"/>
    </row>
    <row r="4339" spans="8:10" x14ac:dyDescent="0.3">
      <c r="H4339" s="3"/>
      <c r="I4339" s="3"/>
      <c r="J4339" s="3"/>
    </row>
    <row r="4340" spans="8:10" x14ac:dyDescent="0.3">
      <c r="H4340" s="3"/>
      <c r="I4340" s="3"/>
      <c r="J4340" s="3"/>
    </row>
    <row r="4341" spans="8:10" x14ac:dyDescent="0.3">
      <c r="H4341" s="3"/>
      <c r="I4341" s="3"/>
      <c r="J4341" s="3"/>
    </row>
    <row r="4342" spans="8:10" x14ac:dyDescent="0.3">
      <c r="H4342" s="3"/>
      <c r="I4342" s="3"/>
      <c r="J4342" s="3"/>
    </row>
    <row r="4343" spans="8:10" x14ac:dyDescent="0.3">
      <c r="H4343" s="3"/>
      <c r="I4343" s="3"/>
      <c r="J4343" s="3"/>
    </row>
    <row r="4344" spans="8:10" x14ac:dyDescent="0.3">
      <c r="H4344" s="3"/>
      <c r="I4344" s="3"/>
      <c r="J4344" s="3"/>
    </row>
    <row r="4345" spans="8:10" x14ac:dyDescent="0.3">
      <c r="H4345" s="3"/>
      <c r="I4345" s="3"/>
      <c r="J4345" s="3"/>
    </row>
    <row r="4346" spans="8:10" x14ac:dyDescent="0.3">
      <c r="H4346" s="3"/>
      <c r="I4346" s="3"/>
      <c r="J4346" s="3"/>
    </row>
    <row r="4347" spans="8:10" x14ac:dyDescent="0.3">
      <c r="H4347" s="3"/>
      <c r="I4347" s="3"/>
      <c r="J4347" s="3"/>
    </row>
    <row r="4348" spans="8:10" x14ac:dyDescent="0.3">
      <c r="H4348" s="3"/>
      <c r="I4348" s="3"/>
      <c r="J4348" s="3"/>
    </row>
    <row r="4349" spans="8:10" x14ac:dyDescent="0.3">
      <c r="H4349" s="3"/>
      <c r="I4349" s="3"/>
      <c r="J4349" s="3"/>
    </row>
    <row r="4350" spans="8:10" x14ac:dyDescent="0.3">
      <c r="H4350" s="3"/>
      <c r="I4350" s="3"/>
      <c r="J4350" s="3"/>
    </row>
    <row r="4351" spans="8:10" x14ac:dyDescent="0.3">
      <c r="H4351" s="3"/>
      <c r="I4351" s="3"/>
      <c r="J4351" s="3"/>
    </row>
    <row r="4352" spans="8:10" x14ac:dyDescent="0.3">
      <c r="H4352" s="3"/>
      <c r="I4352" s="3"/>
      <c r="J4352" s="3"/>
    </row>
    <row r="4353" spans="8:10" x14ac:dyDescent="0.3">
      <c r="H4353" s="3"/>
      <c r="I4353" s="3"/>
      <c r="J4353" s="3"/>
    </row>
    <row r="4354" spans="8:10" x14ac:dyDescent="0.3">
      <c r="H4354" s="3"/>
      <c r="I4354" s="3"/>
      <c r="J4354" s="3"/>
    </row>
    <row r="4355" spans="8:10" x14ac:dyDescent="0.3">
      <c r="H4355" s="3"/>
      <c r="I4355" s="3"/>
      <c r="J4355" s="3"/>
    </row>
    <row r="4356" spans="8:10" x14ac:dyDescent="0.3">
      <c r="H4356" s="3"/>
      <c r="I4356" s="3"/>
      <c r="J4356" s="3"/>
    </row>
    <row r="4357" spans="8:10" x14ac:dyDescent="0.3">
      <c r="H4357" s="3"/>
      <c r="I4357" s="3"/>
      <c r="J4357" s="3"/>
    </row>
    <row r="4358" spans="8:10" x14ac:dyDescent="0.3">
      <c r="H4358" s="3"/>
      <c r="I4358" s="3"/>
      <c r="J4358" s="3"/>
    </row>
    <row r="4359" spans="8:10" x14ac:dyDescent="0.3">
      <c r="H4359" s="3"/>
      <c r="I4359" s="3"/>
      <c r="J4359" s="3"/>
    </row>
    <row r="4360" spans="8:10" x14ac:dyDescent="0.3">
      <c r="H4360" s="3"/>
      <c r="I4360" s="3"/>
      <c r="J4360" s="3"/>
    </row>
    <row r="4361" spans="8:10" x14ac:dyDescent="0.3">
      <c r="H4361" s="3"/>
      <c r="I4361" s="3"/>
      <c r="J4361" s="3"/>
    </row>
    <row r="4362" spans="8:10" x14ac:dyDescent="0.3">
      <c r="H4362" s="3"/>
      <c r="I4362" s="3"/>
      <c r="J4362" s="3"/>
    </row>
    <row r="4363" spans="8:10" x14ac:dyDescent="0.3">
      <c r="H4363" s="3"/>
      <c r="I4363" s="3"/>
      <c r="J4363" s="3"/>
    </row>
    <row r="4364" spans="8:10" x14ac:dyDescent="0.3">
      <c r="H4364" s="3"/>
      <c r="I4364" s="3"/>
      <c r="J4364" s="3"/>
    </row>
    <row r="4365" spans="8:10" x14ac:dyDescent="0.3">
      <c r="H4365" s="3"/>
      <c r="I4365" s="3"/>
      <c r="J4365" s="3"/>
    </row>
    <row r="4366" spans="8:10" x14ac:dyDescent="0.3">
      <c r="H4366" s="3"/>
      <c r="I4366" s="3"/>
      <c r="J4366" s="3"/>
    </row>
    <row r="4367" spans="8:10" x14ac:dyDescent="0.3">
      <c r="H4367" s="3"/>
      <c r="I4367" s="3"/>
      <c r="J4367" s="3"/>
    </row>
    <row r="4368" spans="8:10" x14ac:dyDescent="0.3">
      <c r="H4368" s="3"/>
      <c r="I4368" s="3"/>
      <c r="J4368" s="3"/>
    </row>
    <row r="4369" spans="8:10" x14ac:dyDescent="0.3">
      <c r="H4369" s="3"/>
      <c r="I4369" s="3"/>
      <c r="J4369" s="3"/>
    </row>
    <row r="4370" spans="8:10" x14ac:dyDescent="0.3">
      <c r="H4370" s="3"/>
      <c r="I4370" s="3"/>
      <c r="J4370" s="3"/>
    </row>
    <row r="4371" spans="8:10" x14ac:dyDescent="0.3">
      <c r="H4371" s="3"/>
      <c r="I4371" s="3"/>
      <c r="J4371" s="3"/>
    </row>
    <row r="4372" spans="8:10" x14ac:dyDescent="0.3">
      <c r="H4372" s="3"/>
      <c r="I4372" s="3"/>
      <c r="J4372" s="3"/>
    </row>
    <row r="4373" spans="8:10" x14ac:dyDescent="0.3">
      <c r="H4373" s="3"/>
      <c r="I4373" s="3"/>
      <c r="J4373" s="3"/>
    </row>
    <row r="4374" spans="8:10" x14ac:dyDescent="0.3">
      <c r="H4374" s="3"/>
      <c r="I4374" s="3"/>
      <c r="J4374" s="3"/>
    </row>
    <row r="4375" spans="8:10" x14ac:dyDescent="0.3">
      <c r="H4375" s="3"/>
      <c r="I4375" s="3"/>
      <c r="J4375" s="3"/>
    </row>
    <row r="4376" spans="8:10" x14ac:dyDescent="0.3">
      <c r="H4376" s="3"/>
      <c r="I4376" s="3"/>
      <c r="J4376" s="3"/>
    </row>
    <row r="4377" spans="8:10" x14ac:dyDescent="0.3">
      <c r="H4377" s="3"/>
      <c r="I4377" s="3"/>
      <c r="J4377" s="3"/>
    </row>
    <row r="4378" spans="8:10" x14ac:dyDescent="0.3">
      <c r="H4378" s="3"/>
      <c r="I4378" s="3"/>
      <c r="J4378" s="3"/>
    </row>
    <row r="4379" spans="8:10" x14ac:dyDescent="0.3">
      <c r="H4379" s="3"/>
      <c r="I4379" s="3"/>
      <c r="J4379" s="3"/>
    </row>
    <row r="4380" spans="8:10" x14ac:dyDescent="0.3">
      <c r="H4380" s="3"/>
      <c r="I4380" s="3"/>
      <c r="J4380" s="3"/>
    </row>
    <row r="4381" spans="8:10" x14ac:dyDescent="0.3">
      <c r="H4381" s="3"/>
      <c r="I4381" s="3"/>
      <c r="J4381" s="3"/>
    </row>
    <row r="4382" spans="8:10" x14ac:dyDescent="0.3">
      <c r="H4382" s="3"/>
      <c r="I4382" s="3"/>
      <c r="J4382" s="3"/>
    </row>
    <row r="4383" spans="8:10" x14ac:dyDescent="0.3">
      <c r="H4383" s="3"/>
      <c r="I4383" s="3"/>
      <c r="J4383" s="3"/>
    </row>
    <row r="4384" spans="8:10" x14ac:dyDescent="0.3">
      <c r="H4384" s="3"/>
      <c r="I4384" s="3"/>
      <c r="J4384" s="3"/>
    </row>
    <row r="4385" spans="8:10" x14ac:dyDescent="0.3">
      <c r="H4385" s="3"/>
      <c r="I4385" s="3"/>
      <c r="J4385" s="3"/>
    </row>
    <row r="4386" spans="8:10" x14ac:dyDescent="0.3">
      <c r="H4386" s="3"/>
      <c r="I4386" s="3"/>
      <c r="J4386" s="3"/>
    </row>
    <row r="4387" spans="8:10" x14ac:dyDescent="0.3">
      <c r="H4387" s="3"/>
      <c r="I4387" s="3"/>
      <c r="J4387" s="3"/>
    </row>
    <row r="4388" spans="8:10" x14ac:dyDescent="0.3">
      <c r="H4388" s="3"/>
      <c r="I4388" s="3"/>
      <c r="J4388" s="3"/>
    </row>
    <row r="4389" spans="8:10" x14ac:dyDescent="0.3">
      <c r="H4389" s="3"/>
      <c r="I4389" s="3"/>
      <c r="J4389" s="3"/>
    </row>
    <row r="4390" spans="8:10" x14ac:dyDescent="0.3">
      <c r="H4390" s="3"/>
      <c r="I4390" s="3"/>
      <c r="J4390" s="3"/>
    </row>
    <row r="4391" spans="8:10" x14ac:dyDescent="0.3">
      <c r="H4391" s="3"/>
      <c r="I4391" s="3"/>
      <c r="J4391" s="3"/>
    </row>
    <row r="4392" spans="8:10" x14ac:dyDescent="0.3">
      <c r="H4392" s="3"/>
      <c r="I4392" s="3"/>
      <c r="J4392" s="3"/>
    </row>
    <row r="4393" spans="8:10" x14ac:dyDescent="0.3">
      <c r="H4393" s="3"/>
      <c r="I4393" s="3"/>
      <c r="J4393" s="3"/>
    </row>
    <row r="4394" spans="8:10" x14ac:dyDescent="0.3">
      <c r="H4394" s="3"/>
      <c r="I4394" s="3"/>
      <c r="J4394" s="3"/>
    </row>
    <row r="4395" spans="8:10" x14ac:dyDescent="0.3">
      <c r="H4395" s="3"/>
      <c r="I4395" s="3"/>
      <c r="J4395" s="3"/>
    </row>
    <row r="4396" spans="8:10" x14ac:dyDescent="0.3">
      <c r="H4396" s="3"/>
      <c r="I4396" s="3"/>
      <c r="J4396" s="3"/>
    </row>
    <row r="4397" spans="8:10" x14ac:dyDescent="0.3">
      <c r="H4397" s="3"/>
      <c r="I4397" s="3"/>
      <c r="J4397" s="3"/>
    </row>
    <row r="4398" spans="8:10" x14ac:dyDescent="0.3">
      <c r="H4398" s="3"/>
      <c r="I4398" s="3"/>
      <c r="J4398" s="3"/>
    </row>
    <row r="4399" spans="8:10" x14ac:dyDescent="0.3">
      <c r="H4399" s="3"/>
      <c r="I4399" s="3"/>
      <c r="J4399" s="3"/>
    </row>
    <row r="4400" spans="8:10" x14ac:dyDescent="0.3">
      <c r="H4400" s="3"/>
      <c r="I4400" s="3"/>
      <c r="J4400" s="3"/>
    </row>
    <row r="4401" spans="8:10" x14ac:dyDescent="0.3">
      <c r="H4401" s="3"/>
      <c r="I4401" s="3"/>
      <c r="J4401" s="3"/>
    </row>
    <row r="4402" spans="8:10" x14ac:dyDescent="0.3">
      <c r="H4402" s="3"/>
      <c r="I4402" s="3"/>
      <c r="J4402" s="3"/>
    </row>
    <row r="4403" spans="8:10" x14ac:dyDescent="0.3">
      <c r="H4403" s="3"/>
      <c r="I4403" s="3"/>
      <c r="J4403" s="3"/>
    </row>
    <row r="4404" spans="8:10" x14ac:dyDescent="0.3">
      <c r="H4404" s="3"/>
      <c r="I4404" s="3"/>
      <c r="J4404" s="3"/>
    </row>
    <row r="4405" spans="8:10" x14ac:dyDescent="0.3">
      <c r="H4405" s="3"/>
      <c r="I4405" s="3"/>
      <c r="J4405" s="3"/>
    </row>
    <row r="4406" spans="8:10" x14ac:dyDescent="0.3">
      <c r="H4406" s="3"/>
      <c r="I4406" s="3"/>
      <c r="J4406" s="3"/>
    </row>
    <row r="4407" spans="8:10" x14ac:dyDescent="0.3">
      <c r="H4407" s="3"/>
      <c r="I4407" s="3"/>
      <c r="J4407" s="3"/>
    </row>
    <row r="4408" spans="8:10" x14ac:dyDescent="0.3">
      <c r="H4408" s="3"/>
      <c r="I4408" s="3"/>
      <c r="J4408" s="3"/>
    </row>
    <row r="4409" spans="8:10" x14ac:dyDescent="0.3">
      <c r="H4409" s="3"/>
      <c r="I4409" s="3"/>
      <c r="J4409" s="3"/>
    </row>
    <row r="4410" spans="8:10" x14ac:dyDescent="0.3">
      <c r="H4410" s="3"/>
      <c r="I4410" s="3"/>
      <c r="J4410" s="3"/>
    </row>
    <row r="4411" spans="8:10" x14ac:dyDescent="0.3">
      <c r="H4411" s="3"/>
      <c r="I4411" s="3"/>
      <c r="J4411" s="3"/>
    </row>
    <row r="4412" spans="8:10" x14ac:dyDescent="0.3">
      <c r="H4412" s="3"/>
      <c r="I4412" s="3"/>
      <c r="J4412" s="3"/>
    </row>
    <row r="4413" spans="8:10" x14ac:dyDescent="0.3">
      <c r="H4413" s="3"/>
      <c r="I4413" s="3"/>
      <c r="J4413" s="3"/>
    </row>
    <row r="4414" spans="8:10" x14ac:dyDescent="0.3">
      <c r="H4414" s="3"/>
      <c r="I4414" s="3"/>
      <c r="J4414" s="3"/>
    </row>
    <row r="4415" spans="8:10" x14ac:dyDescent="0.3">
      <c r="H4415" s="3"/>
      <c r="I4415" s="3"/>
      <c r="J4415" s="3"/>
    </row>
    <row r="4416" spans="8:10" x14ac:dyDescent="0.3">
      <c r="H4416" s="3"/>
      <c r="I4416" s="3"/>
      <c r="J4416" s="3"/>
    </row>
    <row r="4417" spans="8:10" x14ac:dyDescent="0.3">
      <c r="H4417" s="3"/>
      <c r="I4417" s="3"/>
      <c r="J4417" s="3"/>
    </row>
    <row r="4418" spans="8:10" x14ac:dyDescent="0.3">
      <c r="H4418" s="3"/>
      <c r="I4418" s="3"/>
      <c r="J4418" s="3"/>
    </row>
    <row r="4419" spans="8:10" x14ac:dyDescent="0.3">
      <c r="H4419" s="3"/>
      <c r="I4419" s="3"/>
      <c r="J4419" s="3"/>
    </row>
    <row r="4420" spans="8:10" x14ac:dyDescent="0.3">
      <c r="H4420" s="3"/>
      <c r="I4420" s="3"/>
      <c r="J4420" s="3"/>
    </row>
    <row r="4421" spans="8:10" x14ac:dyDescent="0.3">
      <c r="H4421" s="3"/>
      <c r="I4421" s="3"/>
      <c r="J4421" s="3"/>
    </row>
    <row r="4422" spans="8:10" x14ac:dyDescent="0.3">
      <c r="H4422" s="3"/>
      <c r="I4422" s="3"/>
      <c r="J4422" s="3"/>
    </row>
    <row r="4423" spans="8:10" x14ac:dyDescent="0.3">
      <c r="H4423" s="3"/>
      <c r="I4423" s="3"/>
      <c r="J4423" s="3"/>
    </row>
    <row r="4424" spans="8:10" x14ac:dyDescent="0.3">
      <c r="H4424" s="3"/>
      <c r="I4424" s="3"/>
      <c r="J4424" s="3"/>
    </row>
    <row r="4425" spans="8:10" x14ac:dyDescent="0.3">
      <c r="H4425" s="3"/>
      <c r="I4425" s="3"/>
      <c r="J4425" s="3"/>
    </row>
    <row r="4426" spans="8:10" x14ac:dyDescent="0.3">
      <c r="H4426" s="3"/>
      <c r="I4426" s="3"/>
      <c r="J4426" s="3"/>
    </row>
    <row r="4427" spans="8:10" x14ac:dyDescent="0.3">
      <c r="H4427" s="3"/>
      <c r="I4427" s="3"/>
      <c r="J4427" s="3"/>
    </row>
    <row r="4428" spans="8:10" x14ac:dyDescent="0.3">
      <c r="H4428" s="3"/>
      <c r="I4428" s="3"/>
      <c r="J4428" s="3"/>
    </row>
    <row r="4429" spans="8:10" x14ac:dyDescent="0.3">
      <c r="H4429" s="3"/>
      <c r="I4429" s="3"/>
      <c r="J4429" s="3"/>
    </row>
    <row r="4430" spans="8:10" x14ac:dyDescent="0.3">
      <c r="H4430" s="3"/>
      <c r="I4430" s="3"/>
      <c r="J4430" s="3"/>
    </row>
    <row r="4431" spans="8:10" x14ac:dyDescent="0.3">
      <c r="H4431" s="3"/>
      <c r="I4431" s="3"/>
      <c r="J4431" s="3"/>
    </row>
    <row r="4432" spans="8:10" x14ac:dyDescent="0.3">
      <c r="H4432" s="3"/>
      <c r="I4432" s="3"/>
      <c r="J4432" s="3"/>
    </row>
    <row r="4433" spans="8:10" x14ac:dyDescent="0.3">
      <c r="H4433" s="3"/>
      <c r="I4433" s="3"/>
      <c r="J4433" s="3"/>
    </row>
    <row r="4434" spans="8:10" x14ac:dyDescent="0.3">
      <c r="H4434" s="3"/>
      <c r="I4434" s="3"/>
      <c r="J4434" s="3"/>
    </row>
    <row r="4435" spans="8:10" x14ac:dyDescent="0.3">
      <c r="H4435" s="3"/>
      <c r="I4435" s="3"/>
      <c r="J4435" s="3"/>
    </row>
    <row r="4436" spans="8:10" x14ac:dyDescent="0.3">
      <c r="H4436" s="3"/>
      <c r="I4436" s="3"/>
      <c r="J4436" s="3"/>
    </row>
    <row r="4437" spans="8:10" x14ac:dyDescent="0.3">
      <c r="H4437" s="3"/>
      <c r="I4437" s="3"/>
      <c r="J4437" s="3"/>
    </row>
    <row r="4438" spans="8:10" x14ac:dyDescent="0.3">
      <c r="H4438" s="3"/>
      <c r="I4438" s="3"/>
      <c r="J4438" s="3"/>
    </row>
    <row r="4439" spans="8:10" x14ac:dyDescent="0.3">
      <c r="H4439" s="3"/>
      <c r="I4439" s="3"/>
      <c r="J4439" s="3"/>
    </row>
    <row r="4440" spans="8:10" x14ac:dyDescent="0.3">
      <c r="H4440" s="3"/>
      <c r="I4440" s="3"/>
      <c r="J4440" s="3"/>
    </row>
    <row r="4441" spans="8:10" x14ac:dyDescent="0.3">
      <c r="H4441" s="3"/>
      <c r="I4441" s="3"/>
      <c r="J4441" s="3"/>
    </row>
    <row r="4442" spans="8:10" x14ac:dyDescent="0.3">
      <c r="H4442" s="3"/>
      <c r="I4442" s="3"/>
      <c r="J4442" s="3"/>
    </row>
    <row r="4443" spans="8:10" x14ac:dyDescent="0.3">
      <c r="H4443" s="3"/>
      <c r="I4443" s="3"/>
      <c r="J4443" s="3"/>
    </row>
    <row r="4444" spans="8:10" x14ac:dyDescent="0.3">
      <c r="H4444" s="3"/>
      <c r="I4444" s="3"/>
      <c r="J4444" s="3"/>
    </row>
    <row r="4445" spans="8:10" x14ac:dyDescent="0.3">
      <c r="H4445" s="3"/>
      <c r="I4445" s="3"/>
      <c r="J4445" s="3"/>
    </row>
    <row r="4446" spans="8:10" x14ac:dyDescent="0.3">
      <c r="H4446" s="3"/>
      <c r="I4446" s="3"/>
      <c r="J4446" s="3"/>
    </row>
    <row r="4447" spans="8:10" x14ac:dyDescent="0.3">
      <c r="H4447" s="3"/>
      <c r="I4447" s="3"/>
      <c r="J4447" s="3"/>
    </row>
    <row r="4448" spans="8:10" x14ac:dyDescent="0.3">
      <c r="H4448" s="3"/>
      <c r="I4448" s="3"/>
      <c r="J4448" s="3"/>
    </row>
    <row r="4449" spans="8:10" x14ac:dyDescent="0.3">
      <c r="H4449" s="3"/>
      <c r="I4449" s="3"/>
      <c r="J4449" s="3"/>
    </row>
    <row r="4450" spans="8:10" x14ac:dyDescent="0.3">
      <c r="H4450" s="3"/>
      <c r="I4450" s="3"/>
      <c r="J4450" s="3"/>
    </row>
    <row r="4451" spans="8:10" x14ac:dyDescent="0.3">
      <c r="H4451" s="3"/>
      <c r="I4451" s="3"/>
      <c r="J4451" s="3"/>
    </row>
    <row r="4452" spans="8:10" x14ac:dyDescent="0.3">
      <c r="H4452" s="3"/>
      <c r="I4452" s="3"/>
      <c r="J4452" s="3"/>
    </row>
    <row r="4453" spans="8:10" x14ac:dyDescent="0.3">
      <c r="H4453" s="3"/>
      <c r="I4453" s="3"/>
      <c r="J4453" s="3"/>
    </row>
    <row r="4454" spans="8:10" x14ac:dyDescent="0.3">
      <c r="H4454" s="3"/>
      <c r="I4454" s="3"/>
      <c r="J4454" s="3"/>
    </row>
    <row r="4455" spans="8:10" x14ac:dyDescent="0.3">
      <c r="H4455" s="3"/>
      <c r="I4455" s="3"/>
      <c r="J4455" s="3"/>
    </row>
    <row r="4456" spans="8:10" x14ac:dyDescent="0.3">
      <c r="H4456" s="3"/>
      <c r="I4456" s="3"/>
      <c r="J4456" s="3"/>
    </row>
    <row r="4457" spans="8:10" x14ac:dyDescent="0.3">
      <c r="H4457" s="3"/>
      <c r="I4457" s="3"/>
      <c r="J4457" s="3"/>
    </row>
    <row r="4458" spans="8:10" x14ac:dyDescent="0.3">
      <c r="H4458" s="3"/>
      <c r="I4458" s="3"/>
      <c r="J4458" s="3"/>
    </row>
    <row r="4459" spans="8:10" x14ac:dyDescent="0.3">
      <c r="H4459" s="3"/>
      <c r="I4459" s="3"/>
      <c r="J4459" s="3"/>
    </row>
    <row r="4460" spans="8:10" x14ac:dyDescent="0.3">
      <c r="H4460" s="3"/>
      <c r="I4460" s="3"/>
      <c r="J4460" s="3"/>
    </row>
    <row r="4461" spans="8:10" x14ac:dyDescent="0.3">
      <c r="H4461" s="3"/>
      <c r="I4461" s="3"/>
      <c r="J4461" s="3"/>
    </row>
    <row r="4462" spans="8:10" x14ac:dyDescent="0.3">
      <c r="H4462" s="3"/>
      <c r="I4462" s="3"/>
      <c r="J4462" s="3"/>
    </row>
    <row r="4463" spans="8:10" x14ac:dyDescent="0.3">
      <c r="H4463" s="3"/>
      <c r="I4463" s="3"/>
      <c r="J4463" s="3"/>
    </row>
    <row r="4464" spans="8:10" x14ac:dyDescent="0.3">
      <c r="H4464" s="3"/>
      <c r="I4464" s="3"/>
      <c r="J4464" s="3"/>
    </row>
    <row r="4465" spans="8:10" x14ac:dyDescent="0.3">
      <c r="H4465" s="3"/>
      <c r="I4465" s="3"/>
      <c r="J4465" s="3"/>
    </row>
    <row r="4466" spans="8:10" x14ac:dyDescent="0.3">
      <c r="H4466" s="3"/>
      <c r="I4466" s="3"/>
      <c r="J4466" s="3"/>
    </row>
    <row r="4467" spans="8:10" x14ac:dyDescent="0.3">
      <c r="H4467" s="3"/>
      <c r="I4467" s="3"/>
      <c r="J4467" s="3"/>
    </row>
    <row r="4468" spans="8:10" x14ac:dyDescent="0.3">
      <c r="H4468" s="3"/>
      <c r="I4468" s="3"/>
      <c r="J4468" s="3"/>
    </row>
    <row r="4469" spans="8:10" x14ac:dyDescent="0.3">
      <c r="H4469" s="3"/>
      <c r="I4469" s="3"/>
      <c r="J4469" s="3"/>
    </row>
    <row r="4470" spans="8:10" x14ac:dyDescent="0.3">
      <c r="H4470" s="3"/>
      <c r="I4470" s="3"/>
      <c r="J4470" s="3"/>
    </row>
    <row r="4471" spans="8:10" x14ac:dyDescent="0.3">
      <c r="H4471" s="3"/>
      <c r="I4471" s="3"/>
      <c r="J4471" s="3"/>
    </row>
    <row r="4472" spans="8:10" x14ac:dyDescent="0.3">
      <c r="H4472" s="3"/>
      <c r="I4472" s="3"/>
      <c r="J4472" s="3"/>
    </row>
    <row r="4473" spans="8:10" x14ac:dyDescent="0.3">
      <c r="H4473" s="3"/>
      <c r="I4473" s="3"/>
      <c r="J4473" s="3"/>
    </row>
    <row r="4474" spans="8:10" x14ac:dyDescent="0.3">
      <c r="H4474" s="3"/>
      <c r="I4474" s="3"/>
      <c r="J4474" s="3"/>
    </row>
    <row r="4475" spans="8:10" x14ac:dyDescent="0.3">
      <c r="H4475" s="3"/>
      <c r="I4475" s="3"/>
      <c r="J4475" s="3"/>
    </row>
    <row r="4476" spans="8:10" x14ac:dyDescent="0.3">
      <c r="H4476" s="3"/>
      <c r="I4476" s="3"/>
      <c r="J4476" s="3"/>
    </row>
    <row r="4477" spans="8:10" x14ac:dyDescent="0.3">
      <c r="H4477" s="3"/>
      <c r="I4477" s="3"/>
      <c r="J4477" s="3"/>
    </row>
    <row r="4478" spans="8:10" x14ac:dyDescent="0.3">
      <c r="H4478" s="3"/>
      <c r="I4478" s="3"/>
      <c r="J4478" s="3"/>
    </row>
    <row r="4479" spans="8:10" x14ac:dyDescent="0.3">
      <c r="H4479" s="3"/>
      <c r="I4479" s="3"/>
      <c r="J4479" s="3"/>
    </row>
    <row r="4480" spans="8:10" x14ac:dyDescent="0.3">
      <c r="H4480" s="3"/>
      <c r="I4480" s="3"/>
      <c r="J4480" s="3"/>
    </row>
    <row r="4481" spans="8:10" x14ac:dyDescent="0.3">
      <c r="H4481" s="3"/>
      <c r="I4481" s="3"/>
      <c r="J4481" s="3"/>
    </row>
    <row r="4482" spans="8:10" x14ac:dyDescent="0.3">
      <c r="H4482" s="3"/>
      <c r="I4482" s="3"/>
      <c r="J4482" s="3"/>
    </row>
    <row r="4483" spans="8:10" x14ac:dyDescent="0.3">
      <c r="H4483" s="3"/>
      <c r="I4483" s="3"/>
      <c r="J4483" s="3"/>
    </row>
    <row r="4484" spans="8:10" x14ac:dyDescent="0.3">
      <c r="H4484" s="3"/>
      <c r="I4484" s="3"/>
      <c r="J4484" s="3"/>
    </row>
    <row r="4485" spans="8:10" x14ac:dyDescent="0.3">
      <c r="H4485" s="3"/>
      <c r="I4485" s="3"/>
      <c r="J4485" s="3"/>
    </row>
    <row r="4486" spans="8:10" x14ac:dyDescent="0.3">
      <c r="H4486" s="3"/>
      <c r="I4486" s="3"/>
      <c r="J4486" s="3"/>
    </row>
    <row r="4487" spans="8:10" x14ac:dyDescent="0.3">
      <c r="H4487" s="3"/>
      <c r="I4487" s="3"/>
      <c r="J4487" s="3"/>
    </row>
    <row r="4488" spans="8:10" x14ac:dyDescent="0.3">
      <c r="H4488" s="3"/>
      <c r="I4488" s="3"/>
      <c r="J4488" s="3"/>
    </row>
    <row r="4489" spans="8:10" x14ac:dyDescent="0.3">
      <c r="H4489" s="3"/>
      <c r="I4489" s="3"/>
      <c r="J4489" s="3"/>
    </row>
    <row r="4490" spans="8:10" x14ac:dyDescent="0.3">
      <c r="H4490" s="3"/>
      <c r="I4490" s="3"/>
      <c r="J4490" s="3"/>
    </row>
    <row r="4491" spans="8:10" x14ac:dyDescent="0.3">
      <c r="H4491" s="3"/>
      <c r="I4491" s="3"/>
      <c r="J4491" s="3"/>
    </row>
    <row r="4492" spans="8:10" x14ac:dyDescent="0.3">
      <c r="H4492" s="3"/>
      <c r="I4492" s="3"/>
      <c r="J4492" s="3"/>
    </row>
    <row r="4493" spans="8:10" x14ac:dyDescent="0.3">
      <c r="H4493" s="3"/>
      <c r="I4493" s="3"/>
      <c r="J4493" s="3"/>
    </row>
    <row r="4494" spans="8:10" x14ac:dyDescent="0.3">
      <c r="H4494" s="3"/>
      <c r="I4494" s="3"/>
      <c r="J4494" s="3"/>
    </row>
    <row r="4495" spans="8:10" x14ac:dyDescent="0.3">
      <c r="H4495" s="3"/>
      <c r="I4495" s="3"/>
      <c r="J4495" s="3"/>
    </row>
    <row r="4496" spans="8:10" x14ac:dyDescent="0.3">
      <c r="H4496" s="3"/>
      <c r="I4496" s="3"/>
      <c r="J4496" s="3"/>
    </row>
    <row r="4497" spans="8:10" x14ac:dyDescent="0.3">
      <c r="H4497" s="3"/>
      <c r="I4497" s="3"/>
      <c r="J4497" s="3"/>
    </row>
    <row r="4498" spans="8:10" x14ac:dyDescent="0.3">
      <c r="H4498" s="3"/>
      <c r="I4498" s="3"/>
      <c r="J4498" s="3"/>
    </row>
    <row r="4499" spans="8:10" x14ac:dyDescent="0.3">
      <c r="H4499" s="3"/>
      <c r="I4499" s="3"/>
      <c r="J4499" s="3"/>
    </row>
    <row r="4500" spans="8:10" x14ac:dyDescent="0.3">
      <c r="H4500" s="3"/>
      <c r="I4500" s="3"/>
      <c r="J4500" s="3"/>
    </row>
    <row r="4501" spans="8:10" x14ac:dyDescent="0.3">
      <c r="H4501" s="3"/>
      <c r="I4501" s="3"/>
      <c r="J4501" s="3"/>
    </row>
    <row r="4502" spans="8:10" x14ac:dyDescent="0.3">
      <c r="H4502" s="3"/>
      <c r="I4502" s="3"/>
      <c r="J4502" s="3"/>
    </row>
    <row r="4503" spans="8:10" x14ac:dyDescent="0.3">
      <c r="H4503" s="3"/>
      <c r="I4503" s="3"/>
      <c r="J4503" s="3"/>
    </row>
    <row r="4504" spans="8:10" x14ac:dyDescent="0.3">
      <c r="H4504" s="3"/>
      <c r="I4504" s="3"/>
      <c r="J4504" s="3"/>
    </row>
    <row r="4505" spans="8:10" x14ac:dyDescent="0.3">
      <c r="H4505" s="3"/>
      <c r="I4505" s="3"/>
      <c r="J4505" s="3"/>
    </row>
    <row r="4506" spans="8:10" x14ac:dyDescent="0.3">
      <c r="H4506" s="3"/>
      <c r="I4506" s="3"/>
      <c r="J4506" s="3"/>
    </row>
    <row r="4507" spans="8:10" x14ac:dyDescent="0.3">
      <c r="H4507" s="3"/>
      <c r="I4507" s="3"/>
      <c r="J4507" s="3"/>
    </row>
    <row r="4508" spans="8:10" x14ac:dyDescent="0.3">
      <c r="H4508" s="3"/>
      <c r="I4508" s="3"/>
      <c r="J4508" s="3"/>
    </row>
    <row r="4509" spans="8:10" x14ac:dyDescent="0.3">
      <c r="H4509" s="3"/>
      <c r="I4509" s="3"/>
      <c r="J4509" s="3"/>
    </row>
    <row r="4510" spans="8:10" x14ac:dyDescent="0.3">
      <c r="H4510" s="3"/>
      <c r="I4510" s="3"/>
      <c r="J4510" s="3"/>
    </row>
    <row r="4511" spans="8:10" x14ac:dyDescent="0.3">
      <c r="H4511" s="3"/>
      <c r="I4511" s="3"/>
      <c r="J4511" s="3"/>
    </row>
    <row r="4512" spans="8:10" x14ac:dyDescent="0.3">
      <c r="H4512" s="3"/>
      <c r="I4512" s="3"/>
      <c r="J4512" s="3"/>
    </row>
    <row r="4513" spans="8:10" x14ac:dyDescent="0.3">
      <c r="H4513" s="3"/>
      <c r="I4513" s="3"/>
      <c r="J4513" s="3"/>
    </row>
    <row r="4514" spans="8:10" x14ac:dyDescent="0.3">
      <c r="H4514" s="3"/>
      <c r="I4514" s="3"/>
      <c r="J4514" s="3"/>
    </row>
    <row r="4515" spans="8:10" x14ac:dyDescent="0.3">
      <c r="H4515" s="3"/>
      <c r="I4515" s="3"/>
      <c r="J4515" s="3"/>
    </row>
    <row r="4516" spans="8:10" x14ac:dyDescent="0.3">
      <c r="H4516" s="3"/>
      <c r="I4516" s="3"/>
      <c r="J4516" s="3"/>
    </row>
    <row r="4517" spans="8:10" x14ac:dyDescent="0.3">
      <c r="H4517" s="3"/>
      <c r="I4517" s="3"/>
      <c r="J4517" s="3"/>
    </row>
    <row r="4518" spans="8:10" x14ac:dyDescent="0.3">
      <c r="H4518" s="3"/>
      <c r="I4518" s="3"/>
      <c r="J4518" s="3"/>
    </row>
    <row r="4519" spans="8:10" x14ac:dyDescent="0.3">
      <c r="H4519" s="3"/>
      <c r="I4519" s="3"/>
      <c r="J4519" s="3"/>
    </row>
    <row r="4520" spans="8:10" x14ac:dyDescent="0.3">
      <c r="H4520" s="3"/>
      <c r="I4520" s="3"/>
      <c r="J4520" s="3"/>
    </row>
    <row r="4521" spans="8:10" x14ac:dyDescent="0.3">
      <c r="H4521" s="3"/>
      <c r="I4521" s="3"/>
      <c r="J4521" s="3"/>
    </row>
    <row r="4522" spans="8:10" x14ac:dyDescent="0.3">
      <c r="H4522" s="3"/>
      <c r="I4522" s="3"/>
      <c r="J4522" s="3"/>
    </row>
    <row r="4523" spans="8:10" x14ac:dyDescent="0.3">
      <c r="H4523" s="3"/>
      <c r="I4523" s="3"/>
      <c r="J4523" s="3"/>
    </row>
    <row r="4524" spans="8:10" x14ac:dyDescent="0.3">
      <c r="H4524" s="3"/>
      <c r="I4524" s="3"/>
      <c r="J4524" s="3"/>
    </row>
    <row r="4525" spans="8:10" x14ac:dyDescent="0.3">
      <c r="H4525" s="3"/>
      <c r="I4525" s="3"/>
      <c r="J4525" s="3"/>
    </row>
    <row r="4526" spans="8:10" x14ac:dyDescent="0.3">
      <c r="H4526" s="3"/>
      <c r="I4526" s="3"/>
      <c r="J4526" s="3"/>
    </row>
    <row r="4527" spans="8:10" x14ac:dyDescent="0.3">
      <c r="H4527" s="3"/>
      <c r="I4527" s="3"/>
      <c r="J4527" s="3"/>
    </row>
    <row r="4528" spans="8:10" x14ac:dyDescent="0.3">
      <c r="H4528" s="3"/>
      <c r="I4528" s="3"/>
      <c r="J4528" s="3"/>
    </row>
    <row r="4529" spans="8:10" x14ac:dyDescent="0.3">
      <c r="H4529" s="3"/>
      <c r="I4529" s="3"/>
      <c r="J4529" s="3"/>
    </row>
    <row r="4530" spans="8:10" x14ac:dyDescent="0.3">
      <c r="H4530" s="3"/>
      <c r="I4530" s="3"/>
      <c r="J4530" s="3"/>
    </row>
    <row r="4531" spans="8:10" x14ac:dyDescent="0.3">
      <c r="H4531" s="3"/>
      <c r="I4531" s="3"/>
      <c r="J4531" s="3"/>
    </row>
    <row r="4532" spans="8:10" x14ac:dyDescent="0.3">
      <c r="H4532" s="3"/>
      <c r="I4532" s="3"/>
      <c r="J4532" s="3"/>
    </row>
    <row r="4533" spans="8:10" x14ac:dyDescent="0.3">
      <c r="H4533" s="3"/>
      <c r="I4533" s="3"/>
      <c r="J4533" s="3"/>
    </row>
    <row r="4534" spans="8:10" x14ac:dyDescent="0.3">
      <c r="H4534" s="3"/>
      <c r="I4534" s="3"/>
      <c r="J4534" s="3"/>
    </row>
    <row r="4535" spans="8:10" x14ac:dyDescent="0.3">
      <c r="H4535" s="3"/>
      <c r="I4535" s="3"/>
      <c r="J4535" s="3"/>
    </row>
    <row r="4536" spans="8:10" x14ac:dyDescent="0.3">
      <c r="H4536" s="3"/>
      <c r="I4536" s="3"/>
      <c r="J4536" s="3"/>
    </row>
    <row r="4537" spans="8:10" x14ac:dyDescent="0.3">
      <c r="H4537" s="3"/>
      <c r="I4537" s="3"/>
      <c r="J4537" s="3"/>
    </row>
    <row r="4538" spans="8:10" x14ac:dyDescent="0.3">
      <c r="H4538" s="3"/>
      <c r="I4538" s="3"/>
      <c r="J4538" s="3"/>
    </row>
    <row r="4539" spans="8:10" x14ac:dyDescent="0.3">
      <c r="H4539" s="3"/>
      <c r="I4539" s="3"/>
      <c r="J4539" s="3"/>
    </row>
    <row r="4540" spans="8:10" x14ac:dyDescent="0.3">
      <c r="H4540" s="3"/>
      <c r="I4540" s="3"/>
      <c r="J4540" s="3"/>
    </row>
    <row r="4541" spans="8:10" x14ac:dyDescent="0.3">
      <c r="H4541" s="3"/>
      <c r="I4541" s="3"/>
      <c r="J4541" s="3"/>
    </row>
    <row r="4542" spans="8:10" x14ac:dyDescent="0.3">
      <c r="H4542" s="3"/>
      <c r="I4542" s="3"/>
      <c r="J4542" s="3"/>
    </row>
    <row r="4543" spans="8:10" x14ac:dyDescent="0.3">
      <c r="H4543" s="3"/>
      <c r="I4543" s="3"/>
      <c r="J4543" s="3"/>
    </row>
    <row r="4544" spans="8:10" x14ac:dyDescent="0.3">
      <c r="H4544" s="3"/>
      <c r="I4544" s="3"/>
      <c r="J4544" s="3"/>
    </row>
    <row r="4545" spans="8:10" x14ac:dyDescent="0.3">
      <c r="H4545" s="3"/>
      <c r="I4545" s="3"/>
      <c r="J4545" s="3"/>
    </row>
    <row r="4546" spans="8:10" x14ac:dyDescent="0.3">
      <c r="H4546" s="3"/>
      <c r="I4546" s="3"/>
      <c r="J4546" s="3"/>
    </row>
    <row r="4547" spans="8:10" x14ac:dyDescent="0.3">
      <c r="H4547" s="3"/>
      <c r="I4547" s="3"/>
      <c r="J4547" s="3"/>
    </row>
    <row r="4548" spans="8:10" x14ac:dyDescent="0.3">
      <c r="H4548" s="3"/>
      <c r="I4548" s="3"/>
      <c r="J4548" s="3"/>
    </row>
    <row r="4549" spans="8:10" x14ac:dyDescent="0.3">
      <c r="H4549" s="3"/>
      <c r="I4549" s="3"/>
      <c r="J4549" s="3"/>
    </row>
    <row r="4550" spans="8:10" x14ac:dyDescent="0.3">
      <c r="H4550" s="3"/>
      <c r="I4550" s="3"/>
      <c r="J4550" s="3"/>
    </row>
    <row r="4551" spans="8:10" x14ac:dyDescent="0.3">
      <c r="H4551" s="3"/>
      <c r="I4551" s="3"/>
      <c r="J4551" s="3"/>
    </row>
    <row r="4552" spans="8:10" x14ac:dyDescent="0.3">
      <c r="H4552" s="3"/>
      <c r="I4552" s="3"/>
      <c r="J4552" s="3"/>
    </row>
    <row r="4553" spans="8:10" x14ac:dyDescent="0.3">
      <c r="H4553" s="3"/>
      <c r="I4553" s="3"/>
      <c r="J4553" s="3"/>
    </row>
    <row r="4554" spans="8:10" x14ac:dyDescent="0.3">
      <c r="H4554" s="3"/>
      <c r="I4554" s="3"/>
      <c r="J4554" s="3"/>
    </row>
    <row r="4555" spans="8:10" x14ac:dyDescent="0.3">
      <c r="H4555" s="3"/>
      <c r="I4555" s="3"/>
      <c r="J4555" s="3"/>
    </row>
    <row r="4556" spans="8:10" x14ac:dyDescent="0.3">
      <c r="H4556" s="3"/>
      <c r="I4556" s="3"/>
      <c r="J4556" s="3"/>
    </row>
    <row r="4557" spans="8:10" x14ac:dyDescent="0.3">
      <c r="H4557" s="3"/>
      <c r="I4557" s="3"/>
      <c r="J4557" s="3"/>
    </row>
    <row r="4558" spans="8:10" x14ac:dyDescent="0.3">
      <c r="H4558" s="3"/>
      <c r="I4558" s="3"/>
      <c r="J4558" s="3"/>
    </row>
    <row r="4559" spans="8:10" x14ac:dyDescent="0.3">
      <c r="H4559" s="3"/>
      <c r="I4559" s="3"/>
      <c r="J4559" s="3"/>
    </row>
    <row r="4560" spans="8:10" x14ac:dyDescent="0.3">
      <c r="H4560" s="3"/>
      <c r="I4560" s="3"/>
      <c r="J4560" s="3"/>
    </row>
    <row r="4561" spans="8:10" x14ac:dyDescent="0.3">
      <c r="H4561" s="3"/>
      <c r="I4561" s="3"/>
      <c r="J4561" s="3"/>
    </row>
    <row r="4562" spans="8:10" x14ac:dyDescent="0.3">
      <c r="H4562" s="3"/>
      <c r="I4562" s="3"/>
      <c r="J4562" s="3"/>
    </row>
    <row r="4563" spans="8:10" x14ac:dyDescent="0.3">
      <c r="H4563" s="3"/>
      <c r="I4563" s="3"/>
      <c r="J4563" s="3"/>
    </row>
    <row r="4564" spans="8:10" x14ac:dyDescent="0.3">
      <c r="H4564" s="3"/>
      <c r="I4564" s="3"/>
      <c r="J4564" s="3"/>
    </row>
    <row r="4565" spans="8:10" x14ac:dyDescent="0.3">
      <c r="H4565" s="3"/>
      <c r="I4565" s="3"/>
      <c r="J4565" s="3"/>
    </row>
    <row r="4566" spans="8:10" x14ac:dyDescent="0.3">
      <c r="H4566" s="3"/>
      <c r="I4566" s="3"/>
      <c r="J4566" s="3"/>
    </row>
    <row r="4567" spans="8:10" x14ac:dyDescent="0.3">
      <c r="H4567" s="3"/>
      <c r="I4567" s="3"/>
      <c r="J4567" s="3"/>
    </row>
    <row r="4568" spans="8:10" x14ac:dyDescent="0.3">
      <c r="H4568" s="3"/>
      <c r="I4568" s="3"/>
      <c r="J4568" s="3"/>
    </row>
    <row r="4569" spans="8:10" x14ac:dyDescent="0.3">
      <c r="H4569" s="3"/>
      <c r="I4569" s="3"/>
      <c r="J4569" s="3"/>
    </row>
    <row r="4570" spans="8:10" x14ac:dyDescent="0.3">
      <c r="H4570" s="3"/>
      <c r="I4570" s="3"/>
      <c r="J4570" s="3"/>
    </row>
    <row r="4571" spans="8:10" x14ac:dyDescent="0.3">
      <c r="H4571" s="3"/>
      <c r="I4571" s="3"/>
      <c r="J4571" s="3"/>
    </row>
    <row r="4572" spans="8:10" x14ac:dyDescent="0.3">
      <c r="H4572" s="3"/>
      <c r="I4572" s="3"/>
      <c r="J4572" s="3"/>
    </row>
    <row r="4573" spans="8:10" x14ac:dyDescent="0.3">
      <c r="H4573" s="3"/>
      <c r="I4573" s="3"/>
      <c r="J4573" s="3"/>
    </row>
    <row r="4574" spans="8:10" x14ac:dyDescent="0.3">
      <c r="H4574" s="3"/>
      <c r="I4574" s="3"/>
      <c r="J4574" s="3"/>
    </row>
    <row r="4575" spans="8:10" x14ac:dyDescent="0.3">
      <c r="H4575" s="3"/>
      <c r="I4575" s="3"/>
      <c r="J4575" s="3"/>
    </row>
    <row r="4576" spans="8:10" x14ac:dyDescent="0.3">
      <c r="H4576" s="3"/>
      <c r="I4576" s="3"/>
      <c r="J4576" s="3"/>
    </row>
    <row r="4577" spans="8:10" x14ac:dyDescent="0.3">
      <c r="H4577" s="3"/>
      <c r="I4577" s="3"/>
      <c r="J4577" s="3"/>
    </row>
    <row r="4578" spans="8:10" x14ac:dyDescent="0.3">
      <c r="H4578" s="3"/>
      <c r="I4578" s="3"/>
      <c r="J4578" s="3"/>
    </row>
    <row r="4579" spans="8:10" x14ac:dyDescent="0.3">
      <c r="H4579" s="3"/>
      <c r="I4579" s="3"/>
      <c r="J4579" s="3"/>
    </row>
    <row r="4580" spans="8:10" x14ac:dyDescent="0.3">
      <c r="H4580" s="3"/>
      <c r="I4580" s="3"/>
      <c r="J4580" s="3"/>
    </row>
    <row r="4581" spans="8:10" x14ac:dyDescent="0.3">
      <c r="H4581" s="3"/>
      <c r="I4581" s="3"/>
      <c r="J4581" s="3"/>
    </row>
    <row r="4582" spans="8:10" x14ac:dyDescent="0.3">
      <c r="H4582" s="3"/>
      <c r="I4582" s="3"/>
      <c r="J4582" s="3"/>
    </row>
    <row r="4583" spans="8:10" x14ac:dyDescent="0.3">
      <c r="H4583" s="3"/>
      <c r="I4583" s="3"/>
      <c r="J4583" s="3"/>
    </row>
    <row r="4584" spans="8:10" x14ac:dyDescent="0.3">
      <c r="H4584" s="3"/>
      <c r="I4584" s="3"/>
      <c r="J4584" s="3"/>
    </row>
    <row r="4585" spans="8:10" x14ac:dyDescent="0.3">
      <c r="H4585" s="3"/>
      <c r="I4585" s="3"/>
      <c r="J4585" s="3"/>
    </row>
    <row r="4586" spans="8:10" x14ac:dyDescent="0.3">
      <c r="H4586" s="3"/>
      <c r="I4586" s="3"/>
      <c r="J4586" s="3"/>
    </row>
    <row r="4587" spans="8:10" x14ac:dyDescent="0.3">
      <c r="H4587" s="3"/>
      <c r="I4587" s="3"/>
      <c r="J4587" s="3"/>
    </row>
    <row r="4588" spans="8:10" x14ac:dyDescent="0.3">
      <c r="H4588" s="3"/>
      <c r="I4588" s="3"/>
      <c r="J4588" s="3"/>
    </row>
    <row r="4589" spans="8:10" x14ac:dyDescent="0.3">
      <c r="H4589" s="3"/>
      <c r="I4589" s="3"/>
      <c r="J4589" s="3"/>
    </row>
    <row r="4590" spans="8:10" x14ac:dyDescent="0.3">
      <c r="H4590" s="3"/>
      <c r="I4590" s="3"/>
      <c r="J4590" s="3"/>
    </row>
    <row r="4591" spans="8:10" x14ac:dyDescent="0.3">
      <c r="H4591" s="3"/>
      <c r="I4591" s="3"/>
      <c r="J4591" s="3"/>
    </row>
    <row r="4592" spans="8:10" x14ac:dyDescent="0.3">
      <c r="H4592" s="3"/>
      <c r="I4592" s="3"/>
      <c r="J4592" s="3"/>
    </row>
    <row r="4593" spans="8:10" x14ac:dyDescent="0.3">
      <c r="H4593" s="3"/>
      <c r="I4593" s="3"/>
      <c r="J4593" s="3"/>
    </row>
    <row r="4594" spans="8:10" x14ac:dyDescent="0.3">
      <c r="H4594" s="3"/>
      <c r="I4594" s="3"/>
      <c r="J4594" s="3"/>
    </row>
    <row r="4595" spans="8:10" x14ac:dyDescent="0.3">
      <c r="H4595" s="3"/>
      <c r="I4595" s="3"/>
      <c r="J4595" s="3"/>
    </row>
    <row r="4596" spans="8:10" x14ac:dyDescent="0.3">
      <c r="H4596" s="3"/>
      <c r="I4596" s="3"/>
      <c r="J4596" s="3"/>
    </row>
    <row r="4597" spans="8:10" x14ac:dyDescent="0.3">
      <c r="H4597" s="3"/>
      <c r="I4597" s="3"/>
      <c r="J4597" s="3"/>
    </row>
    <row r="4598" spans="8:10" x14ac:dyDescent="0.3">
      <c r="H4598" s="3"/>
      <c r="I4598" s="3"/>
      <c r="J4598" s="3"/>
    </row>
    <row r="4599" spans="8:10" x14ac:dyDescent="0.3">
      <c r="H4599" s="3"/>
      <c r="I4599" s="3"/>
      <c r="J4599" s="3"/>
    </row>
    <row r="4600" spans="8:10" x14ac:dyDescent="0.3">
      <c r="H4600" s="3"/>
      <c r="I4600" s="3"/>
      <c r="J4600" s="3"/>
    </row>
    <row r="4601" spans="8:10" x14ac:dyDescent="0.3">
      <c r="H4601" s="3"/>
      <c r="I4601" s="3"/>
      <c r="J4601" s="3"/>
    </row>
    <row r="4602" spans="8:10" x14ac:dyDescent="0.3">
      <c r="H4602" s="3"/>
      <c r="I4602" s="3"/>
      <c r="J4602" s="3"/>
    </row>
    <row r="4603" spans="8:10" x14ac:dyDescent="0.3">
      <c r="H4603" s="3"/>
      <c r="I4603" s="3"/>
      <c r="J4603" s="3"/>
    </row>
    <row r="4604" spans="8:10" x14ac:dyDescent="0.3">
      <c r="H4604" s="3"/>
      <c r="I4604" s="3"/>
      <c r="J4604" s="3"/>
    </row>
    <row r="4605" spans="8:10" x14ac:dyDescent="0.3">
      <c r="H4605" s="3"/>
      <c r="I4605" s="3"/>
      <c r="J4605" s="3"/>
    </row>
    <row r="4606" spans="8:10" x14ac:dyDescent="0.3">
      <c r="H4606" s="3"/>
      <c r="I4606" s="3"/>
      <c r="J4606" s="3"/>
    </row>
    <row r="4607" spans="8:10" x14ac:dyDescent="0.3">
      <c r="H4607" s="3"/>
      <c r="I4607" s="3"/>
      <c r="J4607" s="3"/>
    </row>
    <row r="4608" spans="8:10" x14ac:dyDescent="0.3">
      <c r="H4608" s="3"/>
      <c r="I4608" s="3"/>
      <c r="J4608" s="3"/>
    </row>
    <row r="4609" spans="8:10" x14ac:dyDescent="0.3">
      <c r="H4609" s="3"/>
      <c r="I4609" s="3"/>
      <c r="J4609" s="3"/>
    </row>
    <row r="4610" spans="8:10" x14ac:dyDescent="0.3">
      <c r="H4610" s="3"/>
      <c r="I4610" s="3"/>
      <c r="J4610" s="3"/>
    </row>
    <row r="4611" spans="8:10" x14ac:dyDescent="0.3">
      <c r="H4611" s="3"/>
      <c r="I4611" s="3"/>
      <c r="J4611" s="3"/>
    </row>
    <row r="4612" spans="8:10" x14ac:dyDescent="0.3">
      <c r="H4612" s="3"/>
      <c r="I4612" s="3"/>
      <c r="J4612" s="3"/>
    </row>
    <row r="4613" spans="8:10" x14ac:dyDescent="0.3">
      <c r="H4613" s="3"/>
      <c r="I4613" s="3"/>
      <c r="J4613" s="3"/>
    </row>
    <row r="4614" spans="8:10" x14ac:dyDescent="0.3">
      <c r="H4614" s="3"/>
      <c r="I4614" s="3"/>
      <c r="J4614" s="3"/>
    </row>
    <row r="4615" spans="8:10" x14ac:dyDescent="0.3">
      <c r="H4615" s="3"/>
      <c r="I4615" s="3"/>
      <c r="J4615" s="3"/>
    </row>
    <row r="4616" spans="8:10" x14ac:dyDescent="0.3">
      <c r="H4616" s="3"/>
      <c r="I4616" s="3"/>
      <c r="J4616" s="3"/>
    </row>
    <row r="4617" spans="8:10" x14ac:dyDescent="0.3">
      <c r="H4617" s="3"/>
      <c r="I4617" s="3"/>
      <c r="J4617" s="3"/>
    </row>
    <row r="4618" spans="8:10" x14ac:dyDescent="0.3">
      <c r="H4618" s="3"/>
      <c r="I4618" s="3"/>
      <c r="J4618" s="3"/>
    </row>
    <row r="4619" spans="8:10" x14ac:dyDescent="0.3">
      <c r="H4619" s="3"/>
      <c r="I4619" s="3"/>
      <c r="J4619" s="3"/>
    </row>
    <row r="4620" spans="8:10" x14ac:dyDescent="0.3">
      <c r="H4620" s="3"/>
      <c r="I4620" s="3"/>
      <c r="J4620" s="3"/>
    </row>
    <row r="4621" spans="8:10" x14ac:dyDescent="0.3">
      <c r="H4621" s="3"/>
      <c r="I4621" s="3"/>
      <c r="J4621" s="3"/>
    </row>
    <row r="4622" spans="8:10" x14ac:dyDescent="0.3">
      <c r="H4622" s="3"/>
      <c r="I4622" s="3"/>
      <c r="J4622" s="3"/>
    </row>
    <row r="4623" spans="8:10" x14ac:dyDescent="0.3">
      <c r="H4623" s="3"/>
      <c r="I4623" s="3"/>
      <c r="J4623" s="3"/>
    </row>
    <row r="4624" spans="8:10" x14ac:dyDescent="0.3">
      <c r="H4624" s="3"/>
      <c r="I4624" s="3"/>
      <c r="J4624" s="3"/>
    </row>
    <row r="4625" spans="8:10" x14ac:dyDescent="0.3">
      <c r="H4625" s="3"/>
      <c r="I4625" s="3"/>
      <c r="J4625" s="3"/>
    </row>
    <row r="4626" spans="8:10" x14ac:dyDescent="0.3">
      <c r="H4626" s="3"/>
      <c r="I4626" s="3"/>
      <c r="J4626" s="3"/>
    </row>
    <row r="4627" spans="8:10" x14ac:dyDescent="0.3">
      <c r="H4627" s="3"/>
      <c r="I4627" s="3"/>
      <c r="J4627" s="3"/>
    </row>
    <row r="4628" spans="8:10" x14ac:dyDescent="0.3">
      <c r="H4628" s="3"/>
      <c r="I4628" s="3"/>
      <c r="J4628" s="3"/>
    </row>
    <row r="4629" spans="8:10" x14ac:dyDescent="0.3">
      <c r="H4629" s="3"/>
      <c r="I4629" s="3"/>
      <c r="J4629" s="3"/>
    </row>
    <row r="4630" spans="8:10" x14ac:dyDescent="0.3">
      <c r="H4630" s="3"/>
      <c r="I4630" s="3"/>
      <c r="J4630" s="3"/>
    </row>
    <row r="4631" spans="8:10" x14ac:dyDescent="0.3">
      <c r="H4631" s="3"/>
      <c r="I4631" s="3"/>
      <c r="J4631" s="3"/>
    </row>
    <row r="4632" spans="8:10" x14ac:dyDescent="0.3">
      <c r="H4632" s="3"/>
      <c r="I4632" s="3"/>
      <c r="J4632" s="3"/>
    </row>
    <row r="4633" spans="8:10" x14ac:dyDescent="0.3">
      <c r="H4633" s="3"/>
      <c r="I4633" s="3"/>
      <c r="J4633" s="3"/>
    </row>
    <row r="4634" spans="8:10" x14ac:dyDescent="0.3">
      <c r="H4634" s="3"/>
      <c r="I4634" s="3"/>
      <c r="J4634" s="3"/>
    </row>
    <row r="4635" spans="8:10" x14ac:dyDescent="0.3">
      <c r="H4635" s="3"/>
      <c r="I4635" s="3"/>
      <c r="J4635" s="3"/>
    </row>
    <row r="4636" spans="8:10" x14ac:dyDescent="0.3">
      <c r="H4636" s="3"/>
      <c r="I4636" s="3"/>
      <c r="J4636" s="3"/>
    </row>
    <row r="4637" spans="8:10" x14ac:dyDescent="0.3">
      <c r="H4637" s="3"/>
      <c r="I4637" s="3"/>
      <c r="J4637" s="3"/>
    </row>
    <row r="4638" spans="8:10" x14ac:dyDescent="0.3">
      <c r="H4638" s="3"/>
      <c r="I4638" s="3"/>
      <c r="J4638" s="3"/>
    </row>
    <row r="4639" spans="8:10" x14ac:dyDescent="0.3">
      <c r="H4639" s="3"/>
      <c r="I4639" s="3"/>
      <c r="J4639" s="3"/>
    </row>
    <row r="4640" spans="8:10" x14ac:dyDescent="0.3">
      <c r="H4640" s="3"/>
      <c r="I4640" s="3"/>
      <c r="J4640" s="3"/>
    </row>
    <row r="4641" spans="8:10" x14ac:dyDescent="0.3">
      <c r="H4641" s="3"/>
      <c r="I4641" s="3"/>
      <c r="J4641" s="3"/>
    </row>
    <row r="4642" spans="8:10" x14ac:dyDescent="0.3">
      <c r="H4642" s="3"/>
      <c r="I4642" s="3"/>
      <c r="J4642" s="3"/>
    </row>
    <row r="4643" spans="8:10" x14ac:dyDescent="0.3">
      <c r="H4643" s="3"/>
      <c r="I4643" s="3"/>
      <c r="J4643" s="3"/>
    </row>
    <row r="4644" spans="8:10" x14ac:dyDescent="0.3">
      <c r="H4644" s="3"/>
      <c r="I4644" s="3"/>
      <c r="J4644" s="3"/>
    </row>
    <row r="4645" spans="8:10" x14ac:dyDescent="0.3">
      <c r="H4645" s="3"/>
      <c r="I4645" s="3"/>
      <c r="J4645" s="3"/>
    </row>
    <row r="4646" spans="8:10" x14ac:dyDescent="0.3">
      <c r="H4646" s="3"/>
      <c r="I4646" s="3"/>
      <c r="J4646" s="3"/>
    </row>
    <row r="4647" spans="8:10" x14ac:dyDescent="0.3">
      <c r="H4647" s="3"/>
      <c r="I4647" s="3"/>
      <c r="J4647" s="3"/>
    </row>
    <row r="4648" spans="8:10" x14ac:dyDescent="0.3">
      <c r="H4648" s="3"/>
      <c r="I4648" s="3"/>
      <c r="J4648" s="3"/>
    </row>
    <row r="4649" spans="8:10" x14ac:dyDescent="0.3">
      <c r="H4649" s="3"/>
      <c r="I4649" s="3"/>
      <c r="J4649" s="3"/>
    </row>
    <row r="4650" spans="8:10" x14ac:dyDescent="0.3">
      <c r="H4650" s="3"/>
      <c r="I4650" s="3"/>
      <c r="J4650" s="3"/>
    </row>
    <row r="4651" spans="8:10" x14ac:dyDescent="0.3">
      <c r="H4651" s="3"/>
      <c r="I4651" s="3"/>
      <c r="J4651" s="3"/>
    </row>
    <row r="4652" spans="8:10" x14ac:dyDescent="0.3">
      <c r="H4652" s="3"/>
      <c r="I4652" s="3"/>
      <c r="J4652" s="3"/>
    </row>
    <row r="4653" spans="8:10" x14ac:dyDescent="0.3">
      <c r="H4653" s="3"/>
      <c r="I4653" s="3"/>
      <c r="J4653" s="3"/>
    </row>
    <row r="4654" spans="8:10" x14ac:dyDescent="0.3">
      <c r="H4654" s="3"/>
      <c r="I4654" s="3"/>
      <c r="J4654" s="3"/>
    </row>
    <row r="4655" spans="8:10" x14ac:dyDescent="0.3">
      <c r="H4655" s="3"/>
      <c r="I4655" s="3"/>
      <c r="J4655" s="3"/>
    </row>
    <row r="4656" spans="8:10" x14ac:dyDescent="0.3">
      <c r="H4656" s="3"/>
      <c r="I4656" s="3"/>
      <c r="J4656" s="3"/>
    </row>
    <row r="4657" spans="8:10" x14ac:dyDescent="0.3">
      <c r="H4657" s="3"/>
      <c r="I4657" s="3"/>
      <c r="J4657" s="3"/>
    </row>
    <row r="4658" spans="8:10" x14ac:dyDescent="0.3">
      <c r="H4658" s="3"/>
      <c r="I4658" s="3"/>
      <c r="J4658" s="3"/>
    </row>
    <row r="4659" spans="8:10" x14ac:dyDescent="0.3">
      <c r="H4659" s="3"/>
      <c r="I4659" s="3"/>
      <c r="J4659" s="3"/>
    </row>
    <row r="4660" spans="8:10" x14ac:dyDescent="0.3">
      <c r="H4660" s="3"/>
      <c r="I4660" s="3"/>
      <c r="J4660" s="3"/>
    </row>
    <row r="4661" spans="8:10" x14ac:dyDescent="0.3">
      <c r="H4661" s="3"/>
      <c r="I4661" s="3"/>
      <c r="J4661" s="3"/>
    </row>
    <row r="4662" spans="8:10" x14ac:dyDescent="0.3">
      <c r="H4662" s="3"/>
      <c r="I4662" s="3"/>
      <c r="J4662" s="3"/>
    </row>
    <row r="4663" spans="8:10" x14ac:dyDescent="0.3">
      <c r="H4663" s="3"/>
      <c r="I4663" s="3"/>
      <c r="J4663" s="3"/>
    </row>
    <row r="4664" spans="8:10" x14ac:dyDescent="0.3">
      <c r="H4664" s="3"/>
      <c r="I4664" s="3"/>
      <c r="J4664" s="3"/>
    </row>
    <row r="4665" spans="8:10" x14ac:dyDescent="0.3">
      <c r="H4665" s="3"/>
      <c r="I4665" s="3"/>
      <c r="J4665" s="3"/>
    </row>
    <row r="4666" spans="8:10" x14ac:dyDescent="0.3">
      <c r="H4666" s="3"/>
      <c r="I4666" s="3"/>
      <c r="J4666" s="3"/>
    </row>
    <row r="4667" spans="8:10" x14ac:dyDescent="0.3">
      <c r="H4667" s="3"/>
      <c r="I4667" s="3"/>
      <c r="J4667" s="3"/>
    </row>
    <row r="4668" spans="8:10" x14ac:dyDescent="0.3">
      <c r="H4668" s="3"/>
      <c r="I4668" s="3"/>
      <c r="J4668" s="3"/>
    </row>
    <row r="4669" spans="8:10" x14ac:dyDescent="0.3">
      <c r="H4669" s="3"/>
      <c r="I4669" s="3"/>
      <c r="J4669" s="3"/>
    </row>
    <row r="4670" spans="8:10" x14ac:dyDescent="0.3">
      <c r="H4670" s="3"/>
      <c r="I4670" s="3"/>
      <c r="J4670" s="3"/>
    </row>
    <row r="4671" spans="8:10" x14ac:dyDescent="0.3">
      <c r="H4671" s="3"/>
      <c r="I4671" s="3"/>
      <c r="J4671" s="3"/>
    </row>
    <row r="4672" spans="8:10" x14ac:dyDescent="0.3">
      <c r="H4672" s="3"/>
      <c r="I4672" s="3"/>
      <c r="J4672" s="3"/>
    </row>
    <row r="4673" spans="8:10" x14ac:dyDescent="0.3">
      <c r="H4673" s="3"/>
      <c r="I4673" s="3"/>
      <c r="J4673" s="3"/>
    </row>
    <row r="4674" spans="8:10" x14ac:dyDescent="0.3">
      <c r="H4674" s="3"/>
      <c r="I4674" s="3"/>
      <c r="J4674" s="3"/>
    </row>
    <row r="4675" spans="8:10" x14ac:dyDescent="0.3">
      <c r="H4675" s="3"/>
      <c r="I4675" s="3"/>
      <c r="J4675" s="3"/>
    </row>
    <row r="4676" spans="8:10" x14ac:dyDescent="0.3">
      <c r="H4676" s="3"/>
      <c r="I4676" s="3"/>
      <c r="J4676" s="3"/>
    </row>
    <row r="4677" spans="8:10" x14ac:dyDescent="0.3">
      <c r="H4677" s="3"/>
      <c r="I4677" s="3"/>
      <c r="J4677" s="3"/>
    </row>
    <row r="4678" spans="8:10" x14ac:dyDescent="0.3">
      <c r="H4678" s="3"/>
      <c r="I4678" s="3"/>
      <c r="J4678" s="3"/>
    </row>
    <row r="4679" spans="8:10" x14ac:dyDescent="0.3">
      <c r="H4679" s="3"/>
      <c r="I4679" s="3"/>
      <c r="J4679" s="3"/>
    </row>
    <row r="4680" spans="8:10" x14ac:dyDescent="0.3">
      <c r="H4680" s="3"/>
      <c r="I4680" s="3"/>
      <c r="J4680" s="3"/>
    </row>
    <row r="4681" spans="8:10" x14ac:dyDescent="0.3">
      <c r="H4681" s="3"/>
      <c r="I4681" s="3"/>
      <c r="J4681" s="3"/>
    </row>
    <row r="4682" spans="8:10" x14ac:dyDescent="0.3">
      <c r="H4682" s="3"/>
      <c r="I4682" s="3"/>
      <c r="J4682" s="3"/>
    </row>
    <row r="4683" spans="8:10" x14ac:dyDescent="0.3">
      <c r="H4683" s="3"/>
      <c r="I4683" s="3"/>
      <c r="J4683" s="3"/>
    </row>
    <row r="4684" spans="8:10" x14ac:dyDescent="0.3">
      <c r="H4684" s="3"/>
      <c r="I4684" s="3"/>
      <c r="J4684" s="3"/>
    </row>
    <row r="4685" spans="8:10" x14ac:dyDescent="0.3">
      <c r="H4685" s="3"/>
      <c r="I4685" s="3"/>
      <c r="J4685" s="3"/>
    </row>
    <row r="4686" spans="8:10" x14ac:dyDescent="0.3">
      <c r="H4686" s="3"/>
      <c r="I4686" s="3"/>
      <c r="J4686" s="3"/>
    </row>
    <row r="4687" spans="8:10" x14ac:dyDescent="0.3">
      <c r="H4687" s="3"/>
      <c r="I4687" s="3"/>
      <c r="J4687" s="3"/>
    </row>
    <row r="4688" spans="8:10" x14ac:dyDescent="0.3">
      <c r="H4688" s="3"/>
      <c r="I4688" s="3"/>
      <c r="J4688" s="3"/>
    </row>
    <row r="4689" spans="8:10" x14ac:dyDescent="0.3">
      <c r="H4689" s="3"/>
      <c r="I4689" s="3"/>
      <c r="J4689" s="3"/>
    </row>
    <row r="4690" spans="8:10" x14ac:dyDescent="0.3">
      <c r="H4690" s="3"/>
      <c r="I4690" s="3"/>
      <c r="J4690" s="3"/>
    </row>
    <row r="4691" spans="8:10" x14ac:dyDescent="0.3">
      <c r="H4691" s="3"/>
      <c r="I4691" s="3"/>
      <c r="J4691" s="3"/>
    </row>
    <row r="4692" spans="8:10" x14ac:dyDescent="0.3">
      <c r="H4692" s="3"/>
      <c r="I4692" s="3"/>
      <c r="J4692" s="3"/>
    </row>
    <row r="4693" spans="8:10" x14ac:dyDescent="0.3">
      <c r="H4693" s="3"/>
      <c r="I4693" s="3"/>
      <c r="J4693" s="3"/>
    </row>
    <row r="4694" spans="8:10" x14ac:dyDescent="0.3">
      <c r="H4694" s="3"/>
      <c r="I4694" s="3"/>
      <c r="J4694" s="3"/>
    </row>
    <row r="4695" spans="8:10" x14ac:dyDescent="0.3">
      <c r="H4695" s="3"/>
      <c r="I4695" s="3"/>
      <c r="J4695" s="3"/>
    </row>
    <row r="4696" spans="8:10" x14ac:dyDescent="0.3">
      <c r="H4696" s="3"/>
      <c r="I4696" s="3"/>
      <c r="J4696" s="3"/>
    </row>
    <row r="4697" spans="8:10" x14ac:dyDescent="0.3">
      <c r="H4697" s="3"/>
      <c r="I4697" s="3"/>
      <c r="J4697" s="3"/>
    </row>
    <row r="4698" spans="8:10" x14ac:dyDescent="0.3">
      <c r="H4698" s="3"/>
      <c r="I4698" s="3"/>
      <c r="J4698" s="3"/>
    </row>
    <row r="4699" spans="8:10" x14ac:dyDescent="0.3">
      <c r="H4699" s="3"/>
      <c r="I4699" s="3"/>
      <c r="J4699" s="3"/>
    </row>
    <row r="4700" spans="8:10" x14ac:dyDescent="0.3">
      <c r="H4700" s="3"/>
      <c r="I4700" s="3"/>
      <c r="J4700" s="3"/>
    </row>
    <row r="4701" spans="8:10" x14ac:dyDescent="0.3">
      <c r="H4701" s="3"/>
      <c r="I4701" s="3"/>
      <c r="J4701" s="3"/>
    </row>
    <row r="4702" spans="8:10" x14ac:dyDescent="0.3">
      <c r="H4702" s="3"/>
      <c r="I4702" s="3"/>
      <c r="J4702" s="3"/>
    </row>
    <row r="4703" spans="8:10" x14ac:dyDescent="0.3">
      <c r="H4703" s="3"/>
      <c r="I4703" s="3"/>
      <c r="J4703" s="3"/>
    </row>
    <row r="4704" spans="8:10" x14ac:dyDescent="0.3">
      <c r="H4704" s="3"/>
      <c r="I4704" s="3"/>
      <c r="J4704" s="3"/>
    </row>
    <row r="4705" spans="8:10" x14ac:dyDescent="0.3">
      <c r="H4705" s="3"/>
      <c r="I4705" s="3"/>
      <c r="J4705" s="3"/>
    </row>
    <row r="4706" spans="8:10" x14ac:dyDescent="0.3">
      <c r="H4706" s="3"/>
      <c r="I4706" s="3"/>
      <c r="J4706" s="3"/>
    </row>
    <row r="4707" spans="8:10" x14ac:dyDescent="0.3">
      <c r="H4707" s="3"/>
      <c r="I4707" s="3"/>
      <c r="J4707" s="3"/>
    </row>
    <row r="4708" spans="8:10" x14ac:dyDescent="0.3">
      <c r="H4708" s="3"/>
      <c r="I4708" s="3"/>
      <c r="J4708" s="3"/>
    </row>
    <row r="4709" spans="8:10" x14ac:dyDescent="0.3">
      <c r="H4709" s="3"/>
      <c r="I4709" s="3"/>
      <c r="J4709" s="3"/>
    </row>
    <row r="4710" spans="8:10" x14ac:dyDescent="0.3">
      <c r="H4710" s="3"/>
      <c r="I4710" s="3"/>
      <c r="J4710" s="3"/>
    </row>
    <row r="4711" spans="8:10" x14ac:dyDescent="0.3">
      <c r="H4711" s="3"/>
      <c r="I4711" s="3"/>
      <c r="J4711" s="3"/>
    </row>
    <row r="4712" spans="8:10" x14ac:dyDescent="0.3">
      <c r="H4712" s="3"/>
      <c r="I4712" s="3"/>
      <c r="J4712" s="3"/>
    </row>
    <row r="4713" spans="8:10" x14ac:dyDescent="0.3">
      <c r="H4713" s="3"/>
      <c r="I4713" s="3"/>
      <c r="J4713" s="3"/>
    </row>
    <row r="4714" spans="8:10" x14ac:dyDescent="0.3">
      <c r="H4714" s="3"/>
      <c r="I4714" s="3"/>
      <c r="J4714" s="3"/>
    </row>
    <row r="4715" spans="8:10" x14ac:dyDescent="0.3">
      <c r="H4715" s="3"/>
      <c r="I4715" s="3"/>
      <c r="J4715" s="3"/>
    </row>
    <row r="4716" spans="8:10" x14ac:dyDescent="0.3">
      <c r="H4716" s="3"/>
      <c r="I4716" s="3"/>
      <c r="J4716" s="3"/>
    </row>
    <row r="4717" spans="8:10" x14ac:dyDescent="0.3">
      <c r="H4717" s="3"/>
      <c r="I4717" s="3"/>
      <c r="J4717" s="3"/>
    </row>
    <row r="4718" spans="8:10" x14ac:dyDescent="0.3">
      <c r="H4718" s="3"/>
      <c r="I4718" s="3"/>
      <c r="J4718" s="3"/>
    </row>
    <row r="4719" spans="8:10" x14ac:dyDescent="0.3">
      <c r="H4719" s="3"/>
      <c r="I4719" s="3"/>
      <c r="J4719" s="3"/>
    </row>
    <row r="4720" spans="8:10" x14ac:dyDescent="0.3">
      <c r="H4720" s="3"/>
      <c r="I4720" s="3"/>
      <c r="J4720" s="3"/>
    </row>
    <row r="4721" spans="8:10" x14ac:dyDescent="0.3">
      <c r="H4721" s="3"/>
      <c r="I4721" s="3"/>
      <c r="J4721" s="3"/>
    </row>
    <row r="4722" spans="8:10" x14ac:dyDescent="0.3">
      <c r="H4722" s="3"/>
      <c r="I4722" s="3"/>
      <c r="J4722" s="3"/>
    </row>
    <row r="4723" spans="8:10" x14ac:dyDescent="0.3">
      <c r="H4723" s="3"/>
      <c r="I4723" s="3"/>
      <c r="J4723" s="3"/>
    </row>
    <row r="4724" spans="8:10" x14ac:dyDescent="0.3">
      <c r="H4724" s="3"/>
      <c r="I4724" s="3"/>
      <c r="J4724" s="3"/>
    </row>
    <row r="4725" spans="8:10" x14ac:dyDescent="0.3">
      <c r="H4725" s="3"/>
      <c r="I4725" s="3"/>
      <c r="J4725" s="3"/>
    </row>
    <row r="4726" spans="8:10" x14ac:dyDescent="0.3">
      <c r="H4726" s="3"/>
      <c r="I4726" s="3"/>
      <c r="J4726" s="3"/>
    </row>
    <row r="4727" spans="8:10" x14ac:dyDescent="0.3">
      <c r="H4727" s="3"/>
      <c r="I4727" s="3"/>
      <c r="J4727" s="3"/>
    </row>
    <row r="4728" spans="8:10" x14ac:dyDescent="0.3">
      <c r="H4728" s="3"/>
      <c r="I4728" s="3"/>
      <c r="J4728" s="3"/>
    </row>
    <row r="4729" spans="8:10" x14ac:dyDescent="0.3">
      <c r="H4729" s="3"/>
      <c r="I4729" s="3"/>
      <c r="J4729" s="3"/>
    </row>
    <row r="4730" spans="8:10" x14ac:dyDescent="0.3">
      <c r="H4730" s="3"/>
      <c r="I4730" s="3"/>
      <c r="J4730" s="3"/>
    </row>
    <row r="4731" spans="8:10" x14ac:dyDescent="0.3">
      <c r="H4731" s="3"/>
      <c r="I4731" s="3"/>
      <c r="J4731" s="3"/>
    </row>
    <row r="4732" spans="8:10" x14ac:dyDescent="0.3">
      <c r="H4732" s="3"/>
      <c r="I4732" s="3"/>
      <c r="J4732" s="3"/>
    </row>
    <row r="4733" spans="8:10" x14ac:dyDescent="0.3">
      <c r="H4733" s="3"/>
      <c r="I4733" s="3"/>
      <c r="J4733" s="3"/>
    </row>
    <row r="4734" spans="8:10" x14ac:dyDescent="0.3">
      <c r="H4734" s="3"/>
      <c r="I4734" s="3"/>
      <c r="J4734" s="3"/>
    </row>
    <row r="4735" spans="8:10" x14ac:dyDescent="0.3">
      <c r="H4735" s="3"/>
      <c r="I4735" s="3"/>
      <c r="J4735" s="3"/>
    </row>
    <row r="4736" spans="8:10" x14ac:dyDescent="0.3">
      <c r="H4736" s="3"/>
      <c r="I4736" s="3"/>
      <c r="J4736" s="3"/>
    </row>
    <row r="4737" spans="8:10" x14ac:dyDescent="0.3">
      <c r="H4737" s="3"/>
      <c r="I4737" s="3"/>
      <c r="J4737" s="3"/>
    </row>
    <row r="4738" spans="8:10" x14ac:dyDescent="0.3">
      <c r="H4738" s="3"/>
      <c r="I4738" s="3"/>
      <c r="J4738" s="3"/>
    </row>
    <row r="4739" spans="8:10" x14ac:dyDescent="0.3">
      <c r="H4739" s="3"/>
      <c r="I4739" s="3"/>
      <c r="J4739" s="3"/>
    </row>
    <row r="4740" spans="8:10" x14ac:dyDescent="0.3">
      <c r="H4740" s="3"/>
      <c r="I4740" s="3"/>
      <c r="J4740" s="3"/>
    </row>
    <row r="4741" spans="8:10" x14ac:dyDescent="0.3">
      <c r="H4741" s="3"/>
      <c r="I4741" s="3"/>
      <c r="J4741" s="3"/>
    </row>
    <row r="4742" spans="8:10" x14ac:dyDescent="0.3">
      <c r="H4742" s="3"/>
      <c r="I4742" s="3"/>
      <c r="J4742" s="3"/>
    </row>
    <row r="4743" spans="8:10" x14ac:dyDescent="0.3">
      <c r="H4743" s="3"/>
      <c r="I4743" s="3"/>
      <c r="J4743" s="3"/>
    </row>
    <row r="4744" spans="8:10" x14ac:dyDescent="0.3">
      <c r="H4744" s="3"/>
      <c r="I4744" s="3"/>
      <c r="J4744" s="3"/>
    </row>
    <row r="4745" spans="8:10" x14ac:dyDescent="0.3">
      <c r="H4745" s="3"/>
      <c r="I4745" s="3"/>
      <c r="J4745" s="3"/>
    </row>
    <row r="4746" spans="8:10" x14ac:dyDescent="0.3">
      <c r="H4746" s="3"/>
      <c r="I4746" s="3"/>
      <c r="J4746" s="3"/>
    </row>
    <row r="4747" spans="8:10" x14ac:dyDescent="0.3">
      <c r="H4747" s="3"/>
      <c r="I4747" s="3"/>
      <c r="J4747" s="3"/>
    </row>
    <row r="4748" spans="8:10" x14ac:dyDescent="0.3">
      <c r="H4748" s="3"/>
      <c r="I4748" s="3"/>
      <c r="J4748" s="3"/>
    </row>
    <row r="4749" spans="8:10" x14ac:dyDescent="0.3">
      <c r="H4749" s="3"/>
      <c r="I4749" s="3"/>
      <c r="J4749" s="3"/>
    </row>
    <row r="4750" spans="8:10" x14ac:dyDescent="0.3">
      <c r="H4750" s="3"/>
      <c r="I4750" s="3"/>
      <c r="J4750" s="3"/>
    </row>
    <row r="4751" spans="8:10" x14ac:dyDescent="0.3">
      <c r="H4751" s="3"/>
      <c r="I4751" s="3"/>
      <c r="J4751" s="3"/>
    </row>
    <row r="4752" spans="8:10" x14ac:dyDescent="0.3">
      <c r="H4752" s="3"/>
      <c r="I4752" s="3"/>
      <c r="J4752" s="3"/>
    </row>
    <row r="4753" spans="8:10" x14ac:dyDescent="0.3">
      <c r="H4753" s="3"/>
      <c r="I4753" s="3"/>
      <c r="J4753" s="3"/>
    </row>
    <row r="4754" spans="8:10" x14ac:dyDescent="0.3">
      <c r="H4754" s="3"/>
      <c r="I4754" s="3"/>
      <c r="J4754" s="3"/>
    </row>
    <row r="4755" spans="8:10" x14ac:dyDescent="0.3">
      <c r="H4755" s="3"/>
      <c r="I4755" s="3"/>
      <c r="J4755" s="3"/>
    </row>
    <row r="4756" spans="8:10" x14ac:dyDescent="0.3">
      <c r="H4756" s="3"/>
      <c r="I4756" s="3"/>
      <c r="J4756" s="3"/>
    </row>
    <row r="4757" spans="8:10" x14ac:dyDescent="0.3">
      <c r="H4757" s="3"/>
      <c r="I4757" s="3"/>
      <c r="J4757" s="3"/>
    </row>
    <row r="4758" spans="8:10" x14ac:dyDescent="0.3">
      <c r="H4758" s="3"/>
      <c r="I4758" s="3"/>
      <c r="J4758" s="3"/>
    </row>
    <row r="4759" spans="8:10" x14ac:dyDescent="0.3">
      <c r="H4759" s="3"/>
      <c r="I4759" s="3"/>
      <c r="J4759" s="3"/>
    </row>
    <row r="4760" spans="8:10" x14ac:dyDescent="0.3">
      <c r="H4760" s="3"/>
      <c r="I4760" s="3"/>
      <c r="J4760" s="3"/>
    </row>
    <row r="4761" spans="8:10" x14ac:dyDescent="0.3">
      <c r="H4761" s="3"/>
      <c r="I4761" s="3"/>
      <c r="J4761" s="3"/>
    </row>
    <row r="4762" spans="8:10" x14ac:dyDescent="0.3">
      <c r="H4762" s="3"/>
      <c r="I4762" s="3"/>
      <c r="J4762" s="3"/>
    </row>
    <row r="4763" spans="8:10" x14ac:dyDescent="0.3">
      <c r="H4763" s="3"/>
      <c r="I4763" s="3"/>
      <c r="J4763" s="3"/>
    </row>
    <row r="4764" spans="8:10" x14ac:dyDescent="0.3">
      <c r="H4764" s="3"/>
      <c r="I4764" s="3"/>
      <c r="J4764" s="3"/>
    </row>
    <row r="4765" spans="8:10" x14ac:dyDescent="0.3">
      <c r="H4765" s="3"/>
      <c r="I4765" s="3"/>
      <c r="J4765" s="3"/>
    </row>
    <row r="4766" spans="8:10" x14ac:dyDescent="0.3">
      <c r="H4766" s="3"/>
      <c r="I4766" s="3"/>
      <c r="J4766" s="3"/>
    </row>
    <row r="4767" spans="8:10" x14ac:dyDescent="0.3">
      <c r="H4767" s="3"/>
      <c r="I4767" s="3"/>
      <c r="J4767" s="3"/>
    </row>
    <row r="4768" spans="8:10" x14ac:dyDescent="0.3">
      <c r="H4768" s="3"/>
      <c r="I4768" s="3"/>
      <c r="J4768" s="3"/>
    </row>
    <row r="4769" spans="8:10" x14ac:dyDescent="0.3">
      <c r="H4769" s="3"/>
      <c r="I4769" s="3"/>
      <c r="J4769" s="3"/>
    </row>
    <row r="4770" spans="8:10" x14ac:dyDescent="0.3">
      <c r="H4770" s="3"/>
      <c r="I4770" s="3"/>
      <c r="J4770" s="3"/>
    </row>
    <row r="4771" spans="8:10" x14ac:dyDescent="0.3">
      <c r="H4771" s="3"/>
      <c r="I4771" s="3"/>
      <c r="J4771" s="3"/>
    </row>
    <row r="4772" spans="8:10" x14ac:dyDescent="0.3">
      <c r="H4772" s="3"/>
      <c r="I4772" s="3"/>
      <c r="J4772" s="3"/>
    </row>
    <row r="4773" spans="8:10" x14ac:dyDescent="0.3">
      <c r="H4773" s="3"/>
      <c r="I4773" s="3"/>
      <c r="J4773" s="3"/>
    </row>
    <row r="4774" spans="8:10" x14ac:dyDescent="0.3">
      <c r="H4774" s="3"/>
      <c r="I4774" s="3"/>
      <c r="J4774" s="3"/>
    </row>
    <row r="4775" spans="8:10" x14ac:dyDescent="0.3">
      <c r="H4775" s="3"/>
      <c r="I4775" s="3"/>
      <c r="J4775" s="3"/>
    </row>
    <row r="4776" spans="8:10" x14ac:dyDescent="0.3">
      <c r="H4776" s="3"/>
      <c r="I4776" s="3"/>
      <c r="J4776" s="3"/>
    </row>
    <row r="4777" spans="8:10" x14ac:dyDescent="0.3">
      <c r="H4777" s="3"/>
      <c r="I4777" s="3"/>
      <c r="J4777" s="3"/>
    </row>
    <row r="4778" spans="8:10" x14ac:dyDescent="0.3">
      <c r="H4778" s="3"/>
      <c r="I4778" s="3"/>
      <c r="J4778" s="3"/>
    </row>
    <row r="4779" spans="8:10" x14ac:dyDescent="0.3">
      <c r="H4779" s="3"/>
      <c r="I4779" s="3"/>
      <c r="J4779" s="3"/>
    </row>
    <row r="4780" spans="8:10" x14ac:dyDescent="0.3">
      <c r="H4780" s="3"/>
      <c r="I4780" s="3"/>
      <c r="J4780" s="3"/>
    </row>
    <row r="4781" spans="8:10" x14ac:dyDescent="0.3">
      <c r="H4781" s="3"/>
      <c r="I4781" s="3"/>
      <c r="J4781" s="3"/>
    </row>
    <row r="4782" spans="8:10" x14ac:dyDescent="0.3">
      <c r="H4782" s="3"/>
      <c r="I4782" s="3"/>
      <c r="J4782" s="3"/>
    </row>
    <row r="4783" spans="8:10" x14ac:dyDescent="0.3">
      <c r="H4783" s="3"/>
      <c r="I4783" s="3"/>
      <c r="J4783" s="3"/>
    </row>
    <row r="4784" spans="8:10" x14ac:dyDescent="0.3">
      <c r="H4784" s="3"/>
      <c r="I4784" s="3"/>
      <c r="J4784" s="3"/>
    </row>
    <row r="4785" spans="8:10" x14ac:dyDescent="0.3">
      <c r="H4785" s="3"/>
      <c r="I4785" s="3"/>
      <c r="J4785" s="3"/>
    </row>
    <row r="4786" spans="8:10" x14ac:dyDescent="0.3">
      <c r="H4786" s="3"/>
      <c r="I4786" s="3"/>
      <c r="J4786" s="3"/>
    </row>
    <row r="4787" spans="8:10" x14ac:dyDescent="0.3">
      <c r="H4787" s="3"/>
      <c r="I4787" s="3"/>
      <c r="J4787" s="3"/>
    </row>
    <row r="4788" spans="8:10" x14ac:dyDescent="0.3">
      <c r="H4788" s="3"/>
      <c r="I4788" s="3"/>
      <c r="J4788" s="3"/>
    </row>
    <row r="4789" spans="8:10" x14ac:dyDescent="0.3">
      <c r="H4789" s="3"/>
      <c r="I4789" s="3"/>
      <c r="J4789" s="3"/>
    </row>
    <row r="4790" spans="8:10" x14ac:dyDescent="0.3">
      <c r="H4790" s="3"/>
      <c r="I4790" s="3"/>
      <c r="J4790" s="3"/>
    </row>
    <row r="4791" spans="8:10" x14ac:dyDescent="0.3">
      <c r="H4791" s="3"/>
      <c r="I4791" s="3"/>
      <c r="J4791" s="3"/>
    </row>
    <row r="4792" spans="8:10" x14ac:dyDescent="0.3">
      <c r="H4792" s="3"/>
      <c r="I4792" s="3"/>
      <c r="J4792" s="3"/>
    </row>
    <row r="4793" spans="8:10" x14ac:dyDescent="0.3">
      <c r="H4793" s="3"/>
      <c r="I4793" s="3"/>
      <c r="J4793" s="3"/>
    </row>
    <row r="4794" spans="8:10" x14ac:dyDescent="0.3">
      <c r="H4794" s="3"/>
      <c r="I4794" s="3"/>
      <c r="J4794" s="3"/>
    </row>
    <row r="4795" spans="8:10" x14ac:dyDescent="0.3">
      <c r="H4795" s="3"/>
      <c r="I4795" s="3"/>
      <c r="J4795" s="3"/>
    </row>
    <row r="4796" spans="8:10" x14ac:dyDescent="0.3">
      <c r="H4796" s="3"/>
      <c r="I4796" s="3"/>
      <c r="J4796" s="3"/>
    </row>
    <row r="4797" spans="8:10" x14ac:dyDescent="0.3">
      <c r="H4797" s="3"/>
      <c r="I4797" s="3"/>
      <c r="J4797" s="3"/>
    </row>
    <row r="4798" spans="8:10" x14ac:dyDescent="0.3">
      <c r="H4798" s="3"/>
      <c r="I4798" s="3"/>
      <c r="J4798" s="3"/>
    </row>
    <row r="4799" spans="8:10" x14ac:dyDescent="0.3">
      <c r="H4799" s="3"/>
      <c r="I4799" s="3"/>
      <c r="J4799" s="3"/>
    </row>
    <row r="4800" spans="8:10" x14ac:dyDescent="0.3">
      <c r="H4800" s="3"/>
      <c r="I4800" s="3"/>
      <c r="J4800" s="3"/>
    </row>
    <row r="4801" spans="8:10" x14ac:dyDescent="0.3">
      <c r="H4801" s="3"/>
      <c r="I4801" s="3"/>
      <c r="J4801" s="3"/>
    </row>
    <row r="4802" spans="8:10" x14ac:dyDescent="0.3">
      <c r="H4802" s="3"/>
      <c r="I4802" s="3"/>
      <c r="J4802" s="3"/>
    </row>
    <row r="4803" spans="8:10" x14ac:dyDescent="0.3">
      <c r="H4803" s="3"/>
      <c r="I4803" s="3"/>
      <c r="J4803" s="3"/>
    </row>
    <row r="4804" spans="8:10" x14ac:dyDescent="0.3">
      <c r="H4804" s="3"/>
      <c r="I4804" s="3"/>
      <c r="J4804" s="3"/>
    </row>
    <row r="4805" spans="8:10" x14ac:dyDescent="0.3">
      <c r="H4805" s="3"/>
      <c r="I4805" s="3"/>
      <c r="J4805" s="3"/>
    </row>
    <row r="4806" spans="8:10" x14ac:dyDescent="0.3">
      <c r="H4806" s="3"/>
      <c r="I4806" s="3"/>
      <c r="J4806" s="3"/>
    </row>
    <row r="4807" spans="8:10" x14ac:dyDescent="0.3">
      <c r="H4807" s="3"/>
      <c r="I4807" s="3"/>
      <c r="J4807" s="3"/>
    </row>
    <row r="4808" spans="8:10" x14ac:dyDescent="0.3">
      <c r="H4808" s="3"/>
      <c r="I4808" s="3"/>
      <c r="J4808" s="3"/>
    </row>
    <row r="4809" spans="8:10" x14ac:dyDescent="0.3">
      <c r="H4809" s="3"/>
      <c r="I4809" s="3"/>
      <c r="J4809" s="3"/>
    </row>
    <row r="4810" spans="8:10" x14ac:dyDescent="0.3">
      <c r="H4810" s="3"/>
      <c r="I4810" s="3"/>
      <c r="J4810" s="3"/>
    </row>
    <row r="4811" spans="8:10" x14ac:dyDescent="0.3">
      <c r="H4811" s="3"/>
      <c r="I4811" s="3"/>
      <c r="J4811" s="3"/>
    </row>
    <row r="4812" spans="8:10" x14ac:dyDescent="0.3">
      <c r="H4812" s="3"/>
      <c r="I4812" s="3"/>
      <c r="J4812" s="3"/>
    </row>
    <row r="4813" spans="8:10" x14ac:dyDescent="0.3">
      <c r="H4813" s="3"/>
      <c r="I4813" s="3"/>
      <c r="J4813" s="3"/>
    </row>
    <row r="4814" spans="8:10" x14ac:dyDescent="0.3">
      <c r="H4814" s="3"/>
      <c r="I4814" s="3"/>
      <c r="J4814" s="3"/>
    </row>
    <row r="4815" spans="8:10" x14ac:dyDescent="0.3">
      <c r="H4815" s="3"/>
      <c r="I4815" s="3"/>
      <c r="J4815" s="3"/>
    </row>
    <row r="4816" spans="8:10" x14ac:dyDescent="0.3">
      <c r="H4816" s="3"/>
      <c r="I4816" s="3"/>
      <c r="J4816" s="3"/>
    </row>
    <row r="4817" spans="8:10" x14ac:dyDescent="0.3">
      <c r="H4817" s="3"/>
      <c r="I4817" s="3"/>
      <c r="J4817" s="3"/>
    </row>
    <row r="4818" spans="8:10" x14ac:dyDescent="0.3">
      <c r="H4818" s="3"/>
      <c r="I4818" s="3"/>
      <c r="J4818" s="3"/>
    </row>
    <row r="4819" spans="8:10" x14ac:dyDescent="0.3">
      <c r="H4819" s="3"/>
      <c r="I4819" s="3"/>
      <c r="J4819" s="3"/>
    </row>
    <row r="4820" spans="8:10" x14ac:dyDescent="0.3">
      <c r="H4820" s="3"/>
      <c r="I4820" s="3"/>
      <c r="J4820" s="3"/>
    </row>
    <row r="4821" spans="8:10" x14ac:dyDescent="0.3">
      <c r="H4821" s="3"/>
      <c r="I4821" s="3"/>
      <c r="J4821" s="3"/>
    </row>
    <row r="4822" spans="8:10" x14ac:dyDescent="0.3">
      <c r="H4822" s="3"/>
      <c r="I4822" s="3"/>
      <c r="J4822" s="3"/>
    </row>
    <row r="4823" spans="8:10" x14ac:dyDescent="0.3">
      <c r="H4823" s="3"/>
      <c r="I4823" s="3"/>
      <c r="J4823" s="3"/>
    </row>
    <row r="4824" spans="8:10" x14ac:dyDescent="0.3">
      <c r="H4824" s="3"/>
      <c r="I4824" s="3"/>
      <c r="J4824" s="3"/>
    </row>
    <row r="4825" spans="8:10" x14ac:dyDescent="0.3">
      <c r="H4825" s="3"/>
      <c r="I4825" s="3"/>
      <c r="J4825" s="3"/>
    </row>
    <row r="4826" spans="8:10" x14ac:dyDescent="0.3">
      <c r="H4826" s="3"/>
      <c r="I4826" s="3"/>
      <c r="J4826" s="3"/>
    </row>
    <row r="4827" spans="8:10" x14ac:dyDescent="0.3">
      <c r="H4827" s="3"/>
      <c r="I4827" s="3"/>
      <c r="J4827" s="3"/>
    </row>
    <row r="4828" spans="8:10" x14ac:dyDescent="0.3">
      <c r="H4828" s="3"/>
      <c r="I4828" s="3"/>
      <c r="J4828" s="3"/>
    </row>
    <row r="4829" spans="8:10" x14ac:dyDescent="0.3">
      <c r="H4829" s="3"/>
      <c r="I4829" s="3"/>
      <c r="J4829" s="3"/>
    </row>
    <row r="4830" spans="8:10" x14ac:dyDescent="0.3">
      <c r="H4830" s="3"/>
      <c r="I4830" s="3"/>
      <c r="J4830" s="3"/>
    </row>
    <row r="4831" spans="8:10" x14ac:dyDescent="0.3">
      <c r="H4831" s="3"/>
      <c r="I4831" s="3"/>
      <c r="J4831" s="3"/>
    </row>
    <row r="4832" spans="8:10" x14ac:dyDescent="0.3">
      <c r="H4832" s="3"/>
      <c r="I4832" s="3"/>
      <c r="J4832" s="3"/>
    </row>
    <row r="4833" spans="8:10" x14ac:dyDescent="0.3">
      <c r="H4833" s="3"/>
      <c r="I4833" s="3"/>
      <c r="J4833" s="3"/>
    </row>
    <row r="4834" spans="8:10" x14ac:dyDescent="0.3">
      <c r="H4834" s="3"/>
      <c r="I4834" s="3"/>
      <c r="J4834" s="3"/>
    </row>
    <row r="4835" spans="8:10" x14ac:dyDescent="0.3">
      <c r="H4835" s="3"/>
      <c r="I4835" s="3"/>
      <c r="J4835" s="3"/>
    </row>
    <row r="4836" spans="8:10" x14ac:dyDescent="0.3">
      <c r="H4836" s="3"/>
      <c r="I4836" s="3"/>
      <c r="J4836" s="3"/>
    </row>
    <row r="4837" spans="8:10" x14ac:dyDescent="0.3">
      <c r="H4837" s="3"/>
      <c r="I4837" s="3"/>
      <c r="J4837" s="3"/>
    </row>
    <row r="4838" spans="8:10" x14ac:dyDescent="0.3">
      <c r="H4838" s="3"/>
      <c r="I4838" s="3"/>
      <c r="J4838" s="3"/>
    </row>
    <row r="4839" spans="8:10" x14ac:dyDescent="0.3">
      <c r="H4839" s="3"/>
      <c r="I4839" s="3"/>
      <c r="J4839" s="3"/>
    </row>
    <row r="4840" spans="8:10" x14ac:dyDescent="0.3">
      <c r="H4840" s="3"/>
      <c r="I4840" s="3"/>
      <c r="J4840" s="3"/>
    </row>
    <row r="4841" spans="8:10" x14ac:dyDescent="0.3">
      <c r="H4841" s="3"/>
      <c r="I4841" s="3"/>
      <c r="J4841" s="3"/>
    </row>
    <row r="4842" spans="8:10" x14ac:dyDescent="0.3">
      <c r="H4842" s="3"/>
      <c r="I4842" s="3"/>
      <c r="J4842" s="3"/>
    </row>
    <row r="4843" spans="8:10" x14ac:dyDescent="0.3">
      <c r="H4843" s="3"/>
      <c r="I4843" s="3"/>
      <c r="J4843" s="3"/>
    </row>
    <row r="4844" spans="8:10" x14ac:dyDescent="0.3">
      <c r="H4844" s="3"/>
      <c r="I4844" s="3"/>
      <c r="J4844" s="3"/>
    </row>
    <row r="4845" spans="8:10" x14ac:dyDescent="0.3">
      <c r="H4845" s="3"/>
      <c r="I4845" s="3"/>
      <c r="J4845" s="3"/>
    </row>
    <row r="4846" spans="8:10" x14ac:dyDescent="0.3">
      <c r="H4846" s="3"/>
      <c r="I4846" s="3"/>
      <c r="J4846" s="3"/>
    </row>
    <row r="4847" spans="8:10" x14ac:dyDescent="0.3">
      <c r="H4847" s="3"/>
      <c r="I4847" s="3"/>
      <c r="J4847" s="3"/>
    </row>
    <row r="4848" spans="8:10" x14ac:dyDescent="0.3">
      <c r="H4848" s="3"/>
      <c r="I4848" s="3"/>
      <c r="J4848" s="3"/>
    </row>
    <row r="4849" spans="8:10" x14ac:dyDescent="0.3">
      <c r="H4849" s="3"/>
      <c r="I4849" s="3"/>
      <c r="J4849" s="3"/>
    </row>
    <row r="4850" spans="8:10" x14ac:dyDescent="0.3">
      <c r="H4850" s="3"/>
      <c r="I4850" s="3"/>
      <c r="J4850" s="3"/>
    </row>
    <row r="4851" spans="8:10" x14ac:dyDescent="0.3">
      <c r="H4851" s="3"/>
      <c r="I4851" s="3"/>
      <c r="J4851" s="3"/>
    </row>
    <row r="4852" spans="8:10" x14ac:dyDescent="0.3">
      <c r="H4852" s="3"/>
      <c r="I4852" s="3"/>
      <c r="J4852" s="3"/>
    </row>
    <row r="4853" spans="8:10" x14ac:dyDescent="0.3">
      <c r="H4853" s="3"/>
      <c r="I4853" s="3"/>
      <c r="J4853" s="3"/>
    </row>
    <row r="4854" spans="8:10" x14ac:dyDescent="0.3">
      <c r="H4854" s="3"/>
      <c r="I4854" s="3"/>
      <c r="J4854" s="3"/>
    </row>
    <row r="4855" spans="8:10" x14ac:dyDescent="0.3">
      <c r="H4855" s="3"/>
      <c r="I4855" s="3"/>
      <c r="J4855" s="3"/>
    </row>
    <row r="4856" spans="8:10" x14ac:dyDescent="0.3">
      <c r="H4856" s="3"/>
      <c r="I4856" s="3"/>
      <c r="J4856" s="3"/>
    </row>
    <row r="4857" spans="8:10" x14ac:dyDescent="0.3">
      <c r="H4857" s="3"/>
      <c r="I4857" s="3"/>
      <c r="J4857" s="3"/>
    </row>
    <row r="4858" spans="8:10" x14ac:dyDescent="0.3">
      <c r="H4858" s="3"/>
      <c r="I4858" s="3"/>
      <c r="J4858" s="3"/>
    </row>
    <row r="4859" spans="8:10" x14ac:dyDescent="0.3">
      <c r="H4859" s="3"/>
      <c r="I4859" s="3"/>
      <c r="J4859" s="3"/>
    </row>
    <row r="4860" spans="8:10" x14ac:dyDescent="0.3">
      <c r="H4860" s="3"/>
      <c r="I4860" s="3"/>
      <c r="J4860" s="3"/>
    </row>
    <row r="4861" spans="8:10" x14ac:dyDescent="0.3">
      <c r="H4861" s="3"/>
      <c r="I4861" s="3"/>
      <c r="J4861" s="3"/>
    </row>
    <row r="4862" spans="8:10" x14ac:dyDescent="0.3">
      <c r="H4862" s="3"/>
      <c r="I4862" s="3"/>
      <c r="J4862" s="3"/>
    </row>
    <row r="4863" spans="8:10" x14ac:dyDescent="0.3">
      <c r="H4863" s="3"/>
      <c r="I4863" s="3"/>
      <c r="J4863" s="3"/>
    </row>
    <row r="4864" spans="8:10" x14ac:dyDescent="0.3">
      <c r="H4864" s="3"/>
      <c r="I4864" s="3"/>
      <c r="J4864" s="3"/>
    </row>
    <row r="4865" spans="8:10" x14ac:dyDescent="0.3">
      <c r="H4865" s="3"/>
      <c r="I4865" s="3"/>
      <c r="J4865" s="3"/>
    </row>
    <row r="4866" spans="8:10" x14ac:dyDescent="0.3">
      <c r="H4866" s="3"/>
      <c r="I4866" s="3"/>
      <c r="J4866" s="3"/>
    </row>
    <row r="4867" spans="8:10" x14ac:dyDescent="0.3">
      <c r="H4867" s="3"/>
      <c r="I4867" s="3"/>
      <c r="J4867" s="3"/>
    </row>
    <row r="4868" spans="8:10" x14ac:dyDescent="0.3">
      <c r="H4868" s="3"/>
      <c r="I4868" s="3"/>
      <c r="J4868" s="3"/>
    </row>
    <row r="4869" spans="8:10" x14ac:dyDescent="0.3">
      <c r="H4869" s="3"/>
      <c r="I4869" s="3"/>
      <c r="J4869" s="3"/>
    </row>
    <row r="4870" spans="8:10" x14ac:dyDescent="0.3">
      <c r="H4870" s="3"/>
      <c r="I4870" s="3"/>
      <c r="J4870" s="3"/>
    </row>
    <row r="4871" spans="8:10" x14ac:dyDescent="0.3">
      <c r="H4871" s="3"/>
      <c r="I4871" s="3"/>
      <c r="J4871" s="3"/>
    </row>
    <row r="4872" spans="8:10" x14ac:dyDescent="0.3">
      <c r="H4872" s="3"/>
      <c r="I4872" s="3"/>
      <c r="J4872" s="3"/>
    </row>
    <row r="4873" spans="8:10" x14ac:dyDescent="0.3">
      <c r="H4873" s="3"/>
      <c r="I4873" s="3"/>
      <c r="J4873" s="3"/>
    </row>
    <row r="4874" spans="8:10" x14ac:dyDescent="0.3">
      <c r="H4874" s="3"/>
      <c r="I4874" s="3"/>
      <c r="J4874" s="3"/>
    </row>
    <row r="4875" spans="8:10" x14ac:dyDescent="0.3">
      <c r="H4875" s="3"/>
      <c r="I4875" s="3"/>
      <c r="J4875" s="3"/>
    </row>
    <row r="4876" spans="8:10" x14ac:dyDescent="0.3">
      <c r="H4876" s="3"/>
      <c r="I4876" s="3"/>
      <c r="J4876" s="3"/>
    </row>
    <row r="4877" spans="8:10" x14ac:dyDescent="0.3">
      <c r="H4877" s="3"/>
      <c r="I4877" s="3"/>
      <c r="J4877" s="3"/>
    </row>
    <row r="4878" spans="8:10" x14ac:dyDescent="0.3">
      <c r="H4878" s="3"/>
      <c r="I4878" s="3"/>
      <c r="J4878" s="3"/>
    </row>
    <row r="4879" spans="8:10" x14ac:dyDescent="0.3">
      <c r="H4879" s="3"/>
      <c r="I4879" s="3"/>
      <c r="J4879" s="3"/>
    </row>
    <row r="4880" spans="8:10" x14ac:dyDescent="0.3">
      <c r="H4880" s="3"/>
      <c r="I4880" s="3"/>
      <c r="J4880" s="3"/>
    </row>
    <row r="4881" spans="8:10" x14ac:dyDescent="0.3">
      <c r="H4881" s="3"/>
      <c r="I4881" s="3"/>
      <c r="J4881" s="3"/>
    </row>
    <row r="4882" spans="8:10" x14ac:dyDescent="0.3">
      <c r="H4882" s="3"/>
      <c r="I4882" s="3"/>
      <c r="J4882" s="3"/>
    </row>
    <row r="4883" spans="8:10" x14ac:dyDescent="0.3">
      <c r="H4883" s="3"/>
      <c r="I4883" s="3"/>
      <c r="J4883" s="3"/>
    </row>
    <row r="4884" spans="8:10" x14ac:dyDescent="0.3">
      <c r="H4884" s="3"/>
      <c r="I4884" s="3"/>
      <c r="J4884" s="3"/>
    </row>
    <row r="4885" spans="8:10" x14ac:dyDescent="0.3">
      <c r="H4885" s="3"/>
      <c r="I4885" s="3"/>
      <c r="J4885" s="3"/>
    </row>
    <row r="4886" spans="8:10" x14ac:dyDescent="0.3">
      <c r="H4886" s="3"/>
      <c r="I4886" s="3"/>
      <c r="J4886" s="3"/>
    </row>
    <row r="4887" spans="8:10" x14ac:dyDescent="0.3">
      <c r="H4887" s="3"/>
      <c r="I4887" s="3"/>
      <c r="J4887" s="3"/>
    </row>
    <row r="4888" spans="8:10" x14ac:dyDescent="0.3">
      <c r="H4888" s="3"/>
      <c r="I4888" s="3"/>
      <c r="J4888" s="3"/>
    </row>
    <row r="4889" spans="8:10" x14ac:dyDescent="0.3">
      <c r="H4889" s="3"/>
      <c r="I4889" s="3"/>
      <c r="J4889" s="3"/>
    </row>
    <row r="4890" spans="8:10" x14ac:dyDescent="0.3">
      <c r="H4890" s="3"/>
      <c r="I4890" s="3"/>
      <c r="J4890" s="3"/>
    </row>
    <row r="4891" spans="8:10" x14ac:dyDescent="0.3">
      <c r="H4891" s="3"/>
      <c r="I4891" s="3"/>
      <c r="J4891" s="3"/>
    </row>
    <row r="4892" spans="8:10" x14ac:dyDescent="0.3">
      <c r="H4892" s="3"/>
      <c r="I4892" s="3"/>
      <c r="J4892" s="3"/>
    </row>
    <row r="4893" spans="8:10" x14ac:dyDescent="0.3">
      <c r="H4893" s="3"/>
      <c r="I4893" s="3"/>
      <c r="J4893" s="3"/>
    </row>
    <row r="4894" spans="8:10" x14ac:dyDescent="0.3">
      <c r="H4894" s="3"/>
      <c r="I4894" s="3"/>
      <c r="J4894" s="3"/>
    </row>
    <row r="4895" spans="8:10" x14ac:dyDescent="0.3">
      <c r="H4895" s="3"/>
      <c r="I4895" s="3"/>
      <c r="J4895" s="3"/>
    </row>
    <row r="4896" spans="8:10" x14ac:dyDescent="0.3">
      <c r="H4896" s="3"/>
      <c r="I4896" s="3"/>
      <c r="J4896" s="3"/>
    </row>
    <row r="4897" spans="8:10" x14ac:dyDescent="0.3">
      <c r="H4897" s="3"/>
      <c r="I4897" s="3"/>
      <c r="J4897" s="3"/>
    </row>
    <row r="4898" spans="8:10" x14ac:dyDescent="0.3">
      <c r="H4898" s="3"/>
      <c r="I4898" s="3"/>
      <c r="J4898" s="3"/>
    </row>
    <row r="4899" spans="8:10" x14ac:dyDescent="0.3">
      <c r="H4899" s="3"/>
      <c r="I4899" s="3"/>
      <c r="J4899" s="3"/>
    </row>
    <row r="4900" spans="8:10" x14ac:dyDescent="0.3">
      <c r="H4900" s="3"/>
      <c r="I4900" s="3"/>
      <c r="J4900" s="3"/>
    </row>
    <row r="4901" spans="8:10" x14ac:dyDescent="0.3">
      <c r="H4901" s="3"/>
      <c r="I4901" s="3"/>
      <c r="J4901" s="3"/>
    </row>
    <row r="4902" spans="8:10" x14ac:dyDescent="0.3">
      <c r="H4902" s="3"/>
      <c r="I4902" s="3"/>
      <c r="J4902" s="3"/>
    </row>
    <row r="4903" spans="8:10" x14ac:dyDescent="0.3">
      <c r="H4903" s="3"/>
      <c r="I4903" s="3"/>
      <c r="J4903" s="3"/>
    </row>
    <row r="4904" spans="8:10" x14ac:dyDescent="0.3">
      <c r="H4904" s="3"/>
      <c r="I4904" s="3"/>
      <c r="J4904" s="3"/>
    </row>
    <row r="4905" spans="8:10" x14ac:dyDescent="0.3">
      <c r="H4905" s="3"/>
      <c r="I4905" s="3"/>
      <c r="J4905" s="3"/>
    </row>
    <row r="4906" spans="8:10" x14ac:dyDescent="0.3">
      <c r="H4906" s="3"/>
      <c r="I4906" s="3"/>
      <c r="J4906" s="3"/>
    </row>
    <row r="4907" spans="8:10" x14ac:dyDescent="0.3">
      <c r="H4907" s="3"/>
      <c r="I4907" s="3"/>
      <c r="J4907" s="3"/>
    </row>
    <row r="4908" spans="8:10" x14ac:dyDescent="0.3">
      <c r="H4908" s="3"/>
      <c r="I4908" s="3"/>
      <c r="J4908" s="3"/>
    </row>
    <row r="4909" spans="8:10" x14ac:dyDescent="0.3">
      <c r="H4909" s="3"/>
      <c r="I4909" s="3"/>
      <c r="J4909" s="3"/>
    </row>
    <row r="4910" spans="8:10" x14ac:dyDescent="0.3">
      <c r="H4910" s="3"/>
      <c r="I4910" s="3"/>
      <c r="J4910" s="3"/>
    </row>
    <row r="4911" spans="8:10" x14ac:dyDescent="0.3">
      <c r="H4911" s="3"/>
      <c r="I4911" s="3"/>
      <c r="J4911" s="3"/>
    </row>
    <row r="4912" spans="8:10" x14ac:dyDescent="0.3">
      <c r="H4912" s="3"/>
      <c r="I4912" s="3"/>
      <c r="J4912" s="3"/>
    </row>
    <row r="4913" spans="8:10" x14ac:dyDescent="0.3">
      <c r="H4913" s="3"/>
      <c r="I4913" s="3"/>
      <c r="J4913" s="3"/>
    </row>
    <row r="4914" spans="8:10" x14ac:dyDescent="0.3">
      <c r="H4914" s="3"/>
      <c r="I4914" s="3"/>
      <c r="J4914" s="3"/>
    </row>
    <row r="4915" spans="8:10" x14ac:dyDescent="0.3">
      <c r="H4915" s="3"/>
      <c r="I4915" s="3"/>
      <c r="J4915" s="3"/>
    </row>
    <row r="4916" spans="8:10" x14ac:dyDescent="0.3">
      <c r="H4916" s="3"/>
      <c r="I4916" s="3"/>
      <c r="J4916" s="3"/>
    </row>
    <row r="4917" spans="8:10" x14ac:dyDescent="0.3">
      <c r="H4917" s="3"/>
      <c r="I4917" s="3"/>
      <c r="J4917" s="3"/>
    </row>
    <row r="4918" spans="8:10" x14ac:dyDescent="0.3">
      <c r="H4918" s="3"/>
      <c r="I4918" s="3"/>
      <c r="J4918" s="3"/>
    </row>
    <row r="4919" spans="8:10" x14ac:dyDescent="0.3">
      <c r="H4919" s="3"/>
      <c r="I4919" s="3"/>
      <c r="J4919" s="3"/>
    </row>
    <row r="4920" spans="8:10" x14ac:dyDescent="0.3">
      <c r="H4920" s="3"/>
      <c r="I4920" s="3"/>
      <c r="J4920" s="3"/>
    </row>
    <row r="4921" spans="8:10" x14ac:dyDescent="0.3">
      <c r="H4921" s="3"/>
      <c r="I4921" s="3"/>
      <c r="J4921" s="3"/>
    </row>
    <row r="4922" spans="8:10" x14ac:dyDescent="0.3">
      <c r="H4922" s="3"/>
      <c r="I4922" s="3"/>
      <c r="J4922" s="3"/>
    </row>
    <row r="4923" spans="8:10" x14ac:dyDescent="0.3">
      <c r="H4923" s="3"/>
      <c r="I4923" s="3"/>
      <c r="J4923" s="3"/>
    </row>
    <row r="4924" spans="8:10" x14ac:dyDescent="0.3">
      <c r="H4924" s="3"/>
      <c r="I4924" s="3"/>
      <c r="J4924" s="3"/>
    </row>
    <row r="4925" spans="8:10" x14ac:dyDescent="0.3">
      <c r="H4925" s="3"/>
      <c r="I4925" s="3"/>
      <c r="J4925" s="3"/>
    </row>
    <row r="4926" spans="8:10" x14ac:dyDescent="0.3">
      <c r="H4926" s="3"/>
      <c r="I4926" s="3"/>
      <c r="J4926" s="3"/>
    </row>
    <row r="4927" spans="8:10" x14ac:dyDescent="0.3">
      <c r="H4927" s="3"/>
      <c r="I4927" s="3"/>
      <c r="J4927" s="3"/>
    </row>
    <row r="4928" spans="8:10" x14ac:dyDescent="0.3">
      <c r="H4928" s="3"/>
      <c r="I4928" s="3"/>
      <c r="J4928" s="3"/>
    </row>
    <row r="4929" spans="8:10" x14ac:dyDescent="0.3">
      <c r="H4929" s="3"/>
      <c r="I4929" s="3"/>
      <c r="J4929" s="3"/>
    </row>
    <row r="4930" spans="8:10" x14ac:dyDescent="0.3">
      <c r="H4930" s="3"/>
      <c r="I4930" s="3"/>
      <c r="J4930" s="3"/>
    </row>
    <row r="4931" spans="8:10" x14ac:dyDescent="0.3">
      <c r="H4931" s="3"/>
      <c r="I4931" s="3"/>
      <c r="J4931" s="3"/>
    </row>
    <row r="4932" spans="8:10" x14ac:dyDescent="0.3">
      <c r="H4932" s="3"/>
      <c r="I4932" s="3"/>
      <c r="J4932" s="3"/>
    </row>
    <row r="4933" spans="8:10" x14ac:dyDescent="0.3">
      <c r="H4933" s="3"/>
      <c r="I4933" s="3"/>
      <c r="J4933" s="3"/>
    </row>
    <row r="4934" spans="8:10" x14ac:dyDescent="0.3">
      <c r="H4934" s="3"/>
      <c r="I4934" s="3"/>
      <c r="J4934" s="3"/>
    </row>
    <row r="4935" spans="8:10" x14ac:dyDescent="0.3">
      <c r="H4935" s="3"/>
      <c r="I4935" s="3"/>
      <c r="J4935" s="3"/>
    </row>
    <row r="4936" spans="8:10" x14ac:dyDescent="0.3">
      <c r="H4936" s="3"/>
      <c r="I4936" s="3"/>
      <c r="J4936" s="3"/>
    </row>
    <row r="4937" spans="8:10" x14ac:dyDescent="0.3">
      <c r="H4937" s="3"/>
      <c r="I4937" s="3"/>
      <c r="J4937" s="3"/>
    </row>
    <row r="4938" spans="8:10" x14ac:dyDescent="0.3">
      <c r="H4938" s="3"/>
      <c r="I4938" s="3"/>
      <c r="J4938" s="3"/>
    </row>
    <row r="4939" spans="8:10" x14ac:dyDescent="0.3">
      <c r="H4939" s="3"/>
      <c r="I4939" s="3"/>
      <c r="J4939" s="3"/>
    </row>
    <row r="4940" spans="8:10" x14ac:dyDescent="0.3">
      <c r="H4940" s="3"/>
      <c r="I4940" s="3"/>
      <c r="J4940" s="3"/>
    </row>
    <row r="4941" spans="8:10" x14ac:dyDescent="0.3">
      <c r="H4941" s="3"/>
      <c r="I4941" s="3"/>
      <c r="J4941" s="3"/>
    </row>
    <row r="4942" spans="8:10" x14ac:dyDescent="0.3">
      <c r="H4942" s="3"/>
      <c r="I4942" s="3"/>
      <c r="J4942" s="3"/>
    </row>
    <row r="4943" spans="8:10" x14ac:dyDescent="0.3">
      <c r="H4943" s="3"/>
      <c r="I4943" s="3"/>
      <c r="J4943" s="3"/>
    </row>
    <row r="4944" spans="8:10" x14ac:dyDescent="0.3">
      <c r="H4944" s="3"/>
      <c r="I4944" s="3"/>
      <c r="J4944" s="3"/>
    </row>
    <row r="4945" spans="8:10" x14ac:dyDescent="0.3">
      <c r="H4945" s="3"/>
      <c r="I4945" s="3"/>
      <c r="J4945" s="3"/>
    </row>
    <row r="4946" spans="8:10" x14ac:dyDescent="0.3">
      <c r="H4946" s="3"/>
      <c r="I4946" s="3"/>
      <c r="J4946" s="3"/>
    </row>
    <row r="4947" spans="8:10" x14ac:dyDescent="0.3">
      <c r="H4947" s="3"/>
      <c r="I4947" s="3"/>
      <c r="J4947" s="3"/>
    </row>
    <row r="4948" spans="8:10" x14ac:dyDescent="0.3">
      <c r="H4948" s="3"/>
      <c r="I4948" s="3"/>
      <c r="J4948" s="3"/>
    </row>
    <row r="4949" spans="8:10" x14ac:dyDescent="0.3">
      <c r="H4949" s="3"/>
      <c r="I4949" s="3"/>
      <c r="J4949" s="3"/>
    </row>
    <row r="4950" spans="8:10" x14ac:dyDescent="0.3">
      <c r="H4950" s="3"/>
      <c r="I4950" s="3"/>
      <c r="J4950" s="3"/>
    </row>
    <row r="4951" spans="8:10" x14ac:dyDescent="0.3">
      <c r="H4951" s="3"/>
      <c r="I4951" s="3"/>
      <c r="J4951" s="3"/>
    </row>
    <row r="4952" spans="8:10" x14ac:dyDescent="0.3">
      <c r="H4952" s="3"/>
      <c r="I4952" s="3"/>
      <c r="J4952" s="3"/>
    </row>
    <row r="4953" spans="8:10" x14ac:dyDescent="0.3">
      <c r="H4953" s="3"/>
      <c r="I4953" s="3"/>
      <c r="J4953" s="3"/>
    </row>
    <row r="4954" spans="8:10" x14ac:dyDescent="0.3">
      <c r="H4954" s="3"/>
      <c r="I4954" s="3"/>
      <c r="J4954" s="3"/>
    </row>
    <row r="4955" spans="8:10" x14ac:dyDescent="0.3">
      <c r="H4955" s="3"/>
      <c r="I4955" s="3"/>
      <c r="J4955" s="3"/>
    </row>
    <row r="4956" spans="8:10" x14ac:dyDescent="0.3">
      <c r="H4956" s="3"/>
      <c r="I4956" s="3"/>
      <c r="J4956" s="3"/>
    </row>
    <row r="4957" spans="8:10" x14ac:dyDescent="0.3">
      <c r="H4957" s="3"/>
      <c r="I4957" s="3"/>
      <c r="J4957" s="3"/>
    </row>
    <row r="4958" spans="8:10" x14ac:dyDescent="0.3">
      <c r="H4958" s="3"/>
      <c r="I4958" s="3"/>
      <c r="J4958" s="3"/>
    </row>
    <row r="4959" spans="8:10" x14ac:dyDescent="0.3">
      <c r="H4959" s="3"/>
      <c r="I4959" s="3"/>
      <c r="J4959" s="3"/>
    </row>
    <row r="4960" spans="8:10" x14ac:dyDescent="0.3">
      <c r="H4960" s="3"/>
      <c r="I4960" s="3"/>
      <c r="J4960" s="3"/>
    </row>
    <row r="4961" spans="8:10" x14ac:dyDescent="0.3">
      <c r="H4961" s="3"/>
      <c r="I4961" s="3"/>
      <c r="J4961" s="3"/>
    </row>
    <row r="4962" spans="8:10" x14ac:dyDescent="0.3">
      <c r="H4962" s="3"/>
      <c r="I4962" s="3"/>
      <c r="J4962" s="3"/>
    </row>
    <row r="4963" spans="8:10" x14ac:dyDescent="0.3">
      <c r="H4963" s="3"/>
      <c r="I4963" s="3"/>
      <c r="J4963" s="3"/>
    </row>
    <row r="4964" spans="8:10" x14ac:dyDescent="0.3">
      <c r="H4964" s="3"/>
      <c r="I4964" s="3"/>
      <c r="J4964" s="3"/>
    </row>
    <row r="4965" spans="8:10" x14ac:dyDescent="0.3">
      <c r="H4965" s="3"/>
      <c r="I4965" s="3"/>
      <c r="J4965" s="3"/>
    </row>
    <row r="4966" spans="8:10" x14ac:dyDescent="0.3">
      <c r="H4966" s="3"/>
      <c r="I4966" s="3"/>
      <c r="J4966" s="3"/>
    </row>
    <row r="4967" spans="8:10" x14ac:dyDescent="0.3">
      <c r="H4967" s="3"/>
      <c r="I4967" s="3"/>
      <c r="J4967" s="3"/>
    </row>
    <row r="4968" spans="8:10" x14ac:dyDescent="0.3">
      <c r="H4968" s="3"/>
      <c r="I4968" s="3"/>
      <c r="J4968" s="3"/>
    </row>
    <row r="4969" spans="8:10" x14ac:dyDescent="0.3">
      <c r="H4969" s="3"/>
      <c r="I4969" s="3"/>
      <c r="J4969" s="3"/>
    </row>
    <row r="4970" spans="8:10" x14ac:dyDescent="0.3">
      <c r="H4970" s="3"/>
      <c r="I4970" s="3"/>
      <c r="J4970" s="3"/>
    </row>
    <row r="4971" spans="8:10" x14ac:dyDescent="0.3">
      <c r="H4971" s="3"/>
      <c r="I4971" s="3"/>
      <c r="J4971" s="3"/>
    </row>
    <row r="4972" spans="8:10" x14ac:dyDescent="0.3">
      <c r="H4972" s="3"/>
      <c r="I4972" s="3"/>
      <c r="J4972" s="3"/>
    </row>
    <row r="4973" spans="8:10" x14ac:dyDescent="0.3">
      <c r="H4973" s="3"/>
      <c r="I4973" s="3"/>
      <c r="J4973" s="3"/>
    </row>
    <row r="4974" spans="8:10" x14ac:dyDescent="0.3">
      <c r="H4974" s="3"/>
      <c r="I4974" s="3"/>
      <c r="J4974" s="3"/>
    </row>
    <row r="4975" spans="8:10" x14ac:dyDescent="0.3">
      <c r="H4975" s="3"/>
      <c r="I4975" s="3"/>
      <c r="J4975" s="3"/>
    </row>
    <row r="4976" spans="8:10" x14ac:dyDescent="0.3">
      <c r="H4976" s="3"/>
      <c r="I4976" s="3"/>
      <c r="J4976" s="3"/>
    </row>
    <row r="4977" spans="8:10" x14ac:dyDescent="0.3">
      <c r="H4977" s="3"/>
      <c r="I4977" s="3"/>
      <c r="J4977" s="3"/>
    </row>
    <row r="4978" spans="8:10" x14ac:dyDescent="0.3">
      <c r="H4978" s="3"/>
      <c r="I4978" s="3"/>
      <c r="J4978" s="3"/>
    </row>
    <row r="4979" spans="8:10" x14ac:dyDescent="0.3">
      <c r="H4979" s="3"/>
      <c r="I4979" s="3"/>
      <c r="J4979" s="3"/>
    </row>
    <row r="4980" spans="8:10" x14ac:dyDescent="0.3">
      <c r="H4980" s="3"/>
      <c r="I4980" s="3"/>
      <c r="J4980" s="3"/>
    </row>
    <row r="4981" spans="8:10" x14ac:dyDescent="0.3">
      <c r="H4981" s="3"/>
      <c r="I4981" s="3"/>
      <c r="J4981" s="3"/>
    </row>
    <row r="4982" spans="8:10" x14ac:dyDescent="0.3">
      <c r="H4982" s="3"/>
      <c r="I4982" s="3"/>
      <c r="J4982" s="3"/>
    </row>
    <row r="4983" spans="8:10" x14ac:dyDescent="0.3">
      <c r="H4983" s="3"/>
      <c r="I4983" s="3"/>
      <c r="J4983" s="3"/>
    </row>
    <row r="4984" spans="8:10" x14ac:dyDescent="0.3">
      <c r="H4984" s="3"/>
      <c r="I4984" s="3"/>
      <c r="J4984" s="3"/>
    </row>
    <row r="4985" spans="8:10" x14ac:dyDescent="0.3">
      <c r="H4985" s="3"/>
      <c r="I4985" s="3"/>
      <c r="J4985" s="3"/>
    </row>
    <row r="4986" spans="8:10" x14ac:dyDescent="0.3">
      <c r="H4986" s="3"/>
      <c r="I4986" s="3"/>
      <c r="J4986" s="3"/>
    </row>
    <row r="4987" spans="8:10" x14ac:dyDescent="0.3">
      <c r="H4987" s="3"/>
      <c r="I4987" s="3"/>
      <c r="J4987" s="3"/>
    </row>
    <row r="4988" spans="8:10" x14ac:dyDescent="0.3">
      <c r="H4988" s="3"/>
      <c r="I4988" s="3"/>
      <c r="J4988" s="3"/>
    </row>
    <row r="4989" spans="8:10" x14ac:dyDescent="0.3">
      <c r="H4989" s="3"/>
      <c r="I4989" s="3"/>
      <c r="J4989" s="3"/>
    </row>
    <row r="4990" spans="8:10" x14ac:dyDescent="0.3">
      <c r="H4990" s="3"/>
      <c r="I4990" s="3"/>
      <c r="J4990" s="3"/>
    </row>
    <row r="4991" spans="8:10" x14ac:dyDescent="0.3">
      <c r="H4991" s="3"/>
      <c r="I4991" s="3"/>
      <c r="J4991" s="3"/>
    </row>
    <row r="4992" spans="8:10" x14ac:dyDescent="0.3">
      <c r="H4992" s="3"/>
      <c r="I4992" s="3"/>
      <c r="J4992" s="3"/>
    </row>
    <row r="4993" spans="8:10" x14ac:dyDescent="0.3">
      <c r="H4993" s="3"/>
      <c r="I4993" s="3"/>
      <c r="J4993" s="3"/>
    </row>
    <row r="4994" spans="8:10" x14ac:dyDescent="0.3">
      <c r="H4994" s="3"/>
      <c r="I4994" s="3"/>
      <c r="J4994" s="3"/>
    </row>
    <row r="4995" spans="8:10" x14ac:dyDescent="0.3">
      <c r="H4995" s="3"/>
      <c r="I4995" s="3"/>
      <c r="J4995" s="3"/>
    </row>
    <row r="4996" spans="8:10" x14ac:dyDescent="0.3">
      <c r="H4996" s="3"/>
      <c r="I4996" s="3"/>
      <c r="J4996" s="3"/>
    </row>
    <row r="4997" spans="8:10" x14ac:dyDescent="0.3">
      <c r="H4997" s="3"/>
      <c r="I4997" s="3"/>
      <c r="J4997" s="3"/>
    </row>
    <row r="4998" spans="8:10" x14ac:dyDescent="0.3">
      <c r="H4998" s="3"/>
      <c r="I4998" s="3"/>
      <c r="J4998" s="3"/>
    </row>
    <row r="4999" spans="8:10" x14ac:dyDescent="0.3">
      <c r="H4999" s="3"/>
      <c r="I4999" s="3"/>
      <c r="J4999" s="3"/>
    </row>
    <row r="5000" spans="8:10" x14ac:dyDescent="0.3">
      <c r="H5000" s="3"/>
      <c r="I5000" s="3"/>
      <c r="J5000" s="3"/>
    </row>
    <row r="5001" spans="8:10" x14ac:dyDescent="0.3">
      <c r="H5001" s="3"/>
      <c r="I5001" s="3"/>
      <c r="J5001" s="3"/>
    </row>
    <row r="5002" spans="8:10" x14ac:dyDescent="0.3">
      <c r="H5002" s="3"/>
      <c r="I5002" s="3"/>
      <c r="J5002" s="3"/>
    </row>
    <row r="5003" spans="8:10" x14ac:dyDescent="0.3">
      <c r="H5003" s="3"/>
      <c r="I5003" s="3"/>
      <c r="J5003" s="3"/>
    </row>
    <row r="5004" spans="8:10" x14ac:dyDescent="0.3">
      <c r="H5004" s="3"/>
      <c r="I5004" s="3"/>
      <c r="J5004" s="3"/>
    </row>
    <row r="5005" spans="8:10" x14ac:dyDescent="0.3">
      <c r="H5005" s="3"/>
      <c r="I5005" s="3"/>
      <c r="J5005" s="3"/>
    </row>
    <row r="5006" spans="8:10" x14ac:dyDescent="0.3">
      <c r="H5006" s="3"/>
      <c r="I5006" s="3"/>
      <c r="J5006" s="3"/>
    </row>
    <row r="5007" spans="8:10" x14ac:dyDescent="0.3">
      <c r="H5007" s="3"/>
      <c r="I5007" s="3"/>
      <c r="J5007" s="3"/>
    </row>
    <row r="5008" spans="8:10" x14ac:dyDescent="0.3">
      <c r="H5008" s="3"/>
      <c r="I5008" s="3"/>
      <c r="J5008" s="3"/>
    </row>
    <row r="5009" spans="8:10" x14ac:dyDescent="0.3">
      <c r="H5009" s="3"/>
      <c r="I5009" s="3"/>
      <c r="J5009" s="3"/>
    </row>
    <row r="5010" spans="8:10" x14ac:dyDescent="0.3">
      <c r="H5010" s="3"/>
      <c r="I5010" s="3"/>
      <c r="J5010" s="3"/>
    </row>
    <row r="5011" spans="8:10" x14ac:dyDescent="0.3">
      <c r="H5011" s="3"/>
      <c r="I5011" s="3"/>
      <c r="J5011" s="3"/>
    </row>
    <row r="5012" spans="8:10" x14ac:dyDescent="0.3">
      <c r="H5012" s="3"/>
      <c r="I5012" s="3"/>
      <c r="J5012" s="3"/>
    </row>
    <row r="5013" spans="8:10" x14ac:dyDescent="0.3">
      <c r="H5013" s="3"/>
      <c r="I5013" s="3"/>
      <c r="J5013" s="3"/>
    </row>
    <row r="5014" spans="8:10" x14ac:dyDescent="0.3">
      <c r="H5014" s="3"/>
      <c r="I5014" s="3"/>
      <c r="J5014" s="3"/>
    </row>
    <row r="5015" spans="8:10" x14ac:dyDescent="0.3">
      <c r="H5015" s="3"/>
      <c r="I5015" s="3"/>
      <c r="J5015" s="3"/>
    </row>
    <row r="5016" spans="8:10" x14ac:dyDescent="0.3">
      <c r="H5016" s="3"/>
      <c r="I5016" s="3"/>
      <c r="J5016" s="3"/>
    </row>
    <row r="5017" spans="8:10" x14ac:dyDescent="0.3">
      <c r="H5017" s="3"/>
      <c r="I5017" s="3"/>
      <c r="J5017" s="3"/>
    </row>
    <row r="5018" spans="8:10" x14ac:dyDescent="0.3">
      <c r="H5018" s="3"/>
      <c r="I5018" s="3"/>
      <c r="J5018" s="3"/>
    </row>
    <row r="5019" spans="8:10" x14ac:dyDescent="0.3">
      <c r="H5019" s="3"/>
      <c r="I5019" s="3"/>
      <c r="J5019" s="3"/>
    </row>
    <row r="5020" spans="8:10" x14ac:dyDescent="0.3">
      <c r="H5020" s="3"/>
      <c r="I5020" s="3"/>
      <c r="J5020" s="3"/>
    </row>
    <row r="5021" spans="8:10" x14ac:dyDescent="0.3">
      <c r="H5021" s="3"/>
      <c r="I5021" s="3"/>
      <c r="J5021" s="3"/>
    </row>
    <row r="5022" spans="8:10" x14ac:dyDescent="0.3">
      <c r="H5022" s="3"/>
      <c r="I5022" s="3"/>
      <c r="J5022" s="3"/>
    </row>
    <row r="5023" spans="8:10" x14ac:dyDescent="0.3">
      <c r="H5023" s="3"/>
      <c r="I5023" s="3"/>
      <c r="J5023" s="3"/>
    </row>
    <row r="5024" spans="8:10" x14ac:dyDescent="0.3">
      <c r="H5024" s="3"/>
      <c r="I5024" s="3"/>
      <c r="J5024" s="3"/>
    </row>
    <row r="5025" spans="8:10" x14ac:dyDescent="0.3">
      <c r="H5025" s="3"/>
      <c r="I5025" s="3"/>
      <c r="J5025" s="3"/>
    </row>
    <row r="5026" spans="8:10" x14ac:dyDescent="0.3">
      <c r="H5026" s="3"/>
      <c r="I5026" s="3"/>
      <c r="J5026" s="3"/>
    </row>
    <row r="5027" spans="8:10" x14ac:dyDescent="0.3">
      <c r="H5027" s="3"/>
      <c r="I5027" s="3"/>
      <c r="J5027" s="3"/>
    </row>
    <row r="5028" spans="8:10" x14ac:dyDescent="0.3">
      <c r="H5028" s="3"/>
      <c r="I5028" s="3"/>
      <c r="J5028" s="3"/>
    </row>
    <row r="5029" spans="8:10" x14ac:dyDescent="0.3">
      <c r="H5029" s="3"/>
      <c r="I5029" s="3"/>
      <c r="J5029" s="3"/>
    </row>
    <row r="5030" spans="8:10" x14ac:dyDescent="0.3">
      <c r="H5030" s="3"/>
      <c r="I5030" s="3"/>
      <c r="J5030" s="3"/>
    </row>
    <row r="5031" spans="8:10" x14ac:dyDescent="0.3">
      <c r="H5031" s="3"/>
      <c r="I5031" s="3"/>
      <c r="J5031" s="3"/>
    </row>
    <row r="5032" spans="8:10" x14ac:dyDescent="0.3">
      <c r="H5032" s="3"/>
      <c r="I5032" s="3"/>
      <c r="J5032" s="3"/>
    </row>
    <row r="5033" spans="8:10" x14ac:dyDescent="0.3">
      <c r="H5033" s="3"/>
      <c r="I5033" s="3"/>
      <c r="J5033" s="3"/>
    </row>
    <row r="5034" spans="8:10" x14ac:dyDescent="0.3">
      <c r="H5034" s="3"/>
      <c r="I5034" s="3"/>
      <c r="J5034" s="3"/>
    </row>
    <row r="5035" spans="8:10" x14ac:dyDescent="0.3">
      <c r="H5035" s="3"/>
      <c r="I5035" s="3"/>
      <c r="J5035" s="3"/>
    </row>
    <row r="5036" spans="8:10" x14ac:dyDescent="0.3">
      <c r="H5036" s="3"/>
      <c r="I5036" s="3"/>
      <c r="J5036" s="3"/>
    </row>
    <row r="5037" spans="8:10" x14ac:dyDescent="0.3">
      <c r="H5037" s="3"/>
      <c r="I5037" s="3"/>
      <c r="J5037" s="3"/>
    </row>
    <row r="5038" spans="8:10" x14ac:dyDescent="0.3">
      <c r="H5038" s="3"/>
      <c r="I5038" s="3"/>
      <c r="J5038" s="3"/>
    </row>
    <row r="5039" spans="8:10" x14ac:dyDescent="0.3">
      <c r="H5039" s="3"/>
      <c r="I5039" s="3"/>
      <c r="J5039" s="3"/>
    </row>
    <row r="5040" spans="8:10" x14ac:dyDescent="0.3">
      <c r="H5040" s="3"/>
      <c r="I5040" s="3"/>
      <c r="J5040" s="3"/>
    </row>
    <row r="5041" spans="8:10" x14ac:dyDescent="0.3">
      <c r="H5041" s="3"/>
      <c r="I5041" s="3"/>
      <c r="J5041" s="3"/>
    </row>
    <row r="5042" spans="8:10" x14ac:dyDescent="0.3">
      <c r="H5042" s="3"/>
      <c r="I5042" s="3"/>
      <c r="J5042" s="3"/>
    </row>
    <row r="5043" spans="8:10" x14ac:dyDescent="0.3">
      <c r="H5043" s="3"/>
      <c r="I5043" s="3"/>
      <c r="J5043" s="3"/>
    </row>
    <row r="5044" spans="8:10" x14ac:dyDescent="0.3">
      <c r="H5044" s="3"/>
      <c r="I5044" s="3"/>
      <c r="J5044" s="3"/>
    </row>
    <row r="5045" spans="8:10" x14ac:dyDescent="0.3">
      <c r="H5045" s="3"/>
      <c r="I5045" s="3"/>
      <c r="J5045" s="3"/>
    </row>
    <row r="5046" spans="8:10" x14ac:dyDescent="0.3">
      <c r="H5046" s="3"/>
      <c r="I5046" s="3"/>
      <c r="J5046" s="3"/>
    </row>
    <row r="5047" spans="8:10" x14ac:dyDescent="0.3">
      <c r="H5047" s="3"/>
      <c r="I5047" s="3"/>
      <c r="J5047" s="3"/>
    </row>
    <row r="5048" spans="8:10" x14ac:dyDescent="0.3">
      <c r="H5048" s="3"/>
      <c r="I5048" s="3"/>
      <c r="J5048" s="3"/>
    </row>
    <row r="5049" spans="8:10" x14ac:dyDescent="0.3">
      <c r="H5049" s="3"/>
      <c r="I5049" s="3"/>
      <c r="J5049" s="3"/>
    </row>
    <row r="5050" spans="8:10" x14ac:dyDescent="0.3">
      <c r="H5050" s="3"/>
      <c r="I5050" s="3"/>
      <c r="J5050" s="3"/>
    </row>
    <row r="5051" spans="8:10" x14ac:dyDescent="0.3">
      <c r="H5051" s="3"/>
      <c r="I5051" s="3"/>
      <c r="J5051" s="3"/>
    </row>
    <row r="5052" spans="8:10" x14ac:dyDescent="0.3">
      <c r="H5052" s="3"/>
      <c r="I5052" s="3"/>
      <c r="J5052" s="3"/>
    </row>
    <row r="5053" spans="8:10" x14ac:dyDescent="0.3">
      <c r="H5053" s="3"/>
      <c r="I5053" s="3"/>
      <c r="J5053" s="3"/>
    </row>
    <row r="5054" spans="8:10" x14ac:dyDescent="0.3">
      <c r="H5054" s="3"/>
      <c r="I5054" s="3"/>
      <c r="J5054" s="3"/>
    </row>
    <row r="5055" spans="8:10" x14ac:dyDescent="0.3">
      <c r="H5055" s="3"/>
      <c r="I5055" s="3"/>
      <c r="J5055" s="3"/>
    </row>
    <row r="5056" spans="8:10" x14ac:dyDescent="0.3">
      <c r="H5056" s="3"/>
      <c r="I5056" s="3"/>
      <c r="J5056" s="3"/>
    </row>
    <row r="5057" spans="8:10" x14ac:dyDescent="0.3">
      <c r="H5057" s="3"/>
      <c r="I5057" s="3"/>
      <c r="J5057" s="3"/>
    </row>
    <row r="5058" spans="8:10" x14ac:dyDescent="0.3">
      <c r="H5058" s="3"/>
      <c r="I5058" s="3"/>
      <c r="J5058" s="3"/>
    </row>
    <row r="5059" spans="8:10" x14ac:dyDescent="0.3">
      <c r="H5059" s="3"/>
      <c r="I5059" s="3"/>
      <c r="J5059" s="3"/>
    </row>
    <row r="5060" spans="8:10" x14ac:dyDescent="0.3">
      <c r="H5060" s="3"/>
      <c r="I5060" s="3"/>
      <c r="J5060" s="3"/>
    </row>
    <row r="5061" spans="8:10" x14ac:dyDescent="0.3">
      <c r="H5061" s="3"/>
      <c r="I5061" s="3"/>
      <c r="J5061" s="3"/>
    </row>
    <row r="5062" spans="8:10" x14ac:dyDescent="0.3">
      <c r="H5062" s="3"/>
      <c r="I5062" s="3"/>
      <c r="J5062" s="3"/>
    </row>
    <row r="5063" spans="8:10" x14ac:dyDescent="0.3">
      <c r="H5063" s="3"/>
      <c r="I5063" s="3"/>
      <c r="J5063" s="3"/>
    </row>
    <row r="5064" spans="8:10" x14ac:dyDescent="0.3">
      <c r="H5064" s="3"/>
      <c r="I5064" s="3"/>
      <c r="J5064" s="3"/>
    </row>
    <row r="5065" spans="8:10" x14ac:dyDescent="0.3">
      <c r="H5065" s="3"/>
      <c r="I5065" s="3"/>
      <c r="J5065" s="3"/>
    </row>
    <row r="5066" spans="8:10" x14ac:dyDescent="0.3">
      <c r="H5066" s="3"/>
      <c r="I5066" s="3"/>
      <c r="J5066" s="3"/>
    </row>
    <row r="5067" spans="8:10" x14ac:dyDescent="0.3">
      <c r="H5067" s="3"/>
      <c r="I5067" s="3"/>
      <c r="J5067" s="3"/>
    </row>
    <row r="5068" spans="8:10" x14ac:dyDescent="0.3">
      <c r="H5068" s="3"/>
      <c r="I5068" s="3"/>
      <c r="J5068" s="3"/>
    </row>
    <row r="5069" spans="8:10" x14ac:dyDescent="0.3">
      <c r="H5069" s="3"/>
      <c r="I5069" s="3"/>
      <c r="J5069" s="3"/>
    </row>
    <row r="5070" spans="8:10" x14ac:dyDescent="0.3">
      <c r="H5070" s="3"/>
      <c r="I5070" s="3"/>
      <c r="J5070" s="3"/>
    </row>
    <row r="5071" spans="8:10" x14ac:dyDescent="0.3">
      <c r="H5071" s="3"/>
      <c r="I5071" s="3"/>
      <c r="J5071" s="3"/>
    </row>
    <row r="5072" spans="8:10" x14ac:dyDescent="0.3">
      <c r="H5072" s="3"/>
      <c r="I5072" s="3"/>
      <c r="J5072" s="3"/>
    </row>
    <row r="5073" spans="8:10" x14ac:dyDescent="0.3">
      <c r="H5073" s="3"/>
      <c r="I5073" s="3"/>
      <c r="J5073" s="3"/>
    </row>
    <row r="5074" spans="8:10" x14ac:dyDescent="0.3">
      <c r="H5074" s="3"/>
      <c r="I5074" s="3"/>
      <c r="J5074" s="3"/>
    </row>
    <row r="5075" spans="8:10" x14ac:dyDescent="0.3">
      <c r="H5075" s="3"/>
      <c r="I5075" s="3"/>
      <c r="J5075" s="3"/>
    </row>
    <row r="5076" spans="8:10" x14ac:dyDescent="0.3">
      <c r="H5076" s="3"/>
      <c r="I5076" s="3"/>
      <c r="J5076" s="3"/>
    </row>
    <row r="5077" spans="8:10" x14ac:dyDescent="0.3">
      <c r="H5077" s="3"/>
      <c r="I5077" s="3"/>
      <c r="J5077" s="3"/>
    </row>
    <row r="5078" spans="8:10" x14ac:dyDescent="0.3">
      <c r="H5078" s="3"/>
      <c r="I5078" s="3"/>
      <c r="J5078" s="3"/>
    </row>
    <row r="5079" spans="8:10" x14ac:dyDescent="0.3">
      <c r="H5079" s="3"/>
      <c r="I5079" s="3"/>
      <c r="J5079" s="3"/>
    </row>
    <row r="5080" spans="8:10" x14ac:dyDescent="0.3">
      <c r="H5080" s="3"/>
      <c r="I5080" s="3"/>
      <c r="J5080" s="3"/>
    </row>
    <row r="5081" spans="8:10" x14ac:dyDescent="0.3">
      <c r="H5081" s="3"/>
      <c r="I5081" s="3"/>
      <c r="J5081" s="3"/>
    </row>
    <row r="5082" spans="8:10" x14ac:dyDescent="0.3">
      <c r="H5082" s="3"/>
      <c r="I5082" s="3"/>
      <c r="J5082" s="3"/>
    </row>
    <row r="5083" spans="8:10" x14ac:dyDescent="0.3">
      <c r="H5083" s="3"/>
      <c r="I5083" s="3"/>
      <c r="J5083" s="3"/>
    </row>
    <row r="5084" spans="8:10" x14ac:dyDescent="0.3">
      <c r="H5084" s="3"/>
      <c r="I5084" s="3"/>
      <c r="J5084" s="3"/>
    </row>
    <row r="5085" spans="8:10" x14ac:dyDescent="0.3">
      <c r="H5085" s="3"/>
      <c r="I5085" s="3"/>
      <c r="J5085" s="3"/>
    </row>
    <row r="5086" spans="8:10" x14ac:dyDescent="0.3">
      <c r="H5086" s="3"/>
      <c r="I5086" s="3"/>
      <c r="J5086" s="3"/>
    </row>
    <row r="5087" spans="8:10" x14ac:dyDescent="0.3">
      <c r="H5087" s="3"/>
      <c r="I5087" s="3"/>
      <c r="J5087" s="3"/>
    </row>
    <row r="5088" spans="8:10" x14ac:dyDescent="0.3">
      <c r="H5088" s="3"/>
      <c r="I5088" s="3"/>
      <c r="J5088" s="3"/>
    </row>
    <row r="5089" spans="8:10" x14ac:dyDescent="0.3">
      <c r="H5089" s="3"/>
      <c r="I5089" s="3"/>
      <c r="J5089" s="3"/>
    </row>
    <row r="5090" spans="8:10" x14ac:dyDescent="0.3">
      <c r="H5090" s="3"/>
      <c r="I5090" s="3"/>
      <c r="J5090" s="3"/>
    </row>
    <row r="5091" spans="8:10" x14ac:dyDescent="0.3">
      <c r="H5091" s="3"/>
      <c r="I5091" s="3"/>
      <c r="J5091" s="3"/>
    </row>
    <row r="5092" spans="8:10" x14ac:dyDescent="0.3">
      <c r="H5092" s="3"/>
      <c r="I5092" s="3"/>
      <c r="J5092" s="3"/>
    </row>
    <row r="5093" spans="8:10" x14ac:dyDescent="0.3">
      <c r="H5093" s="3"/>
      <c r="I5093" s="3"/>
      <c r="J5093" s="3"/>
    </row>
    <row r="5094" spans="8:10" x14ac:dyDescent="0.3">
      <c r="H5094" s="3"/>
      <c r="I5094" s="3"/>
      <c r="J5094" s="3"/>
    </row>
    <row r="5095" spans="8:10" x14ac:dyDescent="0.3">
      <c r="H5095" s="3"/>
      <c r="I5095" s="3"/>
      <c r="J5095" s="3"/>
    </row>
    <row r="5096" spans="8:10" x14ac:dyDescent="0.3">
      <c r="H5096" s="3"/>
      <c r="I5096" s="3"/>
      <c r="J5096" s="3"/>
    </row>
    <row r="5097" spans="8:10" x14ac:dyDescent="0.3">
      <c r="H5097" s="3"/>
      <c r="I5097" s="3"/>
      <c r="J5097" s="3"/>
    </row>
    <row r="5098" spans="8:10" x14ac:dyDescent="0.3">
      <c r="H5098" s="3"/>
      <c r="I5098" s="3"/>
      <c r="J5098" s="3"/>
    </row>
    <row r="5099" spans="8:10" x14ac:dyDescent="0.3">
      <c r="H5099" s="3"/>
      <c r="I5099" s="3"/>
      <c r="J5099" s="3"/>
    </row>
    <row r="5100" spans="8:10" x14ac:dyDescent="0.3">
      <c r="H5100" s="3"/>
      <c r="I5100" s="3"/>
      <c r="J5100" s="3"/>
    </row>
    <row r="5101" spans="8:10" x14ac:dyDescent="0.3">
      <c r="H5101" s="3"/>
      <c r="I5101" s="3"/>
      <c r="J5101" s="3"/>
    </row>
    <row r="5102" spans="8:10" x14ac:dyDescent="0.3">
      <c r="H5102" s="3"/>
      <c r="I5102" s="3"/>
      <c r="J5102" s="3"/>
    </row>
    <row r="5103" spans="8:10" x14ac:dyDescent="0.3">
      <c r="H5103" s="3"/>
      <c r="I5103" s="3"/>
      <c r="J5103" s="3"/>
    </row>
    <row r="5104" spans="8:10" x14ac:dyDescent="0.3">
      <c r="H5104" s="3"/>
      <c r="I5104" s="3"/>
      <c r="J5104" s="3"/>
    </row>
    <row r="5105" spans="8:10" x14ac:dyDescent="0.3">
      <c r="H5105" s="3"/>
      <c r="I5105" s="3"/>
      <c r="J5105" s="3"/>
    </row>
    <row r="5106" spans="8:10" x14ac:dyDescent="0.3">
      <c r="H5106" s="3"/>
      <c r="I5106" s="3"/>
      <c r="J5106" s="3"/>
    </row>
    <row r="5107" spans="8:10" x14ac:dyDescent="0.3">
      <c r="H5107" s="3"/>
      <c r="I5107" s="3"/>
      <c r="J5107" s="3"/>
    </row>
    <row r="5108" spans="8:10" x14ac:dyDescent="0.3">
      <c r="H5108" s="3"/>
      <c r="I5108" s="3"/>
      <c r="J5108" s="3"/>
    </row>
    <row r="5109" spans="8:10" x14ac:dyDescent="0.3">
      <c r="H5109" s="3"/>
      <c r="I5109" s="3"/>
      <c r="J5109" s="3"/>
    </row>
    <row r="5110" spans="8:10" x14ac:dyDescent="0.3">
      <c r="H5110" s="3"/>
      <c r="I5110" s="3"/>
      <c r="J5110" s="3"/>
    </row>
    <row r="5111" spans="8:10" x14ac:dyDescent="0.3">
      <c r="H5111" s="3"/>
      <c r="I5111" s="3"/>
      <c r="J5111" s="3"/>
    </row>
    <row r="5112" spans="8:10" x14ac:dyDescent="0.3">
      <c r="H5112" s="3"/>
      <c r="I5112" s="3"/>
      <c r="J5112" s="3"/>
    </row>
    <row r="5113" spans="8:10" x14ac:dyDescent="0.3">
      <c r="H5113" s="3"/>
      <c r="I5113" s="3"/>
      <c r="J5113" s="3"/>
    </row>
    <row r="5114" spans="8:10" x14ac:dyDescent="0.3">
      <c r="H5114" s="3"/>
      <c r="I5114" s="3"/>
      <c r="J5114" s="3"/>
    </row>
    <row r="5115" spans="8:10" x14ac:dyDescent="0.3">
      <c r="H5115" s="3"/>
      <c r="I5115" s="3"/>
      <c r="J5115" s="3"/>
    </row>
    <row r="5116" spans="8:10" x14ac:dyDescent="0.3">
      <c r="H5116" s="3"/>
      <c r="I5116" s="3"/>
      <c r="J5116" s="3"/>
    </row>
    <row r="5117" spans="8:10" x14ac:dyDescent="0.3">
      <c r="H5117" s="3"/>
      <c r="I5117" s="3"/>
      <c r="J5117" s="3"/>
    </row>
    <row r="5118" spans="8:10" x14ac:dyDescent="0.3">
      <c r="H5118" s="3"/>
      <c r="I5118" s="3"/>
      <c r="J5118" s="3"/>
    </row>
    <row r="5119" spans="8:10" x14ac:dyDescent="0.3">
      <c r="H5119" s="3"/>
      <c r="I5119" s="3"/>
      <c r="J5119" s="3"/>
    </row>
    <row r="5120" spans="8:10" x14ac:dyDescent="0.3">
      <c r="H5120" s="3"/>
      <c r="I5120" s="3"/>
      <c r="J5120" s="3"/>
    </row>
    <row r="5121" spans="8:10" x14ac:dyDescent="0.3">
      <c r="H5121" s="3"/>
      <c r="I5121" s="3"/>
      <c r="J5121" s="3"/>
    </row>
    <row r="5122" spans="8:10" x14ac:dyDescent="0.3">
      <c r="H5122" s="3"/>
      <c r="I5122" s="3"/>
      <c r="J5122" s="3"/>
    </row>
    <row r="5123" spans="8:10" x14ac:dyDescent="0.3">
      <c r="H5123" s="3"/>
      <c r="I5123" s="3"/>
      <c r="J5123" s="3"/>
    </row>
    <row r="5124" spans="8:10" x14ac:dyDescent="0.3">
      <c r="H5124" s="3"/>
      <c r="I5124" s="3"/>
      <c r="J5124" s="3"/>
    </row>
    <row r="5125" spans="8:10" x14ac:dyDescent="0.3">
      <c r="H5125" s="3"/>
      <c r="I5125" s="3"/>
      <c r="J5125" s="3"/>
    </row>
    <row r="5126" spans="8:10" x14ac:dyDescent="0.3">
      <c r="H5126" s="3"/>
      <c r="I5126" s="3"/>
      <c r="J5126" s="3"/>
    </row>
    <row r="5127" spans="8:10" x14ac:dyDescent="0.3">
      <c r="H5127" s="3"/>
      <c r="I5127" s="3"/>
      <c r="J5127" s="3"/>
    </row>
    <row r="5128" spans="8:10" x14ac:dyDescent="0.3">
      <c r="H5128" s="3"/>
      <c r="I5128" s="3"/>
      <c r="J5128" s="3"/>
    </row>
    <row r="5129" spans="8:10" x14ac:dyDescent="0.3">
      <c r="H5129" s="3"/>
      <c r="I5129" s="3"/>
      <c r="J5129" s="3"/>
    </row>
    <row r="5130" spans="8:10" x14ac:dyDescent="0.3">
      <c r="H5130" s="3"/>
      <c r="I5130" s="3"/>
      <c r="J5130" s="3"/>
    </row>
    <row r="5131" spans="8:10" x14ac:dyDescent="0.3">
      <c r="H5131" s="3"/>
      <c r="I5131" s="3"/>
      <c r="J5131" s="3"/>
    </row>
    <row r="5132" spans="8:10" x14ac:dyDescent="0.3">
      <c r="H5132" s="3"/>
      <c r="I5132" s="3"/>
      <c r="J5132" s="3"/>
    </row>
    <row r="5133" spans="8:10" x14ac:dyDescent="0.3">
      <c r="H5133" s="3"/>
      <c r="I5133" s="3"/>
      <c r="J5133" s="3"/>
    </row>
    <row r="5134" spans="8:10" x14ac:dyDescent="0.3">
      <c r="H5134" s="3"/>
      <c r="I5134" s="3"/>
      <c r="J5134" s="3"/>
    </row>
    <row r="5135" spans="8:10" x14ac:dyDescent="0.3">
      <c r="H5135" s="3"/>
      <c r="I5135" s="3"/>
      <c r="J5135" s="3"/>
    </row>
    <row r="5136" spans="8:10" x14ac:dyDescent="0.3">
      <c r="H5136" s="3"/>
      <c r="I5136" s="3"/>
      <c r="J5136" s="3"/>
    </row>
    <row r="5137" spans="8:10" x14ac:dyDescent="0.3">
      <c r="H5137" s="3"/>
      <c r="I5137" s="3"/>
      <c r="J5137" s="3"/>
    </row>
    <row r="5138" spans="8:10" x14ac:dyDescent="0.3">
      <c r="H5138" s="3"/>
      <c r="I5138" s="3"/>
      <c r="J5138" s="3"/>
    </row>
    <row r="5139" spans="8:10" x14ac:dyDescent="0.3">
      <c r="H5139" s="3"/>
      <c r="I5139" s="3"/>
      <c r="J5139" s="3"/>
    </row>
    <row r="5140" spans="8:10" x14ac:dyDescent="0.3">
      <c r="H5140" s="3"/>
      <c r="I5140" s="3"/>
      <c r="J5140" s="3"/>
    </row>
    <row r="5141" spans="8:10" x14ac:dyDescent="0.3">
      <c r="H5141" s="3"/>
      <c r="I5141" s="3"/>
      <c r="J5141" s="3"/>
    </row>
    <row r="5142" spans="8:10" x14ac:dyDescent="0.3">
      <c r="H5142" s="3"/>
      <c r="I5142" s="3"/>
      <c r="J5142" s="3"/>
    </row>
    <row r="5143" spans="8:10" x14ac:dyDescent="0.3">
      <c r="H5143" s="3"/>
      <c r="I5143" s="3"/>
      <c r="J5143" s="3"/>
    </row>
    <row r="5144" spans="8:10" x14ac:dyDescent="0.3">
      <c r="H5144" s="3"/>
      <c r="I5144" s="3"/>
      <c r="J5144" s="3"/>
    </row>
    <row r="5145" spans="8:10" x14ac:dyDescent="0.3">
      <c r="H5145" s="3"/>
      <c r="I5145" s="3"/>
      <c r="J5145" s="3"/>
    </row>
    <row r="5146" spans="8:10" x14ac:dyDescent="0.3">
      <c r="H5146" s="3"/>
      <c r="I5146" s="3"/>
      <c r="J5146" s="3"/>
    </row>
    <row r="5147" spans="8:10" x14ac:dyDescent="0.3">
      <c r="H5147" s="3"/>
      <c r="I5147" s="3"/>
      <c r="J5147" s="3"/>
    </row>
    <row r="5148" spans="8:10" x14ac:dyDescent="0.3">
      <c r="H5148" s="3"/>
      <c r="I5148" s="3"/>
      <c r="J5148" s="3"/>
    </row>
    <row r="5149" spans="8:10" x14ac:dyDescent="0.3">
      <c r="H5149" s="3"/>
      <c r="I5149" s="3"/>
      <c r="J5149" s="3"/>
    </row>
    <row r="5150" spans="8:10" x14ac:dyDescent="0.3">
      <c r="H5150" s="3"/>
      <c r="I5150" s="3"/>
      <c r="J5150" s="3"/>
    </row>
    <row r="5151" spans="8:10" x14ac:dyDescent="0.3">
      <c r="H5151" s="3"/>
      <c r="I5151" s="3"/>
      <c r="J5151" s="3"/>
    </row>
    <row r="5152" spans="8:10" x14ac:dyDescent="0.3">
      <c r="H5152" s="3"/>
      <c r="I5152" s="3"/>
      <c r="J5152" s="3"/>
    </row>
    <row r="5153" spans="8:10" x14ac:dyDescent="0.3">
      <c r="H5153" s="3"/>
      <c r="I5153" s="3"/>
      <c r="J5153" s="3"/>
    </row>
    <row r="5154" spans="8:10" x14ac:dyDescent="0.3">
      <c r="H5154" s="3"/>
      <c r="I5154" s="3"/>
      <c r="J5154" s="3"/>
    </row>
    <row r="5155" spans="8:10" x14ac:dyDescent="0.3">
      <c r="H5155" s="3"/>
      <c r="I5155" s="3"/>
      <c r="J5155" s="3"/>
    </row>
    <row r="5156" spans="8:10" x14ac:dyDescent="0.3">
      <c r="H5156" s="3"/>
      <c r="I5156" s="3"/>
      <c r="J5156" s="3"/>
    </row>
    <row r="5157" spans="8:10" x14ac:dyDescent="0.3">
      <c r="H5157" s="3"/>
      <c r="I5157" s="3"/>
      <c r="J5157" s="3"/>
    </row>
    <row r="5158" spans="8:10" x14ac:dyDescent="0.3">
      <c r="H5158" s="3"/>
      <c r="I5158" s="3"/>
      <c r="J5158" s="3"/>
    </row>
    <row r="5159" spans="8:10" x14ac:dyDescent="0.3">
      <c r="H5159" s="3"/>
      <c r="I5159" s="3"/>
      <c r="J5159" s="3"/>
    </row>
    <row r="5160" spans="8:10" x14ac:dyDescent="0.3">
      <c r="H5160" s="3"/>
      <c r="I5160" s="3"/>
      <c r="J5160" s="3"/>
    </row>
    <row r="5161" spans="8:10" x14ac:dyDescent="0.3">
      <c r="H5161" s="3"/>
      <c r="I5161" s="3"/>
      <c r="J5161" s="3"/>
    </row>
    <row r="5162" spans="8:10" x14ac:dyDescent="0.3">
      <c r="H5162" s="3"/>
      <c r="I5162" s="3"/>
      <c r="J5162" s="3"/>
    </row>
    <row r="5163" spans="8:10" x14ac:dyDescent="0.3">
      <c r="H5163" s="3"/>
      <c r="I5163" s="3"/>
      <c r="J5163" s="3"/>
    </row>
    <row r="5164" spans="8:10" x14ac:dyDescent="0.3">
      <c r="H5164" s="3"/>
      <c r="I5164" s="3"/>
      <c r="J5164" s="3"/>
    </row>
    <row r="5165" spans="8:10" x14ac:dyDescent="0.3">
      <c r="H5165" s="3"/>
      <c r="I5165" s="3"/>
      <c r="J5165" s="3"/>
    </row>
    <row r="5166" spans="8:10" x14ac:dyDescent="0.3">
      <c r="H5166" s="3"/>
      <c r="I5166" s="3"/>
      <c r="J5166" s="3"/>
    </row>
    <row r="5167" spans="8:10" x14ac:dyDescent="0.3">
      <c r="H5167" s="3"/>
      <c r="I5167" s="3"/>
      <c r="J5167" s="3"/>
    </row>
    <row r="5168" spans="8:10" x14ac:dyDescent="0.3">
      <c r="H5168" s="3"/>
      <c r="I5168" s="3"/>
      <c r="J5168" s="3"/>
    </row>
    <row r="5169" spans="8:10" x14ac:dyDescent="0.3">
      <c r="H5169" s="3"/>
      <c r="I5169" s="3"/>
      <c r="J5169" s="3"/>
    </row>
    <row r="5170" spans="8:10" x14ac:dyDescent="0.3">
      <c r="H5170" s="3"/>
      <c r="I5170" s="3"/>
      <c r="J5170" s="3"/>
    </row>
    <row r="5171" spans="8:10" x14ac:dyDescent="0.3">
      <c r="H5171" s="3"/>
      <c r="I5171" s="3"/>
      <c r="J5171" s="3"/>
    </row>
    <row r="5172" spans="8:10" x14ac:dyDescent="0.3">
      <c r="H5172" s="3"/>
      <c r="I5172" s="3"/>
      <c r="J5172" s="3"/>
    </row>
    <row r="5173" spans="8:10" x14ac:dyDescent="0.3">
      <c r="H5173" s="3"/>
      <c r="I5173" s="3"/>
      <c r="J5173" s="3"/>
    </row>
    <row r="5174" spans="8:10" x14ac:dyDescent="0.3">
      <c r="H5174" s="3"/>
      <c r="I5174" s="3"/>
      <c r="J5174" s="3"/>
    </row>
    <row r="5175" spans="8:10" x14ac:dyDescent="0.3">
      <c r="H5175" s="3"/>
      <c r="I5175" s="3"/>
      <c r="J5175" s="3"/>
    </row>
    <row r="5176" spans="8:10" x14ac:dyDescent="0.3">
      <c r="H5176" s="3"/>
      <c r="I5176" s="3"/>
      <c r="J5176" s="3"/>
    </row>
    <row r="5177" spans="8:10" x14ac:dyDescent="0.3">
      <c r="H5177" s="3"/>
      <c r="I5177" s="3"/>
      <c r="J5177" s="3"/>
    </row>
    <row r="5178" spans="8:10" x14ac:dyDescent="0.3">
      <c r="H5178" s="3"/>
      <c r="I5178" s="3"/>
      <c r="J5178" s="3"/>
    </row>
    <row r="5179" spans="8:10" x14ac:dyDescent="0.3">
      <c r="H5179" s="3"/>
      <c r="I5179" s="3"/>
      <c r="J5179" s="3"/>
    </row>
    <row r="5180" spans="8:10" x14ac:dyDescent="0.3">
      <c r="H5180" s="3"/>
      <c r="I5180" s="3"/>
      <c r="J5180" s="3"/>
    </row>
    <row r="5181" spans="8:10" x14ac:dyDescent="0.3">
      <c r="H5181" s="3"/>
      <c r="I5181" s="3"/>
      <c r="J5181" s="3"/>
    </row>
    <row r="5182" spans="8:10" x14ac:dyDescent="0.3">
      <c r="H5182" s="3"/>
      <c r="I5182" s="3"/>
      <c r="J5182" s="3"/>
    </row>
    <row r="5183" spans="8:10" x14ac:dyDescent="0.3">
      <c r="H5183" s="3"/>
      <c r="I5183" s="3"/>
      <c r="J5183" s="3"/>
    </row>
    <row r="5184" spans="8:10" x14ac:dyDescent="0.3">
      <c r="H5184" s="3"/>
      <c r="I5184" s="3"/>
      <c r="J5184" s="3"/>
    </row>
    <row r="5185" spans="8:10" x14ac:dyDescent="0.3">
      <c r="H5185" s="3"/>
      <c r="I5185" s="3"/>
      <c r="J5185" s="3"/>
    </row>
    <row r="5186" spans="8:10" x14ac:dyDescent="0.3">
      <c r="H5186" s="3"/>
      <c r="I5186" s="3"/>
      <c r="J5186" s="3"/>
    </row>
    <row r="5187" spans="8:10" x14ac:dyDescent="0.3">
      <c r="H5187" s="3"/>
      <c r="I5187" s="3"/>
      <c r="J5187" s="3"/>
    </row>
    <row r="5188" spans="8:10" x14ac:dyDescent="0.3">
      <c r="H5188" s="3"/>
      <c r="I5188" s="3"/>
      <c r="J5188" s="3"/>
    </row>
    <row r="5189" spans="8:10" x14ac:dyDescent="0.3">
      <c r="H5189" s="3"/>
      <c r="I5189" s="3"/>
      <c r="J5189" s="3"/>
    </row>
    <row r="5190" spans="8:10" x14ac:dyDescent="0.3">
      <c r="H5190" s="3"/>
      <c r="I5190" s="3"/>
      <c r="J5190" s="3"/>
    </row>
    <row r="5191" spans="8:10" x14ac:dyDescent="0.3">
      <c r="H5191" s="3"/>
      <c r="I5191" s="3"/>
      <c r="J5191" s="3"/>
    </row>
    <row r="5192" spans="8:10" x14ac:dyDescent="0.3">
      <c r="H5192" s="3"/>
      <c r="I5192" s="3"/>
      <c r="J5192" s="3"/>
    </row>
    <row r="5193" spans="8:10" x14ac:dyDescent="0.3">
      <c r="H5193" s="3"/>
      <c r="I5193" s="3"/>
      <c r="J5193" s="3"/>
    </row>
    <row r="5194" spans="8:10" x14ac:dyDescent="0.3">
      <c r="H5194" s="3"/>
      <c r="I5194" s="3"/>
      <c r="J5194" s="3"/>
    </row>
    <row r="5195" spans="8:10" x14ac:dyDescent="0.3">
      <c r="H5195" s="3"/>
      <c r="I5195" s="3"/>
      <c r="J5195" s="3"/>
    </row>
    <row r="5196" spans="8:10" x14ac:dyDescent="0.3">
      <c r="H5196" s="3"/>
      <c r="I5196" s="3"/>
      <c r="J5196" s="3"/>
    </row>
    <row r="5197" spans="8:10" x14ac:dyDescent="0.3">
      <c r="H5197" s="3"/>
      <c r="I5197" s="3"/>
      <c r="J5197" s="3"/>
    </row>
    <row r="5198" spans="8:10" x14ac:dyDescent="0.3">
      <c r="H5198" s="3"/>
      <c r="I5198" s="3"/>
      <c r="J5198" s="3"/>
    </row>
    <row r="5199" spans="8:10" x14ac:dyDescent="0.3">
      <c r="H5199" s="3"/>
      <c r="I5199" s="3"/>
      <c r="J5199" s="3"/>
    </row>
    <row r="5200" spans="8:10" x14ac:dyDescent="0.3">
      <c r="H5200" s="3"/>
      <c r="I5200" s="3"/>
      <c r="J5200" s="3"/>
    </row>
    <row r="5201" spans="8:10" x14ac:dyDescent="0.3">
      <c r="H5201" s="3"/>
      <c r="I5201" s="3"/>
      <c r="J5201" s="3"/>
    </row>
    <row r="5202" spans="8:10" x14ac:dyDescent="0.3">
      <c r="H5202" s="3"/>
      <c r="I5202" s="3"/>
      <c r="J5202" s="3"/>
    </row>
    <row r="5203" spans="8:10" x14ac:dyDescent="0.3">
      <c r="H5203" s="3"/>
      <c r="I5203" s="3"/>
      <c r="J5203" s="3"/>
    </row>
    <row r="5204" spans="8:10" x14ac:dyDescent="0.3">
      <c r="H5204" s="3"/>
      <c r="I5204" s="3"/>
      <c r="J5204" s="3"/>
    </row>
    <row r="5205" spans="8:10" x14ac:dyDescent="0.3">
      <c r="H5205" s="3"/>
      <c r="I5205" s="3"/>
      <c r="J5205" s="3"/>
    </row>
    <row r="5206" spans="8:10" x14ac:dyDescent="0.3">
      <c r="H5206" s="3"/>
      <c r="I5206" s="3"/>
      <c r="J5206" s="3"/>
    </row>
    <row r="5207" spans="8:10" x14ac:dyDescent="0.3">
      <c r="H5207" s="3"/>
      <c r="I5207" s="3"/>
      <c r="J5207" s="3"/>
    </row>
    <row r="5208" spans="8:10" x14ac:dyDescent="0.3">
      <c r="H5208" s="3"/>
      <c r="I5208" s="3"/>
      <c r="J5208" s="3"/>
    </row>
    <row r="5209" spans="8:10" x14ac:dyDescent="0.3">
      <c r="H5209" s="3"/>
      <c r="I5209" s="3"/>
      <c r="J5209" s="3"/>
    </row>
    <row r="5210" spans="8:10" x14ac:dyDescent="0.3">
      <c r="H5210" s="3"/>
      <c r="I5210" s="3"/>
      <c r="J5210" s="3"/>
    </row>
    <row r="5211" spans="8:10" x14ac:dyDescent="0.3">
      <c r="H5211" s="3"/>
      <c r="I5211" s="3"/>
      <c r="J5211" s="3"/>
    </row>
    <row r="5212" spans="8:10" x14ac:dyDescent="0.3">
      <c r="H5212" s="3"/>
      <c r="I5212" s="3"/>
      <c r="J5212" s="3"/>
    </row>
    <row r="5213" spans="8:10" x14ac:dyDescent="0.3">
      <c r="H5213" s="3"/>
      <c r="I5213" s="3"/>
      <c r="J5213" s="3"/>
    </row>
    <row r="5214" spans="8:10" x14ac:dyDescent="0.3">
      <c r="H5214" s="3"/>
      <c r="I5214" s="3"/>
      <c r="J5214" s="3"/>
    </row>
    <row r="5215" spans="8:10" x14ac:dyDescent="0.3">
      <c r="H5215" s="3"/>
      <c r="I5215" s="3"/>
      <c r="J5215" s="3"/>
    </row>
    <row r="5216" spans="8:10" x14ac:dyDescent="0.3">
      <c r="H5216" s="3"/>
      <c r="I5216" s="3"/>
      <c r="J5216" s="3"/>
    </row>
    <row r="5217" spans="8:10" x14ac:dyDescent="0.3">
      <c r="H5217" s="3"/>
      <c r="I5217" s="3"/>
      <c r="J5217" s="3"/>
    </row>
    <row r="5218" spans="8:10" x14ac:dyDescent="0.3">
      <c r="H5218" s="3"/>
      <c r="I5218" s="3"/>
      <c r="J5218" s="3"/>
    </row>
    <row r="5219" spans="8:10" x14ac:dyDescent="0.3">
      <c r="H5219" s="3"/>
      <c r="I5219" s="3"/>
      <c r="J5219" s="3"/>
    </row>
    <row r="5220" spans="8:10" x14ac:dyDescent="0.3">
      <c r="H5220" s="3"/>
      <c r="I5220" s="3"/>
      <c r="J5220" s="3"/>
    </row>
    <row r="5221" spans="8:10" x14ac:dyDescent="0.3">
      <c r="H5221" s="3"/>
      <c r="I5221" s="3"/>
      <c r="J5221" s="3"/>
    </row>
    <row r="5222" spans="8:10" x14ac:dyDescent="0.3">
      <c r="H5222" s="3"/>
      <c r="I5222" s="3"/>
      <c r="J5222" s="3"/>
    </row>
    <row r="5223" spans="8:10" x14ac:dyDescent="0.3">
      <c r="H5223" s="3"/>
      <c r="I5223" s="3"/>
      <c r="J5223" s="3"/>
    </row>
    <row r="5224" spans="8:10" x14ac:dyDescent="0.3">
      <c r="H5224" s="3"/>
      <c r="I5224" s="3"/>
      <c r="J5224" s="3"/>
    </row>
    <row r="5225" spans="8:10" x14ac:dyDescent="0.3">
      <c r="H5225" s="3"/>
      <c r="I5225" s="3"/>
      <c r="J5225" s="3"/>
    </row>
    <row r="5226" spans="8:10" x14ac:dyDescent="0.3">
      <c r="H5226" s="3"/>
      <c r="I5226" s="3"/>
      <c r="J5226" s="3"/>
    </row>
    <row r="5227" spans="8:10" x14ac:dyDescent="0.3">
      <c r="H5227" s="3"/>
      <c r="I5227" s="3"/>
      <c r="J5227" s="3"/>
    </row>
    <row r="5228" spans="8:10" x14ac:dyDescent="0.3">
      <c r="H5228" s="3"/>
      <c r="I5228" s="3"/>
      <c r="J5228" s="3"/>
    </row>
    <row r="5229" spans="8:10" x14ac:dyDescent="0.3">
      <c r="H5229" s="3"/>
      <c r="I5229" s="3"/>
      <c r="J5229" s="3"/>
    </row>
    <row r="5230" spans="8:10" x14ac:dyDescent="0.3">
      <c r="H5230" s="3"/>
      <c r="I5230" s="3"/>
      <c r="J5230" s="3"/>
    </row>
    <row r="5231" spans="8:10" x14ac:dyDescent="0.3">
      <c r="H5231" s="3"/>
      <c r="I5231" s="3"/>
      <c r="J5231" s="3"/>
    </row>
    <row r="5232" spans="8:10" x14ac:dyDescent="0.3">
      <c r="H5232" s="3"/>
      <c r="I5232" s="3"/>
      <c r="J5232" s="3"/>
    </row>
    <row r="5233" spans="8:10" x14ac:dyDescent="0.3">
      <c r="H5233" s="3"/>
      <c r="I5233" s="3"/>
      <c r="J5233" s="3"/>
    </row>
    <row r="5234" spans="8:10" x14ac:dyDescent="0.3">
      <c r="H5234" s="3"/>
      <c r="I5234" s="3"/>
      <c r="J5234" s="3"/>
    </row>
    <row r="5235" spans="8:10" x14ac:dyDescent="0.3">
      <c r="H5235" s="3"/>
      <c r="I5235" s="3"/>
      <c r="J5235" s="3"/>
    </row>
    <row r="5236" spans="8:10" x14ac:dyDescent="0.3">
      <c r="H5236" s="3"/>
      <c r="I5236" s="3"/>
      <c r="J5236" s="3"/>
    </row>
    <row r="5237" spans="8:10" x14ac:dyDescent="0.3">
      <c r="H5237" s="3"/>
      <c r="I5237" s="3"/>
      <c r="J5237" s="3"/>
    </row>
    <row r="5238" spans="8:10" x14ac:dyDescent="0.3">
      <c r="H5238" s="3"/>
      <c r="I5238" s="3"/>
      <c r="J5238" s="3"/>
    </row>
    <row r="5239" spans="8:10" x14ac:dyDescent="0.3">
      <c r="H5239" s="3"/>
      <c r="I5239" s="3"/>
      <c r="J5239" s="3"/>
    </row>
    <row r="5240" spans="8:10" x14ac:dyDescent="0.3">
      <c r="H5240" s="3"/>
      <c r="I5240" s="3"/>
      <c r="J5240" s="3"/>
    </row>
    <row r="5241" spans="8:10" x14ac:dyDescent="0.3">
      <c r="H5241" s="3"/>
      <c r="I5241" s="3"/>
      <c r="J5241" s="3"/>
    </row>
    <row r="5242" spans="8:10" x14ac:dyDescent="0.3">
      <c r="H5242" s="3"/>
      <c r="I5242" s="3"/>
      <c r="J5242" s="3"/>
    </row>
    <row r="5243" spans="8:10" x14ac:dyDescent="0.3">
      <c r="H5243" s="3"/>
      <c r="I5243" s="3"/>
      <c r="J5243" s="3"/>
    </row>
    <row r="5244" spans="8:10" x14ac:dyDescent="0.3">
      <c r="H5244" s="3"/>
      <c r="I5244" s="3"/>
      <c r="J5244" s="3"/>
    </row>
    <row r="5245" spans="8:10" x14ac:dyDescent="0.3">
      <c r="H5245" s="3"/>
      <c r="I5245" s="3"/>
      <c r="J5245" s="3"/>
    </row>
    <row r="5246" spans="8:10" x14ac:dyDescent="0.3">
      <c r="H5246" s="3"/>
      <c r="I5246" s="3"/>
      <c r="J5246" s="3"/>
    </row>
    <row r="5247" spans="8:10" x14ac:dyDescent="0.3">
      <c r="H5247" s="3"/>
      <c r="I5247" s="3"/>
      <c r="J5247" s="3"/>
    </row>
    <row r="5248" spans="8:10" x14ac:dyDescent="0.3">
      <c r="H5248" s="3"/>
      <c r="I5248" s="3"/>
      <c r="J5248" s="3"/>
    </row>
    <row r="5249" spans="8:10" x14ac:dyDescent="0.3">
      <c r="H5249" s="3"/>
      <c r="I5249" s="3"/>
      <c r="J5249" s="3"/>
    </row>
    <row r="5250" spans="8:10" x14ac:dyDescent="0.3">
      <c r="H5250" s="3"/>
      <c r="I5250" s="3"/>
      <c r="J5250" s="3"/>
    </row>
    <row r="5251" spans="8:10" x14ac:dyDescent="0.3">
      <c r="H5251" s="3"/>
      <c r="I5251" s="3"/>
      <c r="J5251" s="3"/>
    </row>
    <row r="5252" spans="8:10" x14ac:dyDescent="0.3">
      <c r="H5252" s="3"/>
      <c r="I5252" s="3"/>
      <c r="J5252" s="3"/>
    </row>
    <row r="5253" spans="8:10" x14ac:dyDescent="0.3">
      <c r="H5253" s="3"/>
      <c r="I5253" s="3"/>
      <c r="J5253" s="3"/>
    </row>
    <row r="5254" spans="8:10" x14ac:dyDescent="0.3">
      <c r="H5254" s="3"/>
      <c r="I5254" s="3"/>
      <c r="J5254" s="3"/>
    </row>
    <row r="5255" spans="8:10" x14ac:dyDescent="0.3">
      <c r="H5255" s="3"/>
      <c r="I5255" s="3"/>
      <c r="J5255" s="3"/>
    </row>
    <row r="5256" spans="8:10" x14ac:dyDescent="0.3">
      <c r="H5256" s="3"/>
      <c r="I5256" s="3"/>
      <c r="J5256" s="3"/>
    </row>
    <row r="5257" spans="8:10" x14ac:dyDescent="0.3">
      <c r="H5257" s="3"/>
      <c r="I5257" s="3"/>
      <c r="J5257" s="3"/>
    </row>
    <row r="5258" spans="8:10" x14ac:dyDescent="0.3">
      <c r="H5258" s="3"/>
      <c r="I5258" s="3"/>
      <c r="J5258" s="3"/>
    </row>
    <row r="5259" spans="8:10" x14ac:dyDescent="0.3">
      <c r="H5259" s="3"/>
      <c r="I5259" s="3"/>
      <c r="J5259" s="3"/>
    </row>
    <row r="5260" spans="8:10" x14ac:dyDescent="0.3">
      <c r="H5260" s="3"/>
      <c r="I5260" s="3"/>
      <c r="J5260" s="3"/>
    </row>
    <row r="5261" spans="8:10" x14ac:dyDescent="0.3">
      <c r="H5261" s="3"/>
      <c r="I5261" s="3"/>
      <c r="J5261" s="3"/>
    </row>
    <row r="5262" spans="8:10" x14ac:dyDescent="0.3">
      <c r="H5262" s="3"/>
      <c r="I5262" s="3"/>
      <c r="J5262" s="3"/>
    </row>
    <row r="5263" spans="8:10" x14ac:dyDescent="0.3">
      <c r="H5263" s="3"/>
      <c r="I5263" s="3"/>
      <c r="J5263" s="3"/>
    </row>
    <row r="5264" spans="8:10" x14ac:dyDescent="0.3">
      <c r="H5264" s="3"/>
      <c r="I5264" s="3"/>
      <c r="J5264" s="3"/>
    </row>
    <row r="5265" spans="8:10" x14ac:dyDescent="0.3">
      <c r="H5265" s="3"/>
      <c r="I5265" s="3"/>
      <c r="J5265" s="3"/>
    </row>
    <row r="5266" spans="8:10" x14ac:dyDescent="0.3">
      <c r="H5266" s="3"/>
      <c r="I5266" s="3"/>
      <c r="J5266" s="3"/>
    </row>
    <row r="5267" spans="8:10" x14ac:dyDescent="0.3">
      <c r="H5267" s="3"/>
      <c r="I5267" s="3"/>
      <c r="J5267" s="3"/>
    </row>
    <row r="5268" spans="8:10" x14ac:dyDescent="0.3">
      <c r="H5268" s="3"/>
      <c r="I5268" s="3"/>
      <c r="J5268" s="3"/>
    </row>
    <row r="5269" spans="8:10" x14ac:dyDescent="0.3">
      <c r="H5269" s="3"/>
      <c r="I5269" s="3"/>
      <c r="J5269" s="3"/>
    </row>
    <row r="5270" spans="8:10" x14ac:dyDescent="0.3">
      <c r="H5270" s="3"/>
      <c r="I5270" s="3"/>
      <c r="J5270" s="3"/>
    </row>
    <row r="5271" spans="8:10" x14ac:dyDescent="0.3">
      <c r="H5271" s="3"/>
      <c r="I5271" s="3"/>
      <c r="J5271" s="3"/>
    </row>
    <row r="5272" spans="8:10" x14ac:dyDescent="0.3">
      <c r="H5272" s="3"/>
      <c r="I5272" s="3"/>
      <c r="J5272" s="3"/>
    </row>
    <row r="5273" spans="8:10" x14ac:dyDescent="0.3">
      <c r="H5273" s="3"/>
      <c r="I5273" s="3"/>
      <c r="J5273" s="3"/>
    </row>
    <row r="5274" spans="8:10" x14ac:dyDescent="0.3">
      <c r="H5274" s="3"/>
      <c r="I5274" s="3"/>
      <c r="J5274" s="3"/>
    </row>
    <row r="5275" spans="8:10" x14ac:dyDescent="0.3">
      <c r="H5275" s="3"/>
      <c r="I5275" s="3"/>
      <c r="J5275" s="3"/>
    </row>
    <row r="5276" spans="8:10" x14ac:dyDescent="0.3">
      <c r="H5276" s="3"/>
      <c r="I5276" s="3"/>
      <c r="J5276" s="3"/>
    </row>
    <row r="5277" spans="8:10" x14ac:dyDescent="0.3">
      <c r="H5277" s="3"/>
      <c r="I5277" s="3"/>
      <c r="J5277" s="3"/>
    </row>
    <row r="5278" spans="8:10" x14ac:dyDescent="0.3">
      <c r="H5278" s="3"/>
      <c r="I5278" s="3"/>
      <c r="J5278" s="3"/>
    </row>
    <row r="5279" spans="8:10" x14ac:dyDescent="0.3">
      <c r="H5279" s="3"/>
      <c r="I5279" s="3"/>
      <c r="J5279" s="3"/>
    </row>
    <row r="5280" spans="8:10" x14ac:dyDescent="0.3">
      <c r="H5280" s="3"/>
      <c r="I5280" s="3"/>
      <c r="J5280" s="3"/>
    </row>
    <row r="5281" spans="8:10" x14ac:dyDescent="0.3">
      <c r="H5281" s="3"/>
      <c r="I5281" s="3"/>
      <c r="J5281" s="3"/>
    </row>
    <row r="5282" spans="8:10" x14ac:dyDescent="0.3">
      <c r="H5282" s="3"/>
      <c r="I5282" s="3"/>
      <c r="J5282" s="3"/>
    </row>
    <row r="5283" spans="8:10" x14ac:dyDescent="0.3">
      <c r="H5283" s="3"/>
      <c r="I5283" s="3"/>
      <c r="J5283" s="3"/>
    </row>
    <row r="5284" spans="8:10" x14ac:dyDescent="0.3">
      <c r="H5284" s="3"/>
      <c r="I5284" s="3"/>
      <c r="J5284" s="3"/>
    </row>
    <row r="5285" spans="8:10" x14ac:dyDescent="0.3">
      <c r="H5285" s="3"/>
      <c r="I5285" s="3"/>
      <c r="J5285" s="3"/>
    </row>
    <row r="5286" spans="8:10" x14ac:dyDescent="0.3">
      <c r="H5286" s="3"/>
      <c r="I5286" s="3"/>
      <c r="J5286" s="3"/>
    </row>
    <row r="5287" spans="8:10" x14ac:dyDescent="0.3">
      <c r="H5287" s="3"/>
      <c r="I5287" s="3"/>
      <c r="J5287" s="3"/>
    </row>
    <row r="5288" spans="8:10" x14ac:dyDescent="0.3">
      <c r="H5288" s="3"/>
      <c r="I5288" s="3"/>
      <c r="J5288" s="3"/>
    </row>
    <row r="5289" spans="8:10" x14ac:dyDescent="0.3">
      <c r="H5289" s="3"/>
      <c r="I5289" s="3"/>
      <c r="J5289" s="3"/>
    </row>
    <row r="5290" spans="8:10" x14ac:dyDescent="0.3">
      <c r="H5290" s="3"/>
      <c r="I5290" s="3"/>
      <c r="J5290" s="3"/>
    </row>
    <row r="5291" spans="8:10" x14ac:dyDescent="0.3">
      <c r="H5291" s="3"/>
      <c r="I5291" s="3"/>
      <c r="J5291" s="3"/>
    </row>
    <row r="5292" spans="8:10" x14ac:dyDescent="0.3">
      <c r="H5292" s="3"/>
      <c r="I5292" s="3"/>
      <c r="J5292" s="3"/>
    </row>
    <row r="5293" spans="8:10" x14ac:dyDescent="0.3">
      <c r="H5293" s="3"/>
      <c r="I5293" s="3"/>
      <c r="J5293" s="3"/>
    </row>
    <row r="5294" spans="8:10" x14ac:dyDescent="0.3">
      <c r="H5294" s="3"/>
      <c r="I5294" s="3"/>
      <c r="J5294" s="3"/>
    </row>
    <row r="5295" spans="8:10" x14ac:dyDescent="0.3">
      <c r="H5295" s="3"/>
      <c r="I5295" s="3"/>
      <c r="J5295" s="3"/>
    </row>
    <row r="5296" spans="8:10" x14ac:dyDescent="0.3">
      <c r="H5296" s="3"/>
      <c r="I5296" s="3"/>
      <c r="J5296" s="3"/>
    </row>
    <row r="5297" spans="8:10" x14ac:dyDescent="0.3">
      <c r="H5297" s="3"/>
      <c r="I5297" s="3"/>
      <c r="J5297" s="3"/>
    </row>
    <row r="5298" spans="8:10" x14ac:dyDescent="0.3">
      <c r="H5298" s="3"/>
      <c r="I5298" s="3"/>
      <c r="J5298" s="3"/>
    </row>
    <row r="5299" spans="8:10" x14ac:dyDescent="0.3">
      <c r="H5299" s="3"/>
      <c r="I5299" s="3"/>
      <c r="J5299" s="3"/>
    </row>
    <row r="5300" spans="8:10" x14ac:dyDescent="0.3">
      <c r="H5300" s="3"/>
      <c r="I5300" s="3"/>
      <c r="J5300" s="3"/>
    </row>
    <row r="5301" spans="8:10" x14ac:dyDescent="0.3">
      <c r="H5301" s="3"/>
      <c r="I5301" s="3"/>
      <c r="J5301" s="3"/>
    </row>
    <row r="5302" spans="8:10" x14ac:dyDescent="0.3">
      <c r="H5302" s="3"/>
      <c r="I5302" s="3"/>
      <c r="J5302" s="3"/>
    </row>
    <row r="5303" spans="8:10" x14ac:dyDescent="0.3">
      <c r="H5303" s="3"/>
      <c r="I5303" s="3"/>
      <c r="J5303" s="3"/>
    </row>
    <row r="5304" spans="8:10" x14ac:dyDescent="0.3">
      <c r="H5304" s="3"/>
      <c r="I5304" s="3"/>
      <c r="J5304" s="3"/>
    </row>
    <row r="5305" spans="8:10" x14ac:dyDescent="0.3">
      <c r="H5305" s="3"/>
      <c r="I5305" s="3"/>
      <c r="J5305" s="3"/>
    </row>
    <row r="5306" spans="8:10" x14ac:dyDescent="0.3">
      <c r="H5306" s="3"/>
      <c r="I5306" s="3"/>
      <c r="J5306" s="3"/>
    </row>
    <row r="5307" spans="8:10" x14ac:dyDescent="0.3">
      <c r="H5307" s="3"/>
      <c r="I5307" s="3"/>
      <c r="J5307" s="3"/>
    </row>
    <row r="5308" spans="8:10" x14ac:dyDescent="0.3">
      <c r="H5308" s="3"/>
      <c r="I5308" s="3"/>
      <c r="J5308" s="3"/>
    </row>
    <row r="5309" spans="8:10" x14ac:dyDescent="0.3">
      <c r="H5309" s="3"/>
      <c r="I5309" s="3"/>
      <c r="J5309" s="3"/>
    </row>
    <row r="5310" spans="8:10" x14ac:dyDescent="0.3">
      <c r="H5310" s="3"/>
      <c r="I5310" s="3"/>
      <c r="J5310" s="3"/>
    </row>
    <row r="5311" spans="8:10" x14ac:dyDescent="0.3">
      <c r="H5311" s="3"/>
      <c r="I5311" s="3"/>
      <c r="J5311" s="3"/>
    </row>
    <row r="5312" spans="8:10" x14ac:dyDescent="0.3">
      <c r="H5312" s="3"/>
      <c r="I5312" s="3"/>
      <c r="J5312" s="3"/>
    </row>
    <row r="5313" spans="8:10" x14ac:dyDescent="0.3">
      <c r="H5313" s="3"/>
      <c r="I5313" s="3"/>
      <c r="J5313" s="3"/>
    </row>
    <row r="5314" spans="8:10" x14ac:dyDescent="0.3">
      <c r="H5314" s="3"/>
      <c r="I5314" s="3"/>
      <c r="J5314" s="3"/>
    </row>
    <row r="5315" spans="8:10" x14ac:dyDescent="0.3">
      <c r="H5315" s="3"/>
      <c r="I5315" s="3"/>
      <c r="J5315" s="3"/>
    </row>
    <row r="5316" spans="8:10" x14ac:dyDescent="0.3">
      <c r="H5316" s="3"/>
      <c r="I5316" s="3"/>
      <c r="J5316" s="3"/>
    </row>
    <row r="5317" spans="8:10" x14ac:dyDescent="0.3">
      <c r="H5317" s="3"/>
      <c r="I5317" s="3"/>
      <c r="J5317" s="3"/>
    </row>
    <row r="5318" spans="8:10" x14ac:dyDescent="0.3">
      <c r="H5318" s="3"/>
      <c r="I5318" s="3"/>
      <c r="J5318" s="3"/>
    </row>
    <row r="5319" spans="8:10" x14ac:dyDescent="0.3">
      <c r="H5319" s="3"/>
      <c r="I5319" s="3"/>
      <c r="J5319" s="3"/>
    </row>
    <row r="5320" spans="8:10" x14ac:dyDescent="0.3">
      <c r="H5320" s="3"/>
      <c r="I5320" s="3"/>
      <c r="J5320" s="3"/>
    </row>
    <row r="5321" spans="8:10" x14ac:dyDescent="0.3">
      <c r="H5321" s="3"/>
      <c r="I5321" s="3"/>
      <c r="J5321" s="3"/>
    </row>
    <row r="5322" spans="8:10" x14ac:dyDescent="0.3">
      <c r="H5322" s="3"/>
      <c r="I5322" s="3"/>
      <c r="J5322" s="3"/>
    </row>
    <row r="5323" spans="8:10" x14ac:dyDescent="0.3">
      <c r="H5323" s="3"/>
      <c r="I5323" s="3"/>
      <c r="J5323" s="3"/>
    </row>
    <row r="5324" spans="8:10" x14ac:dyDescent="0.3">
      <c r="H5324" s="3"/>
      <c r="I5324" s="3"/>
      <c r="J5324" s="3"/>
    </row>
    <row r="5325" spans="8:10" x14ac:dyDescent="0.3">
      <c r="H5325" s="3"/>
      <c r="I5325" s="3"/>
      <c r="J5325" s="3"/>
    </row>
    <row r="5326" spans="8:10" x14ac:dyDescent="0.3">
      <c r="H5326" s="3"/>
      <c r="I5326" s="3"/>
      <c r="J5326" s="3"/>
    </row>
    <row r="5327" spans="8:10" x14ac:dyDescent="0.3">
      <c r="H5327" s="3"/>
      <c r="I5327" s="3"/>
      <c r="J5327" s="3"/>
    </row>
    <row r="5328" spans="8:10" x14ac:dyDescent="0.3">
      <c r="H5328" s="3"/>
      <c r="I5328" s="3"/>
      <c r="J5328" s="3"/>
    </row>
    <row r="5329" spans="8:10" x14ac:dyDescent="0.3">
      <c r="H5329" s="3"/>
      <c r="I5329" s="3"/>
      <c r="J5329" s="3"/>
    </row>
    <row r="5330" spans="8:10" x14ac:dyDescent="0.3">
      <c r="H5330" s="3"/>
      <c r="I5330" s="3"/>
      <c r="J5330" s="3"/>
    </row>
    <row r="5331" spans="8:10" x14ac:dyDescent="0.3">
      <c r="H5331" s="3"/>
      <c r="I5331" s="3"/>
      <c r="J5331" s="3"/>
    </row>
    <row r="5332" spans="8:10" x14ac:dyDescent="0.3">
      <c r="H5332" s="3"/>
      <c r="I5332" s="3"/>
      <c r="J5332" s="3"/>
    </row>
    <row r="5333" spans="8:10" x14ac:dyDescent="0.3">
      <c r="H5333" s="3"/>
      <c r="I5333" s="3"/>
      <c r="J5333" s="3"/>
    </row>
    <row r="5334" spans="8:10" x14ac:dyDescent="0.3">
      <c r="H5334" s="3"/>
      <c r="I5334" s="3"/>
      <c r="J5334" s="3"/>
    </row>
    <row r="5335" spans="8:10" x14ac:dyDescent="0.3">
      <c r="H5335" s="3"/>
      <c r="I5335" s="3"/>
      <c r="J5335" s="3"/>
    </row>
    <row r="5336" spans="8:10" x14ac:dyDescent="0.3">
      <c r="H5336" s="3"/>
      <c r="I5336" s="3"/>
      <c r="J5336" s="3"/>
    </row>
    <row r="5337" spans="8:10" x14ac:dyDescent="0.3">
      <c r="H5337" s="3"/>
      <c r="I5337" s="3"/>
      <c r="J5337" s="3"/>
    </row>
    <row r="5338" spans="8:10" x14ac:dyDescent="0.3">
      <c r="H5338" s="3"/>
      <c r="I5338" s="3"/>
      <c r="J5338" s="3"/>
    </row>
    <row r="5339" spans="8:10" x14ac:dyDescent="0.3">
      <c r="H5339" s="3"/>
      <c r="I5339" s="3"/>
      <c r="J5339" s="3"/>
    </row>
    <row r="5340" spans="8:10" x14ac:dyDescent="0.3">
      <c r="H5340" s="3"/>
      <c r="I5340" s="3"/>
      <c r="J5340" s="3"/>
    </row>
    <row r="5341" spans="8:10" x14ac:dyDescent="0.3">
      <c r="H5341" s="3"/>
      <c r="I5341" s="3"/>
      <c r="J5341" s="3"/>
    </row>
    <row r="5342" spans="8:10" x14ac:dyDescent="0.3">
      <c r="H5342" s="3"/>
      <c r="I5342" s="3"/>
      <c r="J5342" s="3"/>
    </row>
    <row r="5343" spans="8:10" x14ac:dyDescent="0.3">
      <c r="H5343" s="3"/>
      <c r="I5343" s="3"/>
      <c r="J5343" s="3"/>
    </row>
    <row r="5344" spans="8:10" x14ac:dyDescent="0.3">
      <c r="H5344" s="3"/>
      <c r="I5344" s="3"/>
      <c r="J5344" s="3"/>
    </row>
    <row r="5345" spans="8:10" x14ac:dyDescent="0.3">
      <c r="H5345" s="3"/>
      <c r="I5345" s="3"/>
      <c r="J5345" s="3"/>
    </row>
    <row r="5346" spans="8:10" x14ac:dyDescent="0.3">
      <c r="H5346" s="3"/>
      <c r="I5346" s="3"/>
      <c r="J5346" s="3"/>
    </row>
    <row r="5347" spans="8:10" x14ac:dyDescent="0.3">
      <c r="H5347" s="3"/>
      <c r="I5347" s="3"/>
      <c r="J5347" s="3"/>
    </row>
    <row r="5348" spans="8:10" x14ac:dyDescent="0.3">
      <c r="H5348" s="3"/>
      <c r="I5348" s="3"/>
      <c r="J5348" s="3"/>
    </row>
    <row r="5349" spans="8:10" x14ac:dyDescent="0.3">
      <c r="H5349" s="3"/>
      <c r="I5349" s="3"/>
      <c r="J5349" s="3"/>
    </row>
    <row r="5350" spans="8:10" x14ac:dyDescent="0.3">
      <c r="H5350" s="3"/>
      <c r="I5350" s="3"/>
      <c r="J5350" s="3"/>
    </row>
    <row r="5351" spans="8:10" x14ac:dyDescent="0.3">
      <c r="H5351" s="3"/>
      <c r="I5351" s="3"/>
      <c r="J5351" s="3"/>
    </row>
    <row r="5352" spans="8:10" x14ac:dyDescent="0.3">
      <c r="H5352" s="3"/>
      <c r="I5352" s="3"/>
      <c r="J5352" s="3"/>
    </row>
    <row r="5353" spans="8:10" x14ac:dyDescent="0.3">
      <c r="H5353" s="3"/>
      <c r="I5353" s="3"/>
      <c r="J5353" s="3"/>
    </row>
    <row r="5354" spans="8:10" x14ac:dyDescent="0.3">
      <c r="H5354" s="3"/>
      <c r="I5354" s="3"/>
      <c r="J5354" s="3"/>
    </row>
    <row r="5355" spans="8:10" x14ac:dyDescent="0.3">
      <c r="H5355" s="3"/>
      <c r="I5355" s="3"/>
      <c r="J5355" s="3"/>
    </row>
    <row r="5356" spans="8:10" x14ac:dyDescent="0.3">
      <c r="H5356" s="3"/>
      <c r="I5356" s="3"/>
      <c r="J5356" s="3"/>
    </row>
    <row r="5357" spans="8:10" x14ac:dyDescent="0.3">
      <c r="H5357" s="3"/>
      <c r="I5357" s="3"/>
      <c r="J5357" s="3"/>
    </row>
    <row r="5358" spans="8:10" x14ac:dyDescent="0.3">
      <c r="H5358" s="3"/>
      <c r="I5358" s="3"/>
      <c r="J5358" s="3"/>
    </row>
    <row r="5359" spans="8:10" x14ac:dyDescent="0.3">
      <c r="H5359" s="3"/>
      <c r="I5359" s="3"/>
      <c r="J5359" s="3"/>
    </row>
    <row r="5360" spans="8:10" x14ac:dyDescent="0.3">
      <c r="H5360" s="3"/>
      <c r="I5360" s="3"/>
      <c r="J5360" s="3"/>
    </row>
    <row r="5361" spans="8:10" x14ac:dyDescent="0.3">
      <c r="H5361" s="3"/>
      <c r="I5361" s="3"/>
      <c r="J5361" s="3"/>
    </row>
    <row r="5362" spans="8:10" x14ac:dyDescent="0.3">
      <c r="H5362" s="3"/>
      <c r="I5362" s="3"/>
      <c r="J5362" s="3"/>
    </row>
    <row r="5363" spans="8:10" x14ac:dyDescent="0.3">
      <c r="H5363" s="3"/>
      <c r="I5363" s="3"/>
      <c r="J5363" s="3"/>
    </row>
    <row r="5364" spans="8:10" x14ac:dyDescent="0.3">
      <c r="H5364" s="3"/>
      <c r="I5364" s="3"/>
      <c r="J5364" s="3"/>
    </row>
    <row r="5365" spans="8:10" x14ac:dyDescent="0.3">
      <c r="H5365" s="3"/>
      <c r="I5365" s="3"/>
      <c r="J5365" s="3"/>
    </row>
    <row r="5366" spans="8:10" x14ac:dyDescent="0.3">
      <c r="H5366" s="3"/>
      <c r="I5366" s="3"/>
      <c r="J5366" s="3"/>
    </row>
    <row r="5367" spans="8:10" x14ac:dyDescent="0.3">
      <c r="H5367" s="3"/>
      <c r="I5367" s="3"/>
      <c r="J5367" s="3"/>
    </row>
    <row r="5368" spans="8:10" x14ac:dyDescent="0.3">
      <c r="H5368" s="3"/>
      <c r="I5368" s="3"/>
      <c r="J5368" s="3"/>
    </row>
    <row r="5369" spans="8:10" x14ac:dyDescent="0.3">
      <c r="H5369" s="3"/>
      <c r="I5369" s="3"/>
      <c r="J5369" s="3"/>
    </row>
    <row r="5370" spans="8:10" x14ac:dyDescent="0.3">
      <c r="H5370" s="3"/>
      <c r="I5370" s="3"/>
      <c r="J5370" s="3"/>
    </row>
    <row r="5371" spans="8:10" x14ac:dyDescent="0.3">
      <c r="H5371" s="3"/>
      <c r="I5371" s="3"/>
      <c r="J5371" s="3"/>
    </row>
    <row r="5372" spans="8:10" x14ac:dyDescent="0.3">
      <c r="H5372" s="3"/>
      <c r="I5372" s="3"/>
      <c r="J5372" s="3"/>
    </row>
    <row r="5373" spans="8:10" x14ac:dyDescent="0.3">
      <c r="H5373" s="3"/>
      <c r="I5373" s="3"/>
      <c r="J5373" s="3"/>
    </row>
    <row r="5374" spans="8:10" x14ac:dyDescent="0.3">
      <c r="H5374" s="3"/>
      <c r="I5374" s="3"/>
      <c r="J5374" s="3"/>
    </row>
    <row r="5375" spans="8:10" x14ac:dyDescent="0.3">
      <c r="H5375" s="3"/>
      <c r="I5375" s="3"/>
      <c r="J5375" s="3"/>
    </row>
    <row r="5376" spans="8:10" x14ac:dyDescent="0.3">
      <c r="H5376" s="3"/>
      <c r="I5376" s="3"/>
      <c r="J5376" s="3"/>
    </row>
    <row r="5377" spans="8:10" x14ac:dyDescent="0.3">
      <c r="H5377" s="3"/>
      <c r="I5377" s="3"/>
      <c r="J5377" s="3"/>
    </row>
    <row r="5378" spans="8:10" x14ac:dyDescent="0.3">
      <c r="H5378" s="3"/>
      <c r="I5378" s="3"/>
      <c r="J5378" s="3"/>
    </row>
    <row r="5379" spans="8:10" x14ac:dyDescent="0.3">
      <c r="H5379" s="3"/>
      <c r="I5379" s="3"/>
      <c r="J5379" s="3"/>
    </row>
    <row r="5380" spans="8:10" x14ac:dyDescent="0.3">
      <c r="H5380" s="3"/>
      <c r="I5380" s="3"/>
      <c r="J5380" s="3"/>
    </row>
    <row r="5381" spans="8:10" x14ac:dyDescent="0.3">
      <c r="H5381" s="3"/>
      <c r="I5381" s="3"/>
      <c r="J5381" s="3"/>
    </row>
    <row r="5382" spans="8:10" x14ac:dyDescent="0.3">
      <c r="H5382" s="3"/>
      <c r="I5382" s="3"/>
      <c r="J5382" s="3"/>
    </row>
    <row r="5383" spans="8:10" x14ac:dyDescent="0.3">
      <c r="H5383" s="3"/>
      <c r="I5383" s="3"/>
      <c r="J5383" s="3"/>
    </row>
    <row r="5384" spans="8:10" x14ac:dyDescent="0.3">
      <c r="H5384" s="3"/>
      <c r="I5384" s="3"/>
      <c r="J5384" s="3"/>
    </row>
    <row r="5385" spans="8:10" x14ac:dyDescent="0.3">
      <c r="H5385" s="3"/>
      <c r="I5385" s="3"/>
      <c r="J5385" s="3"/>
    </row>
    <row r="5386" spans="8:10" x14ac:dyDescent="0.3">
      <c r="H5386" s="3"/>
      <c r="I5386" s="3"/>
      <c r="J5386" s="3"/>
    </row>
    <row r="5387" spans="8:10" x14ac:dyDescent="0.3">
      <c r="H5387" s="3"/>
      <c r="I5387" s="3"/>
      <c r="J5387" s="3"/>
    </row>
    <row r="5388" spans="8:10" x14ac:dyDescent="0.3">
      <c r="H5388" s="3"/>
      <c r="I5388" s="3"/>
      <c r="J5388" s="3"/>
    </row>
    <row r="5389" spans="8:10" x14ac:dyDescent="0.3">
      <c r="H5389" s="3"/>
      <c r="I5389" s="3"/>
      <c r="J5389" s="3"/>
    </row>
    <row r="5390" spans="8:10" x14ac:dyDescent="0.3">
      <c r="H5390" s="3"/>
      <c r="I5390" s="3"/>
      <c r="J5390" s="3"/>
    </row>
    <row r="5391" spans="8:10" x14ac:dyDescent="0.3">
      <c r="H5391" s="3"/>
      <c r="I5391" s="3"/>
      <c r="J5391" s="3"/>
    </row>
    <row r="5392" spans="8:10" x14ac:dyDescent="0.3">
      <c r="H5392" s="3"/>
      <c r="I5392" s="3"/>
      <c r="J5392" s="3"/>
    </row>
    <row r="5393" spans="8:10" x14ac:dyDescent="0.3">
      <c r="H5393" s="3"/>
      <c r="I5393" s="3"/>
      <c r="J5393" s="3"/>
    </row>
    <row r="5394" spans="8:10" x14ac:dyDescent="0.3">
      <c r="H5394" s="3"/>
      <c r="I5394" s="3"/>
      <c r="J5394" s="3"/>
    </row>
    <row r="5395" spans="8:10" x14ac:dyDescent="0.3">
      <c r="H5395" s="3"/>
      <c r="I5395" s="3"/>
      <c r="J5395" s="3"/>
    </row>
    <row r="5396" spans="8:10" x14ac:dyDescent="0.3">
      <c r="H5396" s="3"/>
      <c r="I5396" s="3"/>
      <c r="J5396" s="3"/>
    </row>
    <row r="5397" spans="8:10" x14ac:dyDescent="0.3">
      <c r="H5397" s="3"/>
      <c r="I5397" s="3"/>
      <c r="J5397" s="3"/>
    </row>
    <row r="5398" spans="8:10" x14ac:dyDescent="0.3">
      <c r="H5398" s="3"/>
      <c r="I5398" s="3"/>
      <c r="J5398" s="3"/>
    </row>
    <row r="5399" spans="8:10" x14ac:dyDescent="0.3">
      <c r="H5399" s="3"/>
      <c r="I5399" s="3"/>
      <c r="J5399" s="3"/>
    </row>
    <row r="5400" spans="8:10" x14ac:dyDescent="0.3">
      <c r="H5400" s="3"/>
      <c r="I5400" s="3"/>
      <c r="J5400" s="3"/>
    </row>
    <row r="5401" spans="8:10" x14ac:dyDescent="0.3">
      <c r="H5401" s="3"/>
      <c r="I5401" s="3"/>
      <c r="J5401" s="3"/>
    </row>
    <row r="5402" spans="8:10" x14ac:dyDescent="0.3">
      <c r="H5402" s="3"/>
      <c r="I5402" s="3"/>
      <c r="J5402" s="3"/>
    </row>
    <row r="5403" spans="8:10" x14ac:dyDescent="0.3">
      <c r="H5403" s="3"/>
      <c r="I5403" s="3"/>
      <c r="J5403" s="3"/>
    </row>
    <row r="5404" spans="8:10" x14ac:dyDescent="0.3">
      <c r="H5404" s="3"/>
      <c r="I5404" s="3"/>
      <c r="J5404" s="3"/>
    </row>
    <row r="5405" spans="8:10" x14ac:dyDescent="0.3">
      <c r="H5405" s="3"/>
      <c r="I5405" s="3"/>
      <c r="J5405" s="3"/>
    </row>
    <row r="5406" spans="8:10" x14ac:dyDescent="0.3">
      <c r="H5406" s="3"/>
      <c r="I5406" s="3"/>
      <c r="J5406" s="3"/>
    </row>
    <row r="5407" spans="8:10" x14ac:dyDescent="0.3">
      <c r="H5407" s="3"/>
      <c r="I5407" s="3"/>
      <c r="J5407" s="3"/>
    </row>
    <row r="5408" spans="8:10" x14ac:dyDescent="0.3">
      <c r="H5408" s="3"/>
      <c r="I5408" s="3"/>
      <c r="J5408" s="3"/>
    </row>
    <row r="5409" spans="8:10" x14ac:dyDescent="0.3">
      <c r="H5409" s="3"/>
      <c r="I5409" s="3"/>
      <c r="J5409" s="3"/>
    </row>
    <row r="5410" spans="8:10" x14ac:dyDescent="0.3">
      <c r="H5410" s="3"/>
      <c r="I5410" s="3"/>
      <c r="J5410" s="3"/>
    </row>
    <row r="5411" spans="8:10" x14ac:dyDescent="0.3">
      <c r="H5411" s="3"/>
      <c r="I5411" s="3"/>
      <c r="J5411" s="3"/>
    </row>
    <row r="5412" spans="8:10" x14ac:dyDescent="0.3">
      <c r="H5412" s="3"/>
      <c r="I5412" s="3"/>
      <c r="J5412" s="3"/>
    </row>
    <row r="5413" spans="8:10" x14ac:dyDescent="0.3">
      <c r="H5413" s="3"/>
      <c r="I5413" s="3"/>
      <c r="J5413" s="3"/>
    </row>
    <row r="5414" spans="8:10" x14ac:dyDescent="0.3">
      <c r="H5414" s="3"/>
      <c r="I5414" s="3"/>
      <c r="J5414" s="3"/>
    </row>
    <row r="5415" spans="8:10" x14ac:dyDescent="0.3">
      <c r="H5415" s="3"/>
      <c r="I5415" s="3"/>
      <c r="J5415" s="3"/>
    </row>
    <row r="5416" spans="8:10" x14ac:dyDescent="0.3">
      <c r="H5416" s="3"/>
      <c r="I5416" s="3"/>
      <c r="J5416" s="3"/>
    </row>
    <row r="5417" spans="8:10" x14ac:dyDescent="0.3">
      <c r="H5417" s="3"/>
      <c r="I5417" s="3"/>
      <c r="J5417" s="3"/>
    </row>
    <row r="5418" spans="8:10" x14ac:dyDescent="0.3">
      <c r="H5418" s="3"/>
      <c r="I5418" s="3"/>
      <c r="J5418" s="3"/>
    </row>
    <row r="5419" spans="8:10" x14ac:dyDescent="0.3">
      <c r="H5419" s="3"/>
      <c r="I5419" s="3"/>
      <c r="J5419" s="3"/>
    </row>
    <row r="5420" spans="8:10" x14ac:dyDescent="0.3">
      <c r="H5420" s="3"/>
      <c r="I5420" s="3"/>
      <c r="J5420" s="3"/>
    </row>
    <row r="5421" spans="8:10" x14ac:dyDescent="0.3">
      <c r="H5421" s="3"/>
      <c r="I5421" s="3"/>
      <c r="J5421" s="3"/>
    </row>
    <row r="5422" spans="8:10" x14ac:dyDescent="0.3">
      <c r="H5422" s="3"/>
      <c r="I5422" s="3"/>
      <c r="J5422" s="3"/>
    </row>
    <row r="5423" spans="8:10" x14ac:dyDescent="0.3">
      <c r="H5423" s="3"/>
      <c r="I5423" s="3"/>
      <c r="J5423" s="3"/>
    </row>
    <row r="5424" spans="8:10" x14ac:dyDescent="0.3">
      <c r="H5424" s="3"/>
      <c r="I5424" s="3"/>
      <c r="J5424" s="3"/>
    </row>
    <row r="5425" spans="8:10" x14ac:dyDescent="0.3">
      <c r="H5425" s="3"/>
      <c r="I5425" s="3"/>
      <c r="J5425" s="3"/>
    </row>
    <row r="5426" spans="8:10" x14ac:dyDescent="0.3">
      <c r="H5426" s="3"/>
      <c r="I5426" s="3"/>
      <c r="J5426" s="3"/>
    </row>
    <row r="5427" spans="8:10" x14ac:dyDescent="0.3">
      <c r="H5427" s="3"/>
      <c r="I5427" s="3"/>
      <c r="J5427" s="3"/>
    </row>
    <row r="5428" spans="8:10" x14ac:dyDescent="0.3">
      <c r="H5428" s="3"/>
      <c r="I5428" s="3"/>
      <c r="J5428" s="3"/>
    </row>
    <row r="5429" spans="8:10" x14ac:dyDescent="0.3">
      <c r="H5429" s="3"/>
      <c r="I5429" s="3"/>
      <c r="J5429" s="3"/>
    </row>
    <row r="5430" spans="8:10" x14ac:dyDescent="0.3">
      <c r="H5430" s="3"/>
      <c r="I5430" s="3"/>
      <c r="J5430" s="3"/>
    </row>
    <row r="5431" spans="8:10" x14ac:dyDescent="0.3">
      <c r="H5431" s="3"/>
      <c r="I5431" s="3"/>
      <c r="J5431" s="3"/>
    </row>
    <row r="5432" spans="8:10" x14ac:dyDescent="0.3">
      <c r="H5432" s="3"/>
      <c r="I5432" s="3"/>
      <c r="J5432" s="3"/>
    </row>
    <row r="5433" spans="8:10" x14ac:dyDescent="0.3">
      <c r="H5433" s="3"/>
      <c r="I5433" s="3"/>
      <c r="J5433" s="3"/>
    </row>
    <row r="5434" spans="8:10" x14ac:dyDescent="0.3">
      <c r="H5434" s="3"/>
      <c r="I5434" s="3"/>
      <c r="J5434" s="3"/>
    </row>
    <row r="5435" spans="8:10" x14ac:dyDescent="0.3">
      <c r="H5435" s="3"/>
      <c r="I5435" s="3"/>
      <c r="J5435" s="3"/>
    </row>
    <row r="5436" spans="8:10" x14ac:dyDescent="0.3">
      <c r="H5436" s="3"/>
      <c r="I5436" s="3"/>
      <c r="J5436" s="3"/>
    </row>
    <row r="5437" spans="8:10" x14ac:dyDescent="0.3">
      <c r="H5437" s="3"/>
      <c r="I5437" s="3"/>
      <c r="J5437" s="3"/>
    </row>
    <row r="5438" spans="8:10" x14ac:dyDescent="0.3">
      <c r="H5438" s="3"/>
      <c r="I5438" s="3"/>
      <c r="J5438" s="3"/>
    </row>
    <row r="5439" spans="8:10" x14ac:dyDescent="0.3">
      <c r="H5439" s="3"/>
      <c r="I5439" s="3"/>
      <c r="J5439" s="3"/>
    </row>
    <row r="5440" spans="8:10" x14ac:dyDescent="0.3">
      <c r="H5440" s="3"/>
      <c r="I5440" s="3"/>
      <c r="J5440" s="3"/>
    </row>
    <row r="5441" spans="8:10" x14ac:dyDescent="0.3">
      <c r="H5441" s="3"/>
      <c r="I5441" s="3"/>
      <c r="J5441" s="3"/>
    </row>
    <row r="5442" spans="8:10" x14ac:dyDescent="0.3">
      <c r="H5442" s="3"/>
      <c r="I5442" s="3"/>
      <c r="J5442" s="3"/>
    </row>
    <row r="5443" spans="8:10" x14ac:dyDescent="0.3">
      <c r="H5443" s="3"/>
      <c r="I5443" s="3"/>
      <c r="J5443" s="3"/>
    </row>
    <row r="5444" spans="8:10" x14ac:dyDescent="0.3">
      <c r="H5444" s="3"/>
      <c r="I5444" s="3"/>
      <c r="J5444" s="3"/>
    </row>
    <row r="5445" spans="8:10" x14ac:dyDescent="0.3">
      <c r="H5445" s="3"/>
      <c r="I5445" s="3"/>
      <c r="J5445" s="3"/>
    </row>
    <row r="5446" spans="8:10" x14ac:dyDescent="0.3">
      <c r="H5446" s="3"/>
      <c r="I5446" s="3"/>
      <c r="J5446" s="3"/>
    </row>
    <row r="5447" spans="8:10" x14ac:dyDescent="0.3">
      <c r="H5447" s="3"/>
      <c r="I5447" s="3"/>
      <c r="J5447" s="3"/>
    </row>
    <row r="5448" spans="8:10" x14ac:dyDescent="0.3">
      <c r="H5448" s="3"/>
      <c r="I5448" s="3"/>
      <c r="J5448" s="3"/>
    </row>
    <row r="5449" spans="8:10" x14ac:dyDescent="0.3">
      <c r="H5449" s="3"/>
      <c r="I5449" s="3"/>
      <c r="J5449" s="3"/>
    </row>
    <row r="5450" spans="8:10" x14ac:dyDescent="0.3">
      <c r="H5450" s="3"/>
      <c r="I5450" s="3"/>
      <c r="J5450" s="3"/>
    </row>
    <row r="5451" spans="8:10" x14ac:dyDescent="0.3">
      <c r="H5451" s="3"/>
      <c r="I5451" s="3"/>
      <c r="J5451" s="3"/>
    </row>
    <row r="5452" spans="8:10" x14ac:dyDescent="0.3">
      <c r="H5452" s="3"/>
      <c r="I5452" s="3"/>
      <c r="J5452" s="3"/>
    </row>
    <row r="5453" spans="8:10" x14ac:dyDescent="0.3">
      <c r="H5453" s="3"/>
      <c r="I5453" s="3"/>
      <c r="J5453" s="3"/>
    </row>
    <row r="5454" spans="8:10" x14ac:dyDescent="0.3">
      <c r="H5454" s="3"/>
      <c r="I5454" s="3"/>
      <c r="J5454" s="3"/>
    </row>
    <row r="5455" spans="8:10" x14ac:dyDescent="0.3">
      <c r="H5455" s="3"/>
      <c r="I5455" s="3"/>
      <c r="J5455" s="3"/>
    </row>
    <row r="5456" spans="8:10" x14ac:dyDescent="0.3">
      <c r="H5456" s="3"/>
      <c r="I5456" s="3"/>
      <c r="J5456" s="3"/>
    </row>
    <row r="5457" spans="8:10" x14ac:dyDescent="0.3">
      <c r="H5457" s="3"/>
      <c r="I5457" s="3"/>
      <c r="J5457" s="3"/>
    </row>
    <row r="5458" spans="8:10" x14ac:dyDescent="0.3">
      <c r="H5458" s="3"/>
      <c r="I5458" s="3"/>
      <c r="J5458" s="3"/>
    </row>
    <row r="5459" spans="8:10" x14ac:dyDescent="0.3">
      <c r="H5459" s="3"/>
      <c r="I5459" s="3"/>
      <c r="J5459" s="3"/>
    </row>
    <row r="5460" spans="8:10" x14ac:dyDescent="0.3">
      <c r="H5460" s="3"/>
      <c r="I5460" s="3"/>
      <c r="J5460" s="3"/>
    </row>
    <row r="5461" spans="8:10" x14ac:dyDescent="0.3">
      <c r="H5461" s="3"/>
      <c r="I5461" s="3"/>
      <c r="J5461" s="3"/>
    </row>
    <row r="5462" spans="8:10" x14ac:dyDescent="0.3">
      <c r="H5462" s="3"/>
      <c r="I5462" s="3"/>
      <c r="J5462" s="3"/>
    </row>
    <row r="5463" spans="8:10" x14ac:dyDescent="0.3">
      <c r="H5463" s="3"/>
      <c r="I5463" s="3"/>
      <c r="J5463" s="3"/>
    </row>
    <row r="5464" spans="8:10" x14ac:dyDescent="0.3">
      <c r="H5464" s="3"/>
      <c r="I5464" s="3"/>
      <c r="J5464" s="3"/>
    </row>
    <row r="5465" spans="8:10" x14ac:dyDescent="0.3">
      <c r="H5465" s="3"/>
      <c r="I5465" s="3"/>
      <c r="J5465" s="3"/>
    </row>
    <row r="5466" spans="8:10" x14ac:dyDescent="0.3">
      <c r="H5466" s="3"/>
      <c r="I5466" s="3"/>
      <c r="J5466" s="3"/>
    </row>
    <row r="5467" spans="8:10" x14ac:dyDescent="0.3">
      <c r="H5467" s="3"/>
      <c r="I5467" s="3"/>
      <c r="J5467" s="3"/>
    </row>
    <row r="5468" spans="8:10" x14ac:dyDescent="0.3">
      <c r="H5468" s="3"/>
      <c r="I5468" s="3"/>
      <c r="J5468" s="3"/>
    </row>
    <row r="5469" spans="8:10" x14ac:dyDescent="0.3">
      <c r="H5469" s="3"/>
      <c r="I5469" s="3"/>
      <c r="J5469" s="3"/>
    </row>
    <row r="5470" spans="8:10" x14ac:dyDescent="0.3">
      <c r="H5470" s="3"/>
      <c r="I5470" s="3"/>
      <c r="J5470" s="3"/>
    </row>
    <row r="5471" spans="8:10" x14ac:dyDescent="0.3">
      <c r="H5471" s="3"/>
      <c r="I5471" s="3"/>
      <c r="J5471" s="3"/>
    </row>
    <row r="5472" spans="8:10" x14ac:dyDescent="0.3">
      <c r="H5472" s="3"/>
      <c r="I5472" s="3"/>
      <c r="J5472" s="3"/>
    </row>
    <row r="5473" spans="8:10" x14ac:dyDescent="0.3">
      <c r="H5473" s="3"/>
      <c r="I5473" s="3"/>
      <c r="J5473" s="3"/>
    </row>
    <row r="5474" spans="8:10" x14ac:dyDescent="0.3">
      <c r="H5474" s="3"/>
      <c r="I5474" s="3"/>
      <c r="J5474" s="3"/>
    </row>
    <row r="5475" spans="8:10" x14ac:dyDescent="0.3">
      <c r="H5475" s="3"/>
      <c r="I5475" s="3"/>
      <c r="J5475" s="3"/>
    </row>
    <row r="5476" spans="8:10" x14ac:dyDescent="0.3">
      <c r="H5476" s="3"/>
      <c r="I5476" s="3"/>
      <c r="J5476" s="3"/>
    </row>
    <row r="5477" spans="8:10" x14ac:dyDescent="0.3">
      <c r="H5477" s="3"/>
      <c r="I5477" s="3"/>
      <c r="J5477" s="3"/>
    </row>
    <row r="5478" spans="8:10" x14ac:dyDescent="0.3">
      <c r="H5478" s="3"/>
      <c r="I5478" s="3"/>
      <c r="J5478" s="3"/>
    </row>
    <row r="5479" spans="8:10" x14ac:dyDescent="0.3">
      <c r="H5479" s="3"/>
      <c r="I5479" s="3"/>
      <c r="J5479" s="3"/>
    </row>
    <row r="5480" spans="8:10" x14ac:dyDescent="0.3">
      <c r="H5480" s="3"/>
      <c r="I5480" s="3"/>
      <c r="J5480" s="3"/>
    </row>
    <row r="5481" spans="8:10" x14ac:dyDescent="0.3">
      <c r="H5481" s="3"/>
      <c r="I5481" s="3"/>
      <c r="J5481" s="3"/>
    </row>
    <row r="5482" spans="8:10" x14ac:dyDescent="0.3">
      <c r="H5482" s="3"/>
      <c r="I5482" s="3"/>
      <c r="J5482" s="3"/>
    </row>
    <row r="5483" spans="8:10" x14ac:dyDescent="0.3">
      <c r="H5483" s="3"/>
      <c r="I5483" s="3"/>
      <c r="J5483" s="3"/>
    </row>
    <row r="5484" spans="8:10" x14ac:dyDescent="0.3">
      <c r="H5484" s="3"/>
      <c r="I5484" s="3"/>
      <c r="J5484" s="3"/>
    </row>
    <row r="5485" spans="8:10" x14ac:dyDescent="0.3">
      <c r="H5485" s="3"/>
      <c r="I5485" s="3"/>
      <c r="J5485" s="3"/>
    </row>
    <row r="5486" spans="8:10" x14ac:dyDescent="0.3">
      <c r="H5486" s="3"/>
      <c r="I5486" s="3"/>
      <c r="J5486" s="3"/>
    </row>
    <row r="5487" spans="8:10" x14ac:dyDescent="0.3">
      <c r="H5487" s="3"/>
      <c r="I5487" s="3"/>
      <c r="J5487" s="3"/>
    </row>
    <row r="5488" spans="8:10" x14ac:dyDescent="0.3">
      <c r="H5488" s="3"/>
      <c r="I5488" s="3"/>
      <c r="J5488" s="3"/>
    </row>
    <row r="5489" spans="8:10" x14ac:dyDescent="0.3">
      <c r="H5489" s="3"/>
      <c r="I5489" s="3"/>
      <c r="J5489" s="3"/>
    </row>
    <row r="5490" spans="8:10" x14ac:dyDescent="0.3">
      <c r="H5490" s="3"/>
      <c r="I5490" s="3"/>
      <c r="J5490" s="3"/>
    </row>
    <row r="5491" spans="8:10" x14ac:dyDescent="0.3">
      <c r="H5491" s="3"/>
      <c r="I5491" s="3"/>
      <c r="J5491" s="3"/>
    </row>
    <row r="5492" spans="8:10" x14ac:dyDescent="0.3">
      <c r="H5492" s="3"/>
      <c r="I5492" s="3"/>
      <c r="J5492" s="3"/>
    </row>
    <row r="5493" spans="8:10" x14ac:dyDescent="0.3">
      <c r="H5493" s="3"/>
      <c r="I5493" s="3"/>
      <c r="J5493" s="3"/>
    </row>
    <row r="5494" spans="8:10" x14ac:dyDescent="0.3">
      <c r="H5494" s="3"/>
      <c r="I5494" s="3"/>
      <c r="J5494" s="3"/>
    </row>
    <row r="5495" spans="8:10" x14ac:dyDescent="0.3">
      <c r="H5495" s="3"/>
      <c r="I5495" s="3"/>
      <c r="J5495" s="3"/>
    </row>
    <row r="5496" spans="8:10" x14ac:dyDescent="0.3">
      <c r="H5496" s="3"/>
      <c r="I5496" s="3"/>
      <c r="J5496" s="3"/>
    </row>
    <row r="5497" spans="8:10" x14ac:dyDescent="0.3">
      <c r="H5497" s="3"/>
      <c r="I5497" s="3"/>
      <c r="J5497" s="3"/>
    </row>
    <row r="5498" spans="8:10" x14ac:dyDescent="0.3">
      <c r="H5498" s="3"/>
      <c r="I5498" s="3"/>
      <c r="J5498" s="3"/>
    </row>
    <row r="5499" spans="8:10" x14ac:dyDescent="0.3">
      <c r="H5499" s="3"/>
      <c r="I5499" s="3"/>
      <c r="J5499" s="3"/>
    </row>
    <row r="5500" spans="8:10" x14ac:dyDescent="0.3">
      <c r="H5500" s="3"/>
      <c r="I5500" s="3"/>
      <c r="J5500" s="3"/>
    </row>
    <row r="5501" spans="8:10" x14ac:dyDescent="0.3">
      <c r="H5501" s="3"/>
      <c r="I5501" s="3"/>
      <c r="J5501" s="3"/>
    </row>
    <row r="5502" spans="8:10" x14ac:dyDescent="0.3">
      <c r="H5502" s="3"/>
      <c r="I5502" s="3"/>
      <c r="J5502" s="3"/>
    </row>
    <row r="5503" spans="8:10" x14ac:dyDescent="0.3">
      <c r="H5503" s="3"/>
      <c r="I5503" s="3"/>
      <c r="J5503" s="3"/>
    </row>
    <row r="5504" spans="8:10" x14ac:dyDescent="0.3">
      <c r="H5504" s="3"/>
      <c r="I5504" s="3"/>
      <c r="J5504" s="3"/>
    </row>
    <row r="5505" spans="8:10" x14ac:dyDescent="0.3">
      <c r="H5505" s="3"/>
      <c r="I5505" s="3"/>
      <c r="J5505" s="3"/>
    </row>
    <row r="5506" spans="8:10" x14ac:dyDescent="0.3">
      <c r="H5506" s="3"/>
      <c r="I5506" s="3"/>
      <c r="J5506" s="3"/>
    </row>
    <row r="5507" spans="8:10" x14ac:dyDescent="0.3">
      <c r="H5507" s="3"/>
      <c r="I5507" s="3"/>
      <c r="J5507" s="3"/>
    </row>
    <row r="5508" spans="8:10" x14ac:dyDescent="0.3">
      <c r="H5508" s="3"/>
      <c r="I5508" s="3"/>
      <c r="J5508" s="3"/>
    </row>
    <row r="5509" spans="8:10" x14ac:dyDescent="0.3">
      <c r="H5509" s="3"/>
      <c r="I5509" s="3"/>
      <c r="J5509" s="3"/>
    </row>
    <row r="5510" spans="8:10" x14ac:dyDescent="0.3">
      <c r="H5510" s="3"/>
      <c r="I5510" s="3"/>
      <c r="J5510" s="3"/>
    </row>
    <row r="5511" spans="8:10" x14ac:dyDescent="0.3">
      <c r="H5511" s="3"/>
      <c r="I5511" s="3"/>
      <c r="J5511" s="3"/>
    </row>
    <row r="5512" spans="8:10" x14ac:dyDescent="0.3">
      <c r="H5512" s="3"/>
      <c r="I5512" s="3"/>
      <c r="J5512" s="3"/>
    </row>
    <row r="5513" spans="8:10" x14ac:dyDescent="0.3">
      <c r="H5513" s="3"/>
      <c r="I5513" s="3"/>
      <c r="J5513" s="3"/>
    </row>
    <row r="5514" spans="8:10" x14ac:dyDescent="0.3">
      <c r="H5514" s="3"/>
      <c r="I5514" s="3"/>
      <c r="J5514" s="3"/>
    </row>
    <row r="5515" spans="8:10" x14ac:dyDescent="0.3">
      <c r="H5515" s="3"/>
      <c r="I5515" s="3"/>
      <c r="J5515" s="3"/>
    </row>
    <row r="5516" spans="8:10" x14ac:dyDescent="0.3">
      <c r="H5516" s="3"/>
      <c r="I5516" s="3"/>
      <c r="J5516" s="3"/>
    </row>
    <row r="5517" spans="8:10" x14ac:dyDescent="0.3">
      <c r="H5517" s="3"/>
      <c r="I5517" s="3"/>
      <c r="J5517" s="3"/>
    </row>
    <row r="5518" spans="8:10" x14ac:dyDescent="0.3">
      <c r="H5518" s="3"/>
      <c r="I5518" s="3"/>
      <c r="J5518" s="3"/>
    </row>
    <row r="5519" spans="8:10" x14ac:dyDescent="0.3">
      <c r="H5519" s="3"/>
      <c r="I5519" s="3"/>
      <c r="J5519" s="3"/>
    </row>
    <row r="5520" spans="8:10" x14ac:dyDescent="0.3">
      <c r="H5520" s="3"/>
      <c r="I5520" s="3"/>
      <c r="J5520" s="3"/>
    </row>
    <row r="5521" spans="8:10" x14ac:dyDescent="0.3">
      <c r="H5521" s="3"/>
      <c r="I5521" s="3"/>
      <c r="J5521" s="3"/>
    </row>
    <row r="5522" spans="8:10" x14ac:dyDescent="0.3">
      <c r="H5522" s="3"/>
      <c r="I5522" s="3"/>
      <c r="J5522" s="3"/>
    </row>
    <row r="5523" spans="8:10" x14ac:dyDescent="0.3">
      <c r="H5523" s="3"/>
      <c r="I5523" s="3"/>
      <c r="J5523" s="3"/>
    </row>
    <row r="5524" spans="8:10" x14ac:dyDescent="0.3">
      <c r="H5524" s="3"/>
      <c r="I5524" s="3"/>
      <c r="J5524" s="3"/>
    </row>
    <row r="5525" spans="8:10" x14ac:dyDescent="0.3">
      <c r="H5525" s="3"/>
      <c r="I5525" s="3"/>
      <c r="J5525" s="3"/>
    </row>
    <row r="5526" spans="8:10" x14ac:dyDescent="0.3">
      <c r="H5526" s="3"/>
      <c r="I5526" s="3"/>
      <c r="J5526" s="3"/>
    </row>
    <row r="5527" spans="8:10" x14ac:dyDescent="0.3">
      <c r="H5527" s="3"/>
      <c r="I5527" s="3"/>
      <c r="J5527" s="3"/>
    </row>
    <row r="5528" spans="8:10" x14ac:dyDescent="0.3">
      <c r="H5528" s="3"/>
      <c r="I5528" s="3"/>
      <c r="J5528" s="3"/>
    </row>
    <row r="5529" spans="8:10" x14ac:dyDescent="0.3">
      <c r="H5529" s="3"/>
      <c r="I5529" s="3"/>
      <c r="J5529" s="3"/>
    </row>
    <row r="5530" spans="8:10" x14ac:dyDescent="0.3">
      <c r="H5530" s="3"/>
      <c r="I5530" s="3"/>
      <c r="J5530" s="3"/>
    </row>
    <row r="5531" spans="8:10" x14ac:dyDescent="0.3">
      <c r="H5531" s="3"/>
      <c r="I5531" s="3"/>
      <c r="J5531" s="3"/>
    </row>
    <row r="5532" spans="8:10" x14ac:dyDescent="0.3">
      <c r="H5532" s="3"/>
      <c r="I5532" s="3"/>
      <c r="J5532" s="3"/>
    </row>
    <row r="5533" spans="8:10" x14ac:dyDescent="0.3">
      <c r="H5533" s="3"/>
      <c r="I5533" s="3"/>
      <c r="J5533" s="3"/>
    </row>
    <row r="5534" spans="8:10" x14ac:dyDescent="0.3">
      <c r="H5534" s="3"/>
      <c r="I5534" s="3"/>
      <c r="J5534" s="3"/>
    </row>
    <row r="5535" spans="8:10" x14ac:dyDescent="0.3">
      <c r="H5535" s="3"/>
      <c r="I5535" s="3"/>
      <c r="J5535" s="3"/>
    </row>
    <row r="5536" spans="8:10" x14ac:dyDescent="0.3">
      <c r="H5536" s="3"/>
      <c r="I5536" s="3"/>
      <c r="J5536" s="3"/>
    </row>
    <row r="5537" spans="8:10" x14ac:dyDescent="0.3">
      <c r="H5537" s="3"/>
      <c r="I5537" s="3"/>
      <c r="J5537" s="3"/>
    </row>
    <row r="5538" spans="8:10" x14ac:dyDescent="0.3">
      <c r="H5538" s="3"/>
      <c r="I5538" s="3"/>
      <c r="J5538" s="3"/>
    </row>
    <row r="5539" spans="8:10" x14ac:dyDescent="0.3">
      <c r="H5539" s="3"/>
      <c r="I5539" s="3"/>
      <c r="J5539" s="3"/>
    </row>
    <row r="5540" spans="8:10" x14ac:dyDescent="0.3">
      <c r="H5540" s="3"/>
      <c r="I5540" s="3"/>
      <c r="J5540" s="3"/>
    </row>
    <row r="5541" spans="8:10" x14ac:dyDescent="0.3">
      <c r="H5541" s="3"/>
      <c r="I5541" s="3"/>
      <c r="J5541" s="3"/>
    </row>
    <row r="5542" spans="8:10" x14ac:dyDescent="0.3">
      <c r="H5542" s="3"/>
      <c r="I5542" s="3"/>
      <c r="J5542" s="3"/>
    </row>
    <row r="5543" spans="8:10" x14ac:dyDescent="0.3">
      <c r="H5543" s="3"/>
      <c r="I5543" s="3"/>
      <c r="J5543" s="3"/>
    </row>
    <row r="5544" spans="8:10" x14ac:dyDescent="0.3">
      <c r="H5544" s="3"/>
      <c r="I5544" s="3"/>
      <c r="J5544" s="3"/>
    </row>
    <row r="5545" spans="8:10" x14ac:dyDescent="0.3">
      <c r="H5545" s="3"/>
      <c r="I5545" s="3"/>
      <c r="J5545" s="3"/>
    </row>
    <row r="5546" spans="8:10" x14ac:dyDescent="0.3">
      <c r="H5546" s="3"/>
      <c r="I5546" s="3"/>
      <c r="J5546" s="3"/>
    </row>
    <row r="5547" spans="8:10" x14ac:dyDescent="0.3">
      <c r="H5547" s="3"/>
      <c r="I5547" s="3"/>
      <c r="J5547" s="3"/>
    </row>
    <row r="5548" spans="8:10" x14ac:dyDescent="0.3">
      <c r="H5548" s="3"/>
      <c r="I5548" s="3"/>
      <c r="J5548" s="3"/>
    </row>
    <row r="5549" spans="8:10" x14ac:dyDescent="0.3">
      <c r="H5549" s="3"/>
      <c r="I5549" s="3"/>
      <c r="J5549" s="3"/>
    </row>
    <row r="5550" spans="8:10" x14ac:dyDescent="0.3">
      <c r="H5550" s="3"/>
      <c r="I5550" s="3"/>
      <c r="J5550" s="3"/>
    </row>
    <row r="5551" spans="8:10" x14ac:dyDescent="0.3">
      <c r="H5551" s="3"/>
      <c r="I5551" s="3"/>
      <c r="J5551" s="3"/>
    </row>
    <row r="5552" spans="8:10" x14ac:dyDescent="0.3">
      <c r="H5552" s="3"/>
      <c r="I5552" s="3"/>
      <c r="J5552" s="3"/>
    </row>
    <row r="5553" spans="8:10" x14ac:dyDescent="0.3">
      <c r="H5553" s="3"/>
      <c r="I5553" s="3"/>
      <c r="J5553" s="3"/>
    </row>
    <row r="5554" spans="8:10" x14ac:dyDescent="0.3">
      <c r="H5554" s="3"/>
      <c r="I5554" s="3"/>
      <c r="J5554" s="3"/>
    </row>
    <row r="5555" spans="8:10" x14ac:dyDescent="0.3">
      <c r="H5555" s="3"/>
      <c r="I5555" s="3"/>
      <c r="J5555" s="3"/>
    </row>
    <row r="5556" spans="8:10" x14ac:dyDescent="0.3">
      <c r="H5556" s="3"/>
      <c r="I5556" s="3"/>
      <c r="J5556" s="3"/>
    </row>
    <row r="5557" spans="8:10" x14ac:dyDescent="0.3">
      <c r="H5557" s="3"/>
      <c r="I5557" s="3"/>
      <c r="J5557" s="3"/>
    </row>
    <row r="5558" spans="8:10" x14ac:dyDescent="0.3">
      <c r="H5558" s="3"/>
      <c r="I5558" s="3"/>
      <c r="J5558" s="3"/>
    </row>
    <row r="5559" spans="8:10" x14ac:dyDescent="0.3">
      <c r="H5559" s="3"/>
      <c r="I5559" s="3"/>
      <c r="J5559" s="3"/>
    </row>
    <row r="5560" spans="8:10" x14ac:dyDescent="0.3">
      <c r="H5560" s="3"/>
      <c r="I5560" s="3"/>
      <c r="J5560" s="3"/>
    </row>
    <row r="5561" spans="8:10" x14ac:dyDescent="0.3">
      <c r="H5561" s="3"/>
      <c r="I5561" s="3"/>
      <c r="J5561" s="3"/>
    </row>
    <row r="5562" spans="8:10" x14ac:dyDescent="0.3">
      <c r="H5562" s="3"/>
      <c r="I5562" s="3"/>
      <c r="J5562" s="3"/>
    </row>
    <row r="5563" spans="8:10" x14ac:dyDescent="0.3">
      <c r="H5563" s="3"/>
      <c r="I5563" s="3"/>
      <c r="J5563" s="3"/>
    </row>
    <row r="5564" spans="8:10" x14ac:dyDescent="0.3">
      <c r="H5564" s="3"/>
      <c r="I5564" s="3"/>
      <c r="J5564" s="3"/>
    </row>
    <row r="5565" spans="8:10" x14ac:dyDescent="0.3">
      <c r="H5565" s="3"/>
      <c r="I5565" s="3"/>
      <c r="J5565" s="3"/>
    </row>
    <row r="5566" spans="8:10" x14ac:dyDescent="0.3">
      <c r="H5566" s="3"/>
      <c r="I5566" s="3"/>
      <c r="J5566" s="3"/>
    </row>
    <row r="5567" spans="8:10" x14ac:dyDescent="0.3">
      <c r="H5567" s="3"/>
      <c r="I5567" s="3"/>
      <c r="J5567" s="3"/>
    </row>
    <row r="5568" spans="8:10" x14ac:dyDescent="0.3">
      <c r="H5568" s="3"/>
      <c r="I5568" s="3"/>
      <c r="J5568" s="3"/>
    </row>
    <row r="5569" spans="8:10" x14ac:dyDescent="0.3">
      <c r="H5569" s="3"/>
      <c r="I5569" s="3"/>
      <c r="J5569" s="3"/>
    </row>
    <row r="5570" spans="8:10" x14ac:dyDescent="0.3">
      <c r="H5570" s="3"/>
      <c r="I5570" s="3"/>
      <c r="J5570" s="3"/>
    </row>
    <row r="5571" spans="8:10" x14ac:dyDescent="0.3">
      <c r="H5571" s="3"/>
      <c r="I5571" s="3"/>
      <c r="J5571" s="3"/>
    </row>
    <row r="5572" spans="8:10" x14ac:dyDescent="0.3">
      <c r="H5572" s="3"/>
      <c r="I5572" s="3"/>
      <c r="J5572" s="3"/>
    </row>
    <row r="5573" spans="8:10" x14ac:dyDescent="0.3">
      <c r="H5573" s="3"/>
      <c r="I5573" s="3"/>
      <c r="J5573" s="3"/>
    </row>
    <row r="5574" spans="8:10" x14ac:dyDescent="0.3">
      <c r="H5574" s="3"/>
      <c r="I5574" s="3"/>
      <c r="J5574" s="3"/>
    </row>
    <row r="5575" spans="8:10" x14ac:dyDescent="0.3">
      <c r="H5575" s="3"/>
      <c r="I5575" s="3"/>
      <c r="J5575" s="3"/>
    </row>
    <row r="5576" spans="8:10" x14ac:dyDescent="0.3">
      <c r="H5576" s="3"/>
      <c r="I5576" s="3"/>
      <c r="J5576" s="3"/>
    </row>
    <row r="5577" spans="8:10" x14ac:dyDescent="0.3">
      <c r="H5577" s="3"/>
      <c r="I5577" s="3"/>
      <c r="J5577" s="3"/>
    </row>
    <row r="5578" spans="8:10" x14ac:dyDescent="0.3">
      <c r="H5578" s="3"/>
      <c r="I5578" s="3"/>
      <c r="J5578" s="3"/>
    </row>
    <row r="5579" spans="8:10" x14ac:dyDescent="0.3">
      <c r="H5579" s="3"/>
      <c r="I5579" s="3"/>
      <c r="J5579" s="3"/>
    </row>
    <row r="5580" spans="8:10" x14ac:dyDescent="0.3">
      <c r="H5580" s="3"/>
      <c r="I5580" s="3"/>
      <c r="J5580" s="3"/>
    </row>
    <row r="5581" spans="8:10" x14ac:dyDescent="0.3">
      <c r="H5581" s="3"/>
      <c r="I5581" s="3"/>
      <c r="J5581" s="3"/>
    </row>
    <row r="5582" spans="8:10" x14ac:dyDescent="0.3">
      <c r="H5582" s="3"/>
      <c r="I5582" s="3"/>
      <c r="J5582" s="3"/>
    </row>
    <row r="5583" spans="8:10" x14ac:dyDescent="0.3">
      <c r="H5583" s="3"/>
      <c r="I5583" s="3"/>
      <c r="J5583" s="3"/>
    </row>
    <row r="5584" spans="8:10" x14ac:dyDescent="0.3">
      <c r="H5584" s="3"/>
      <c r="I5584" s="3"/>
      <c r="J5584" s="3"/>
    </row>
    <row r="5585" spans="8:10" x14ac:dyDescent="0.3">
      <c r="H5585" s="3"/>
      <c r="I5585" s="3"/>
      <c r="J5585" s="3"/>
    </row>
    <row r="5586" spans="8:10" x14ac:dyDescent="0.3">
      <c r="H5586" s="3"/>
      <c r="I5586" s="3"/>
      <c r="J5586" s="3"/>
    </row>
    <row r="5587" spans="8:10" x14ac:dyDescent="0.3">
      <c r="H5587" s="3"/>
      <c r="I5587" s="3"/>
      <c r="J5587" s="3"/>
    </row>
    <row r="5588" spans="8:10" x14ac:dyDescent="0.3">
      <c r="H5588" s="3"/>
      <c r="I5588" s="3"/>
      <c r="J5588" s="3"/>
    </row>
    <row r="5589" spans="8:10" x14ac:dyDescent="0.3">
      <c r="H5589" s="3"/>
      <c r="I5589" s="3"/>
      <c r="J5589" s="3"/>
    </row>
    <row r="5590" spans="8:10" x14ac:dyDescent="0.3">
      <c r="H5590" s="3"/>
      <c r="I5590" s="3"/>
      <c r="J5590" s="3"/>
    </row>
    <row r="5591" spans="8:10" x14ac:dyDescent="0.3">
      <c r="H5591" s="3"/>
      <c r="I5591" s="3"/>
      <c r="J5591" s="3"/>
    </row>
    <row r="5592" spans="8:10" x14ac:dyDescent="0.3">
      <c r="H5592" s="3"/>
      <c r="I5592" s="3"/>
      <c r="J5592" s="3"/>
    </row>
    <row r="5593" spans="8:10" x14ac:dyDescent="0.3">
      <c r="H5593" s="3"/>
      <c r="I5593" s="3"/>
      <c r="J5593" s="3"/>
    </row>
    <row r="5594" spans="8:10" x14ac:dyDescent="0.3">
      <c r="H5594" s="3"/>
      <c r="I5594" s="3"/>
      <c r="J5594" s="3"/>
    </row>
    <row r="5595" spans="8:10" x14ac:dyDescent="0.3">
      <c r="H5595" s="3"/>
      <c r="I5595" s="3"/>
      <c r="J5595" s="3"/>
    </row>
    <row r="5596" spans="8:10" x14ac:dyDescent="0.3">
      <c r="H5596" s="3"/>
      <c r="I5596" s="3"/>
      <c r="J5596" s="3"/>
    </row>
    <row r="5597" spans="8:10" x14ac:dyDescent="0.3">
      <c r="H5597" s="3"/>
      <c r="I5597" s="3"/>
      <c r="J5597" s="3"/>
    </row>
    <row r="5598" spans="8:10" x14ac:dyDescent="0.3">
      <c r="H5598" s="3"/>
      <c r="I5598" s="3"/>
      <c r="J5598" s="3"/>
    </row>
    <row r="5599" spans="8:10" x14ac:dyDescent="0.3">
      <c r="H5599" s="3"/>
      <c r="I5599" s="3"/>
      <c r="J5599" s="3"/>
    </row>
    <row r="5600" spans="8:10" x14ac:dyDescent="0.3">
      <c r="H5600" s="3"/>
      <c r="I5600" s="3"/>
      <c r="J5600" s="3"/>
    </row>
    <row r="5601" spans="8:10" x14ac:dyDescent="0.3">
      <c r="H5601" s="3"/>
      <c r="I5601" s="3"/>
      <c r="J5601" s="3"/>
    </row>
    <row r="5602" spans="8:10" x14ac:dyDescent="0.3">
      <c r="H5602" s="3"/>
      <c r="I5602" s="3"/>
      <c r="J5602" s="3"/>
    </row>
    <row r="5603" spans="8:10" x14ac:dyDescent="0.3">
      <c r="H5603" s="3"/>
      <c r="I5603" s="3"/>
      <c r="J5603" s="3"/>
    </row>
    <row r="5604" spans="8:10" x14ac:dyDescent="0.3">
      <c r="H5604" s="3"/>
      <c r="I5604" s="3"/>
      <c r="J5604" s="3"/>
    </row>
    <row r="5605" spans="8:10" x14ac:dyDescent="0.3">
      <c r="H5605" s="3"/>
      <c r="I5605" s="3"/>
      <c r="J5605" s="3"/>
    </row>
    <row r="5606" spans="8:10" x14ac:dyDescent="0.3">
      <c r="H5606" s="3"/>
      <c r="I5606" s="3"/>
      <c r="J5606" s="3"/>
    </row>
    <row r="5607" spans="8:10" x14ac:dyDescent="0.3">
      <c r="H5607" s="3"/>
      <c r="I5607" s="3"/>
      <c r="J5607" s="3"/>
    </row>
    <row r="5608" spans="8:10" x14ac:dyDescent="0.3">
      <c r="H5608" s="3"/>
      <c r="I5608" s="3"/>
      <c r="J5608" s="3"/>
    </row>
    <row r="5609" spans="8:10" x14ac:dyDescent="0.3">
      <c r="H5609" s="3"/>
      <c r="I5609" s="3"/>
      <c r="J5609" s="3"/>
    </row>
    <row r="5610" spans="8:10" x14ac:dyDescent="0.3">
      <c r="H5610" s="3"/>
      <c r="I5610" s="3"/>
      <c r="J5610" s="3"/>
    </row>
    <row r="5611" spans="8:10" x14ac:dyDescent="0.3">
      <c r="H5611" s="3"/>
      <c r="I5611" s="3"/>
      <c r="J5611" s="3"/>
    </row>
    <row r="5612" spans="8:10" x14ac:dyDescent="0.3">
      <c r="H5612" s="3"/>
      <c r="I5612" s="3"/>
      <c r="J5612" s="3"/>
    </row>
    <row r="5613" spans="8:10" x14ac:dyDescent="0.3">
      <c r="H5613" s="3"/>
      <c r="I5613" s="3"/>
      <c r="J5613" s="3"/>
    </row>
    <row r="5614" spans="8:10" x14ac:dyDescent="0.3">
      <c r="H5614" s="3"/>
      <c r="I5614" s="3"/>
      <c r="J5614" s="3"/>
    </row>
    <row r="5615" spans="8:10" x14ac:dyDescent="0.3">
      <c r="H5615" s="3"/>
      <c r="I5615" s="3"/>
      <c r="J5615" s="3"/>
    </row>
    <row r="5616" spans="8:10" x14ac:dyDescent="0.3">
      <c r="H5616" s="3"/>
      <c r="I5616" s="3"/>
      <c r="J5616" s="3"/>
    </row>
    <row r="5617" spans="8:10" x14ac:dyDescent="0.3">
      <c r="H5617" s="3"/>
      <c r="I5617" s="3"/>
      <c r="J5617" s="3"/>
    </row>
    <row r="5618" spans="8:10" x14ac:dyDescent="0.3">
      <c r="H5618" s="3"/>
      <c r="I5618" s="3"/>
      <c r="J5618" s="3"/>
    </row>
    <row r="5619" spans="8:10" x14ac:dyDescent="0.3">
      <c r="H5619" s="3"/>
      <c r="I5619" s="3"/>
      <c r="J5619" s="3"/>
    </row>
    <row r="5620" spans="8:10" x14ac:dyDescent="0.3">
      <c r="H5620" s="3"/>
      <c r="I5620" s="3"/>
      <c r="J5620" s="3"/>
    </row>
    <row r="5621" spans="8:10" x14ac:dyDescent="0.3">
      <c r="H5621" s="3"/>
      <c r="I5621" s="3"/>
      <c r="J5621" s="3"/>
    </row>
    <row r="5622" spans="8:10" x14ac:dyDescent="0.3">
      <c r="H5622" s="3"/>
      <c r="I5622" s="3"/>
      <c r="J5622" s="3"/>
    </row>
    <row r="5623" spans="8:10" x14ac:dyDescent="0.3">
      <c r="H5623" s="3"/>
      <c r="I5623" s="3"/>
      <c r="J5623" s="3"/>
    </row>
    <row r="5624" spans="8:10" x14ac:dyDescent="0.3">
      <c r="H5624" s="3"/>
      <c r="I5624" s="3"/>
      <c r="J5624" s="3"/>
    </row>
    <row r="5625" spans="8:10" x14ac:dyDescent="0.3">
      <c r="H5625" s="3"/>
      <c r="I5625" s="3"/>
      <c r="J5625" s="3"/>
    </row>
    <row r="5626" spans="8:10" x14ac:dyDescent="0.3">
      <c r="H5626" s="3"/>
      <c r="I5626" s="3"/>
      <c r="J5626" s="3"/>
    </row>
    <row r="5627" spans="8:10" x14ac:dyDescent="0.3">
      <c r="H5627" s="3"/>
      <c r="I5627" s="3"/>
      <c r="J5627" s="3"/>
    </row>
    <row r="5628" spans="8:10" x14ac:dyDescent="0.3">
      <c r="H5628" s="3"/>
      <c r="I5628" s="3"/>
      <c r="J5628" s="3"/>
    </row>
    <row r="5629" spans="8:10" x14ac:dyDescent="0.3">
      <c r="H5629" s="3"/>
      <c r="I5629" s="3"/>
      <c r="J5629" s="3"/>
    </row>
    <row r="5630" spans="8:10" x14ac:dyDescent="0.3">
      <c r="H5630" s="3"/>
      <c r="I5630" s="3"/>
      <c r="J5630" s="3"/>
    </row>
    <row r="5631" spans="8:10" x14ac:dyDescent="0.3">
      <c r="H5631" s="3"/>
      <c r="I5631" s="3"/>
      <c r="J5631" s="3"/>
    </row>
    <row r="5632" spans="8:10" x14ac:dyDescent="0.3">
      <c r="H5632" s="3"/>
      <c r="I5632" s="3"/>
      <c r="J5632" s="3"/>
    </row>
    <row r="5633" spans="8:10" x14ac:dyDescent="0.3">
      <c r="H5633" s="3"/>
      <c r="I5633" s="3"/>
      <c r="J5633" s="3"/>
    </row>
    <row r="5634" spans="8:10" x14ac:dyDescent="0.3">
      <c r="H5634" s="3"/>
      <c r="I5634" s="3"/>
      <c r="J5634" s="3"/>
    </row>
    <row r="5635" spans="8:10" x14ac:dyDescent="0.3">
      <c r="H5635" s="3"/>
      <c r="I5635" s="3"/>
      <c r="J5635" s="3"/>
    </row>
    <row r="5636" spans="8:10" x14ac:dyDescent="0.3">
      <c r="H5636" s="3"/>
      <c r="I5636" s="3"/>
      <c r="J5636" s="3"/>
    </row>
    <row r="5637" spans="8:10" x14ac:dyDescent="0.3">
      <c r="H5637" s="3"/>
      <c r="I5637" s="3"/>
      <c r="J5637" s="3"/>
    </row>
    <row r="5638" spans="8:10" x14ac:dyDescent="0.3">
      <c r="H5638" s="3"/>
      <c r="I5638" s="3"/>
      <c r="J5638" s="3"/>
    </row>
    <row r="5639" spans="8:10" x14ac:dyDescent="0.3">
      <c r="H5639" s="3"/>
      <c r="I5639" s="3"/>
      <c r="J5639" s="3"/>
    </row>
    <row r="5640" spans="8:10" x14ac:dyDescent="0.3">
      <c r="H5640" s="3"/>
      <c r="I5640" s="3"/>
      <c r="J5640" s="3"/>
    </row>
    <row r="5641" spans="8:10" x14ac:dyDescent="0.3">
      <c r="H5641" s="3"/>
      <c r="I5641" s="3"/>
      <c r="J5641" s="3"/>
    </row>
    <row r="5642" spans="8:10" x14ac:dyDescent="0.3">
      <c r="H5642" s="3"/>
      <c r="I5642" s="3"/>
      <c r="J5642" s="3"/>
    </row>
    <row r="5643" spans="8:10" x14ac:dyDescent="0.3">
      <c r="H5643" s="3"/>
      <c r="I5643" s="3"/>
      <c r="J5643" s="3"/>
    </row>
    <row r="5644" spans="8:10" x14ac:dyDescent="0.3">
      <c r="H5644" s="3"/>
      <c r="I5644" s="3"/>
      <c r="J5644" s="3"/>
    </row>
    <row r="5645" spans="8:10" x14ac:dyDescent="0.3">
      <c r="H5645" s="3"/>
      <c r="I5645" s="3"/>
      <c r="J5645" s="3"/>
    </row>
    <row r="5646" spans="8:10" x14ac:dyDescent="0.3">
      <c r="H5646" s="3"/>
      <c r="I5646" s="3"/>
      <c r="J5646" s="3"/>
    </row>
    <row r="5647" spans="8:10" x14ac:dyDescent="0.3">
      <c r="H5647" s="3"/>
      <c r="I5647" s="3"/>
      <c r="J5647" s="3"/>
    </row>
    <row r="5648" spans="8:10" x14ac:dyDescent="0.3">
      <c r="H5648" s="3"/>
      <c r="I5648" s="3"/>
      <c r="J5648" s="3"/>
    </row>
    <row r="5649" spans="8:10" x14ac:dyDescent="0.3">
      <c r="H5649" s="3"/>
      <c r="I5649" s="3"/>
      <c r="J5649" s="3"/>
    </row>
    <row r="5650" spans="8:10" x14ac:dyDescent="0.3">
      <c r="H5650" s="3"/>
      <c r="I5650" s="3"/>
      <c r="J5650" s="3"/>
    </row>
    <row r="5651" spans="8:10" x14ac:dyDescent="0.3">
      <c r="H5651" s="3"/>
      <c r="I5651" s="3"/>
      <c r="J5651" s="3"/>
    </row>
    <row r="5652" spans="8:10" x14ac:dyDescent="0.3">
      <c r="H5652" s="3"/>
      <c r="I5652" s="3"/>
      <c r="J5652" s="3"/>
    </row>
    <row r="5653" spans="8:10" x14ac:dyDescent="0.3">
      <c r="H5653" s="3"/>
      <c r="I5653" s="3"/>
      <c r="J5653" s="3"/>
    </row>
    <row r="5654" spans="8:10" x14ac:dyDescent="0.3">
      <c r="H5654" s="3"/>
      <c r="I5654" s="3"/>
      <c r="J5654" s="3"/>
    </row>
    <row r="5655" spans="8:10" x14ac:dyDescent="0.3">
      <c r="H5655" s="3"/>
      <c r="I5655" s="3"/>
      <c r="J5655" s="3"/>
    </row>
    <row r="5656" spans="8:10" x14ac:dyDescent="0.3">
      <c r="H5656" s="3"/>
      <c r="I5656" s="3"/>
      <c r="J5656" s="3"/>
    </row>
    <row r="5657" spans="8:10" x14ac:dyDescent="0.3">
      <c r="H5657" s="3"/>
      <c r="I5657" s="3"/>
      <c r="J5657" s="3"/>
    </row>
    <row r="5658" spans="8:10" x14ac:dyDescent="0.3">
      <c r="H5658" s="3"/>
      <c r="I5658" s="3"/>
      <c r="J5658" s="3"/>
    </row>
    <row r="5659" spans="8:10" x14ac:dyDescent="0.3">
      <c r="H5659" s="3"/>
      <c r="I5659" s="3"/>
      <c r="J5659" s="3"/>
    </row>
    <row r="5660" spans="8:10" x14ac:dyDescent="0.3">
      <c r="H5660" s="3"/>
      <c r="I5660" s="3"/>
      <c r="J5660" s="3"/>
    </row>
    <row r="5661" spans="8:10" x14ac:dyDescent="0.3">
      <c r="H5661" s="3"/>
      <c r="I5661" s="3"/>
      <c r="J5661" s="3"/>
    </row>
    <row r="5662" spans="8:10" x14ac:dyDescent="0.3">
      <c r="H5662" s="3"/>
      <c r="I5662" s="3"/>
      <c r="J5662" s="3"/>
    </row>
    <row r="5663" spans="8:10" x14ac:dyDescent="0.3">
      <c r="H5663" s="3"/>
      <c r="I5663" s="3"/>
      <c r="J5663" s="3"/>
    </row>
    <row r="5664" spans="8:10" x14ac:dyDescent="0.3">
      <c r="H5664" s="3"/>
      <c r="I5664" s="3"/>
      <c r="J5664" s="3"/>
    </row>
    <row r="5665" spans="8:10" x14ac:dyDescent="0.3">
      <c r="H5665" s="3"/>
      <c r="I5665" s="3"/>
      <c r="J5665" s="3"/>
    </row>
    <row r="5666" spans="8:10" x14ac:dyDescent="0.3">
      <c r="H5666" s="3"/>
      <c r="I5666" s="3"/>
      <c r="J5666" s="3"/>
    </row>
    <row r="5667" spans="8:10" x14ac:dyDescent="0.3">
      <c r="H5667" s="3"/>
      <c r="I5667" s="3"/>
      <c r="J5667" s="3"/>
    </row>
    <row r="5668" spans="8:10" x14ac:dyDescent="0.3">
      <c r="H5668" s="3"/>
      <c r="I5668" s="3"/>
      <c r="J5668" s="3"/>
    </row>
    <row r="5669" spans="8:10" x14ac:dyDescent="0.3">
      <c r="H5669" s="3"/>
      <c r="I5669" s="3"/>
      <c r="J5669" s="3"/>
    </row>
    <row r="5670" spans="8:10" x14ac:dyDescent="0.3">
      <c r="H5670" s="3"/>
      <c r="I5670" s="3"/>
      <c r="J5670" s="3"/>
    </row>
    <row r="5671" spans="8:10" x14ac:dyDescent="0.3">
      <c r="H5671" s="3"/>
      <c r="I5671" s="3"/>
      <c r="J5671" s="3"/>
    </row>
    <row r="5672" spans="8:10" x14ac:dyDescent="0.3">
      <c r="H5672" s="3"/>
      <c r="I5672" s="3"/>
      <c r="J5672" s="3"/>
    </row>
    <row r="5673" spans="8:10" x14ac:dyDescent="0.3">
      <c r="H5673" s="3"/>
      <c r="I5673" s="3"/>
      <c r="J5673" s="3"/>
    </row>
    <row r="5674" spans="8:10" x14ac:dyDescent="0.3">
      <c r="H5674" s="3"/>
      <c r="I5674" s="3"/>
      <c r="J5674" s="3"/>
    </row>
    <row r="5675" spans="8:10" x14ac:dyDescent="0.3">
      <c r="H5675" s="3"/>
      <c r="I5675" s="3"/>
      <c r="J5675" s="3"/>
    </row>
    <row r="5676" spans="8:10" x14ac:dyDescent="0.3">
      <c r="H5676" s="3"/>
      <c r="I5676" s="3"/>
      <c r="J5676" s="3"/>
    </row>
    <row r="5677" spans="8:10" x14ac:dyDescent="0.3">
      <c r="H5677" s="3"/>
      <c r="I5677" s="3"/>
      <c r="J5677" s="3"/>
    </row>
    <row r="5678" spans="8:10" x14ac:dyDescent="0.3">
      <c r="H5678" s="3"/>
      <c r="I5678" s="3"/>
      <c r="J5678" s="3"/>
    </row>
    <row r="5679" spans="8:10" x14ac:dyDescent="0.3">
      <c r="H5679" s="3"/>
      <c r="I5679" s="3"/>
      <c r="J5679" s="3"/>
    </row>
    <row r="5680" spans="8:10" x14ac:dyDescent="0.3">
      <c r="H5680" s="3"/>
      <c r="I5680" s="3"/>
      <c r="J5680" s="3"/>
    </row>
    <row r="5681" spans="8:10" x14ac:dyDescent="0.3">
      <c r="H5681" s="3"/>
      <c r="I5681" s="3"/>
      <c r="J5681" s="3"/>
    </row>
    <row r="5682" spans="8:10" x14ac:dyDescent="0.3">
      <c r="H5682" s="3"/>
      <c r="I5682" s="3"/>
      <c r="J5682" s="3"/>
    </row>
    <row r="5683" spans="8:10" x14ac:dyDescent="0.3">
      <c r="H5683" s="3"/>
      <c r="I5683" s="3"/>
      <c r="J5683" s="3"/>
    </row>
    <row r="5684" spans="8:10" x14ac:dyDescent="0.3">
      <c r="H5684" s="3"/>
      <c r="I5684" s="3"/>
      <c r="J5684" s="3"/>
    </row>
    <row r="5685" spans="8:10" x14ac:dyDescent="0.3">
      <c r="H5685" s="3"/>
      <c r="I5685" s="3"/>
      <c r="J5685" s="3"/>
    </row>
    <row r="5686" spans="8:10" x14ac:dyDescent="0.3">
      <c r="H5686" s="3"/>
      <c r="I5686" s="3"/>
      <c r="J5686" s="3"/>
    </row>
    <row r="5687" spans="8:10" x14ac:dyDescent="0.3">
      <c r="H5687" s="3"/>
      <c r="I5687" s="3"/>
      <c r="J5687" s="3"/>
    </row>
    <row r="5688" spans="8:10" x14ac:dyDescent="0.3">
      <c r="H5688" s="3"/>
      <c r="I5688" s="3"/>
      <c r="J5688" s="3"/>
    </row>
    <row r="5689" spans="8:10" x14ac:dyDescent="0.3">
      <c r="H5689" s="3"/>
      <c r="I5689" s="3"/>
      <c r="J5689" s="3"/>
    </row>
    <row r="5690" spans="8:10" x14ac:dyDescent="0.3">
      <c r="H5690" s="3"/>
      <c r="I5690" s="3"/>
      <c r="J5690" s="3"/>
    </row>
    <row r="5691" spans="8:10" x14ac:dyDescent="0.3">
      <c r="H5691" s="3"/>
      <c r="I5691" s="3"/>
      <c r="J5691" s="3"/>
    </row>
    <row r="5692" spans="8:10" x14ac:dyDescent="0.3">
      <c r="H5692" s="3"/>
      <c r="I5692" s="3"/>
      <c r="J5692" s="3"/>
    </row>
    <row r="5693" spans="8:10" x14ac:dyDescent="0.3">
      <c r="H5693" s="3"/>
      <c r="I5693" s="3"/>
      <c r="J5693" s="3"/>
    </row>
    <row r="5694" spans="8:10" x14ac:dyDescent="0.3">
      <c r="H5694" s="3"/>
      <c r="I5694" s="3"/>
      <c r="J5694" s="3"/>
    </row>
    <row r="5695" spans="8:10" x14ac:dyDescent="0.3">
      <c r="H5695" s="3"/>
      <c r="I5695" s="3"/>
      <c r="J5695" s="3"/>
    </row>
    <row r="5696" spans="8:10" x14ac:dyDescent="0.3">
      <c r="H5696" s="3"/>
      <c r="I5696" s="3"/>
      <c r="J5696" s="3"/>
    </row>
    <row r="5697" spans="8:10" x14ac:dyDescent="0.3">
      <c r="H5697" s="3"/>
      <c r="I5697" s="3"/>
      <c r="J5697" s="3"/>
    </row>
    <row r="5698" spans="8:10" x14ac:dyDescent="0.3">
      <c r="H5698" s="3"/>
      <c r="I5698" s="3"/>
      <c r="J5698" s="3"/>
    </row>
    <row r="5699" spans="8:10" x14ac:dyDescent="0.3">
      <c r="H5699" s="3"/>
      <c r="I5699" s="3"/>
      <c r="J5699" s="3"/>
    </row>
    <row r="5700" spans="8:10" x14ac:dyDescent="0.3">
      <c r="H5700" s="3"/>
      <c r="I5700" s="3"/>
      <c r="J5700" s="3"/>
    </row>
    <row r="5701" spans="8:10" x14ac:dyDescent="0.3">
      <c r="H5701" s="3"/>
      <c r="I5701" s="3"/>
      <c r="J5701" s="3"/>
    </row>
    <row r="5702" spans="8:10" x14ac:dyDescent="0.3">
      <c r="H5702" s="3"/>
      <c r="I5702" s="3"/>
      <c r="J5702" s="3"/>
    </row>
    <row r="5703" spans="8:10" x14ac:dyDescent="0.3">
      <c r="H5703" s="3"/>
      <c r="I5703" s="3"/>
      <c r="J5703" s="3"/>
    </row>
    <row r="5704" spans="8:10" x14ac:dyDescent="0.3">
      <c r="H5704" s="3"/>
      <c r="I5704" s="3"/>
      <c r="J5704" s="3"/>
    </row>
    <row r="5705" spans="8:10" x14ac:dyDescent="0.3">
      <c r="H5705" s="3"/>
      <c r="I5705" s="3"/>
      <c r="J5705" s="3"/>
    </row>
    <row r="5706" spans="8:10" x14ac:dyDescent="0.3">
      <c r="H5706" s="3"/>
      <c r="I5706" s="3"/>
      <c r="J5706" s="3"/>
    </row>
    <row r="5707" spans="8:10" x14ac:dyDescent="0.3">
      <c r="H5707" s="3"/>
      <c r="I5707" s="3"/>
      <c r="J5707" s="3"/>
    </row>
    <row r="5708" spans="8:10" x14ac:dyDescent="0.3">
      <c r="H5708" s="3"/>
      <c r="I5708" s="3"/>
      <c r="J5708" s="3"/>
    </row>
    <row r="5709" spans="8:10" x14ac:dyDescent="0.3">
      <c r="H5709" s="3"/>
      <c r="I5709" s="3"/>
      <c r="J5709" s="3"/>
    </row>
    <row r="5710" spans="8:10" x14ac:dyDescent="0.3">
      <c r="H5710" s="3"/>
      <c r="I5710" s="3"/>
      <c r="J5710" s="3"/>
    </row>
    <row r="5711" spans="8:10" x14ac:dyDescent="0.3">
      <c r="H5711" s="3"/>
      <c r="I5711" s="3"/>
      <c r="J5711" s="3"/>
    </row>
    <row r="5712" spans="8:10" x14ac:dyDescent="0.3">
      <c r="H5712" s="3"/>
      <c r="I5712" s="3"/>
      <c r="J5712" s="3"/>
    </row>
    <row r="5713" spans="8:10" x14ac:dyDescent="0.3">
      <c r="H5713" s="3"/>
      <c r="I5713" s="3"/>
      <c r="J5713" s="3"/>
    </row>
    <row r="5714" spans="8:10" x14ac:dyDescent="0.3">
      <c r="H5714" s="3"/>
      <c r="I5714" s="3"/>
      <c r="J5714" s="3"/>
    </row>
    <row r="5715" spans="8:10" x14ac:dyDescent="0.3">
      <c r="H5715" s="3"/>
      <c r="I5715" s="3"/>
      <c r="J5715" s="3"/>
    </row>
    <row r="5716" spans="8:10" x14ac:dyDescent="0.3">
      <c r="H5716" s="3"/>
      <c r="I5716" s="3"/>
      <c r="J5716" s="3"/>
    </row>
    <row r="5717" spans="8:10" x14ac:dyDescent="0.3">
      <c r="H5717" s="3"/>
      <c r="I5717" s="3"/>
      <c r="J5717" s="3"/>
    </row>
    <row r="5718" spans="8:10" x14ac:dyDescent="0.3">
      <c r="H5718" s="3"/>
      <c r="I5718" s="3"/>
      <c r="J5718" s="3"/>
    </row>
    <row r="5719" spans="8:10" x14ac:dyDescent="0.3">
      <c r="H5719" s="3"/>
      <c r="I5719" s="3"/>
      <c r="J5719" s="3"/>
    </row>
    <row r="5720" spans="8:10" x14ac:dyDescent="0.3">
      <c r="H5720" s="3"/>
      <c r="I5720" s="3"/>
      <c r="J5720" s="3"/>
    </row>
    <row r="5721" spans="8:10" x14ac:dyDescent="0.3">
      <c r="H5721" s="3"/>
      <c r="I5721" s="3"/>
      <c r="J5721" s="3"/>
    </row>
    <row r="5722" spans="8:10" x14ac:dyDescent="0.3">
      <c r="H5722" s="3"/>
      <c r="I5722" s="3"/>
      <c r="J5722" s="3"/>
    </row>
    <row r="5723" spans="8:10" x14ac:dyDescent="0.3">
      <c r="H5723" s="3"/>
      <c r="I5723" s="3"/>
      <c r="J5723" s="3"/>
    </row>
    <row r="5724" spans="8:10" x14ac:dyDescent="0.3">
      <c r="H5724" s="3"/>
      <c r="I5724" s="3"/>
      <c r="J5724" s="3"/>
    </row>
    <row r="5725" spans="8:10" x14ac:dyDescent="0.3">
      <c r="H5725" s="3"/>
      <c r="I5725" s="3"/>
      <c r="J5725" s="3"/>
    </row>
    <row r="5726" spans="8:10" x14ac:dyDescent="0.3">
      <c r="H5726" s="3"/>
      <c r="I5726" s="3"/>
      <c r="J5726" s="3"/>
    </row>
    <row r="5727" spans="8:10" x14ac:dyDescent="0.3">
      <c r="H5727" s="3"/>
      <c r="I5727" s="3"/>
      <c r="J5727" s="3"/>
    </row>
    <row r="5728" spans="8:10" x14ac:dyDescent="0.3">
      <c r="H5728" s="3"/>
      <c r="I5728" s="3"/>
      <c r="J5728" s="3"/>
    </row>
    <row r="5729" spans="8:10" x14ac:dyDescent="0.3">
      <c r="H5729" s="3"/>
      <c r="I5729" s="3"/>
      <c r="J5729" s="3"/>
    </row>
    <row r="5730" spans="8:10" x14ac:dyDescent="0.3">
      <c r="H5730" s="3"/>
      <c r="I5730" s="3"/>
      <c r="J5730" s="3"/>
    </row>
    <row r="5731" spans="8:10" x14ac:dyDescent="0.3">
      <c r="H5731" s="3"/>
      <c r="I5731" s="3"/>
      <c r="J5731" s="3"/>
    </row>
    <row r="5732" spans="8:10" x14ac:dyDescent="0.3">
      <c r="H5732" s="3"/>
      <c r="I5732" s="3"/>
      <c r="J5732" s="3"/>
    </row>
    <row r="5733" spans="8:10" x14ac:dyDescent="0.3">
      <c r="H5733" s="3"/>
      <c r="I5733" s="3"/>
      <c r="J5733" s="3"/>
    </row>
    <row r="5734" spans="8:10" x14ac:dyDescent="0.3">
      <c r="H5734" s="3"/>
      <c r="I5734" s="3"/>
      <c r="J5734" s="3"/>
    </row>
    <row r="5735" spans="8:10" x14ac:dyDescent="0.3">
      <c r="H5735" s="3"/>
      <c r="I5735" s="3"/>
      <c r="J5735" s="3"/>
    </row>
    <row r="5736" spans="8:10" x14ac:dyDescent="0.3">
      <c r="H5736" s="3"/>
      <c r="I5736" s="3"/>
      <c r="J5736" s="3"/>
    </row>
    <row r="5737" spans="8:10" x14ac:dyDescent="0.3">
      <c r="H5737" s="3"/>
      <c r="I5737" s="3"/>
      <c r="J5737" s="3"/>
    </row>
    <row r="5738" spans="8:10" x14ac:dyDescent="0.3">
      <c r="H5738" s="3"/>
      <c r="I5738" s="3"/>
      <c r="J5738" s="3"/>
    </row>
    <row r="5739" spans="8:10" x14ac:dyDescent="0.3">
      <c r="H5739" s="3"/>
      <c r="I5739" s="3"/>
      <c r="J5739" s="3"/>
    </row>
    <row r="5740" spans="8:10" x14ac:dyDescent="0.3">
      <c r="H5740" s="3"/>
      <c r="I5740" s="3"/>
      <c r="J5740" s="3"/>
    </row>
    <row r="5741" spans="8:10" x14ac:dyDescent="0.3">
      <c r="H5741" s="3"/>
      <c r="I5741" s="3"/>
      <c r="J5741" s="3"/>
    </row>
    <row r="5742" spans="8:10" x14ac:dyDescent="0.3">
      <c r="H5742" s="3"/>
      <c r="I5742" s="3"/>
      <c r="J5742" s="3"/>
    </row>
    <row r="5743" spans="8:10" x14ac:dyDescent="0.3">
      <c r="H5743" s="3"/>
      <c r="I5743" s="3"/>
      <c r="J5743" s="3"/>
    </row>
    <row r="5744" spans="8:10" x14ac:dyDescent="0.3">
      <c r="H5744" s="3"/>
      <c r="I5744" s="3"/>
      <c r="J5744" s="3"/>
    </row>
    <row r="5745" spans="8:10" x14ac:dyDescent="0.3">
      <c r="H5745" s="3"/>
      <c r="I5745" s="3"/>
      <c r="J5745" s="3"/>
    </row>
    <row r="5746" spans="8:10" x14ac:dyDescent="0.3">
      <c r="H5746" s="3"/>
      <c r="I5746" s="3"/>
      <c r="J5746" s="3"/>
    </row>
    <row r="5747" spans="8:10" x14ac:dyDescent="0.3">
      <c r="H5747" s="3"/>
      <c r="I5747" s="3"/>
      <c r="J5747" s="3"/>
    </row>
    <row r="5748" spans="8:10" x14ac:dyDescent="0.3">
      <c r="H5748" s="3"/>
      <c r="I5748" s="3"/>
      <c r="J5748" s="3"/>
    </row>
    <row r="5749" spans="8:10" x14ac:dyDescent="0.3">
      <c r="H5749" s="3"/>
      <c r="I5749" s="3"/>
      <c r="J5749" s="3"/>
    </row>
    <row r="5750" spans="8:10" x14ac:dyDescent="0.3">
      <c r="H5750" s="3"/>
      <c r="I5750" s="3"/>
      <c r="J5750" s="3"/>
    </row>
    <row r="5751" spans="8:10" x14ac:dyDescent="0.3">
      <c r="H5751" s="3"/>
      <c r="I5751" s="3"/>
      <c r="J5751" s="3"/>
    </row>
    <row r="5752" spans="8:10" x14ac:dyDescent="0.3">
      <c r="H5752" s="3"/>
      <c r="I5752" s="3"/>
      <c r="J5752" s="3"/>
    </row>
    <row r="5753" spans="8:10" x14ac:dyDescent="0.3">
      <c r="H5753" s="3"/>
      <c r="I5753" s="3"/>
      <c r="J5753" s="3"/>
    </row>
    <row r="5754" spans="8:10" x14ac:dyDescent="0.3">
      <c r="H5754" s="3"/>
      <c r="I5754" s="3"/>
      <c r="J5754" s="3"/>
    </row>
    <row r="5755" spans="8:10" x14ac:dyDescent="0.3">
      <c r="H5755" s="3"/>
      <c r="I5755" s="3"/>
      <c r="J5755" s="3"/>
    </row>
    <row r="5756" spans="8:10" x14ac:dyDescent="0.3">
      <c r="H5756" s="3"/>
      <c r="I5756" s="3"/>
      <c r="J5756" s="3"/>
    </row>
    <row r="5757" spans="8:10" x14ac:dyDescent="0.3">
      <c r="H5757" s="3"/>
      <c r="I5757" s="3"/>
      <c r="J5757" s="3"/>
    </row>
    <row r="5758" spans="8:10" x14ac:dyDescent="0.3">
      <c r="H5758" s="3"/>
      <c r="I5758" s="3"/>
      <c r="J5758" s="3"/>
    </row>
    <row r="5759" spans="8:10" x14ac:dyDescent="0.3">
      <c r="H5759" s="3"/>
      <c r="I5759" s="3"/>
      <c r="J5759" s="3"/>
    </row>
    <row r="5760" spans="8:10" x14ac:dyDescent="0.3">
      <c r="H5760" s="3"/>
      <c r="I5760" s="3"/>
      <c r="J5760" s="3"/>
    </row>
    <row r="5761" spans="8:10" x14ac:dyDescent="0.3">
      <c r="H5761" s="3"/>
      <c r="I5761" s="3"/>
      <c r="J5761" s="3"/>
    </row>
    <row r="5762" spans="8:10" x14ac:dyDescent="0.3">
      <c r="H5762" s="3"/>
      <c r="I5762" s="3"/>
      <c r="J5762" s="3"/>
    </row>
    <row r="5763" spans="8:10" x14ac:dyDescent="0.3">
      <c r="H5763" s="3"/>
      <c r="I5763" s="3"/>
      <c r="J5763" s="3"/>
    </row>
    <row r="5764" spans="8:10" x14ac:dyDescent="0.3">
      <c r="H5764" s="3"/>
      <c r="I5764" s="3"/>
      <c r="J5764" s="3"/>
    </row>
    <row r="5765" spans="8:10" x14ac:dyDescent="0.3">
      <c r="H5765" s="3"/>
      <c r="I5765" s="3"/>
      <c r="J5765" s="3"/>
    </row>
    <row r="5766" spans="8:10" x14ac:dyDescent="0.3">
      <c r="H5766" s="3"/>
      <c r="I5766" s="3"/>
      <c r="J5766" s="3"/>
    </row>
    <row r="5767" spans="8:10" x14ac:dyDescent="0.3">
      <c r="H5767" s="3"/>
      <c r="I5767" s="3"/>
      <c r="J5767" s="3"/>
    </row>
    <row r="5768" spans="8:10" x14ac:dyDescent="0.3">
      <c r="H5768" s="3"/>
      <c r="I5768" s="3"/>
      <c r="J5768" s="3"/>
    </row>
    <row r="5769" spans="8:10" x14ac:dyDescent="0.3">
      <c r="H5769" s="3"/>
      <c r="I5769" s="3"/>
      <c r="J5769" s="3"/>
    </row>
    <row r="5770" spans="8:10" x14ac:dyDescent="0.3">
      <c r="H5770" s="3"/>
      <c r="I5770" s="3"/>
      <c r="J5770" s="3"/>
    </row>
    <row r="5771" spans="8:10" x14ac:dyDescent="0.3">
      <c r="H5771" s="3"/>
      <c r="I5771" s="3"/>
      <c r="J5771" s="3"/>
    </row>
    <row r="5772" spans="8:10" x14ac:dyDescent="0.3">
      <c r="H5772" s="3"/>
      <c r="I5772" s="3"/>
      <c r="J5772" s="3"/>
    </row>
    <row r="5773" spans="8:10" x14ac:dyDescent="0.3">
      <c r="H5773" s="3"/>
      <c r="I5773" s="3"/>
      <c r="J5773" s="3"/>
    </row>
    <row r="5774" spans="8:10" x14ac:dyDescent="0.3">
      <c r="H5774" s="3"/>
      <c r="I5774" s="3"/>
      <c r="J5774" s="3"/>
    </row>
    <row r="5775" spans="8:10" x14ac:dyDescent="0.3">
      <c r="H5775" s="3"/>
      <c r="I5775" s="3"/>
      <c r="J5775" s="3"/>
    </row>
    <row r="5776" spans="8:10" x14ac:dyDescent="0.3">
      <c r="H5776" s="3"/>
      <c r="I5776" s="3"/>
      <c r="J5776" s="3"/>
    </row>
    <row r="5777" spans="8:10" x14ac:dyDescent="0.3">
      <c r="H5777" s="3"/>
      <c r="I5777" s="3"/>
      <c r="J5777" s="3"/>
    </row>
    <row r="5778" spans="8:10" x14ac:dyDescent="0.3">
      <c r="H5778" s="3"/>
      <c r="I5778" s="3"/>
      <c r="J5778" s="3"/>
    </row>
    <row r="5779" spans="8:10" x14ac:dyDescent="0.3">
      <c r="H5779" s="3"/>
      <c r="I5779" s="3"/>
      <c r="J5779" s="3"/>
    </row>
    <row r="5780" spans="8:10" x14ac:dyDescent="0.3">
      <c r="H5780" s="3"/>
      <c r="I5780" s="3"/>
      <c r="J5780" s="3"/>
    </row>
    <row r="5781" spans="8:10" x14ac:dyDescent="0.3">
      <c r="H5781" s="3"/>
      <c r="I5781" s="3"/>
      <c r="J5781" s="3"/>
    </row>
    <row r="5782" spans="8:10" x14ac:dyDescent="0.3">
      <c r="H5782" s="3"/>
      <c r="I5782" s="3"/>
      <c r="J5782" s="3"/>
    </row>
    <row r="5783" spans="8:10" x14ac:dyDescent="0.3">
      <c r="H5783" s="3"/>
      <c r="I5783" s="3"/>
      <c r="J5783" s="3"/>
    </row>
    <row r="5784" spans="8:10" x14ac:dyDescent="0.3">
      <c r="H5784" s="3"/>
      <c r="I5784" s="3"/>
      <c r="J5784" s="3"/>
    </row>
    <row r="5785" spans="8:10" x14ac:dyDescent="0.3">
      <c r="H5785" s="3"/>
      <c r="I5785" s="3"/>
      <c r="J5785" s="3"/>
    </row>
    <row r="5786" spans="8:10" x14ac:dyDescent="0.3">
      <c r="H5786" s="3"/>
      <c r="I5786" s="3"/>
      <c r="J5786" s="3"/>
    </row>
    <row r="5787" spans="8:10" x14ac:dyDescent="0.3">
      <c r="H5787" s="3"/>
      <c r="I5787" s="3"/>
      <c r="J5787" s="3"/>
    </row>
    <row r="5788" spans="8:10" x14ac:dyDescent="0.3">
      <c r="H5788" s="3"/>
      <c r="I5788" s="3"/>
      <c r="J5788" s="3"/>
    </row>
    <row r="5789" spans="8:10" x14ac:dyDescent="0.3">
      <c r="H5789" s="3"/>
      <c r="I5789" s="3"/>
      <c r="J5789" s="3"/>
    </row>
    <row r="5790" spans="8:10" x14ac:dyDescent="0.3">
      <c r="H5790" s="3"/>
      <c r="I5790" s="3"/>
      <c r="J5790" s="3"/>
    </row>
    <row r="5791" spans="8:10" x14ac:dyDescent="0.3">
      <c r="H5791" s="3"/>
      <c r="I5791" s="3"/>
      <c r="J5791" s="3"/>
    </row>
    <row r="5792" spans="8:10" x14ac:dyDescent="0.3">
      <c r="H5792" s="3"/>
      <c r="I5792" s="3"/>
      <c r="J5792" s="3"/>
    </row>
    <row r="5793" spans="8:10" x14ac:dyDescent="0.3">
      <c r="H5793" s="3"/>
      <c r="I5793" s="3"/>
      <c r="J5793" s="3"/>
    </row>
    <row r="5794" spans="8:10" x14ac:dyDescent="0.3">
      <c r="H5794" s="3"/>
      <c r="I5794" s="3"/>
      <c r="J5794" s="3"/>
    </row>
    <row r="5795" spans="8:10" x14ac:dyDescent="0.3">
      <c r="H5795" s="3"/>
      <c r="I5795" s="3"/>
      <c r="J5795" s="3"/>
    </row>
    <row r="5796" spans="8:10" x14ac:dyDescent="0.3">
      <c r="H5796" s="3"/>
      <c r="I5796" s="3"/>
      <c r="J5796" s="3"/>
    </row>
    <row r="5797" spans="8:10" x14ac:dyDescent="0.3">
      <c r="H5797" s="3"/>
      <c r="I5797" s="3"/>
      <c r="J5797" s="3"/>
    </row>
    <row r="5798" spans="8:10" x14ac:dyDescent="0.3">
      <c r="H5798" s="3"/>
      <c r="I5798" s="3"/>
      <c r="J5798" s="3"/>
    </row>
    <row r="5799" spans="8:10" x14ac:dyDescent="0.3">
      <c r="H5799" s="3"/>
      <c r="I5799" s="3"/>
      <c r="J5799" s="3"/>
    </row>
    <row r="5800" spans="8:10" x14ac:dyDescent="0.3">
      <c r="H5800" s="3"/>
      <c r="I5800" s="3"/>
      <c r="J5800" s="3"/>
    </row>
    <row r="5801" spans="8:10" x14ac:dyDescent="0.3">
      <c r="H5801" s="3"/>
      <c r="I5801" s="3"/>
      <c r="J5801" s="3"/>
    </row>
    <row r="5802" spans="8:10" x14ac:dyDescent="0.3">
      <c r="H5802" s="3"/>
      <c r="I5802" s="3"/>
      <c r="J5802" s="3"/>
    </row>
    <row r="5803" spans="8:10" x14ac:dyDescent="0.3">
      <c r="H5803" s="3"/>
      <c r="I5803" s="3"/>
      <c r="J5803" s="3"/>
    </row>
    <row r="5804" spans="8:10" x14ac:dyDescent="0.3">
      <c r="H5804" s="3"/>
      <c r="I5804" s="3"/>
      <c r="J5804" s="3"/>
    </row>
    <row r="5805" spans="8:10" x14ac:dyDescent="0.3">
      <c r="H5805" s="3"/>
      <c r="I5805" s="3"/>
      <c r="J5805" s="3"/>
    </row>
    <row r="5806" spans="8:10" x14ac:dyDescent="0.3">
      <c r="H5806" s="3"/>
      <c r="I5806" s="3"/>
      <c r="J5806" s="3"/>
    </row>
    <row r="5807" spans="8:10" x14ac:dyDescent="0.3">
      <c r="H5807" s="3"/>
      <c r="I5807" s="3"/>
      <c r="J5807" s="3"/>
    </row>
    <row r="5808" spans="8:10" x14ac:dyDescent="0.3">
      <c r="H5808" s="3"/>
      <c r="I5808" s="3"/>
      <c r="J5808" s="3"/>
    </row>
    <row r="5809" spans="8:10" x14ac:dyDescent="0.3">
      <c r="H5809" s="3"/>
      <c r="I5809" s="3"/>
      <c r="J5809" s="3"/>
    </row>
    <row r="5810" spans="8:10" x14ac:dyDescent="0.3">
      <c r="H5810" s="3"/>
      <c r="I5810" s="3"/>
      <c r="J5810" s="3"/>
    </row>
    <row r="5811" spans="8:10" x14ac:dyDescent="0.3">
      <c r="H5811" s="3"/>
      <c r="I5811" s="3"/>
      <c r="J5811" s="3"/>
    </row>
    <row r="5812" spans="8:10" x14ac:dyDescent="0.3">
      <c r="H5812" s="3"/>
      <c r="I5812" s="3"/>
      <c r="J5812" s="3"/>
    </row>
    <row r="5813" spans="8:10" x14ac:dyDescent="0.3">
      <c r="H5813" s="3"/>
      <c r="I5813" s="3"/>
      <c r="J5813" s="3"/>
    </row>
    <row r="5814" spans="8:10" x14ac:dyDescent="0.3">
      <c r="H5814" s="3"/>
      <c r="I5814" s="3"/>
      <c r="J5814" s="3"/>
    </row>
    <row r="5815" spans="8:10" x14ac:dyDescent="0.3">
      <c r="H5815" s="3"/>
      <c r="I5815" s="3"/>
      <c r="J5815" s="3"/>
    </row>
    <row r="5816" spans="8:10" x14ac:dyDescent="0.3">
      <c r="H5816" s="3"/>
      <c r="I5816" s="3"/>
      <c r="J5816" s="3"/>
    </row>
    <row r="5817" spans="8:10" x14ac:dyDescent="0.3">
      <c r="H5817" s="3"/>
      <c r="I5817" s="3"/>
      <c r="J5817" s="3"/>
    </row>
    <row r="5818" spans="8:10" x14ac:dyDescent="0.3">
      <c r="H5818" s="3"/>
      <c r="I5818" s="3"/>
      <c r="J5818" s="3"/>
    </row>
    <row r="5819" spans="8:10" x14ac:dyDescent="0.3">
      <c r="H5819" s="3"/>
      <c r="I5819" s="3"/>
      <c r="J5819" s="3"/>
    </row>
    <row r="5820" spans="8:10" x14ac:dyDescent="0.3">
      <c r="H5820" s="3"/>
      <c r="I5820" s="3"/>
      <c r="J5820" s="3"/>
    </row>
    <row r="5821" spans="8:10" x14ac:dyDescent="0.3">
      <c r="H5821" s="3"/>
      <c r="I5821" s="3"/>
      <c r="J5821" s="3"/>
    </row>
    <row r="5822" spans="8:10" x14ac:dyDescent="0.3">
      <c r="H5822" s="3"/>
      <c r="I5822" s="3"/>
      <c r="J5822" s="3"/>
    </row>
    <row r="5823" spans="8:10" x14ac:dyDescent="0.3">
      <c r="H5823" s="3"/>
      <c r="I5823" s="3"/>
      <c r="J5823" s="3"/>
    </row>
    <row r="5824" spans="8:10" x14ac:dyDescent="0.3">
      <c r="H5824" s="3"/>
      <c r="I5824" s="3"/>
      <c r="J5824" s="3"/>
    </row>
    <row r="5825" spans="8:10" x14ac:dyDescent="0.3">
      <c r="H5825" s="3"/>
      <c r="I5825" s="3"/>
      <c r="J5825" s="3"/>
    </row>
    <row r="5826" spans="8:10" x14ac:dyDescent="0.3">
      <c r="H5826" s="3"/>
      <c r="I5826" s="3"/>
      <c r="J5826" s="3"/>
    </row>
    <row r="5827" spans="8:10" x14ac:dyDescent="0.3">
      <c r="H5827" s="3"/>
      <c r="I5827" s="3"/>
      <c r="J5827" s="3"/>
    </row>
    <row r="5828" spans="8:10" x14ac:dyDescent="0.3">
      <c r="H5828" s="3"/>
      <c r="I5828" s="3"/>
      <c r="J5828" s="3"/>
    </row>
    <row r="5829" spans="8:10" x14ac:dyDescent="0.3">
      <c r="H5829" s="3"/>
      <c r="I5829" s="3"/>
      <c r="J5829" s="3"/>
    </row>
    <row r="5830" spans="8:10" x14ac:dyDescent="0.3">
      <c r="H5830" s="3"/>
      <c r="I5830" s="3"/>
      <c r="J5830" s="3"/>
    </row>
    <row r="5831" spans="8:10" x14ac:dyDescent="0.3">
      <c r="H5831" s="3"/>
      <c r="I5831" s="3"/>
      <c r="J5831" s="3"/>
    </row>
    <row r="5832" spans="8:10" x14ac:dyDescent="0.3">
      <c r="H5832" s="3"/>
      <c r="I5832" s="3"/>
      <c r="J5832" s="3"/>
    </row>
    <row r="5833" spans="8:10" x14ac:dyDescent="0.3">
      <c r="H5833" s="3"/>
      <c r="I5833" s="3"/>
      <c r="J5833" s="3"/>
    </row>
    <row r="5834" spans="8:10" x14ac:dyDescent="0.3">
      <c r="H5834" s="3"/>
      <c r="I5834" s="3"/>
      <c r="J5834" s="3"/>
    </row>
    <row r="5835" spans="8:10" x14ac:dyDescent="0.3">
      <c r="H5835" s="3"/>
      <c r="I5835" s="3"/>
      <c r="J5835" s="3"/>
    </row>
    <row r="5836" spans="8:10" x14ac:dyDescent="0.3">
      <c r="H5836" s="3"/>
      <c r="I5836" s="3"/>
      <c r="J5836" s="3"/>
    </row>
    <row r="5837" spans="8:10" x14ac:dyDescent="0.3">
      <c r="H5837" s="3"/>
      <c r="I5837" s="3"/>
      <c r="J5837" s="3"/>
    </row>
    <row r="5838" spans="8:10" x14ac:dyDescent="0.3">
      <c r="H5838" s="3"/>
      <c r="I5838" s="3"/>
      <c r="J5838" s="3"/>
    </row>
    <row r="5839" spans="8:10" x14ac:dyDescent="0.3">
      <c r="H5839" s="3"/>
      <c r="I5839" s="3"/>
      <c r="J5839" s="3"/>
    </row>
    <row r="5840" spans="8:10" x14ac:dyDescent="0.3">
      <c r="H5840" s="3"/>
      <c r="I5840" s="3"/>
      <c r="J5840" s="3"/>
    </row>
    <row r="5841" spans="8:10" x14ac:dyDescent="0.3">
      <c r="H5841" s="3"/>
      <c r="I5841" s="3"/>
      <c r="J5841" s="3"/>
    </row>
    <row r="5842" spans="8:10" x14ac:dyDescent="0.3">
      <c r="H5842" s="3"/>
      <c r="I5842" s="3"/>
      <c r="J5842" s="3"/>
    </row>
    <row r="5843" spans="8:10" x14ac:dyDescent="0.3">
      <c r="H5843" s="3"/>
      <c r="I5843" s="3"/>
      <c r="J5843" s="3"/>
    </row>
    <row r="5844" spans="8:10" x14ac:dyDescent="0.3">
      <c r="H5844" s="3"/>
      <c r="I5844" s="3"/>
      <c r="J5844" s="3"/>
    </row>
    <row r="5845" spans="8:10" x14ac:dyDescent="0.3">
      <c r="H5845" s="3"/>
      <c r="I5845" s="3"/>
      <c r="J5845" s="3"/>
    </row>
    <row r="5846" spans="8:10" x14ac:dyDescent="0.3">
      <c r="H5846" s="3"/>
      <c r="I5846" s="3"/>
      <c r="J5846" s="3"/>
    </row>
    <row r="5847" spans="8:10" x14ac:dyDescent="0.3">
      <c r="H5847" s="3"/>
      <c r="I5847" s="3"/>
      <c r="J5847" s="3"/>
    </row>
    <row r="5848" spans="8:10" x14ac:dyDescent="0.3">
      <c r="H5848" s="3"/>
      <c r="I5848" s="3"/>
      <c r="J5848" s="3"/>
    </row>
    <row r="5849" spans="8:10" x14ac:dyDescent="0.3">
      <c r="H5849" s="3"/>
      <c r="I5849" s="3"/>
      <c r="J5849" s="3"/>
    </row>
    <row r="5850" spans="8:10" x14ac:dyDescent="0.3">
      <c r="H5850" s="3"/>
      <c r="I5850" s="3"/>
      <c r="J5850" s="3"/>
    </row>
    <row r="5851" spans="8:10" x14ac:dyDescent="0.3">
      <c r="H5851" s="3"/>
      <c r="I5851" s="3"/>
      <c r="J5851" s="3"/>
    </row>
    <row r="5852" spans="8:10" x14ac:dyDescent="0.3">
      <c r="H5852" s="3"/>
      <c r="I5852" s="3"/>
      <c r="J5852" s="3"/>
    </row>
    <row r="5853" spans="8:10" x14ac:dyDescent="0.3">
      <c r="H5853" s="3"/>
      <c r="I5853" s="3"/>
      <c r="J5853" s="3"/>
    </row>
    <row r="5854" spans="8:10" x14ac:dyDescent="0.3">
      <c r="H5854" s="3"/>
      <c r="I5854" s="3"/>
      <c r="J5854" s="3"/>
    </row>
    <row r="5855" spans="8:10" x14ac:dyDescent="0.3">
      <c r="H5855" s="3"/>
      <c r="I5855" s="3"/>
      <c r="J5855" s="3"/>
    </row>
    <row r="5856" spans="8:10" x14ac:dyDescent="0.3">
      <c r="H5856" s="3"/>
      <c r="I5856" s="3"/>
      <c r="J5856" s="3"/>
    </row>
    <row r="5857" spans="8:10" x14ac:dyDescent="0.3">
      <c r="H5857" s="3"/>
      <c r="I5857" s="3"/>
      <c r="J5857" s="3"/>
    </row>
    <row r="5858" spans="8:10" x14ac:dyDescent="0.3">
      <c r="H5858" s="3"/>
      <c r="I5858" s="3"/>
      <c r="J5858" s="3"/>
    </row>
    <row r="5859" spans="8:10" x14ac:dyDescent="0.3">
      <c r="H5859" s="3"/>
      <c r="I5859" s="3"/>
      <c r="J5859" s="3"/>
    </row>
    <row r="5860" spans="8:10" x14ac:dyDescent="0.3">
      <c r="H5860" s="3"/>
      <c r="I5860" s="3"/>
      <c r="J5860" s="3"/>
    </row>
    <row r="5861" spans="8:10" x14ac:dyDescent="0.3">
      <c r="H5861" s="3"/>
      <c r="I5861" s="3"/>
      <c r="J5861" s="3"/>
    </row>
    <row r="5862" spans="8:10" x14ac:dyDescent="0.3">
      <c r="H5862" s="3"/>
      <c r="I5862" s="3"/>
      <c r="J5862" s="3"/>
    </row>
    <row r="5863" spans="8:10" x14ac:dyDescent="0.3">
      <c r="H5863" s="3"/>
      <c r="I5863" s="3"/>
      <c r="J5863" s="3"/>
    </row>
    <row r="5864" spans="8:10" x14ac:dyDescent="0.3">
      <c r="H5864" s="3"/>
      <c r="I5864" s="3"/>
      <c r="J5864" s="3"/>
    </row>
    <row r="5865" spans="8:10" x14ac:dyDescent="0.3">
      <c r="H5865" s="3"/>
      <c r="I5865" s="3"/>
      <c r="J5865" s="3"/>
    </row>
    <row r="5866" spans="8:10" x14ac:dyDescent="0.3">
      <c r="H5866" s="3"/>
      <c r="I5866" s="3"/>
      <c r="J5866" s="3"/>
    </row>
    <row r="5867" spans="8:10" x14ac:dyDescent="0.3">
      <c r="H5867" s="3"/>
      <c r="I5867" s="3"/>
      <c r="J5867" s="3"/>
    </row>
    <row r="5868" spans="8:10" x14ac:dyDescent="0.3">
      <c r="H5868" s="3"/>
      <c r="I5868" s="3"/>
      <c r="J5868" s="3"/>
    </row>
    <row r="5869" spans="8:10" x14ac:dyDescent="0.3">
      <c r="H5869" s="3"/>
      <c r="I5869" s="3"/>
      <c r="J5869" s="3"/>
    </row>
    <row r="5870" spans="8:10" x14ac:dyDescent="0.3">
      <c r="H5870" s="3"/>
      <c r="I5870" s="3"/>
      <c r="J5870" s="3"/>
    </row>
    <row r="5871" spans="8:10" x14ac:dyDescent="0.3">
      <c r="H5871" s="3"/>
      <c r="I5871" s="3"/>
      <c r="J5871" s="3"/>
    </row>
    <row r="5872" spans="8:10" x14ac:dyDescent="0.3">
      <c r="H5872" s="3"/>
      <c r="I5872" s="3"/>
      <c r="J5872" s="3"/>
    </row>
    <row r="5873" spans="8:10" x14ac:dyDescent="0.3">
      <c r="H5873" s="3"/>
      <c r="I5873" s="3"/>
      <c r="J5873" s="3"/>
    </row>
    <row r="5874" spans="8:10" x14ac:dyDescent="0.3">
      <c r="H5874" s="3"/>
      <c r="I5874" s="3"/>
      <c r="J5874" s="3"/>
    </row>
    <row r="5875" spans="8:10" x14ac:dyDescent="0.3">
      <c r="H5875" s="3"/>
      <c r="I5875" s="3"/>
      <c r="J5875" s="3"/>
    </row>
    <row r="5876" spans="8:10" x14ac:dyDescent="0.3">
      <c r="H5876" s="3"/>
      <c r="I5876" s="3"/>
      <c r="J5876" s="3"/>
    </row>
    <row r="5877" spans="8:10" x14ac:dyDescent="0.3">
      <c r="H5877" s="3"/>
      <c r="I5877" s="3"/>
      <c r="J5877" s="3"/>
    </row>
    <row r="5878" spans="8:10" x14ac:dyDescent="0.3">
      <c r="H5878" s="3"/>
      <c r="I5878" s="3"/>
      <c r="J5878" s="3"/>
    </row>
    <row r="5879" spans="8:10" x14ac:dyDescent="0.3">
      <c r="H5879" s="3"/>
      <c r="I5879" s="3"/>
      <c r="J5879" s="3"/>
    </row>
    <row r="5880" spans="8:10" x14ac:dyDescent="0.3">
      <c r="H5880" s="3"/>
      <c r="I5880" s="3"/>
      <c r="J5880" s="3"/>
    </row>
    <row r="5881" spans="8:10" x14ac:dyDescent="0.3">
      <c r="H5881" s="3"/>
      <c r="I5881" s="3"/>
      <c r="J5881" s="3"/>
    </row>
    <row r="5882" spans="8:10" x14ac:dyDescent="0.3">
      <c r="H5882" s="3"/>
      <c r="I5882" s="3"/>
      <c r="J5882" s="3"/>
    </row>
    <row r="5883" spans="8:10" x14ac:dyDescent="0.3">
      <c r="H5883" s="3"/>
      <c r="I5883" s="3"/>
      <c r="J5883" s="3"/>
    </row>
    <row r="5884" spans="8:10" x14ac:dyDescent="0.3">
      <c r="H5884" s="3"/>
      <c r="I5884" s="3"/>
      <c r="J5884" s="3"/>
    </row>
    <row r="5885" spans="8:10" x14ac:dyDescent="0.3">
      <c r="H5885" s="3"/>
      <c r="I5885" s="3"/>
      <c r="J5885" s="3"/>
    </row>
    <row r="5886" spans="8:10" x14ac:dyDescent="0.3">
      <c r="H5886" s="3"/>
      <c r="I5886" s="3"/>
      <c r="J5886" s="3"/>
    </row>
    <row r="5887" spans="8:10" x14ac:dyDescent="0.3">
      <c r="H5887" s="3"/>
      <c r="I5887" s="3"/>
      <c r="J5887" s="3"/>
    </row>
    <row r="5888" spans="8:10" x14ac:dyDescent="0.3">
      <c r="H5888" s="3"/>
      <c r="I5888" s="3"/>
      <c r="J5888" s="3"/>
    </row>
    <row r="5889" spans="8:10" x14ac:dyDescent="0.3">
      <c r="H5889" s="3"/>
      <c r="I5889" s="3"/>
      <c r="J5889" s="3"/>
    </row>
    <row r="5890" spans="8:10" x14ac:dyDescent="0.3">
      <c r="H5890" s="3"/>
      <c r="I5890" s="3"/>
      <c r="J5890" s="3"/>
    </row>
    <row r="5891" spans="8:10" x14ac:dyDescent="0.3">
      <c r="H5891" s="3"/>
      <c r="I5891" s="3"/>
      <c r="J5891" s="3"/>
    </row>
    <row r="5892" spans="8:10" x14ac:dyDescent="0.3">
      <c r="H5892" s="3"/>
      <c r="I5892" s="3"/>
      <c r="J5892" s="3"/>
    </row>
    <row r="5893" spans="8:10" x14ac:dyDescent="0.3">
      <c r="H5893" s="3"/>
      <c r="I5893" s="3"/>
      <c r="J5893" s="3"/>
    </row>
    <row r="5894" spans="8:10" x14ac:dyDescent="0.3">
      <c r="H5894" s="3"/>
      <c r="I5894" s="3"/>
      <c r="J5894" s="3"/>
    </row>
    <row r="5895" spans="8:10" x14ac:dyDescent="0.3">
      <c r="H5895" s="3"/>
      <c r="I5895" s="3"/>
      <c r="J5895" s="3"/>
    </row>
    <row r="5896" spans="8:10" x14ac:dyDescent="0.3">
      <c r="H5896" s="3"/>
      <c r="I5896" s="3"/>
      <c r="J5896" s="3"/>
    </row>
    <row r="5897" spans="8:10" x14ac:dyDescent="0.3">
      <c r="H5897" s="3"/>
      <c r="I5897" s="3"/>
      <c r="J5897" s="3"/>
    </row>
    <row r="5898" spans="8:10" x14ac:dyDescent="0.3">
      <c r="H5898" s="3"/>
      <c r="I5898" s="3"/>
      <c r="J5898" s="3"/>
    </row>
    <row r="5899" spans="8:10" x14ac:dyDescent="0.3">
      <c r="H5899" s="3"/>
      <c r="I5899" s="3"/>
      <c r="J5899" s="3"/>
    </row>
    <row r="5900" spans="8:10" x14ac:dyDescent="0.3">
      <c r="H5900" s="3"/>
      <c r="I5900" s="3"/>
      <c r="J5900" s="3"/>
    </row>
    <row r="5901" spans="8:10" x14ac:dyDescent="0.3">
      <c r="H5901" s="3"/>
      <c r="I5901" s="3"/>
      <c r="J5901" s="3"/>
    </row>
    <row r="5902" spans="8:10" x14ac:dyDescent="0.3">
      <c r="H5902" s="3"/>
      <c r="I5902" s="3"/>
      <c r="J5902" s="3"/>
    </row>
    <row r="5903" spans="8:10" x14ac:dyDescent="0.3">
      <c r="H5903" s="3"/>
      <c r="I5903" s="3"/>
      <c r="J5903" s="3"/>
    </row>
    <row r="5904" spans="8:10" x14ac:dyDescent="0.3">
      <c r="H5904" s="3"/>
      <c r="I5904" s="3"/>
      <c r="J5904" s="3"/>
    </row>
    <row r="5905" spans="8:10" x14ac:dyDescent="0.3">
      <c r="H5905" s="3"/>
      <c r="I5905" s="3"/>
      <c r="J5905" s="3"/>
    </row>
    <row r="5906" spans="8:10" x14ac:dyDescent="0.3">
      <c r="H5906" s="3"/>
      <c r="I5906" s="3"/>
      <c r="J5906" s="3"/>
    </row>
    <row r="5907" spans="8:10" x14ac:dyDescent="0.3">
      <c r="H5907" s="3"/>
      <c r="I5907" s="3"/>
      <c r="J5907" s="3"/>
    </row>
    <row r="5908" spans="8:10" x14ac:dyDescent="0.3">
      <c r="H5908" s="3"/>
      <c r="I5908" s="3"/>
      <c r="J5908" s="3"/>
    </row>
    <row r="5909" spans="8:10" x14ac:dyDescent="0.3">
      <c r="H5909" s="3"/>
      <c r="I5909" s="3"/>
      <c r="J5909" s="3"/>
    </row>
    <row r="5910" spans="8:10" x14ac:dyDescent="0.3">
      <c r="H5910" s="3"/>
      <c r="I5910" s="3"/>
      <c r="J5910" s="3"/>
    </row>
    <row r="5911" spans="8:10" x14ac:dyDescent="0.3">
      <c r="H5911" s="3"/>
      <c r="I5911" s="3"/>
      <c r="J5911" s="3"/>
    </row>
    <row r="5912" spans="8:10" x14ac:dyDescent="0.3">
      <c r="H5912" s="3"/>
      <c r="I5912" s="3"/>
      <c r="J5912" s="3"/>
    </row>
    <row r="5913" spans="8:10" x14ac:dyDescent="0.3">
      <c r="H5913" s="3"/>
      <c r="I5913" s="3"/>
      <c r="J5913" s="3"/>
    </row>
    <row r="5914" spans="8:10" x14ac:dyDescent="0.3">
      <c r="H5914" s="3"/>
      <c r="I5914" s="3"/>
      <c r="J5914" s="3"/>
    </row>
    <row r="5915" spans="8:10" x14ac:dyDescent="0.3">
      <c r="H5915" s="3"/>
      <c r="I5915" s="3"/>
      <c r="J5915" s="3"/>
    </row>
    <row r="5916" spans="8:10" x14ac:dyDescent="0.3">
      <c r="H5916" s="3"/>
      <c r="I5916" s="3"/>
      <c r="J5916" s="3"/>
    </row>
    <row r="5917" spans="8:10" x14ac:dyDescent="0.3">
      <c r="H5917" s="3"/>
      <c r="I5917" s="3"/>
      <c r="J5917" s="3"/>
    </row>
    <row r="5918" spans="8:10" x14ac:dyDescent="0.3">
      <c r="H5918" s="3"/>
      <c r="I5918" s="3"/>
      <c r="J5918" s="3"/>
    </row>
    <row r="5919" spans="8:10" x14ac:dyDescent="0.3">
      <c r="H5919" s="3"/>
      <c r="I5919" s="3"/>
      <c r="J5919" s="3"/>
    </row>
    <row r="5920" spans="8:10" x14ac:dyDescent="0.3">
      <c r="H5920" s="3"/>
      <c r="I5920" s="3"/>
      <c r="J5920" s="3"/>
    </row>
    <row r="5921" spans="8:10" x14ac:dyDescent="0.3">
      <c r="H5921" s="3"/>
      <c r="I5921" s="3"/>
      <c r="J5921" s="3"/>
    </row>
    <row r="5922" spans="8:10" x14ac:dyDescent="0.3">
      <c r="H5922" s="3"/>
      <c r="I5922" s="3"/>
      <c r="J5922" s="3"/>
    </row>
    <row r="5923" spans="8:10" x14ac:dyDescent="0.3">
      <c r="H5923" s="3"/>
      <c r="I5923" s="3"/>
      <c r="J5923" s="3"/>
    </row>
    <row r="5924" spans="8:10" x14ac:dyDescent="0.3">
      <c r="H5924" s="3"/>
      <c r="I5924" s="3"/>
      <c r="J5924" s="3"/>
    </row>
    <row r="5925" spans="8:10" x14ac:dyDescent="0.3">
      <c r="H5925" s="3"/>
      <c r="I5925" s="3"/>
      <c r="J5925" s="3"/>
    </row>
    <row r="5926" spans="8:10" x14ac:dyDescent="0.3">
      <c r="H5926" s="3"/>
      <c r="I5926" s="3"/>
      <c r="J5926" s="3"/>
    </row>
    <row r="5927" spans="8:10" x14ac:dyDescent="0.3">
      <c r="H5927" s="3"/>
      <c r="I5927" s="3"/>
      <c r="J5927" s="3"/>
    </row>
    <row r="5928" spans="8:10" x14ac:dyDescent="0.3">
      <c r="H5928" s="3"/>
      <c r="I5928" s="3"/>
      <c r="J5928" s="3"/>
    </row>
    <row r="5929" spans="8:10" x14ac:dyDescent="0.3">
      <c r="H5929" s="3"/>
      <c r="I5929" s="3"/>
      <c r="J5929" s="3"/>
    </row>
    <row r="5930" spans="8:10" x14ac:dyDescent="0.3">
      <c r="H5930" s="3"/>
      <c r="I5930" s="3"/>
      <c r="J5930" s="3"/>
    </row>
    <row r="5931" spans="8:10" x14ac:dyDescent="0.3">
      <c r="H5931" s="3"/>
      <c r="I5931" s="3"/>
      <c r="J5931" s="3"/>
    </row>
    <row r="5932" spans="8:10" x14ac:dyDescent="0.3">
      <c r="H5932" s="3"/>
      <c r="I5932" s="3"/>
      <c r="J5932" s="3"/>
    </row>
    <row r="5933" spans="8:10" x14ac:dyDescent="0.3">
      <c r="H5933" s="3"/>
      <c r="I5933" s="3"/>
      <c r="J5933" s="3"/>
    </row>
    <row r="5934" spans="8:10" x14ac:dyDescent="0.3">
      <c r="H5934" s="3"/>
      <c r="I5934" s="3"/>
      <c r="J5934" s="3"/>
    </row>
    <row r="5935" spans="8:10" x14ac:dyDescent="0.3">
      <c r="H5935" s="3"/>
      <c r="I5935" s="3"/>
      <c r="J5935" s="3"/>
    </row>
    <row r="5936" spans="8:10" x14ac:dyDescent="0.3">
      <c r="H5936" s="3"/>
      <c r="I5936" s="3"/>
      <c r="J5936" s="3"/>
    </row>
    <row r="5937" spans="8:10" x14ac:dyDescent="0.3">
      <c r="H5937" s="3"/>
      <c r="I5937" s="3"/>
      <c r="J5937" s="3"/>
    </row>
    <row r="5938" spans="8:10" x14ac:dyDescent="0.3">
      <c r="H5938" s="3"/>
      <c r="I5938" s="3"/>
      <c r="J5938" s="3"/>
    </row>
    <row r="5939" spans="8:10" x14ac:dyDescent="0.3">
      <c r="H5939" s="3"/>
      <c r="I5939" s="3"/>
      <c r="J5939" s="3"/>
    </row>
    <row r="5940" spans="8:10" x14ac:dyDescent="0.3">
      <c r="H5940" s="3"/>
      <c r="I5940" s="3"/>
      <c r="J5940" s="3"/>
    </row>
    <row r="5941" spans="8:10" x14ac:dyDescent="0.3">
      <c r="H5941" s="3"/>
      <c r="I5941" s="3"/>
      <c r="J5941" s="3"/>
    </row>
    <row r="5942" spans="8:10" x14ac:dyDescent="0.3">
      <c r="H5942" s="3"/>
      <c r="I5942" s="3"/>
      <c r="J5942" s="3"/>
    </row>
    <row r="5943" spans="8:10" x14ac:dyDescent="0.3">
      <c r="H5943" s="3"/>
      <c r="I5943" s="3"/>
      <c r="J5943" s="3"/>
    </row>
    <row r="5944" spans="8:10" x14ac:dyDescent="0.3">
      <c r="H5944" s="3"/>
      <c r="I5944" s="3"/>
      <c r="J5944" s="3"/>
    </row>
    <row r="5945" spans="8:10" x14ac:dyDescent="0.3">
      <c r="H5945" s="3"/>
      <c r="I5945" s="3"/>
      <c r="J5945" s="3"/>
    </row>
    <row r="5946" spans="8:10" x14ac:dyDescent="0.3">
      <c r="H5946" s="3"/>
      <c r="I5946" s="3"/>
      <c r="J5946" s="3"/>
    </row>
    <row r="5947" spans="8:10" x14ac:dyDescent="0.3">
      <c r="H5947" s="3"/>
      <c r="I5947" s="3"/>
      <c r="J5947" s="3"/>
    </row>
    <row r="5948" spans="8:10" x14ac:dyDescent="0.3">
      <c r="H5948" s="3"/>
      <c r="I5948" s="3"/>
      <c r="J5948" s="3"/>
    </row>
    <row r="5949" spans="8:10" x14ac:dyDescent="0.3">
      <c r="H5949" s="3"/>
      <c r="I5949" s="3"/>
      <c r="J5949" s="3"/>
    </row>
    <row r="5950" spans="8:10" x14ac:dyDescent="0.3">
      <c r="H5950" s="3"/>
      <c r="I5950" s="3"/>
      <c r="J5950" s="3"/>
    </row>
    <row r="5951" spans="8:10" x14ac:dyDescent="0.3">
      <c r="H5951" s="3"/>
      <c r="I5951" s="3"/>
      <c r="J5951" s="3"/>
    </row>
    <row r="5952" spans="8:10" x14ac:dyDescent="0.3">
      <c r="H5952" s="3"/>
      <c r="I5952" s="3"/>
      <c r="J5952" s="3"/>
    </row>
    <row r="5953" spans="8:10" x14ac:dyDescent="0.3">
      <c r="H5953" s="3"/>
      <c r="I5953" s="3"/>
      <c r="J5953" s="3"/>
    </row>
    <row r="5954" spans="8:10" x14ac:dyDescent="0.3">
      <c r="H5954" s="3"/>
      <c r="I5954" s="3"/>
      <c r="J5954" s="3"/>
    </row>
    <row r="5955" spans="8:10" x14ac:dyDescent="0.3">
      <c r="H5955" s="3"/>
      <c r="I5955" s="3"/>
      <c r="J5955" s="3"/>
    </row>
    <row r="5956" spans="8:10" x14ac:dyDescent="0.3">
      <c r="H5956" s="3"/>
      <c r="I5956" s="3"/>
      <c r="J5956" s="3"/>
    </row>
    <row r="5957" spans="8:10" x14ac:dyDescent="0.3">
      <c r="H5957" s="3"/>
      <c r="I5957" s="3"/>
      <c r="J5957" s="3"/>
    </row>
    <row r="5958" spans="8:10" x14ac:dyDescent="0.3">
      <c r="H5958" s="3"/>
      <c r="I5958" s="3"/>
      <c r="J5958" s="3"/>
    </row>
    <row r="5959" spans="8:10" x14ac:dyDescent="0.3">
      <c r="H5959" s="3"/>
      <c r="I5959" s="3"/>
      <c r="J5959" s="3"/>
    </row>
    <row r="5960" spans="8:10" x14ac:dyDescent="0.3">
      <c r="H5960" s="3"/>
      <c r="I5960" s="3"/>
      <c r="J5960" s="3"/>
    </row>
    <row r="5961" spans="8:10" x14ac:dyDescent="0.3">
      <c r="H5961" s="3"/>
      <c r="I5961" s="3"/>
      <c r="J5961" s="3"/>
    </row>
    <row r="5962" spans="8:10" x14ac:dyDescent="0.3">
      <c r="H5962" s="3"/>
      <c r="I5962" s="3"/>
      <c r="J5962" s="3"/>
    </row>
    <row r="5963" spans="8:10" x14ac:dyDescent="0.3">
      <c r="H5963" s="3"/>
      <c r="I5963" s="3"/>
      <c r="J5963" s="3"/>
    </row>
    <row r="5964" spans="8:10" x14ac:dyDescent="0.3">
      <c r="H5964" s="3"/>
      <c r="I5964" s="3"/>
      <c r="J5964" s="3"/>
    </row>
    <row r="5965" spans="8:10" x14ac:dyDescent="0.3">
      <c r="H5965" s="3"/>
      <c r="I5965" s="3"/>
      <c r="J5965" s="3"/>
    </row>
    <row r="5966" spans="8:10" x14ac:dyDescent="0.3">
      <c r="H5966" s="3"/>
      <c r="I5966" s="3"/>
      <c r="J5966" s="3"/>
    </row>
    <row r="5967" spans="8:10" x14ac:dyDescent="0.3">
      <c r="H5967" s="3"/>
      <c r="I5967" s="3"/>
      <c r="J5967" s="3"/>
    </row>
    <row r="5968" spans="8:10" x14ac:dyDescent="0.3">
      <c r="H5968" s="3"/>
      <c r="I5968" s="3"/>
      <c r="J5968" s="3"/>
    </row>
    <row r="5969" spans="8:10" x14ac:dyDescent="0.3">
      <c r="H5969" s="3"/>
      <c r="I5969" s="3"/>
      <c r="J5969" s="3"/>
    </row>
    <row r="5970" spans="8:10" x14ac:dyDescent="0.3">
      <c r="H5970" s="3"/>
      <c r="I5970" s="3"/>
      <c r="J5970" s="3"/>
    </row>
    <row r="5971" spans="8:10" x14ac:dyDescent="0.3">
      <c r="H5971" s="3"/>
      <c r="I5971" s="3"/>
      <c r="J5971" s="3"/>
    </row>
    <row r="5972" spans="8:10" x14ac:dyDescent="0.3">
      <c r="H5972" s="3"/>
      <c r="I5972" s="3"/>
      <c r="J5972" s="3"/>
    </row>
    <row r="5973" spans="8:10" x14ac:dyDescent="0.3">
      <c r="H5973" s="3"/>
      <c r="I5973" s="3"/>
      <c r="J5973" s="3"/>
    </row>
    <row r="5974" spans="8:10" x14ac:dyDescent="0.3">
      <c r="H5974" s="3"/>
      <c r="I5974" s="3"/>
      <c r="J5974" s="3"/>
    </row>
    <row r="5975" spans="8:10" x14ac:dyDescent="0.3">
      <c r="H5975" s="3"/>
      <c r="I5975" s="3"/>
      <c r="J5975" s="3"/>
    </row>
    <row r="5976" spans="8:10" x14ac:dyDescent="0.3">
      <c r="H5976" s="3"/>
      <c r="I5976" s="3"/>
      <c r="J5976" s="3"/>
    </row>
    <row r="5977" spans="8:10" x14ac:dyDescent="0.3">
      <c r="H5977" s="3"/>
      <c r="I5977" s="3"/>
      <c r="J5977" s="3"/>
    </row>
    <row r="5978" spans="8:10" x14ac:dyDescent="0.3">
      <c r="H5978" s="3"/>
      <c r="I5978" s="3"/>
      <c r="J5978" s="3"/>
    </row>
    <row r="5979" spans="8:10" x14ac:dyDescent="0.3">
      <c r="H5979" s="3"/>
      <c r="I5979" s="3"/>
      <c r="J5979" s="3"/>
    </row>
    <row r="5980" spans="8:10" x14ac:dyDescent="0.3">
      <c r="H5980" s="3"/>
      <c r="I5980" s="3"/>
      <c r="J5980" s="3"/>
    </row>
    <row r="5981" spans="8:10" x14ac:dyDescent="0.3">
      <c r="H5981" s="3"/>
      <c r="I5981" s="3"/>
      <c r="J5981" s="3"/>
    </row>
    <row r="5982" spans="8:10" x14ac:dyDescent="0.3">
      <c r="H5982" s="3"/>
      <c r="I5982" s="3"/>
      <c r="J5982" s="3"/>
    </row>
    <row r="5983" spans="8:10" x14ac:dyDescent="0.3">
      <c r="H5983" s="3"/>
      <c r="I5983" s="3"/>
      <c r="J5983" s="3"/>
    </row>
    <row r="5984" spans="8:10" x14ac:dyDescent="0.3">
      <c r="H5984" s="3"/>
      <c r="I5984" s="3"/>
      <c r="J5984" s="3"/>
    </row>
    <row r="5985" spans="8:10" x14ac:dyDescent="0.3">
      <c r="H5985" s="3"/>
      <c r="I5985" s="3"/>
      <c r="J5985" s="3"/>
    </row>
    <row r="5986" spans="8:10" x14ac:dyDescent="0.3">
      <c r="H5986" s="3"/>
      <c r="I5986" s="3"/>
      <c r="J5986" s="3"/>
    </row>
    <row r="5987" spans="8:10" x14ac:dyDescent="0.3">
      <c r="H5987" s="3"/>
      <c r="I5987" s="3"/>
      <c r="J5987" s="3"/>
    </row>
    <row r="5988" spans="8:10" x14ac:dyDescent="0.3">
      <c r="H5988" s="3"/>
      <c r="I5988" s="3"/>
      <c r="J5988" s="3"/>
    </row>
    <row r="5989" spans="8:10" x14ac:dyDescent="0.3">
      <c r="H5989" s="3"/>
      <c r="I5989" s="3"/>
      <c r="J5989" s="3"/>
    </row>
    <row r="5990" spans="8:10" x14ac:dyDescent="0.3">
      <c r="H5990" s="3"/>
      <c r="I5990" s="3"/>
      <c r="J5990" s="3"/>
    </row>
    <row r="5991" spans="8:10" x14ac:dyDescent="0.3">
      <c r="H5991" s="3"/>
      <c r="I5991" s="3"/>
      <c r="J5991" s="3"/>
    </row>
    <row r="5992" spans="8:10" x14ac:dyDescent="0.3">
      <c r="H5992" s="3"/>
      <c r="I5992" s="3"/>
      <c r="J5992" s="3"/>
    </row>
    <row r="5993" spans="8:10" x14ac:dyDescent="0.3">
      <c r="H5993" s="3"/>
      <c r="I5993" s="3"/>
      <c r="J5993" s="3"/>
    </row>
    <row r="5994" spans="8:10" x14ac:dyDescent="0.3">
      <c r="H5994" s="3"/>
      <c r="I5994" s="3"/>
      <c r="J5994" s="3"/>
    </row>
    <row r="5995" spans="8:10" x14ac:dyDescent="0.3">
      <c r="H5995" s="3"/>
      <c r="I5995" s="3"/>
      <c r="J5995" s="3"/>
    </row>
    <row r="5996" spans="8:10" x14ac:dyDescent="0.3">
      <c r="H5996" s="3"/>
      <c r="I5996" s="3"/>
      <c r="J5996" s="3"/>
    </row>
    <row r="5997" spans="8:10" x14ac:dyDescent="0.3">
      <c r="H5997" s="3"/>
      <c r="I5997" s="3"/>
      <c r="J5997" s="3"/>
    </row>
    <row r="5998" spans="8:10" x14ac:dyDescent="0.3">
      <c r="H5998" s="3"/>
      <c r="I5998" s="3"/>
      <c r="J5998" s="3"/>
    </row>
    <row r="5999" spans="8:10" x14ac:dyDescent="0.3">
      <c r="H5999" s="3"/>
      <c r="I5999" s="3"/>
      <c r="J5999" s="3"/>
    </row>
    <row r="6000" spans="8:10" x14ac:dyDescent="0.3">
      <c r="H6000" s="3"/>
      <c r="I6000" s="3"/>
      <c r="J6000" s="3"/>
    </row>
    <row r="6001" spans="8:10" x14ac:dyDescent="0.3">
      <c r="H6001" s="3"/>
      <c r="I6001" s="3"/>
      <c r="J6001" s="3"/>
    </row>
    <row r="6002" spans="8:10" x14ac:dyDescent="0.3">
      <c r="H6002" s="3"/>
      <c r="I6002" s="3"/>
      <c r="J6002" s="3"/>
    </row>
    <row r="6003" spans="8:10" x14ac:dyDescent="0.3">
      <c r="H6003" s="3"/>
      <c r="I6003" s="3"/>
      <c r="J6003" s="3"/>
    </row>
    <row r="6004" spans="8:10" x14ac:dyDescent="0.3">
      <c r="H6004" s="3"/>
      <c r="I6004" s="3"/>
      <c r="J6004" s="3"/>
    </row>
    <row r="6005" spans="8:10" x14ac:dyDescent="0.3">
      <c r="H6005" s="3"/>
      <c r="I6005" s="3"/>
      <c r="J6005" s="3"/>
    </row>
    <row r="6006" spans="8:10" x14ac:dyDescent="0.3">
      <c r="H6006" s="3"/>
      <c r="I6006" s="3"/>
      <c r="J6006" s="3"/>
    </row>
    <row r="6007" spans="8:10" x14ac:dyDescent="0.3">
      <c r="H6007" s="3"/>
      <c r="I6007" s="3"/>
      <c r="J6007" s="3"/>
    </row>
    <row r="6008" spans="8:10" x14ac:dyDescent="0.3">
      <c r="H6008" s="3"/>
      <c r="I6008" s="3"/>
      <c r="J6008" s="3"/>
    </row>
    <row r="6009" spans="8:10" x14ac:dyDescent="0.3">
      <c r="H6009" s="3"/>
      <c r="I6009" s="3"/>
      <c r="J6009" s="3"/>
    </row>
    <row r="6010" spans="8:10" x14ac:dyDescent="0.3">
      <c r="H6010" s="3"/>
      <c r="I6010" s="3"/>
      <c r="J6010" s="3"/>
    </row>
    <row r="6011" spans="8:10" x14ac:dyDescent="0.3">
      <c r="H6011" s="3"/>
      <c r="I6011" s="3"/>
      <c r="J6011" s="3"/>
    </row>
    <row r="6012" spans="8:10" x14ac:dyDescent="0.3">
      <c r="H6012" s="3"/>
      <c r="I6012" s="3"/>
      <c r="J6012" s="3"/>
    </row>
    <row r="6013" spans="8:10" x14ac:dyDescent="0.3">
      <c r="H6013" s="3"/>
      <c r="I6013" s="3"/>
      <c r="J6013" s="3"/>
    </row>
    <row r="6014" spans="8:10" x14ac:dyDescent="0.3">
      <c r="H6014" s="3"/>
      <c r="I6014" s="3"/>
      <c r="J6014" s="3"/>
    </row>
    <row r="6015" spans="8:10" x14ac:dyDescent="0.3">
      <c r="H6015" s="3"/>
      <c r="I6015" s="3"/>
      <c r="J6015" s="3"/>
    </row>
    <row r="6016" spans="8:10" x14ac:dyDescent="0.3">
      <c r="H6016" s="3"/>
      <c r="I6016" s="3"/>
      <c r="J6016" s="3"/>
    </row>
    <row r="6017" spans="8:10" x14ac:dyDescent="0.3">
      <c r="H6017" s="3"/>
      <c r="I6017" s="3"/>
      <c r="J6017" s="3"/>
    </row>
    <row r="6018" spans="8:10" x14ac:dyDescent="0.3">
      <c r="H6018" s="3"/>
      <c r="I6018" s="3"/>
      <c r="J6018" s="3"/>
    </row>
    <row r="6019" spans="8:10" x14ac:dyDescent="0.3">
      <c r="H6019" s="3"/>
      <c r="I6019" s="3"/>
      <c r="J6019" s="3"/>
    </row>
    <row r="6020" spans="8:10" x14ac:dyDescent="0.3">
      <c r="H6020" s="3"/>
      <c r="I6020" s="3"/>
      <c r="J6020" s="3"/>
    </row>
    <row r="6021" spans="8:10" x14ac:dyDescent="0.3">
      <c r="H6021" s="3"/>
      <c r="I6021" s="3"/>
      <c r="J6021" s="3"/>
    </row>
    <row r="6022" spans="8:10" x14ac:dyDescent="0.3">
      <c r="H6022" s="3"/>
      <c r="I6022" s="3"/>
      <c r="J6022" s="3"/>
    </row>
    <row r="6023" spans="8:10" x14ac:dyDescent="0.3">
      <c r="H6023" s="3"/>
      <c r="I6023" s="3"/>
      <c r="J6023" s="3"/>
    </row>
    <row r="6024" spans="8:10" x14ac:dyDescent="0.3">
      <c r="H6024" s="3"/>
      <c r="I6024" s="3"/>
      <c r="J6024" s="3"/>
    </row>
    <row r="6025" spans="8:10" x14ac:dyDescent="0.3">
      <c r="H6025" s="3"/>
      <c r="I6025" s="3"/>
      <c r="J6025" s="3"/>
    </row>
    <row r="6026" spans="8:10" x14ac:dyDescent="0.3">
      <c r="H6026" s="3"/>
      <c r="I6026" s="3"/>
      <c r="J6026" s="3"/>
    </row>
    <row r="6027" spans="8:10" x14ac:dyDescent="0.3">
      <c r="H6027" s="3"/>
      <c r="I6027" s="3"/>
      <c r="J6027" s="3"/>
    </row>
    <row r="6028" spans="8:10" x14ac:dyDescent="0.3">
      <c r="H6028" s="3"/>
      <c r="I6028" s="3"/>
      <c r="J6028" s="3"/>
    </row>
    <row r="6029" spans="8:10" x14ac:dyDescent="0.3">
      <c r="H6029" s="3"/>
      <c r="I6029" s="3"/>
      <c r="J6029" s="3"/>
    </row>
    <row r="6030" spans="8:10" x14ac:dyDescent="0.3">
      <c r="H6030" s="3"/>
      <c r="I6030" s="3"/>
      <c r="J6030" s="3"/>
    </row>
    <row r="6031" spans="8:10" x14ac:dyDescent="0.3">
      <c r="H6031" s="3"/>
      <c r="I6031" s="3"/>
      <c r="J6031" s="3"/>
    </row>
    <row r="6032" spans="8:10" x14ac:dyDescent="0.3">
      <c r="H6032" s="3"/>
      <c r="I6032" s="3"/>
      <c r="J6032" s="3"/>
    </row>
    <row r="6033" spans="8:10" x14ac:dyDescent="0.3">
      <c r="H6033" s="3"/>
      <c r="I6033" s="3"/>
      <c r="J6033" s="3"/>
    </row>
    <row r="6034" spans="8:10" x14ac:dyDescent="0.3">
      <c r="H6034" s="3"/>
      <c r="I6034" s="3"/>
      <c r="J6034" s="3"/>
    </row>
    <row r="6035" spans="8:10" x14ac:dyDescent="0.3">
      <c r="H6035" s="3"/>
      <c r="I6035" s="3"/>
      <c r="J6035" s="3"/>
    </row>
    <row r="6036" spans="8:10" x14ac:dyDescent="0.3">
      <c r="H6036" s="3"/>
      <c r="I6036" s="3"/>
      <c r="J6036" s="3"/>
    </row>
    <row r="6037" spans="8:10" x14ac:dyDescent="0.3">
      <c r="H6037" s="3"/>
      <c r="I6037" s="3"/>
      <c r="J6037" s="3"/>
    </row>
    <row r="6038" spans="8:10" x14ac:dyDescent="0.3">
      <c r="H6038" s="3"/>
      <c r="I6038" s="3"/>
      <c r="J6038" s="3"/>
    </row>
    <row r="6039" spans="8:10" x14ac:dyDescent="0.3">
      <c r="H6039" s="3"/>
      <c r="I6039" s="3"/>
      <c r="J6039" s="3"/>
    </row>
    <row r="6040" spans="8:10" x14ac:dyDescent="0.3">
      <c r="H6040" s="3"/>
      <c r="I6040" s="3"/>
      <c r="J6040" s="3"/>
    </row>
    <row r="6041" spans="8:10" x14ac:dyDescent="0.3">
      <c r="H6041" s="3"/>
      <c r="I6041" s="3"/>
      <c r="J6041" s="3"/>
    </row>
    <row r="6042" spans="8:10" x14ac:dyDescent="0.3">
      <c r="H6042" s="3"/>
      <c r="I6042" s="3"/>
      <c r="J6042" s="3"/>
    </row>
    <row r="6043" spans="8:10" x14ac:dyDescent="0.3">
      <c r="H6043" s="3"/>
      <c r="I6043" s="3"/>
      <c r="J6043" s="3"/>
    </row>
    <row r="6044" spans="8:10" x14ac:dyDescent="0.3">
      <c r="H6044" s="3"/>
      <c r="I6044" s="3"/>
      <c r="J6044" s="3"/>
    </row>
    <row r="6045" spans="8:10" x14ac:dyDescent="0.3">
      <c r="H6045" s="3"/>
      <c r="I6045" s="3"/>
      <c r="J6045" s="3"/>
    </row>
    <row r="6046" spans="8:10" x14ac:dyDescent="0.3">
      <c r="H6046" s="3"/>
      <c r="I6046" s="3"/>
      <c r="J6046" s="3"/>
    </row>
    <row r="6047" spans="8:10" x14ac:dyDescent="0.3">
      <c r="H6047" s="3"/>
      <c r="I6047" s="3"/>
      <c r="J6047" s="3"/>
    </row>
    <row r="6048" spans="8:10" x14ac:dyDescent="0.3">
      <c r="H6048" s="3"/>
      <c r="I6048" s="3"/>
      <c r="J6048" s="3"/>
    </row>
    <row r="6049" spans="8:10" x14ac:dyDescent="0.3">
      <c r="H6049" s="3"/>
      <c r="I6049" s="3"/>
      <c r="J6049" s="3"/>
    </row>
    <row r="6050" spans="8:10" x14ac:dyDescent="0.3">
      <c r="H6050" s="3"/>
      <c r="I6050" s="3"/>
      <c r="J6050" s="3"/>
    </row>
    <row r="6051" spans="8:10" x14ac:dyDescent="0.3">
      <c r="H6051" s="3"/>
      <c r="I6051" s="3"/>
      <c r="J6051" s="3"/>
    </row>
    <row r="6052" spans="8:10" x14ac:dyDescent="0.3">
      <c r="H6052" s="3"/>
      <c r="I6052" s="3"/>
      <c r="J6052" s="3"/>
    </row>
    <row r="6053" spans="8:10" x14ac:dyDescent="0.3">
      <c r="H6053" s="3"/>
      <c r="I6053" s="3"/>
      <c r="J6053" s="3"/>
    </row>
    <row r="6054" spans="8:10" x14ac:dyDescent="0.3">
      <c r="H6054" s="3"/>
      <c r="I6054" s="3"/>
      <c r="J6054" s="3"/>
    </row>
    <row r="6055" spans="8:10" x14ac:dyDescent="0.3">
      <c r="H6055" s="3"/>
      <c r="I6055" s="3"/>
      <c r="J6055" s="3"/>
    </row>
    <row r="6056" spans="8:10" x14ac:dyDescent="0.3">
      <c r="H6056" s="3"/>
      <c r="I6056" s="3"/>
      <c r="J6056" s="3"/>
    </row>
    <row r="6057" spans="8:10" x14ac:dyDescent="0.3">
      <c r="H6057" s="3"/>
      <c r="I6057" s="3"/>
      <c r="J6057" s="3"/>
    </row>
    <row r="6058" spans="8:10" x14ac:dyDescent="0.3">
      <c r="H6058" s="3"/>
      <c r="I6058" s="3"/>
      <c r="J6058" s="3"/>
    </row>
    <row r="6059" spans="8:10" x14ac:dyDescent="0.3">
      <c r="H6059" s="3"/>
      <c r="I6059" s="3"/>
      <c r="J6059" s="3"/>
    </row>
    <row r="6060" spans="8:10" x14ac:dyDescent="0.3">
      <c r="H6060" s="3"/>
      <c r="I6060" s="3"/>
      <c r="J6060" s="3"/>
    </row>
    <row r="6061" spans="8:10" x14ac:dyDescent="0.3">
      <c r="H6061" s="3"/>
      <c r="I6061" s="3"/>
      <c r="J6061" s="3"/>
    </row>
    <row r="6062" spans="8:10" x14ac:dyDescent="0.3">
      <c r="H6062" s="3"/>
      <c r="I6062" s="3"/>
      <c r="J6062" s="3"/>
    </row>
    <row r="6063" spans="8:10" x14ac:dyDescent="0.3">
      <c r="H6063" s="3"/>
      <c r="I6063" s="3"/>
      <c r="J6063" s="3"/>
    </row>
    <row r="6064" spans="8:10" x14ac:dyDescent="0.3">
      <c r="H6064" s="3"/>
      <c r="I6064" s="3"/>
      <c r="J6064" s="3"/>
    </row>
    <row r="6065" spans="8:10" x14ac:dyDescent="0.3">
      <c r="H6065" s="3"/>
      <c r="I6065" s="3"/>
      <c r="J6065" s="3"/>
    </row>
    <row r="6066" spans="8:10" x14ac:dyDescent="0.3">
      <c r="H6066" s="3"/>
      <c r="I6066" s="3"/>
      <c r="J6066" s="3"/>
    </row>
    <row r="6067" spans="8:10" x14ac:dyDescent="0.3">
      <c r="H6067" s="3"/>
      <c r="I6067" s="3"/>
      <c r="J6067" s="3"/>
    </row>
    <row r="6068" spans="8:10" x14ac:dyDescent="0.3">
      <c r="H6068" s="3"/>
      <c r="I6068" s="3"/>
      <c r="J6068" s="3"/>
    </row>
    <row r="6069" spans="8:10" x14ac:dyDescent="0.3">
      <c r="H6069" s="3"/>
      <c r="I6069" s="3"/>
      <c r="J6069" s="3"/>
    </row>
    <row r="6070" spans="8:10" x14ac:dyDescent="0.3">
      <c r="H6070" s="3"/>
      <c r="I6070" s="3"/>
      <c r="J6070" s="3"/>
    </row>
    <row r="6071" spans="8:10" x14ac:dyDescent="0.3">
      <c r="H6071" s="3"/>
      <c r="I6071" s="3"/>
      <c r="J6071" s="3"/>
    </row>
    <row r="6072" spans="8:10" x14ac:dyDescent="0.3">
      <c r="H6072" s="3"/>
      <c r="I6072" s="3"/>
      <c r="J6072" s="3"/>
    </row>
    <row r="6073" spans="8:10" x14ac:dyDescent="0.3">
      <c r="H6073" s="3"/>
      <c r="I6073" s="3"/>
      <c r="J6073" s="3"/>
    </row>
    <row r="6074" spans="8:10" x14ac:dyDescent="0.3">
      <c r="H6074" s="3"/>
      <c r="I6074" s="3"/>
      <c r="J6074" s="3"/>
    </row>
    <row r="6075" spans="8:10" x14ac:dyDescent="0.3">
      <c r="H6075" s="3"/>
      <c r="I6075" s="3"/>
      <c r="J6075" s="3"/>
    </row>
    <row r="6076" spans="8:10" x14ac:dyDescent="0.3">
      <c r="H6076" s="3"/>
      <c r="I6076" s="3"/>
      <c r="J6076" s="3"/>
    </row>
    <row r="6077" spans="8:10" x14ac:dyDescent="0.3">
      <c r="H6077" s="3"/>
      <c r="I6077" s="3"/>
      <c r="J6077" s="3"/>
    </row>
    <row r="6078" spans="8:10" x14ac:dyDescent="0.3">
      <c r="H6078" s="3"/>
      <c r="I6078" s="3"/>
      <c r="J6078" s="3"/>
    </row>
    <row r="6079" spans="8:10" x14ac:dyDescent="0.3">
      <c r="H6079" s="3"/>
      <c r="I6079" s="3"/>
      <c r="J6079" s="3"/>
    </row>
    <row r="6080" spans="8:10" x14ac:dyDescent="0.3">
      <c r="H6080" s="3"/>
      <c r="I6080" s="3"/>
      <c r="J6080" s="3"/>
    </row>
    <row r="6081" spans="8:10" x14ac:dyDescent="0.3">
      <c r="H6081" s="3"/>
      <c r="I6081" s="3"/>
      <c r="J6081" s="3"/>
    </row>
    <row r="6082" spans="8:10" x14ac:dyDescent="0.3">
      <c r="H6082" s="3"/>
      <c r="I6082" s="3"/>
      <c r="J6082" s="3"/>
    </row>
    <row r="6083" spans="8:10" x14ac:dyDescent="0.3">
      <c r="H6083" s="3"/>
      <c r="I6083" s="3"/>
      <c r="J6083" s="3"/>
    </row>
    <row r="6084" spans="8:10" x14ac:dyDescent="0.3">
      <c r="H6084" s="3"/>
      <c r="I6084" s="3"/>
      <c r="J6084" s="3"/>
    </row>
    <row r="6085" spans="8:10" x14ac:dyDescent="0.3">
      <c r="H6085" s="3"/>
      <c r="I6085" s="3"/>
      <c r="J6085" s="3"/>
    </row>
    <row r="6086" spans="8:10" x14ac:dyDescent="0.3">
      <c r="H6086" s="3"/>
      <c r="I6086" s="3"/>
      <c r="J6086" s="3"/>
    </row>
    <row r="6087" spans="8:10" x14ac:dyDescent="0.3">
      <c r="H6087" s="3"/>
      <c r="I6087" s="3"/>
      <c r="J6087" s="3"/>
    </row>
    <row r="6088" spans="8:10" x14ac:dyDescent="0.3">
      <c r="H6088" s="3"/>
      <c r="I6088" s="3"/>
      <c r="J6088" s="3"/>
    </row>
    <row r="6089" spans="8:10" x14ac:dyDescent="0.3">
      <c r="H6089" s="3"/>
      <c r="I6089" s="3"/>
      <c r="J6089" s="3"/>
    </row>
    <row r="6090" spans="8:10" x14ac:dyDescent="0.3">
      <c r="H6090" s="3"/>
      <c r="I6090" s="3"/>
      <c r="J6090" s="3"/>
    </row>
    <row r="6091" spans="8:10" x14ac:dyDescent="0.3">
      <c r="H6091" s="3"/>
      <c r="I6091" s="3"/>
      <c r="J6091" s="3"/>
    </row>
    <row r="6092" spans="8:10" x14ac:dyDescent="0.3">
      <c r="H6092" s="3"/>
      <c r="I6092" s="3"/>
      <c r="J6092" s="3"/>
    </row>
    <row r="6093" spans="8:10" x14ac:dyDescent="0.3">
      <c r="H6093" s="3"/>
      <c r="I6093" s="3"/>
      <c r="J6093" s="3"/>
    </row>
    <row r="6094" spans="8:10" x14ac:dyDescent="0.3">
      <c r="H6094" s="3"/>
      <c r="I6094" s="3"/>
      <c r="J6094" s="3"/>
    </row>
    <row r="6095" spans="8:10" x14ac:dyDescent="0.3">
      <c r="H6095" s="3"/>
      <c r="I6095" s="3"/>
      <c r="J6095" s="3"/>
    </row>
    <row r="6096" spans="8:10" x14ac:dyDescent="0.3">
      <c r="H6096" s="3"/>
      <c r="I6096" s="3"/>
      <c r="J6096" s="3"/>
    </row>
    <row r="6097" spans="8:10" x14ac:dyDescent="0.3">
      <c r="H6097" s="3"/>
      <c r="I6097" s="3"/>
      <c r="J6097" s="3"/>
    </row>
    <row r="6098" spans="8:10" x14ac:dyDescent="0.3">
      <c r="H6098" s="3"/>
      <c r="I6098" s="3"/>
      <c r="J6098" s="3"/>
    </row>
    <row r="6099" spans="8:10" x14ac:dyDescent="0.3">
      <c r="H6099" s="3"/>
      <c r="I6099" s="3"/>
      <c r="J6099" s="3"/>
    </row>
    <row r="6100" spans="8:10" x14ac:dyDescent="0.3">
      <c r="H6100" s="3"/>
      <c r="I6100" s="3"/>
      <c r="J6100" s="3"/>
    </row>
    <row r="6101" spans="8:10" x14ac:dyDescent="0.3">
      <c r="H6101" s="3"/>
      <c r="I6101" s="3"/>
      <c r="J6101" s="3"/>
    </row>
    <row r="6102" spans="8:10" x14ac:dyDescent="0.3">
      <c r="H6102" s="3"/>
      <c r="I6102" s="3"/>
      <c r="J6102" s="3"/>
    </row>
    <row r="6103" spans="8:10" x14ac:dyDescent="0.3">
      <c r="H6103" s="3"/>
      <c r="I6103" s="3"/>
      <c r="J6103" s="3"/>
    </row>
    <row r="6104" spans="8:10" x14ac:dyDescent="0.3">
      <c r="H6104" s="3"/>
      <c r="I6104" s="3"/>
      <c r="J6104" s="3"/>
    </row>
    <row r="6105" spans="8:10" x14ac:dyDescent="0.3">
      <c r="H6105" s="3"/>
      <c r="I6105" s="3"/>
      <c r="J6105" s="3"/>
    </row>
    <row r="6106" spans="8:10" x14ac:dyDescent="0.3">
      <c r="H6106" s="3"/>
      <c r="I6106" s="3"/>
      <c r="J6106" s="3"/>
    </row>
    <row r="6107" spans="8:10" x14ac:dyDescent="0.3">
      <c r="H6107" s="3"/>
      <c r="I6107" s="3"/>
      <c r="J6107" s="3"/>
    </row>
    <row r="6108" spans="8:10" x14ac:dyDescent="0.3">
      <c r="H6108" s="3"/>
      <c r="I6108" s="3"/>
      <c r="J6108" s="3"/>
    </row>
    <row r="6109" spans="8:10" x14ac:dyDescent="0.3">
      <c r="H6109" s="3"/>
      <c r="I6109" s="3"/>
      <c r="J6109" s="3"/>
    </row>
    <row r="6110" spans="8:10" x14ac:dyDescent="0.3">
      <c r="H6110" s="3"/>
      <c r="I6110" s="3"/>
      <c r="J6110" s="3"/>
    </row>
    <row r="6111" spans="8:10" x14ac:dyDescent="0.3">
      <c r="H6111" s="3"/>
      <c r="I6111" s="3"/>
      <c r="J6111" s="3"/>
    </row>
    <row r="6112" spans="8:10" x14ac:dyDescent="0.3">
      <c r="H6112" s="3"/>
      <c r="I6112" s="3"/>
      <c r="J6112" s="3"/>
    </row>
    <row r="6113" spans="8:10" x14ac:dyDescent="0.3">
      <c r="H6113" s="3"/>
      <c r="I6113" s="3"/>
      <c r="J6113" s="3"/>
    </row>
    <row r="6114" spans="8:10" x14ac:dyDescent="0.3">
      <c r="H6114" s="3"/>
      <c r="I6114" s="3"/>
      <c r="J6114" s="3"/>
    </row>
    <row r="6115" spans="8:10" x14ac:dyDescent="0.3">
      <c r="H6115" s="3"/>
      <c r="I6115" s="3"/>
      <c r="J6115" s="3"/>
    </row>
    <row r="6116" spans="8:10" x14ac:dyDescent="0.3">
      <c r="H6116" s="3"/>
      <c r="I6116" s="3"/>
      <c r="J6116" s="3"/>
    </row>
    <row r="6117" spans="8:10" x14ac:dyDescent="0.3">
      <c r="H6117" s="3"/>
      <c r="I6117" s="3"/>
      <c r="J6117" s="3"/>
    </row>
    <row r="6118" spans="8:10" x14ac:dyDescent="0.3">
      <c r="H6118" s="3"/>
      <c r="I6118" s="3"/>
      <c r="J6118" s="3"/>
    </row>
    <row r="6119" spans="8:10" x14ac:dyDescent="0.3">
      <c r="H6119" s="3"/>
      <c r="I6119" s="3"/>
      <c r="J6119" s="3"/>
    </row>
    <row r="6120" spans="8:10" x14ac:dyDescent="0.3">
      <c r="H6120" s="3"/>
      <c r="I6120" s="3"/>
      <c r="J6120" s="3"/>
    </row>
    <row r="6121" spans="8:10" x14ac:dyDescent="0.3">
      <c r="H6121" s="3"/>
      <c r="I6121" s="3"/>
      <c r="J6121" s="3"/>
    </row>
    <row r="6122" spans="8:10" x14ac:dyDescent="0.3">
      <c r="H6122" s="3"/>
      <c r="I6122" s="3"/>
      <c r="J6122" s="3"/>
    </row>
    <row r="6123" spans="8:10" x14ac:dyDescent="0.3">
      <c r="H6123" s="3"/>
      <c r="I6123" s="3"/>
      <c r="J6123" s="3"/>
    </row>
    <row r="6124" spans="8:10" x14ac:dyDescent="0.3">
      <c r="H6124" s="3"/>
      <c r="I6124" s="3"/>
      <c r="J6124" s="3"/>
    </row>
    <row r="6125" spans="8:10" x14ac:dyDescent="0.3">
      <c r="H6125" s="3"/>
      <c r="I6125" s="3"/>
      <c r="J6125" s="3"/>
    </row>
    <row r="6126" spans="8:10" x14ac:dyDescent="0.3">
      <c r="H6126" s="3"/>
      <c r="I6126" s="3"/>
      <c r="J6126" s="3"/>
    </row>
    <row r="6127" spans="8:10" x14ac:dyDescent="0.3">
      <c r="H6127" s="3"/>
      <c r="I6127" s="3"/>
      <c r="J6127" s="3"/>
    </row>
    <row r="6128" spans="8:10" x14ac:dyDescent="0.3">
      <c r="H6128" s="3"/>
      <c r="I6128" s="3"/>
      <c r="J6128" s="3"/>
    </row>
    <row r="6129" spans="8:10" x14ac:dyDescent="0.3">
      <c r="H6129" s="3"/>
      <c r="I6129" s="3"/>
      <c r="J6129" s="3"/>
    </row>
    <row r="6130" spans="8:10" x14ac:dyDescent="0.3">
      <c r="H6130" s="3"/>
      <c r="I6130" s="3"/>
      <c r="J6130" s="3"/>
    </row>
    <row r="6131" spans="8:10" x14ac:dyDescent="0.3">
      <c r="H6131" s="3"/>
      <c r="I6131" s="3"/>
      <c r="J6131" s="3"/>
    </row>
    <row r="6132" spans="8:10" x14ac:dyDescent="0.3">
      <c r="H6132" s="3"/>
      <c r="I6132" s="3"/>
      <c r="J6132" s="3"/>
    </row>
    <row r="6133" spans="8:10" x14ac:dyDescent="0.3">
      <c r="H6133" s="3"/>
      <c r="I6133" s="3"/>
      <c r="J6133" s="3"/>
    </row>
    <row r="6134" spans="8:10" x14ac:dyDescent="0.3">
      <c r="H6134" s="3"/>
      <c r="I6134" s="3"/>
      <c r="J6134" s="3"/>
    </row>
    <row r="6135" spans="8:10" x14ac:dyDescent="0.3">
      <c r="H6135" s="3"/>
      <c r="I6135" s="3"/>
      <c r="J6135" s="3"/>
    </row>
    <row r="6136" spans="8:10" x14ac:dyDescent="0.3">
      <c r="H6136" s="3"/>
      <c r="I6136" s="3"/>
      <c r="J6136" s="3"/>
    </row>
    <row r="6137" spans="8:10" x14ac:dyDescent="0.3">
      <c r="H6137" s="3"/>
      <c r="I6137" s="3"/>
      <c r="J6137" s="3"/>
    </row>
    <row r="6138" spans="8:10" x14ac:dyDescent="0.3">
      <c r="H6138" s="3"/>
      <c r="I6138" s="3"/>
      <c r="J6138" s="3"/>
    </row>
    <row r="6139" spans="8:10" x14ac:dyDescent="0.3">
      <c r="H6139" s="3"/>
      <c r="I6139" s="3"/>
      <c r="J6139" s="3"/>
    </row>
    <row r="6140" spans="8:10" x14ac:dyDescent="0.3">
      <c r="H6140" s="3"/>
      <c r="I6140" s="3"/>
      <c r="J6140" s="3"/>
    </row>
    <row r="6141" spans="8:10" x14ac:dyDescent="0.3">
      <c r="H6141" s="3"/>
      <c r="I6141" s="3"/>
      <c r="J6141" s="3"/>
    </row>
    <row r="6142" spans="8:10" x14ac:dyDescent="0.3">
      <c r="H6142" s="3"/>
      <c r="I6142" s="3"/>
      <c r="J6142" s="3"/>
    </row>
    <row r="6143" spans="8:10" x14ac:dyDescent="0.3">
      <c r="H6143" s="3"/>
      <c r="I6143" s="3"/>
      <c r="J6143" s="3"/>
    </row>
    <row r="6144" spans="8:10" x14ac:dyDescent="0.3">
      <c r="H6144" s="3"/>
      <c r="I6144" s="3"/>
      <c r="J6144" s="3"/>
    </row>
    <row r="6145" spans="8:10" x14ac:dyDescent="0.3">
      <c r="H6145" s="3"/>
      <c r="I6145" s="3"/>
      <c r="J6145" s="3"/>
    </row>
    <row r="6146" spans="8:10" x14ac:dyDescent="0.3">
      <c r="H6146" s="3"/>
      <c r="I6146" s="3"/>
      <c r="J6146" s="3"/>
    </row>
    <row r="6147" spans="8:10" x14ac:dyDescent="0.3">
      <c r="H6147" s="3"/>
      <c r="I6147" s="3"/>
      <c r="J6147" s="3"/>
    </row>
    <row r="6148" spans="8:10" x14ac:dyDescent="0.3">
      <c r="H6148" s="3"/>
      <c r="I6148" s="3"/>
      <c r="J6148" s="3"/>
    </row>
    <row r="6149" spans="8:10" x14ac:dyDescent="0.3">
      <c r="H6149" s="3"/>
      <c r="I6149" s="3"/>
      <c r="J6149" s="3"/>
    </row>
    <row r="6150" spans="8:10" x14ac:dyDescent="0.3">
      <c r="H6150" s="3"/>
      <c r="I6150" s="3"/>
      <c r="J6150" s="3"/>
    </row>
    <row r="6151" spans="8:10" x14ac:dyDescent="0.3">
      <c r="H6151" s="3"/>
      <c r="I6151" s="3"/>
      <c r="J6151" s="3"/>
    </row>
    <row r="6152" spans="8:10" x14ac:dyDescent="0.3">
      <c r="H6152" s="3"/>
      <c r="I6152" s="3"/>
      <c r="J6152" s="3"/>
    </row>
    <row r="6153" spans="8:10" x14ac:dyDescent="0.3">
      <c r="H6153" s="3"/>
      <c r="I6153" s="3"/>
      <c r="J6153" s="3"/>
    </row>
    <row r="6154" spans="8:10" x14ac:dyDescent="0.3">
      <c r="H6154" s="3"/>
      <c r="I6154" s="3"/>
      <c r="J6154" s="3"/>
    </row>
    <row r="6155" spans="8:10" x14ac:dyDescent="0.3">
      <c r="H6155" s="3"/>
      <c r="I6155" s="3"/>
      <c r="J6155" s="3"/>
    </row>
    <row r="6156" spans="8:10" x14ac:dyDescent="0.3">
      <c r="H6156" s="3"/>
      <c r="I6156" s="3"/>
      <c r="J6156" s="3"/>
    </row>
    <row r="6157" spans="8:10" x14ac:dyDescent="0.3">
      <c r="H6157" s="3"/>
      <c r="I6157" s="3"/>
      <c r="J6157" s="3"/>
    </row>
    <row r="6158" spans="8:10" x14ac:dyDescent="0.3">
      <c r="H6158" s="3"/>
      <c r="I6158" s="3"/>
      <c r="J6158" s="3"/>
    </row>
    <row r="6159" spans="8:10" x14ac:dyDescent="0.3">
      <c r="H6159" s="3"/>
      <c r="I6159" s="3"/>
      <c r="J6159" s="3"/>
    </row>
    <row r="6160" spans="8:10" x14ac:dyDescent="0.3">
      <c r="H6160" s="3"/>
      <c r="I6160" s="3"/>
      <c r="J6160" s="3"/>
    </row>
    <row r="6161" spans="8:10" x14ac:dyDescent="0.3">
      <c r="H6161" s="3"/>
      <c r="I6161" s="3"/>
      <c r="J6161" s="3"/>
    </row>
    <row r="6162" spans="8:10" x14ac:dyDescent="0.3">
      <c r="H6162" s="3"/>
      <c r="I6162" s="3"/>
      <c r="J6162" s="3"/>
    </row>
    <row r="6163" spans="8:10" x14ac:dyDescent="0.3">
      <c r="H6163" s="3"/>
      <c r="I6163" s="3"/>
      <c r="J6163" s="3"/>
    </row>
    <row r="6164" spans="8:10" x14ac:dyDescent="0.3">
      <c r="H6164" s="3"/>
      <c r="I6164" s="3"/>
      <c r="J6164" s="3"/>
    </row>
    <row r="6165" spans="8:10" x14ac:dyDescent="0.3">
      <c r="H6165" s="3"/>
      <c r="I6165" s="3"/>
      <c r="J6165" s="3"/>
    </row>
    <row r="6166" spans="8:10" x14ac:dyDescent="0.3">
      <c r="H6166" s="3"/>
      <c r="I6166" s="3"/>
      <c r="J6166" s="3"/>
    </row>
    <row r="6167" spans="8:10" x14ac:dyDescent="0.3">
      <c r="H6167" s="3"/>
      <c r="I6167" s="3"/>
      <c r="J6167" s="3"/>
    </row>
    <row r="6168" spans="8:10" x14ac:dyDescent="0.3">
      <c r="H6168" s="3"/>
      <c r="I6168" s="3"/>
      <c r="J6168" s="3"/>
    </row>
    <row r="6169" spans="8:10" x14ac:dyDescent="0.3">
      <c r="H6169" s="3"/>
      <c r="I6169" s="3"/>
      <c r="J6169" s="3"/>
    </row>
    <row r="6170" spans="8:10" x14ac:dyDescent="0.3">
      <c r="H6170" s="3"/>
      <c r="I6170" s="3"/>
      <c r="J6170" s="3"/>
    </row>
    <row r="6171" spans="8:10" x14ac:dyDescent="0.3">
      <c r="H6171" s="3"/>
      <c r="I6171" s="3"/>
      <c r="J6171" s="3"/>
    </row>
    <row r="6172" spans="8:10" x14ac:dyDescent="0.3">
      <c r="H6172" s="3"/>
      <c r="I6172" s="3"/>
      <c r="J6172" s="3"/>
    </row>
    <row r="6173" spans="8:10" x14ac:dyDescent="0.3">
      <c r="H6173" s="3"/>
      <c r="I6173" s="3"/>
      <c r="J6173" s="3"/>
    </row>
    <row r="6174" spans="8:10" x14ac:dyDescent="0.3">
      <c r="H6174" s="3"/>
      <c r="I6174" s="3"/>
      <c r="J6174" s="3"/>
    </row>
    <row r="6175" spans="8:10" x14ac:dyDescent="0.3">
      <c r="H6175" s="3"/>
      <c r="I6175" s="3"/>
      <c r="J6175" s="3"/>
    </row>
    <row r="6176" spans="8:10" x14ac:dyDescent="0.3">
      <c r="H6176" s="3"/>
      <c r="I6176" s="3"/>
      <c r="J6176" s="3"/>
    </row>
    <row r="6177" spans="8:10" x14ac:dyDescent="0.3">
      <c r="H6177" s="3"/>
      <c r="I6177" s="3"/>
      <c r="J6177" s="3"/>
    </row>
    <row r="6178" spans="8:10" x14ac:dyDescent="0.3">
      <c r="H6178" s="3"/>
      <c r="I6178" s="3"/>
      <c r="J6178" s="3"/>
    </row>
    <row r="6179" spans="8:10" x14ac:dyDescent="0.3">
      <c r="H6179" s="3"/>
      <c r="I6179" s="3"/>
      <c r="J6179" s="3"/>
    </row>
    <row r="6180" spans="8:10" x14ac:dyDescent="0.3">
      <c r="H6180" s="3"/>
      <c r="I6180" s="3"/>
      <c r="J6180" s="3"/>
    </row>
    <row r="6181" spans="8:10" x14ac:dyDescent="0.3">
      <c r="H6181" s="3"/>
      <c r="I6181" s="3"/>
      <c r="J6181" s="3"/>
    </row>
    <row r="6182" spans="8:10" x14ac:dyDescent="0.3">
      <c r="H6182" s="3"/>
      <c r="I6182" s="3"/>
      <c r="J6182" s="3"/>
    </row>
    <row r="6183" spans="8:10" x14ac:dyDescent="0.3">
      <c r="H6183" s="3"/>
      <c r="I6183" s="3"/>
      <c r="J6183" s="3"/>
    </row>
    <row r="6184" spans="8:10" x14ac:dyDescent="0.3">
      <c r="H6184" s="3"/>
      <c r="I6184" s="3"/>
      <c r="J6184" s="3"/>
    </row>
    <row r="6185" spans="8:10" x14ac:dyDescent="0.3">
      <c r="H6185" s="3"/>
      <c r="I6185" s="3"/>
      <c r="J6185" s="3"/>
    </row>
    <row r="6186" spans="8:10" x14ac:dyDescent="0.3">
      <c r="H6186" s="3"/>
      <c r="I6186" s="3"/>
      <c r="J6186" s="3"/>
    </row>
    <row r="6187" spans="8:10" x14ac:dyDescent="0.3">
      <c r="H6187" s="3"/>
      <c r="I6187" s="3"/>
      <c r="J6187" s="3"/>
    </row>
    <row r="6188" spans="8:10" x14ac:dyDescent="0.3">
      <c r="H6188" s="3"/>
      <c r="I6188" s="3"/>
      <c r="J6188" s="3"/>
    </row>
    <row r="6189" spans="8:10" x14ac:dyDescent="0.3">
      <c r="H6189" s="3"/>
      <c r="I6189" s="3"/>
      <c r="J6189" s="3"/>
    </row>
    <row r="6190" spans="8:10" x14ac:dyDescent="0.3">
      <c r="H6190" s="3"/>
      <c r="I6190" s="3"/>
      <c r="J6190" s="3"/>
    </row>
    <row r="6191" spans="8:10" x14ac:dyDescent="0.3">
      <c r="H6191" s="3"/>
      <c r="I6191" s="3"/>
      <c r="J6191" s="3"/>
    </row>
    <row r="6192" spans="8:10" x14ac:dyDescent="0.3">
      <c r="H6192" s="3"/>
      <c r="I6192" s="3"/>
      <c r="J6192" s="3"/>
    </row>
    <row r="6193" spans="8:10" x14ac:dyDescent="0.3">
      <c r="H6193" s="3"/>
      <c r="I6193" s="3"/>
      <c r="J6193" s="3"/>
    </row>
    <row r="6194" spans="8:10" x14ac:dyDescent="0.3">
      <c r="H6194" s="3"/>
      <c r="I6194" s="3"/>
      <c r="J6194" s="3"/>
    </row>
    <row r="6195" spans="8:10" x14ac:dyDescent="0.3">
      <c r="H6195" s="3"/>
      <c r="I6195" s="3"/>
      <c r="J6195" s="3"/>
    </row>
    <row r="6196" spans="8:10" x14ac:dyDescent="0.3">
      <c r="H6196" s="3"/>
      <c r="I6196" s="3"/>
      <c r="J6196" s="3"/>
    </row>
    <row r="6197" spans="8:10" x14ac:dyDescent="0.3">
      <c r="H6197" s="3"/>
      <c r="I6197" s="3"/>
      <c r="J6197" s="3"/>
    </row>
    <row r="6198" spans="8:10" x14ac:dyDescent="0.3">
      <c r="H6198" s="3"/>
      <c r="I6198" s="3"/>
      <c r="J6198" s="3"/>
    </row>
    <row r="6199" spans="8:10" x14ac:dyDescent="0.3">
      <c r="H6199" s="3"/>
      <c r="I6199" s="3"/>
      <c r="J6199" s="3"/>
    </row>
    <row r="6200" spans="8:10" x14ac:dyDescent="0.3">
      <c r="H6200" s="3"/>
      <c r="I6200" s="3"/>
      <c r="J6200" s="3"/>
    </row>
    <row r="6201" spans="8:10" x14ac:dyDescent="0.3">
      <c r="H6201" s="3"/>
      <c r="I6201" s="3"/>
      <c r="J6201" s="3"/>
    </row>
    <row r="6202" spans="8:10" x14ac:dyDescent="0.3">
      <c r="H6202" s="3"/>
      <c r="I6202" s="3"/>
      <c r="J6202" s="3"/>
    </row>
    <row r="6203" spans="8:10" x14ac:dyDescent="0.3">
      <c r="H6203" s="3"/>
      <c r="I6203" s="3"/>
      <c r="J6203" s="3"/>
    </row>
    <row r="6204" spans="8:10" x14ac:dyDescent="0.3">
      <c r="H6204" s="3"/>
      <c r="I6204" s="3"/>
      <c r="J6204" s="3"/>
    </row>
    <row r="6205" spans="8:10" x14ac:dyDescent="0.3">
      <c r="H6205" s="3"/>
      <c r="I6205" s="3"/>
      <c r="J6205" s="3"/>
    </row>
    <row r="6206" spans="8:10" x14ac:dyDescent="0.3">
      <c r="H6206" s="3"/>
      <c r="I6206" s="3"/>
      <c r="J6206" s="3"/>
    </row>
    <row r="6207" spans="8:10" x14ac:dyDescent="0.3">
      <c r="H6207" s="3"/>
      <c r="I6207" s="3"/>
      <c r="J6207" s="3"/>
    </row>
    <row r="6208" spans="8:10" x14ac:dyDescent="0.3">
      <c r="H6208" s="3"/>
      <c r="I6208" s="3"/>
      <c r="J6208" s="3"/>
    </row>
    <row r="6209" spans="8:10" x14ac:dyDescent="0.3">
      <c r="H6209" s="3"/>
      <c r="I6209" s="3"/>
      <c r="J6209" s="3"/>
    </row>
    <row r="6210" spans="8:10" x14ac:dyDescent="0.3">
      <c r="H6210" s="3"/>
      <c r="I6210" s="3"/>
      <c r="J6210" s="3"/>
    </row>
    <row r="6211" spans="8:10" x14ac:dyDescent="0.3">
      <c r="H6211" s="3"/>
      <c r="I6211" s="3"/>
      <c r="J6211" s="3"/>
    </row>
    <row r="6212" spans="8:10" x14ac:dyDescent="0.3">
      <c r="H6212" s="3"/>
      <c r="I6212" s="3"/>
      <c r="J6212" s="3"/>
    </row>
    <row r="6213" spans="8:10" x14ac:dyDescent="0.3">
      <c r="H6213" s="3"/>
      <c r="I6213" s="3"/>
      <c r="J6213" s="3"/>
    </row>
    <row r="6214" spans="8:10" x14ac:dyDescent="0.3">
      <c r="H6214" s="3"/>
      <c r="I6214" s="3"/>
      <c r="J6214" s="3"/>
    </row>
    <row r="6215" spans="8:10" x14ac:dyDescent="0.3">
      <c r="H6215" s="3"/>
      <c r="I6215" s="3"/>
      <c r="J6215" s="3"/>
    </row>
    <row r="6216" spans="8:10" x14ac:dyDescent="0.3">
      <c r="H6216" s="3"/>
      <c r="I6216" s="3"/>
      <c r="J6216" s="3"/>
    </row>
    <row r="6217" spans="8:10" x14ac:dyDescent="0.3">
      <c r="H6217" s="3"/>
      <c r="I6217" s="3"/>
      <c r="J6217" s="3"/>
    </row>
    <row r="6218" spans="8:10" x14ac:dyDescent="0.3">
      <c r="H6218" s="3"/>
      <c r="I6218" s="3"/>
      <c r="J6218" s="3"/>
    </row>
    <row r="6219" spans="8:10" x14ac:dyDescent="0.3">
      <c r="H6219" s="3"/>
      <c r="I6219" s="3"/>
      <c r="J6219" s="3"/>
    </row>
    <row r="6220" spans="8:10" x14ac:dyDescent="0.3">
      <c r="H6220" s="3"/>
      <c r="I6220" s="3"/>
      <c r="J6220" s="3"/>
    </row>
    <row r="6221" spans="8:10" x14ac:dyDescent="0.3">
      <c r="H6221" s="3"/>
      <c r="I6221" s="3"/>
      <c r="J6221" s="3"/>
    </row>
    <row r="6222" spans="8:10" x14ac:dyDescent="0.3">
      <c r="H6222" s="3"/>
      <c r="I6222" s="3"/>
      <c r="J6222" s="3"/>
    </row>
    <row r="6223" spans="8:10" x14ac:dyDescent="0.3">
      <c r="H6223" s="3"/>
      <c r="I6223" s="3"/>
      <c r="J6223" s="3"/>
    </row>
    <row r="6224" spans="8:10" x14ac:dyDescent="0.3">
      <c r="H6224" s="3"/>
      <c r="I6224" s="3"/>
      <c r="J6224" s="3"/>
    </row>
    <row r="6225" spans="8:10" x14ac:dyDescent="0.3">
      <c r="H6225" s="3"/>
      <c r="I6225" s="3"/>
      <c r="J6225" s="3"/>
    </row>
    <row r="6226" spans="8:10" x14ac:dyDescent="0.3">
      <c r="H6226" s="3"/>
      <c r="I6226" s="3"/>
      <c r="J6226" s="3"/>
    </row>
    <row r="6227" spans="8:10" x14ac:dyDescent="0.3">
      <c r="H6227" s="3"/>
      <c r="I6227" s="3"/>
      <c r="J6227" s="3"/>
    </row>
    <row r="6228" spans="8:10" x14ac:dyDescent="0.3">
      <c r="H6228" s="3"/>
      <c r="I6228" s="3"/>
      <c r="J6228" s="3"/>
    </row>
    <row r="6229" spans="8:10" x14ac:dyDescent="0.3">
      <c r="H6229" s="3"/>
      <c r="I6229" s="3"/>
      <c r="J6229" s="3"/>
    </row>
    <row r="6230" spans="8:10" x14ac:dyDescent="0.3">
      <c r="H6230" s="3"/>
      <c r="I6230" s="3"/>
      <c r="J6230" s="3"/>
    </row>
    <row r="6231" spans="8:10" x14ac:dyDescent="0.3">
      <c r="H6231" s="3"/>
      <c r="I6231" s="3"/>
      <c r="J6231" s="3"/>
    </row>
    <row r="6232" spans="8:10" x14ac:dyDescent="0.3">
      <c r="H6232" s="3"/>
      <c r="I6232" s="3"/>
      <c r="J6232" s="3"/>
    </row>
    <row r="6233" spans="8:10" x14ac:dyDescent="0.3">
      <c r="H6233" s="3"/>
      <c r="I6233" s="3"/>
      <c r="J6233" s="3"/>
    </row>
    <row r="6234" spans="8:10" x14ac:dyDescent="0.3">
      <c r="H6234" s="3"/>
      <c r="I6234" s="3"/>
      <c r="J6234" s="3"/>
    </row>
    <row r="6235" spans="8:10" x14ac:dyDescent="0.3">
      <c r="H6235" s="3"/>
      <c r="I6235" s="3"/>
      <c r="J6235" s="3"/>
    </row>
    <row r="6236" spans="8:10" x14ac:dyDescent="0.3">
      <c r="H6236" s="3"/>
      <c r="I6236" s="3"/>
      <c r="J6236" s="3"/>
    </row>
    <row r="6237" spans="8:10" x14ac:dyDescent="0.3">
      <c r="H6237" s="3"/>
      <c r="I6237" s="3"/>
      <c r="J6237" s="3"/>
    </row>
    <row r="6238" spans="8:10" x14ac:dyDescent="0.3">
      <c r="H6238" s="3"/>
      <c r="I6238" s="3"/>
      <c r="J6238" s="3"/>
    </row>
    <row r="6239" spans="8:10" x14ac:dyDescent="0.3">
      <c r="H6239" s="3"/>
      <c r="I6239" s="3"/>
      <c r="J6239" s="3"/>
    </row>
    <row r="6240" spans="8:10" x14ac:dyDescent="0.3">
      <c r="H6240" s="3"/>
      <c r="I6240" s="3"/>
      <c r="J6240" s="3"/>
    </row>
    <row r="6241" spans="8:10" x14ac:dyDescent="0.3">
      <c r="H6241" s="3"/>
      <c r="I6241" s="3"/>
      <c r="J6241" s="3"/>
    </row>
    <row r="6242" spans="8:10" x14ac:dyDescent="0.3">
      <c r="H6242" s="3"/>
      <c r="I6242" s="3"/>
      <c r="J6242" s="3"/>
    </row>
    <row r="6243" spans="8:10" x14ac:dyDescent="0.3">
      <c r="H6243" s="3"/>
      <c r="I6243" s="3"/>
      <c r="J6243" s="3"/>
    </row>
    <row r="6244" spans="8:10" x14ac:dyDescent="0.3">
      <c r="H6244" s="3"/>
      <c r="I6244" s="3"/>
      <c r="J6244" s="3"/>
    </row>
    <row r="6245" spans="8:10" x14ac:dyDescent="0.3">
      <c r="H6245" s="3"/>
      <c r="I6245" s="3"/>
      <c r="J6245" s="3"/>
    </row>
    <row r="6246" spans="8:10" x14ac:dyDescent="0.3">
      <c r="H6246" s="3"/>
      <c r="I6246" s="3"/>
      <c r="J6246" s="3"/>
    </row>
    <row r="6247" spans="8:10" x14ac:dyDescent="0.3">
      <c r="H6247" s="3"/>
      <c r="I6247" s="3"/>
      <c r="J6247" s="3"/>
    </row>
    <row r="6248" spans="8:10" x14ac:dyDescent="0.3">
      <c r="H6248" s="3"/>
      <c r="I6248" s="3"/>
      <c r="J6248" s="3"/>
    </row>
    <row r="6249" spans="8:10" x14ac:dyDescent="0.3">
      <c r="H6249" s="3"/>
      <c r="I6249" s="3"/>
      <c r="J6249" s="3"/>
    </row>
    <row r="6250" spans="8:10" x14ac:dyDescent="0.3">
      <c r="H6250" s="3"/>
      <c r="I6250" s="3"/>
      <c r="J6250" s="3"/>
    </row>
    <row r="6251" spans="8:10" x14ac:dyDescent="0.3">
      <c r="H6251" s="3"/>
      <c r="I6251" s="3"/>
      <c r="J6251" s="3"/>
    </row>
    <row r="6252" spans="8:10" x14ac:dyDescent="0.3">
      <c r="H6252" s="3"/>
      <c r="I6252" s="3"/>
      <c r="J6252" s="3"/>
    </row>
    <row r="6253" spans="8:10" x14ac:dyDescent="0.3">
      <c r="H6253" s="3"/>
      <c r="I6253" s="3"/>
      <c r="J6253" s="3"/>
    </row>
    <row r="6254" spans="8:10" x14ac:dyDescent="0.3">
      <c r="H6254" s="3"/>
      <c r="I6254" s="3"/>
      <c r="J6254" s="3"/>
    </row>
    <row r="6255" spans="8:10" x14ac:dyDescent="0.3">
      <c r="H6255" s="3"/>
      <c r="I6255" s="3"/>
      <c r="J6255" s="3"/>
    </row>
    <row r="6256" spans="8:10" x14ac:dyDescent="0.3">
      <c r="H6256" s="3"/>
      <c r="I6256" s="3"/>
      <c r="J6256" s="3"/>
    </row>
    <row r="6257" spans="8:10" x14ac:dyDescent="0.3">
      <c r="H6257" s="3"/>
      <c r="I6257" s="3"/>
      <c r="J6257" s="3"/>
    </row>
    <row r="6258" spans="8:10" x14ac:dyDescent="0.3">
      <c r="H6258" s="3"/>
      <c r="I6258" s="3"/>
      <c r="J6258" s="3"/>
    </row>
    <row r="6259" spans="8:10" x14ac:dyDescent="0.3">
      <c r="H6259" s="3"/>
      <c r="I6259" s="3"/>
      <c r="J6259" s="3"/>
    </row>
    <row r="6260" spans="8:10" x14ac:dyDescent="0.3">
      <c r="H6260" s="3"/>
      <c r="I6260" s="3"/>
      <c r="J6260" s="3"/>
    </row>
    <row r="6261" spans="8:10" x14ac:dyDescent="0.3">
      <c r="H6261" s="3"/>
      <c r="I6261" s="3"/>
      <c r="J6261" s="3"/>
    </row>
    <row r="6262" spans="8:10" x14ac:dyDescent="0.3">
      <c r="H6262" s="3"/>
      <c r="I6262" s="3"/>
      <c r="J6262" s="3"/>
    </row>
    <row r="6263" spans="8:10" x14ac:dyDescent="0.3">
      <c r="H6263" s="3"/>
      <c r="I6263" s="3"/>
      <c r="J6263" s="3"/>
    </row>
    <row r="6264" spans="8:10" x14ac:dyDescent="0.3">
      <c r="H6264" s="3"/>
      <c r="I6264" s="3"/>
      <c r="J6264" s="3"/>
    </row>
    <row r="6265" spans="8:10" x14ac:dyDescent="0.3">
      <c r="H6265" s="3"/>
      <c r="I6265" s="3"/>
      <c r="J6265" s="3"/>
    </row>
    <row r="6266" spans="8:10" x14ac:dyDescent="0.3">
      <c r="H6266" s="3"/>
      <c r="I6266" s="3"/>
      <c r="J6266" s="3"/>
    </row>
    <row r="6267" spans="8:10" x14ac:dyDescent="0.3">
      <c r="H6267" s="3"/>
      <c r="I6267" s="3"/>
      <c r="J6267" s="3"/>
    </row>
    <row r="6268" spans="8:10" x14ac:dyDescent="0.3">
      <c r="H6268" s="3"/>
      <c r="I6268" s="3"/>
      <c r="J6268" s="3"/>
    </row>
    <row r="6269" spans="8:10" x14ac:dyDescent="0.3">
      <c r="H6269" s="3"/>
      <c r="I6269" s="3"/>
      <c r="J6269" s="3"/>
    </row>
    <row r="6270" spans="8:10" x14ac:dyDescent="0.3">
      <c r="H6270" s="3"/>
      <c r="I6270" s="3"/>
      <c r="J6270" s="3"/>
    </row>
    <row r="6271" spans="8:10" x14ac:dyDescent="0.3">
      <c r="H6271" s="3"/>
      <c r="I6271" s="3"/>
      <c r="J6271" s="3"/>
    </row>
    <row r="6272" spans="8:10" x14ac:dyDescent="0.3">
      <c r="H6272" s="3"/>
      <c r="I6272" s="3"/>
      <c r="J6272" s="3"/>
    </row>
    <row r="6273" spans="8:10" x14ac:dyDescent="0.3">
      <c r="H6273" s="3"/>
      <c r="I6273" s="3"/>
      <c r="J6273" s="3"/>
    </row>
    <row r="6274" spans="8:10" x14ac:dyDescent="0.3">
      <c r="H6274" s="3"/>
      <c r="I6274" s="3"/>
      <c r="J6274" s="3"/>
    </row>
    <row r="6275" spans="8:10" x14ac:dyDescent="0.3">
      <c r="H6275" s="3"/>
      <c r="I6275" s="3"/>
      <c r="J6275" s="3"/>
    </row>
    <row r="6276" spans="8:10" x14ac:dyDescent="0.3">
      <c r="H6276" s="3"/>
      <c r="I6276" s="3"/>
      <c r="J6276" s="3"/>
    </row>
    <row r="6277" spans="8:10" x14ac:dyDescent="0.3">
      <c r="H6277" s="3"/>
      <c r="I6277" s="3"/>
      <c r="J6277" s="3"/>
    </row>
    <row r="6278" spans="8:10" x14ac:dyDescent="0.3">
      <c r="H6278" s="3"/>
      <c r="I6278" s="3"/>
      <c r="J6278" s="3"/>
    </row>
    <row r="6279" spans="8:10" x14ac:dyDescent="0.3">
      <c r="H6279" s="3"/>
      <c r="I6279" s="3"/>
      <c r="J6279" s="3"/>
    </row>
    <row r="6280" spans="8:10" x14ac:dyDescent="0.3">
      <c r="H6280" s="3"/>
      <c r="I6280" s="3"/>
      <c r="J6280" s="3"/>
    </row>
    <row r="6281" spans="8:10" x14ac:dyDescent="0.3">
      <c r="H6281" s="3"/>
      <c r="I6281" s="3"/>
      <c r="J6281" s="3"/>
    </row>
    <row r="6282" spans="8:10" x14ac:dyDescent="0.3">
      <c r="H6282" s="3"/>
      <c r="I6282" s="3"/>
      <c r="J6282" s="3"/>
    </row>
    <row r="6283" spans="8:10" x14ac:dyDescent="0.3">
      <c r="H6283" s="3"/>
      <c r="I6283" s="3"/>
      <c r="J6283" s="3"/>
    </row>
    <row r="6284" spans="8:10" x14ac:dyDescent="0.3">
      <c r="H6284" s="3"/>
      <c r="I6284" s="3"/>
      <c r="J6284" s="3"/>
    </row>
    <row r="6285" spans="8:10" x14ac:dyDescent="0.3">
      <c r="H6285" s="3"/>
      <c r="I6285" s="3"/>
      <c r="J6285" s="3"/>
    </row>
    <row r="6286" spans="8:10" x14ac:dyDescent="0.3">
      <c r="H6286" s="3"/>
      <c r="I6286" s="3"/>
      <c r="J6286" s="3"/>
    </row>
    <row r="6287" spans="8:10" x14ac:dyDescent="0.3">
      <c r="H6287" s="3"/>
      <c r="I6287" s="3"/>
      <c r="J6287" s="3"/>
    </row>
    <row r="6288" spans="8:10" x14ac:dyDescent="0.3">
      <c r="H6288" s="3"/>
      <c r="I6288" s="3"/>
      <c r="J6288" s="3"/>
    </row>
    <row r="6289" spans="8:10" x14ac:dyDescent="0.3">
      <c r="H6289" s="3"/>
      <c r="I6289" s="3"/>
      <c r="J6289" s="3"/>
    </row>
    <row r="6290" spans="8:10" x14ac:dyDescent="0.3">
      <c r="H6290" s="3"/>
      <c r="I6290" s="3"/>
      <c r="J6290" s="3"/>
    </row>
    <row r="6291" spans="8:10" x14ac:dyDescent="0.3">
      <c r="H6291" s="3"/>
      <c r="I6291" s="3"/>
      <c r="J6291" s="3"/>
    </row>
    <row r="6292" spans="8:10" x14ac:dyDescent="0.3">
      <c r="H6292" s="3"/>
      <c r="I6292" s="3"/>
      <c r="J6292" s="3"/>
    </row>
    <row r="6293" spans="8:10" x14ac:dyDescent="0.3">
      <c r="H6293" s="3"/>
      <c r="I6293" s="3"/>
      <c r="J6293" s="3"/>
    </row>
    <row r="6294" spans="8:10" x14ac:dyDescent="0.3">
      <c r="H6294" s="3"/>
      <c r="I6294" s="3"/>
      <c r="J6294" s="3"/>
    </row>
    <row r="6295" spans="8:10" x14ac:dyDescent="0.3">
      <c r="H6295" s="3"/>
      <c r="I6295" s="3"/>
      <c r="J6295" s="3"/>
    </row>
    <row r="6296" spans="8:10" x14ac:dyDescent="0.3">
      <c r="H6296" s="3"/>
      <c r="I6296" s="3"/>
      <c r="J6296" s="3"/>
    </row>
    <row r="6297" spans="8:10" x14ac:dyDescent="0.3">
      <c r="H6297" s="3"/>
      <c r="I6297" s="3"/>
      <c r="J6297" s="3"/>
    </row>
    <row r="6298" spans="8:10" x14ac:dyDescent="0.3">
      <c r="H6298" s="3"/>
      <c r="I6298" s="3"/>
      <c r="J6298" s="3"/>
    </row>
    <row r="6299" spans="8:10" x14ac:dyDescent="0.3">
      <c r="H6299" s="3"/>
      <c r="I6299" s="3"/>
      <c r="J6299" s="3"/>
    </row>
    <row r="6300" spans="8:10" x14ac:dyDescent="0.3">
      <c r="H6300" s="3"/>
      <c r="I6300" s="3"/>
      <c r="J6300" s="3"/>
    </row>
    <row r="6301" spans="8:10" x14ac:dyDescent="0.3">
      <c r="H6301" s="3"/>
      <c r="I6301" s="3"/>
      <c r="J6301" s="3"/>
    </row>
    <row r="6302" spans="8:10" x14ac:dyDescent="0.3">
      <c r="H6302" s="3"/>
      <c r="I6302" s="3"/>
      <c r="J6302" s="3"/>
    </row>
    <row r="6303" spans="8:10" x14ac:dyDescent="0.3">
      <c r="H6303" s="3"/>
      <c r="I6303" s="3"/>
      <c r="J6303" s="3"/>
    </row>
    <row r="6304" spans="8:10" x14ac:dyDescent="0.3">
      <c r="H6304" s="3"/>
      <c r="I6304" s="3"/>
      <c r="J6304" s="3"/>
    </row>
    <row r="6305" spans="8:10" x14ac:dyDescent="0.3">
      <c r="H6305" s="3"/>
      <c r="I6305" s="3"/>
      <c r="J6305" s="3"/>
    </row>
    <row r="6306" spans="8:10" x14ac:dyDescent="0.3">
      <c r="H6306" s="3"/>
      <c r="I6306" s="3"/>
      <c r="J6306" s="3"/>
    </row>
    <row r="6307" spans="8:10" x14ac:dyDescent="0.3">
      <c r="H6307" s="3"/>
      <c r="I6307" s="3"/>
      <c r="J6307" s="3"/>
    </row>
    <row r="6308" spans="8:10" x14ac:dyDescent="0.3">
      <c r="H6308" s="3"/>
      <c r="I6308" s="3"/>
      <c r="J6308" s="3"/>
    </row>
    <row r="6309" spans="8:10" x14ac:dyDescent="0.3">
      <c r="H6309" s="3"/>
      <c r="I6309" s="3"/>
      <c r="J6309" s="3"/>
    </row>
    <row r="6310" spans="8:10" x14ac:dyDescent="0.3">
      <c r="H6310" s="3"/>
      <c r="I6310" s="3"/>
      <c r="J6310" s="3"/>
    </row>
    <row r="6311" spans="8:10" x14ac:dyDescent="0.3">
      <c r="H6311" s="3"/>
      <c r="I6311" s="3"/>
      <c r="J6311" s="3"/>
    </row>
    <row r="6312" spans="8:10" x14ac:dyDescent="0.3">
      <c r="H6312" s="3"/>
      <c r="I6312" s="3"/>
      <c r="J6312" s="3"/>
    </row>
    <row r="6313" spans="8:10" x14ac:dyDescent="0.3">
      <c r="H6313" s="3"/>
      <c r="I6313" s="3"/>
      <c r="J6313" s="3"/>
    </row>
    <row r="6314" spans="8:10" x14ac:dyDescent="0.3">
      <c r="H6314" s="3"/>
      <c r="I6314" s="3"/>
      <c r="J6314" s="3"/>
    </row>
    <row r="6315" spans="8:10" x14ac:dyDescent="0.3">
      <c r="H6315" s="3"/>
      <c r="I6315" s="3"/>
      <c r="J6315" s="3"/>
    </row>
    <row r="6316" spans="8:10" x14ac:dyDescent="0.3">
      <c r="H6316" s="3"/>
      <c r="I6316" s="3"/>
      <c r="J6316" s="3"/>
    </row>
    <row r="6317" spans="8:10" x14ac:dyDescent="0.3">
      <c r="H6317" s="3"/>
      <c r="I6317" s="3"/>
      <c r="J6317" s="3"/>
    </row>
    <row r="6318" spans="8:10" x14ac:dyDescent="0.3">
      <c r="H6318" s="3"/>
      <c r="I6318" s="3"/>
      <c r="J6318" s="3"/>
    </row>
    <row r="6319" spans="8:10" x14ac:dyDescent="0.3">
      <c r="H6319" s="3"/>
      <c r="I6319" s="3"/>
      <c r="J6319" s="3"/>
    </row>
    <row r="6320" spans="8:10" x14ac:dyDescent="0.3">
      <c r="H6320" s="3"/>
      <c r="I6320" s="3"/>
      <c r="J6320" s="3"/>
    </row>
    <row r="6321" spans="8:10" x14ac:dyDescent="0.3">
      <c r="H6321" s="3"/>
      <c r="I6321" s="3"/>
      <c r="J6321" s="3"/>
    </row>
    <row r="6322" spans="8:10" x14ac:dyDescent="0.3">
      <c r="H6322" s="3"/>
      <c r="I6322" s="3"/>
      <c r="J6322" s="3"/>
    </row>
    <row r="6323" spans="8:10" x14ac:dyDescent="0.3">
      <c r="H6323" s="3"/>
      <c r="I6323" s="3"/>
      <c r="J6323" s="3"/>
    </row>
    <row r="6324" spans="8:10" x14ac:dyDescent="0.3">
      <c r="H6324" s="3"/>
      <c r="I6324" s="3"/>
      <c r="J6324" s="3"/>
    </row>
    <row r="6325" spans="8:10" x14ac:dyDescent="0.3">
      <c r="H6325" s="3"/>
      <c r="I6325" s="3"/>
      <c r="J6325" s="3"/>
    </row>
    <row r="6326" spans="8:10" x14ac:dyDescent="0.3">
      <c r="H6326" s="3"/>
      <c r="I6326" s="3"/>
      <c r="J6326" s="3"/>
    </row>
    <row r="6327" spans="8:10" x14ac:dyDescent="0.3">
      <c r="H6327" s="3"/>
      <c r="I6327" s="3"/>
      <c r="J6327" s="3"/>
    </row>
    <row r="6328" spans="8:10" x14ac:dyDescent="0.3">
      <c r="H6328" s="3"/>
      <c r="I6328" s="3"/>
      <c r="J6328" s="3"/>
    </row>
    <row r="6329" spans="8:10" x14ac:dyDescent="0.3">
      <c r="H6329" s="3"/>
      <c r="I6329" s="3"/>
      <c r="J6329" s="3"/>
    </row>
    <row r="6330" spans="8:10" x14ac:dyDescent="0.3">
      <c r="H6330" s="3"/>
      <c r="I6330" s="3"/>
      <c r="J6330" s="3"/>
    </row>
    <row r="6331" spans="8:10" x14ac:dyDescent="0.3">
      <c r="H6331" s="3"/>
      <c r="I6331" s="3"/>
      <c r="J6331" s="3"/>
    </row>
    <row r="6332" spans="8:10" x14ac:dyDescent="0.3">
      <c r="H6332" s="3"/>
      <c r="I6332" s="3"/>
      <c r="J6332" s="3"/>
    </row>
    <row r="6333" spans="8:10" x14ac:dyDescent="0.3">
      <c r="H6333" s="3"/>
      <c r="I6333" s="3"/>
      <c r="J6333" s="3"/>
    </row>
    <row r="6334" spans="8:10" x14ac:dyDescent="0.3">
      <c r="H6334" s="3"/>
      <c r="I6334" s="3"/>
      <c r="J6334" s="3"/>
    </row>
    <row r="6335" spans="8:10" x14ac:dyDescent="0.3">
      <c r="H6335" s="3"/>
      <c r="I6335" s="3"/>
      <c r="J6335" s="3"/>
    </row>
    <row r="6336" spans="8:10" x14ac:dyDescent="0.3">
      <c r="H6336" s="3"/>
      <c r="I6336" s="3"/>
      <c r="J6336" s="3"/>
    </row>
    <row r="6337" spans="8:10" x14ac:dyDescent="0.3">
      <c r="H6337" s="3"/>
      <c r="I6337" s="3"/>
      <c r="J6337" s="3"/>
    </row>
    <row r="6338" spans="8:10" x14ac:dyDescent="0.3">
      <c r="H6338" s="3"/>
      <c r="I6338" s="3"/>
      <c r="J6338" s="3"/>
    </row>
    <row r="6339" spans="8:10" x14ac:dyDescent="0.3">
      <c r="H6339" s="3"/>
      <c r="I6339" s="3"/>
      <c r="J6339" s="3"/>
    </row>
    <row r="6340" spans="8:10" x14ac:dyDescent="0.3">
      <c r="H6340" s="3"/>
      <c r="I6340" s="3"/>
      <c r="J6340" s="3"/>
    </row>
    <row r="6341" spans="8:10" x14ac:dyDescent="0.3">
      <c r="H6341" s="3"/>
      <c r="I6341" s="3"/>
      <c r="J6341" s="3"/>
    </row>
    <row r="6342" spans="8:10" x14ac:dyDescent="0.3">
      <c r="H6342" s="3"/>
      <c r="I6342" s="3"/>
      <c r="J6342" s="3"/>
    </row>
    <row r="6343" spans="8:10" x14ac:dyDescent="0.3">
      <c r="H6343" s="3"/>
      <c r="I6343" s="3"/>
      <c r="J6343" s="3"/>
    </row>
    <row r="6344" spans="8:10" x14ac:dyDescent="0.3">
      <c r="H6344" s="3"/>
      <c r="I6344" s="3"/>
      <c r="J6344" s="3"/>
    </row>
    <row r="6345" spans="8:10" x14ac:dyDescent="0.3">
      <c r="H6345" s="3"/>
      <c r="I6345" s="3"/>
      <c r="J6345" s="3"/>
    </row>
    <row r="6346" spans="8:10" x14ac:dyDescent="0.3">
      <c r="H6346" s="3"/>
      <c r="I6346" s="3"/>
      <c r="J6346" s="3"/>
    </row>
    <row r="6347" spans="8:10" x14ac:dyDescent="0.3">
      <c r="H6347" s="3"/>
      <c r="I6347" s="3"/>
      <c r="J6347" s="3"/>
    </row>
    <row r="6348" spans="8:10" x14ac:dyDescent="0.3">
      <c r="H6348" s="3"/>
      <c r="I6348" s="3"/>
      <c r="J6348" s="3"/>
    </row>
    <row r="6349" spans="8:10" x14ac:dyDescent="0.3">
      <c r="H6349" s="3"/>
      <c r="I6349" s="3"/>
      <c r="J6349" s="3"/>
    </row>
    <row r="6350" spans="8:10" x14ac:dyDescent="0.3">
      <c r="H6350" s="3"/>
      <c r="I6350" s="3"/>
      <c r="J6350" s="3"/>
    </row>
    <row r="6351" spans="8:10" x14ac:dyDescent="0.3">
      <c r="H6351" s="3"/>
      <c r="I6351" s="3"/>
      <c r="J6351" s="3"/>
    </row>
    <row r="6352" spans="8:10" x14ac:dyDescent="0.3">
      <c r="H6352" s="3"/>
      <c r="I6352" s="3"/>
      <c r="J6352" s="3"/>
    </row>
    <row r="6353" spans="8:10" x14ac:dyDescent="0.3">
      <c r="H6353" s="3"/>
      <c r="I6353" s="3"/>
      <c r="J6353" s="3"/>
    </row>
    <row r="6354" spans="8:10" x14ac:dyDescent="0.3">
      <c r="H6354" s="3"/>
      <c r="I6354" s="3"/>
      <c r="J6354" s="3"/>
    </row>
    <row r="6355" spans="8:10" x14ac:dyDescent="0.3">
      <c r="H6355" s="3"/>
      <c r="I6355" s="3"/>
      <c r="J6355" s="3"/>
    </row>
    <row r="6356" spans="8:10" x14ac:dyDescent="0.3">
      <c r="H6356" s="3"/>
      <c r="I6356" s="3"/>
      <c r="J6356" s="3"/>
    </row>
    <row r="6357" spans="8:10" x14ac:dyDescent="0.3">
      <c r="H6357" s="3"/>
      <c r="I6357" s="3"/>
      <c r="J6357" s="3"/>
    </row>
    <row r="6358" spans="8:10" x14ac:dyDescent="0.3">
      <c r="H6358" s="3"/>
      <c r="I6358" s="3"/>
      <c r="J6358" s="3"/>
    </row>
    <row r="6359" spans="8:10" x14ac:dyDescent="0.3">
      <c r="H6359" s="3"/>
      <c r="I6359" s="3"/>
      <c r="J6359" s="3"/>
    </row>
    <row r="6360" spans="8:10" x14ac:dyDescent="0.3">
      <c r="H6360" s="3"/>
      <c r="I6360" s="3"/>
      <c r="J6360" s="3"/>
    </row>
    <row r="6361" spans="8:10" x14ac:dyDescent="0.3">
      <c r="H6361" s="3"/>
      <c r="I6361" s="3"/>
      <c r="J6361" s="3"/>
    </row>
    <row r="6362" spans="8:10" x14ac:dyDescent="0.3">
      <c r="H6362" s="3"/>
      <c r="I6362" s="3"/>
      <c r="J6362" s="3"/>
    </row>
    <row r="6363" spans="8:10" x14ac:dyDescent="0.3">
      <c r="H6363" s="3"/>
      <c r="I6363" s="3"/>
      <c r="J6363" s="3"/>
    </row>
    <row r="6364" spans="8:10" x14ac:dyDescent="0.3">
      <c r="H6364" s="3"/>
      <c r="I6364" s="3"/>
      <c r="J6364" s="3"/>
    </row>
    <row r="6365" spans="8:10" x14ac:dyDescent="0.3">
      <c r="H6365" s="3"/>
      <c r="I6365" s="3"/>
      <c r="J6365" s="3"/>
    </row>
    <row r="6366" spans="8:10" x14ac:dyDescent="0.3">
      <c r="H6366" s="3"/>
      <c r="I6366" s="3"/>
      <c r="J6366" s="3"/>
    </row>
    <row r="6367" spans="8:10" x14ac:dyDescent="0.3">
      <c r="H6367" s="3"/>
      <c r="I6367" s="3"/>
      <c r="J6367" s="3"/>
    </row>
    <row r="6368" spans="8:10" x14ac:dyDescent="0.3">
      <c r="H6368" s="3"/>
      <c r="I6368" s="3"/>
      <c r="J6368" s="3"/>
    </row>
    <row r="6369" spans="8:10" x14ac:dyDescent="0.3">
      <c r="H6369" s="3"/>
      <c r="I6369" s="3"/>
      <c r="J6369" s="3"/>
    </row>
    <row r="6370" spans="8:10" x14ac:dyDescent="0.3">
      <c r="H6370" s="3"/>
      <c r="I6370" s="3"/>
      <c r="J6370" s="3"/>
    </row>
    <row r="6371" spans="8:10" x14ac:dyDescent="0.3">
      <c r="H6371" s="3"/>
      <c r="I6371" s="3"/>
      <c r="J6371" s="3"/>
    </row>
    <row r="6372" spans="8:10" x14ac:dyDescent="0.3">
      <c r="H6372" s="3"/>
      <c r="I6372" s="3"/>
      <c r="J6372" s="3"/>
    </row>
    <row r="6373" spans="8:10" x14ac:dyDescent="0.3">
      <c r="H6373" s="3"/>
      <c r="I6373" s="3"/>
      <c r="J6373" s="3"/>
    </row>
    <row r="6374" spans="8:10" x14ac:dyDescent="0.3">
      <c r="H6374" s="3"/>
      <c r="I6374" s="3"/>
      <c r="J6374" s="3"/>
    </row>
    <row r="6375" spans="8:10" x14ac:dyDescent="0.3">
      <c r="H6375" s="3"/>
      <c r="I6375" s="3"/>
      <c r="J6375" s="3"/>
    </row>
    <row r="6376" spans="8:10" x14ac:dyDescent="0.3">
      <c r="H6376" s="3"/>
      <c r="I6376" s="3"/>
      <c r="J6376" s="3"/>
    </row>
    <row r="6377" spans="8:10" x14ac:dyDescent="0.3">
      <c r="H6377" s="3"/>
      <c r="I6377" s="3"/>
      <c r="J6377" s="3"/>
    </row>
    <row r="6378" spans="8:10" x14ac:dyDescent="0.3">
      <c r="H6378" s="3"/>
      <c r="I6378" s="3"/>
      <c r="J6378" s="3"/>
    </row>
    <row r="6379" spans="8:10" x14ac:dyDescent="0.3">
      <c r="H6379" s="3"/>
      <c r="I6379" s="3"/>
      <c r="J6379" s="3"/>
    </row>
    <row r="6380" spans="8:10" x14ac:dyDescent="0.3">
      <c r="H6380" s="3"/>
      <c r="I6380" s="3"/>
      <c r="J6380" s="3"/>
    </row>
    <row r="6381" spans="8:10" x14ac:dyDescent="0.3">
      <c r="H6381" s="3"/>
      <c r="I6381" s="3"/>
      <c r="J6381" s="3"/>
    </row>
    <row r="6382" spans="8:10" x14ac:dyDescent="0.3">
      <c r="H6382" s="3"/>
      <c r="I6382" s="3"/>
      <c r="J6382" s="3"/>
    </row>
    <row r="6383" spans="8:10" x14ac:dyDescent="0.3">
      <c r="H6383" s="3"/>
      <c r="I6383" s="3"/>
      <c r="J6383" s="3"/>
    </row>
    <row r="6384" spans="8:10" x14ac:dyDescent="0.3">
      <c r="H6384" s="3"/>
      <c r="I6384" s="3"/>
      <c r="J6384" s="3"/>
    </row>
    <row r="6385" spans="8:10" x14ac:dyDescent="0.3">
      <c r="H6385" s="3"/>
      <c r="I6385" s="3"/>
      <c r="J6385" s="3"/>
    </row>
    <row r="6386" spans="8:10" x14ac:dyDescent="0.3">
      <c r="H6386" s="3"/>
      <c r="I6386" s="3"/>
      <c r="J6386" s="3"/>
    </row>
    <row r="6387" spans="8:10" x14ac:dyDescent="0.3">
      <c r="H6387" s="3"/>
      <c r="I6387" s="3"/>
      <c r="J6387" s="3"/>
    </row>
    <row r="6388" spans="8:10" x14ac:dyDescent="0.3">
      <c r="H6388" s="3"/>
      <c r="I6388" s="3"/>
      <c r="J6388" s="3"/>
    </row>
    <row r="6389" spans="8:10" x14ac:dyDescent="0.3">
      <c r="H6389" s="3"/>
      <c r="I6389" s="3"/>
      <c r="J6389" s="3"/>
    </row>
    <row r="6390" spans="8:10" x14ac:dyDescent="0.3">
      <c r="H6390" s="3"/>
      <c r="I6390" s="3"/>
      <c r="J6390" s="3"/>
    </row>
    <row r="6391" spans="8:10" x14ac:dyDescent="0.3">
      <c r="H6391" s="3"/>
      <c r="I6391" s="3"/>
      <c r="J6391" s="3"/>
    </row>
    <row r="6392" spans="8:10" x14ac:dyDescent="0.3">
      <c r="H6392" s="3"/>
      <c r="I6392" s="3"/>
      <c r="J6392" s="3"/>
    </row>
    <row r="6393" spans="8:10" x14ac:dyDescent="0.3">
      <c r="H6393" s="3"/>
      <c r="I6393" s="3"/>
      <c r="J6393" s="3"/>
    </row>
    <row r="6394" spans="8:10" x14ac:dyDescent="0.3">
      <c r="H6394" s="3"/>
      <c r="I6394" s="3"/>
      <c r="J6394" s="3"/>
    </row>
    <row r="6395" spans="8:10" x14ac:dyDescent="0.3">
      <c r="H6395" s="3"/>
      <c r="I6395" s="3"/>
      <c r="J6395" s="3"/>
    </row>
    <row r="6396" spans="8:10" x14ac:dyDescent="0.3">
      <c r="H6396" s="3"/>
      <c r="I6396" s="3"/>
      <c r="J6396" s="3"/>
    </row>
    <row r="6397" spans="8:10" x14ac:dyDescent="0.3">
      <c r="H6397" s="3"/>
      <c r="I6397" s="3"/>
      <c r="J6397" s="3"/>
    </row>
    <row r="6398" spans="8:10" x14ac:dyDescent="0.3">
      <c r="H6398" s="3"/>
      <c r="I6398" s="3"/>
      <c r="J6398" s="3"/>
    </row>
    <row r="6399" spans="8:10" x14ac:dyDescent="0.3">
      <c r="H6399" s="3"/>
      <c r="I6399" s="3"/>
      <c r="J6399" s="3"/>
    </row>
    <row r="6400" spans="8:10" x14ac:dyDescent="0.3">
      <c r="H6400" s="3"/>
      <c r="I6400" s="3"/>
      <c r="J6400" s="3"/>
    </row>
    <row r="6401" spans="8:10" x14ac:dyDescent="0.3">
      <c r="H6401" s="3"/>
      <c r="I6401" s="3"/>
      <c r="J6401" s="3"/>
    </row>
    <row r="6402" spans="8:10" x14ac:dyDescent="0.3">
      <c r="H6402" s="3"/>
      <c r="I6402" s="3"/>
      <c r="J6402" s="3"/>
    </row>
    <row r="6403" spans="8:10" x14ac:dyDescent="0.3">
      <c r="H6403" s="3"/>
      <c r="I6403" s="3"/>
      <c r="J6403" s="3"/>
    </row>
    <row r="6404" spans="8:10" x14ac:dyDescent="0.3">
      <c r="H6404" s="3"/>
      <c r="I6404" s="3"/>
      <c r="J6404" s="3"/>
    </row>
    <row r="6405" spans="8:10" x14ac:dyDescent="0.3">
      <c r="H6405" s="3"/>
      <c r="I6405" s="3"/>
      <c r="J6405" s="3"/>
    </row>
    <row r="6406" spans="8:10" x14ac:dyDescent="0.3">
      <c r="H6406" s="3"/>
      <c r="I6406" s="3"/>
      <c r="J6406" s="3"/>
    </row>
    <row r="6407" spans="8:10" x14ac:dyDescent="0.3">
      <c r="H6407" s="3"/>
      <c r="I6407" s="3"/>
      <c r="J6407" s="3"/>
    </row>
    <row r="6408" spans="8:10" x14ac:dyDescent="0.3">
      <c r="H6408" s="3"/>
      <c r="I6408" s="3"/>
      <c r="J6408" s="3"/>
    </row>
    <row r="6409" spans="8:10" x14ac:dyDescent="0.3">
      <c r="H6409" s="3"/>
      <c r="I6409" s="3"/>
      <c r="J6409" s="3"/>
    </row>
    <row r="6410" spans="8:10" x14ac:dyDescent="0.3">
      <c r="H6410" s="3"/>
      <c r="I6410" s="3"/>
      <c r="J6410" s="3"/>
    </row>
    <row r="6411" spans="8:10" x14ac:dyDescent="0.3">
      <c r="H6411" s="3"/>
      <c r="I6411" s="3"/>
      <c r="J6411" s="3"/>
    </row>
    <row r="6412" spans="8:10" x14ac:dyDescent="0.3">
      <c r="H6412" s="3"/>
      <c r="I6412" s="3"/>
      <c r="J6412" s="3"/>
    </row>
    <row r="6413" spans="8:10" x14ac:dyDescent="0.3">
      <c r="H6413" s="3"/>
      <c r="I6413" s="3"/>
      <c r="J6413" s="3"/>
    </row>
    <row r="6414" spans="8:10" x14ac:dyDescent="0.3">
      <c r="H6414" s="3"/>
      <c r="I6414" s="3"/>
      <c r="J6414" s="3"/>
    </row>
    <row r="6415" spans="8:10" x14ac:dyDescent="0.3">
      <c r="H6415" s="3"/>
      <c r="I6415" s="3"/>
      <c r="J6415" s="3"/>
    </row>
    <row r="6416" spans="8:10" x14ac:dyDescent="0.3">
      <c r="H6416" s="3"/>
      <c r="I6416" s="3"/>
      <c r="J6416" s="3"/>
    </row>
    <row r="6417" spans="8:10" x14ac:dyDescent="0.3">
      <c r="H6417" s="3"/>
      <c r="I6417" s="3"/>
      <c r="J6417" s="3"/>
    </row>
    <row r="6418" spans="8:10" x14ac:dyDescent="0.3">
      <c r="H6418" s="3"/>
      <c r="I6418" s="3"/>
      <c r="J6418" s="3"/>
    </row>
    <row r="6419" spans="8:10" x14ac:dyDescent="0.3">
      <c r="H6419" s="3"/>
      <c r="I6419" s="3"/>
      <c r="J6419" s="3"/>
    </row>
    <row r="6420" spans="8:10" x14ac:dyDescent="0.3">
      <c r="H6420" s="3"/>
      <c r="I6420" s="3"/>
      <c r="J6420" s="3"/>
    </row>
    <row r="6421" spans="8:10" x14ac:dyDescent="0.3">
      <c r="H6421" s="3"/>
      <c r="I6421" s="3"/>
      <c r="J6421" s="3"/>
    </row>
    <row r="6422" spans="8:10" x14ac:dyDescent="0.3">
      <c r="H6422" s="3"/>
      <c r="I6422" s="3"/>
      <c r="J6422" s="3"/>
    </row>
    <row r="6423" spans="8:10" x14ac:dyDescent="0.3">
      <c r="H6423" s="3"/>
      <c r="I6423" s="3"/>
      <c r="J6423" s="3"/>
    </row>
    <row r="6424" spans="8:10" x14ac:dyDescent="0.3">
      <c r="H6424" s="3"/>
      <c r="I6424" s="3"/>
      <c r="J6424" s="3"/>
    </row>
    <row r="6425" spans="8:10" x14ac:dyDescent="0.3">
      <c r="H6425" s="3"/>
      <c r="I6425" s="3"/>
      <c r="J6425" s="3"/>
    </row>
    <row r="6426" spans="8:10" x14ac:dyDescent="0.3">
      <c r="H6426" s="3"/>
      <c r="I6426" s="3"/>
      <c r="J6426" s="3"/>
    </row>
    <row r="6427" spans="8:10" x14ac:dyDescent="0.3">
      <c r="H6427" s="3"/>
      <c r="I6427" s="3"/>
      <c r="J6427" s="3"/>
    </row>
    <row r="6428" spans="8:10" x14ac:dyDescent="0.3">
      <c r="H6428" s="3"/>
      <c r="I6428" s="3"/>
      <c r="J6428" s="3"/>
    </row>
    <row r="6429" spans="8:10" x14ac:dyDescent="0.3">
      <c r="H6429" s="3"/>
      <c r="I6429" s="3"/>
      <c r="J6429" s="3"/>
    </row>
    <row r="6430" spans="8:10" x14ac:dyDescent="0.3">
      <c r="H6430" s="3"/>
      <c r="I6430" s="3"/>
      <c r="J6430" s="3"/>
    </row>
    <row r="6431" spans="8:10" x14ac:dyDescent="0.3">
      <c r="H6431" s="3"/>
      <c r="I6431" s="3"/>
      <c r="J6431" s="3"/>
    </row>
    <row r="6432" spans="8:10" x14ac:dyDescent="0.3">
      <c r="H6432" s="3"/>
      <c r="I6432" s="3"/>
      <c r="J6432" s="3"/>
    </row>
    <row r="6433" spans="8:10" x14ac:dyDescent="0.3">
      <c r="H6433" s="3"/>
      <c r="I6433" s="3"/>
      <c r="J6433" s="3"/>
    </row>
    <row r="6434" spans="8:10" x14ac:dyDescent="0.3">
      <c r="H6434" s="3"/>
      <c r="I6434" s="3"/>
      <c r="J6434" s="3"/>
    </row>
    <row r="6435" spans="8:10" x14ac:dyDescent="0.3">
      <c r="H6435" s="3"/>
      <c r="I6435" s="3"/>
      <c r="J6435" s="3"/>
    </row>
    <row r="6436" spans="8:10" x14ac:dyDescent="0.3">
      <c r="H6436" s="3"/>
      <c r="I6436" s="3"/>
      <c r="J6436" s="3"/>
    </row>
    <row r="6437" spans="8:10" x14ac:dyDescent="0.3">
      <c r="H6437" s="3"/>
      <c r="I6437" s="3"/>
      <c r="J6437" s="3"/>
    </row>
    <row r="6438" spans="8:10" x14ac:dyDescent="0.3">
      <c r="H6438" s="3"/>
      <c r="I6438" s="3"/>
      <c r="J6438" s="3"/>
    </row>
    <row r="6439" spans="8:10" x14ac:dyDescent="0.3">
      <c r="H6439" s="3"/>
      <c r="I6439" s="3"/>
      <c r="J6439" s="3"/>
    </row>
    <row r="6440" spans="8:10" x14ac:dyDescent="0.3">
      <c r="H6440" s="3"/>
      <c r="I6440" s="3"/>
      <c r="J6440" s="3"/>
    </row>
    <row r="6441" spans="8:10" x14ac:dyDescent="0.3">
      <c r="H6441" s="3"/>
      <c r="I6441" s="3"/>
      <c r="J6441" s="3"/>
    </row>
    <row r="6442" spans="8:10" x14ac:dyDescent="0.3">
      <c r="H6442" s="3"/>
      <c r="I6442" s="3"/>
      <c r="J6442" s="3"/>
    </row>
    <row r="6443" spans="8:10" x14ac:dyDescent="0.3">
      <c r="H6443" s="3"/>
      <c r="I6443" s="3"/>
      <c r="J6443" s="3"/>
    </row>
    <row r="6444" spans="8:10" x14ac:dyDescent="0.3">
      <c r="H6444" s="3"/>
      <c r="I6444" s="3"/>
      <c r="J6444" s="3"/>
    </row>
    <row r="6445" spans="8:10" x14ac:dyDescent="0.3">
      <c r="H6445" s="3"/>
      <c r="I6445" s="3"/>
      <c r="J6445" s="3"/>
    </row>
    <row r="6446" spans="8:10" x14ac:dyDescent="0.3">
      <c r="H6446" s="3"/>
      <c r="I6446" s="3"/>
      <c r="J6446" s="3"/>
    </row>
    <row r="6447" spans="8:10" x14ac:dyDescent="0.3">
      <c r="H6447" s="3"/>
      <c r="I6447" s="3"/>
      <c r="J6447" s="3"/>
    </row>
    <row r="6448" spans="8:10" x14ac:dyDescent="0.3">
      <c r="H6448" s="3"/>
      <c r="I6448" s="3"/>
      <c r="J6448" s="3"/>
    </row>
    <row r="6449" spans="8:10" x14ac:dyDescent="0.3">
      <c r="H6449" s="3"/>
      <c r="I6449" s="3"/>
      <c r="J6449" s="3"/>
    </row>
    <row r="6450" spans="8:10" x14ac:dyDescent="0.3">
      <c r="H6450" s="3"/>
      <c r="I6450" s="3"/>
      <c r="J6450" s="3"/>
    </row>
    <row r="6451" spans="8:10" x14ac:dyDescent="0.3">
      <c r="H6451" s="3"/>
      <c r="I6451" s="3"/>
      <c r="J6451" s="3"/>
    </row>
    <row r="6452" spans="8:10" x14ac:dyDescent="0.3">
      <c r="H6452" s="3"/>
      <c r="I6452" s="3"/>
      <c r="J6452" s="3"/>
    </row>
    <row r="6453" spans="8:10" x14ac:dyDescent="0.3">
      <c r="H6453" s="3"/>
      <c r="I6453" s="3"/>
      <c r="J6453" s="3"/>
    </row>
    <row r="6454" spans="8:10" x14ac:dyDescent="0.3">
      <c r="H6454" s="3"/>
      <c r="I6454" s="3"/>
      <c r="J6454" s="3"/>
    </row>
    <row r="6455" spans="8:10" x14ac:dyDescent="0.3">
      <c r="H6455" s="3"/>
      <c r="I6455" s="3"/>
      <c r="J6455" s="3"/>
    </row>
    <row r="6456" spans="8:10" x14ac:dyDescent="0.3">
      <c r="H6456" s="3"/>
      <c r="I6456" s="3"/>
      <c r="J6456" s="3"/>
    </row>
    <row r="6457" spans="8:10" x14ac:dyDescent="0.3">
      <c r="H6457" s="3"/>
      <c r="I6457" s="3"/>
      <c r="J6457" s="3"/>
    </row>
    <row r="6458" spans="8:10" x14ac:dyDescent="0.3">
      <c r="H6458" s="3"/>
      <c r="I6458" s="3"/>
      <c r="J6458" s="3"/>
    </row>
    <row r="6459" spans="8:10" x14ac:dyDescent="0.3">
      <c r="H6459" s="3"/>
      <c r="I6459" s="3"/>
      <c r="J6459" s="3"/>
    </row>
    <row r="6460" spans="8:10" x14ac:dyDescent="0.3">
      <c r="H6460" s="3"/>
      <c r="I6460" s="3"/>
      <c r="J6460" s="3"/>
    </row>
    <row r="6461" spans="8:10" x14ac:dyDescent="0.3">
      <c r="H6461" s="3"/>
      <c r="I6461" s="3"/>
      <c r="J6461" s="3"/>
    </row>
    <row r="6462" spans="8:10" x14ac:dyDescent="0.3">
      <c r="H6462" s="3"/>
      <c r="I6462" s="3"/>
      <c r="J6462" s="3"/>
    </row>
    <row r="6463" spans="8:10" x14ac:dyDescent="0.3">
      <c r="H6463" s="3"/>
      <c r="I6463" s="3"/>
      <c r="J6463" s="3"/>
    </row>
    <row r="6464" spans="8:10" x14ac:dyDescent="0.3">
      <c r="H6464" s="3"/>
      <c r="I6464" s="3"/>
      <c r="J6464" s="3"/>
    </row>
    <row r="6465" spans="8:10" x14ac:dyDescent="0.3">
      <c r="H6465" s="3"/>
      <c r="I6465" s="3"/>
      <c r="J6465" s="3"/>
    </row>
    <row r="6466" spans="8:10" x14ac:dyDescent="0.3">
      <c r="H6466" s="3"/>
      <c r="I6466" s="3"/>
      <c r="J6466" s="3"/>
    </row>
    <row r="6467" spans="8:10" x14ac:dyDescent="0.3">
      <c r="H6467" s="3"/>
      <c r="I6467" s="3"/>
      <c r="J6467" s="3"/>
    </row>
    <row r="6468" spans="8:10" x14ac:dyDescent="0.3">
      <c r="H6468" s="3"/>
      <c r="I6468" s="3"/>
      <c r="J6468" s="3"/>
    </row>
    <row r="6469" spans="8:10" x14ac:dyDescent="0.3">
      <c r="H6469" s="3"/>
      <c r="I6469" s="3"/>
      <c r="J6469" s="3"/>
    </row>
    <row r="6470" spans="8:10" x14ac:dyDescent="0.3">
      <c r="H6470" s="3"/>
      <c r="I6470" s="3"/>
      <c r="J6470" s="3"/>
    </row>
    <row r="6471" spans="8:10" x14ac:dyDescent="0.3">
      <c r="H6471" s="3"/>
      <c r="I6471" s="3"/>
      <c r="J6471" s="3"/>
    </row>
    <row r="6472" spans="8:10" x14ac:dyDescent="0.3">
      <c r="H6472" s="3"/>
      <c r="I6472" s="3"/>
      <c r="J6472" s="3"/>
    </row>
    <row r="6473" spans="8:10" x14ac:dyDescent="0.3">
      <c r="H6473" s="3"/>
      <c r="I6473" s="3"/>
      <c r="J6473" s="3"/>
    </row>
    <row r="6474" spans="8:10" x14ac:dyDescent="0.3">
      <c r="H6474" s="3"/>
      <c r="I6474" s="3"/>
      <c r="J6474" s="3"/>
    </row>
    <row r="6475" spans="8:10" x14ac:dyDescent="0.3">
      <c r="H6475" s="3"/>
      <c r="I6475" s="3"/>
      <c r="J6475" s="3"/>
    </row>
    <row r="6476" spans="8:10" x14ac:dyDescent="0.3">
      <c r="H6476" s="3"/>
      <c r="I6476" s="3"/>
      <c r="J6476" s="3"/>
    </row>
    <row r="6477" spans="8:10" x14ac:dyDescent="0.3">
      <c r="H6477" s="3"/>
      <c r="I6477" s="3"/>
      <c r="J6477" s="3"/>
    </row>
    <row r="6478" spans="8:10" x14ac:dyDescent="0.3">
      <c r="H6478" s="3"/>
      <c r="I6478" s="3"/>
      <c r="J6478" s="3"/>
    </row>
    <row r="6479" spans="8:10" x14ac:dyDescent="0.3">
      <c r="H6479" s="3"/>
      <c r="I6479" s="3"/>
      <c r="J6479" s="3"/>
    </row>
    <row r="6480" spans="8:10" x14ac:dyDescent="0.3">
      <c r="H6480" s="3"/>
      <c r="I6480" s="3"/>
      <c r="J6480" s="3"/>
    </row>
    <row r="6481" spans="8:10" x14ac:dyDescent="0.3">
      <c r="H6481" s="3"/>
      <c r="I6481" s="3"/>
      <c r="J6481" s="3"/>
    </row>
    <row r="6482" spans="8:10" x14ac:dyDescent="0.3">
      <c r="H6482" s="3"/>
      <c r="I6482" s="3"/>
      <c r="J6482" s="3"/>
    </row>
    <row r="6483" spans="8:10" x14ac:dyDescent="0.3">
      <c r="H6483" s="3"/>
      <c r="I6483" s="3"/>
      <c r="J6483" s="3"/>
    </row>
    <row r="6484" spans="8:10" x14ac:dyDescent="0.3">
      <c r="H6484" s="3"/>
      <c r="I6484" s="3"/>
      <c r="J6484" s="3"/>
    </row>
    <row r="6485" spans="8:10" x14ac:dyDescent="0.3">
      <c r="H6485" s="3"/>
      <c r="I6485" s="3"/>
      <c r="J6485" s="3"/>
    </row>
    <row r="6486" spans="8:10" x14ac:dyDescent="0.3">
      <c r="H6486" s="3"/>
      <c r="I6486" s="3"/>
      <c r="J6486" s="3"/>
    </row>
    <row r="6487" spans="8:10" x14ac:dyDescent="0.3">
      <c r="H6487" s="3"/>
      <c r="I6487" s="3"/>
      <c r="J6487" s="3"/>
    </row>
    <row r="6488" spans="8:10" x14ac:dyDescent="0.3">
      <c r="H6488" s="3"/>
      <c r="I6488" s="3"/>
      <c r="J6488" s="3"/>
    </row>
    <row r="6489" spans="8:10" x14ac:dyDescent="0.3">
      <c r="H6489" s="3"/>
      <c r="I6489" s="3"/>
      <c r="J6489" s="3"/>
    </row>
    <row r="6490" spans="8:10" x14ac:dyDescent="0.3">
      <c r="H6490" s="3"/>
      <c r="I6490" s="3"/>
      <c r="J6490" s="3"/>
    </row>
    <row r="6491" spans="8:10" x14ac:dyDescent="0.3">
      <c r="H6491" s="3"/>
      <c r="I6491" s="3"/>
      <c r="J6491" s="3"/>
    </row>
    <row r="6492" spans="8:10" x14ac:dyDescent="0.3">
      <c r="H6492" s="3"/>
      <c r="I6492" s="3"/>
      <c r="J6492" s="3"/>
    </row>
    <row r="6493" spans="8:10" x14ac:dyDescent="0.3">
      <c r="H6493" s="3"/>
      <c r="I6493" s="3"/>
      <c r="J6493" s="3"/>
    </row>
    <row r="6494" spans="8:10" x14ac:dyDescent="0.3">
      <c r="H6494" s="3"/>
      <c r="I6494" s="3"/>
      <c r="J6494" s="3"/>
    </row>
    <row r="6495" spans="8:10" x14ac:dyDescent="0.3">
      <c r="H6495" s="3"/>
      <c r="I6495" s="3"/>
      <c r="J6495" s="3"/>
    </row>
    <row r="6496" spans="8:10" x14ac:dyDescent="0.3">
      <c r="H6496" s="3"/>
      <c r="I6496" s="3"/>
      <c r="J6496" s="3"/>
    </row>
    <row r="6497" spans="8:10" x14ac:dyDescent="0.3">
      <c r="H6497" s="3"/>
      <c r="I6497" s="3"/>
      <c r="J6497" s="3"/>
    </row>
    <row r="6498" spans="8:10" x14ac:dyDescent="0.3">
      <c r="H6498" s="3"/>
      <c r="I6498" s="3"/>
      <c r="J6498" s="3"/>
    </row>
    <row r="6499" spans="8:10" x14ac:dyDescent="0.3">
      <c r="H6499" s="3"/>
      <c r="I6499" s="3"/>
      <c r="J6499" s="3"/>
    </row>
    <row r="6500" spans="8:10" x14ac:dyDescent="0.3">
      <c r="H6500" s="3"/>
      <c r="I6500" s="3"/>
      <c r="J6500" s="3"/>
    </row>
    <row r="6501" spans="8:10" x14ac:dyDescent="0.3">
      <c r="H6501" s="3"/>
      <c r="I6501" s="3"/>
      <c r="J6501" s="3"/>
    </row>
    <row r="6502" spans="8:10" x14ac:dyDescent="0.3">
      <c r="H6502" s="3"/>
      <c r="I6502" s="3"/>
      <c r="J6502" s="3"/>
    </row>
    <row r="6503" spans="8:10" x14ac:dyDescent="0.3">
      <c r="H6503" s="3"/>
      <c r="I6503" s="3"/>
      <c r="J6503" s="3"/>
    </row>
    <row r="6504" spans="8:10" x14ac:dyDescent="0.3">
      <c r="H6504" s="3"/>
      <c r="I6504" s="3"/>
      <c r="J6504" s="3"/>
    </row>
    <row r="6505" spans="8:10" x14ac:dyDescent="0.3">
      <c r="H6505" s="3"/>
      <c r="I6505" s="3"/>
      <c r="J6505" s="3"/>
    </row>
    <row r="6506" spans="8:10" x14ac:dyDescent="0.3">
      <c r="H6506" s="3"/>
      <c r="I6506" s="3"/>
      <c r="J6506" s="3"/>
    </row>
    <row r="6507" spans="8:10" x14ac:dyDescent="0.3">
      <c r="H6507" s="3"/>
      <c r="I6507" s="3"/>
      <c r="J6507" s="3"/>
    </row>
    <row r="6508" spans="8:10" x14ac:dyDescent="0.3">
      <c r="H6508" s="3"/>
      <c r="I6508" s="3"/>
      <c r="J6508" s="3"/>
    </row>
    <row r="6509" spans="8:10" x14ac:dyDescent="0.3">
      <c r="H6509" s="3"/>
      <c r="I6509" s="3"/>
      <c r="J6509" s="3"/>
    </row>
    <row r="6510" spans="8:10" x14ac:dyDescent="0.3">
      <c r="H6510" s="3"/>
      <c r="I6510" s="3"/>
      <c r="J6510" s="3"/>
    </row>
    <row r="6511" spans="8:10" x14ac:dyDescent="0.3">
      <c r="H6511" s="3"/>
      <c r="I6511" s="3"/>
      <c r="J6511" s="3"/>
    </row>
    <row r="6512" spans="8:10" x14ac:dyDescent="0.3">
      <c r="H6512" s="3"/>
      <c r="I6512" s="3"/>
      <c r="J6512" s="3"/>
    </row>
    <row r="6513" spans="8:10" x14ac:dyDescent="0.3">
      <c r="H6513" s="3"/>
      <c r="I6513" s="3"/>
      <c r="J6513" s="3"/>
    </row>
    <row r="6514" spans="8:10" x14ac:dyDescent="0.3">
      <c r="H6514" s="3"/>
      <c r="I6514" s="3"/>
      <c r="J6514" s="3"/>
    </row>
    <row r="6515" spans="8:10" x14ac:dyDescent="0.3">
      <c r="H6515" s="3"/>
      <c r="I6515" s="3"/>
      <c r="J6515" s="3"/>
    </row>
    <row r="6516" spans="8:10" x14ac:dyDescent="0.3">
      <c r="H6516" s="3"/>
      <c r="I6516" s="3"/>
      <c r="J6516" s="3"/>
    </row>
    <row r="6517" spans="8:10" x14ac:dyDescent="0.3">
      <c r="H6517" s="3"/>
      <c r="I6517" s="3"/>
      <c r="J6517" s="3"/>
    </row>
    <row r="6518" spans="8:10" x14ac:dyDescent="0.3">
      <c r="H6518" s="3"/>
      <c r="I6518" s="3"/>
      <c r="J6518" s="3"/>
    </row>
    <row r="6519" spans="8:10" x14ac:dyDescent="0.3">
      <c r="H6519" s="3"/>
      <c r="I6519" s="3"/>
      <c r="J6519" s="3"/>
    </row>
    <row r="6520" spans="8:10" x14ac:dyDescent="0.3">
      <c r="H6520" s="3"/>
      <c r="I6520" s="3"/>
      <c r="J6520" s="3"/>
    </row>
    <row r="6521" spans="8:10" x14ac:dyDescent="0.3">
      <c r="H6521" s="3"/>
      <c r="I6521" s="3"/>
      <c r="J6521" s="3"/>
    </row>
    <row r="6522" spans="8:10" x14ac:dyDescent="0.3">
      <c r="H6522" s="3"/>
      <c r="I6522" s="3"/>
      <c r="J6522" s="3"/>
    </row>
    <row r="6523" spans="8:10" x14ac:dyDescent="0.3">
      <c r="H6523" s="3"/>
      <c r="I6523" s="3"/>
      <c r="J6523" s="3"/>
    </row>
    <row r="6524" spans="8:10" x14ac:dyDescent="0.3">
      <c r="H6524" s="3"/>
      <c r="I6524" s="3"/>
      <c r="J6524" s="3"/>
    </row>
    <row r="6525" spans="8:10" x14ac:dyDescent="0.3">
      <c r="H6525" s="3"/>
      <c r="I6525" s="3"/>
      <c r="J6525" s="3"/>
    </row>
    <row r="6526" spans="8:10" x14ac:dyDescent="0.3">
      <c r="H6526" s="3"/>
      <c r="I6526" s="3"/>
      <c r="J6526" s="3"/>
    </row>
    <row r="6527" spans="8:10" x14ac:dyDescent="0.3">
      <c r="H6527" s="3"/>
      <c r="I6527" s="3"/>
      <c r="J6527" s="3"/>
    </row>
    <row r="6528" spans="8:10" x14ac:dyDescent="0.3">
      <c r="H6528" s="3"/>
      <c r="I6528" s="3"/>
      <c r="J6528" s="3"/>
    </row>
    <row r="6529" spans="8:10" x14ac:dyDescent="0.3">
      <c r="H6529" s="3"/>
      <c r="I6529" s="3"/>
      <c r="J6529" s="3"/>
    </row>
    <row r="6530" spans="8:10" x14ac:dyDescent="0.3">
      <c r="H6530" s="3"/>
      <c r="I6530" s="3"/>
      <c r="J6530" s="3"/>
    </row>
    <row r="6531" spans="8:10" x14ac:dyDescent="0.3">
      <c r="H6531" s="3"/>
      <c r="I6531" s="3"/>
      <c r="J6531" s="3"/>
    </row>
    <row r="6532" spans="8:10" x14ac:dyDescent="0.3">
      <c r="H6532" s="3"/>
      <c r="I6532" s="3"/>
      <c r="J6532" s="3"/>
    </row>
    <row r="6533" spans="8:10" x14ac:dyDescent="0.3">
      <c r="H6533" s="3"/>
      <c r="I6533" s="3"/>
      <c r="J6533" s="3"/>
    </row>
    <row r="6534" spans="8:10" x14ac:dyDescent="0.3">
      <c r="H6534" s="3"/>
      <c r="I6534" s="3"/>
      <c r="J6534" s="3"/>
    </row>
    <row r="6535" spans="8:10" x14ac:dyDescent="0.3">
      <c r="H6535" s="3"/>
      <c r="I6535" s="3"/>
      <c r="J6535" s="3"/>
    </row>
    <row r="6536" spans="8:10" x14ac:dyDescent="0.3">
      <c r="H6536" s="3"/>
      <c r="I6536" s="3"/>
      <c r="J6536" s="3"/>
    </row>
    <row r="6537" spans="8:10" x14ac:dyDescent="0.3">
      <c r="H6537" s="3"/>
      <c r="I6537" s="3"/>
      <c r="J6537" s="3"/>
    </row>
    <row r="6538" spans="8:10" x14ac:dyDescent="0.3">
      <c r="H6538" s="3"/>
      <c r="I6538" s="3"/>
      <c r="J6538" s="3"/>
    </row>
    <row r="6539" spans="8:10" x14ac:dyDescent="0.3">
      <c r="H6539" s="3"/>
      <c r="I6539" s="3"/>
      <c r="J6539" s="3"/>
    </row>
    <row r="6540" spans="8:10" x14ac:dyDescent="0.3">
      <c r="H6540" s="3"/>
      <c r="I6540" s="3"/>
      <c r="J6540" s="3"/>
    </row>
    <row r="6541" spans="8:10" x14ac:dyDescent="0.3">
      <c r="H6541" s="3"/>
      <c r="I6541" s="3"/>
      <c r="J6541" s="3"/>
    </row>
    <row r="6542" spans="8:10" x14ac:dyDescent="0.3">
      <c r="H6542" s="3"/>
      <c r="I6542" s="3"/>
      <c r="J6542" s="3"/>
    </row>
    <row r="6543" spans="8:10" x14ac:dyDescent="0.3">
      <c r="H6543" s="3"/>
      <c r="I6543" s="3"/>
      <c r="J6543" s="3"/>
    </row>
    <row r="6544" spans="8:10" x14ac:dyDescent="0.3">
      <c r="H6544" s="3"/>
      <c r="I6544" s="3"/>
      <c r="J6544" s="3"/>
    </row>
    <row r="6545" spans="8:10" x14ac:dyDescent="0.3">
      <c r="H6545" s="3"/>
      <c r="I6545" s="3"/>
      <c r="J6545" s="3"/>
    </row>
    <row r="6546" spans="8:10" x14ac:dyDescent="0.3">
      <c r="H6546" s="3"/>
      <c r="I6546" s="3"/>
      <c r="J6546" s="3"/>
    </row>
    <row r="6547" spans="8:10" x14ac:dyDescent="0.3">
      <c r="H6547" s="3"/>
      <c r="I6547" s="3"/>
      <c r="J6547" s="3"/>
    </row>
    <row r="6548" spans="8:10" x14ac:dyDescent="0.3">
      <c r="H6548" s="3"/>
      <c r="I6548" s="3"/>
      <c r="J6548" s="3"/>
    </row>
    <row r="6549" spans="8:10" x14ac:dyDescent="0.3">
      <c r="H6549" s="3"/>
      <c r="I6549" s="3"/>
      <c r="J6549" s="3"/>
    </row>
    <row r="6550" spans="8:10" x14ac:dyDescent="0.3">
      <c r="H6550" s="3"/>
      <c r="I6550" s="3"/>
      <c r="J6550" s="3"/>
    </row>
    <row r="6551" spans="8:10" x14ac:dyDescent="0.3">
      <c r="H6551" s="3"/>
      <c r="I6551" s="3"/>
      <c r="J6551" s="3"/>
    </row>
    <row r="6552" spans="8:10" x14ac:dyDescent="0.3">
      <c r="H6552" s="3"/>
      <c r="I6552" s="3"/>
      <c r="J6552" s="3"/>
    </row>
    <row r="6553" spans="8:10" x14ac:dyDescent="0.3">
      <c r="H6553" s="3"/>
      <c r="I6553" s="3"/>
      <c r="J6553" s="3"/>
    </row>
    <row r="6554" spans="8:10" x14ac:dyDescent="0.3">
      <c r="H6554" s="3"/>
      <c r="I6554" s="3"/>
      <c r="J6554" s="3"/>
    </row>
    <row r="6555" spans="8:10" x14ac:dyDescent="0.3">
      <c r="H6555" s="3"/>
      <c r="I6555" s="3"/>
      <c r="J6555" s="3"/>
    </row>
    <row r="6556" spans="8:10" x14ac:dyDescent="0.3">
      <c r="H6556" s="3"/>
      <c r="I6556" s="3"/>
      <c r="J6556" s="3"/>
    </row>
    <row r="6557" spans="8:10" x14ac:dyDescent="0.3">
      <c r="H6557" s="3"/>
      <c r="I6557" s="3"/>
      <c r="J6557" s="3"/>
    </row>
    <row r="6558" spans="8:10" x14ac:dyDescent="0.3">
      <c r="H6558" s="3"/>
      <c r="I6558" s="3"/>
      <c r="J6558" s="3"/>
    </row>
    <row r="6559" spans="8:10" x14ac:dyDescent="0.3">
      <c r="H6559" s="3"/>
      <c r="I6559" s="3"/>
      <c r="J6559" s="3"/>
    </row>
    <row r="6560" spans="8:10" x14ac:dyDescent="0.3">
      <c r="H6560" s="3"/>
      <c r="I6560" s="3"/>
      <c r="J6560" s="3"/>
    </row>
    <row r="6561" spans="8:10" x14ac:dyDescent="0.3">
      <c r="H6561" s="3"/>
      <c r="I6561" s="3"/>
      <c r="J6561" s="3"/>
    </row>
    <row r="6562" spans="8:10" x14ac:dyDescent="0.3">
      <c r="H6562" s="3"/>
      <c r="I6562" s="3"/>
      <c r="J6562" s="3"/>
    </row>
    <row r="6563" spans="8:10" x14ac:dyDescent="0.3">
      <c r="H6563" s="3"/>
      <c r="I6563" s="3"/>
      <c r="J6563" s="3"/>
    </row>
    <row r="6564" spans="8:10" x14ac:dyDescent="0.3">
      <c r="H6564" s="3"/>
      <c r="I6564" s="3"/>
      <c r="J6564" s="3"/>
    </row>
    <row r="6565" spans="8:10" x14ac:dyDescent="0.3">
      <c r="H6565" s="3"/>
      <c r="I6565" s="3"/>
      <c r="J6565" s="3"/>
    </row>
    <row r="6566" spans="8:10" x14ac:dyDescent="0.3">
      <c r="H6566" s="3"/>
      <c r="I6566" s="3"/>
      <c r="J6566" s="3"/>
    </row>
    <row r="6567" spans="8:10" x14ac:dyDescent="0.3">
      <c r="H6567" s="3"/>
      <c r="I6567" s="3"/>
      <c r="J6567" s="3"/>
    </row>
    <row r="6568" spans="8:10" x14ac:dyDescent="0.3">
      <c r="H6568" s="3"/>
      <c r="I6568" s="3"/>
      <c r="J6568" s="3"/>
    </row>
    <row r="6569" spans="8:10" x14ac:dyDescent="0.3">
      <c r="H6569" s="3"/>
      <c r="I6569" s="3"/>
      <c r="J6569" s="3"/>
    </row>
    <row r="6570" spans="8:10" x14ac:dyDescent="0.3">
      <c r="H6570" s="3"/>
      <c r="I6570" s="3"/>
      <c r="J6570" s="3"/>
    </row>
    <row r="6571" spans="8:10" x14ac:dyDescent="0.3">
      <c r="H6571" s="3"/>
      <c r="I6571" s="3"/>
      <c r="J6571" s="3"/>
    </row>
    <row r="6572" spans="8:10" x14ac:dyDescent="0.3">
      <c r="H6572" s="3"/>
      <c r="I6572" s="3"/>
      <c r="J6572" s="3"/>
    </row>
    <row r="6573" spans="8:10" x14ac:dyDescent="0.3">
      <c r="H6573" s="3"/>
      <c r="I6573" s="3"/>
      <c r="J6573" s="3"/>
    </row>
    <row r="6574" spans="8:10" x14ac:dyDescent="0.3">
      <c r="H6574" s="3"/>
      <c r="I6574" s="3"/>
      <c r="J6574" s="3"/>
    </row>
    <row r="6575" spans="8:10" x14ac:dyDescent="0.3">
      <c r="H6575" s="3"/>
      <c r="I6575" s="3"/>
      <c r="J6575" s="3"/>
    </row>
    <row r="6576" spans="8:10" x14ac:dyDescent="0.3">
      <c r="H6576" s="3"/>
      <c r="I6576" s="3"/>
      <c r="J6576" s="3"/>
    </row>
    <row r="6577" spans="8:10" x14ac:dyDescent="0.3">
      <c r="H6577" s="3"/>
      <c r="I6577" s="3"/>
      <c r="J6577" s="3"/>
    </row>
    <row r="6578" spans="8:10" x14ac:dyDescent="0.3">
      <c r="H6578" s="3"/>
      <c r="I6578" s="3"/>
      <c r="J6578" s="3"/>
    </row>
    <row r="6579" spans="8:10" x14ac:dyDescent="0.3">
      <c r="H6579" s="3"/>
      <c r="I6579" s="3"/>
      <c r="J6579" s="3"/>
    </row>
    <row r="6580" spans="8:10" x14ac:dyDescent="0.3">
      <c r="H6580" s="3"/>
      <c r="I6580" s="3"/>
      <c r="J6580" s="3"/>
    </row>
    <row r="6581" spans="8:10" x14ac:dyDescent="0.3">
      <c r="H6581" s="3"/>
      <c r="I6581" s="3"/>
      <c r="J6581" s="3"/>
    </row>
    <row r="6582" spans="8:10" x14ac:dyDescent="0.3">
      <c r="H6582" s="3"/>
      <c r="I6582" s="3"/>
      <c r="J6582" s="3"/>
    </row>
    <row r="6583" spans="8:10" x14ac:dyDescent="0.3">
      <c r="H6583" s="3"/>
      <c r="I6583" s="3"/>
      <c r="J6583" s="3"/>
    </row>
    <row r="6584" spans="8:10" x14ac:dyDescent="0.3">
      <c r="H6584" s="3"/>
      <c r="I6584" s="3"/>
      <c r="J6584" s="3"/>
    </row>
    <row r="6585" spans="8:10" x14ac:dyDescent="0.3">
      <c r="H6585" s="3"/>
      <c r="I6585" s="3"/>
      <c r="J6585" s="3"/>
    </row>
    <row r="6586" spans="8:10" x14ac:dyDescent="0.3">
      <c r="H6586" s="3"/>
      <c r="I6586" s="3"/>
      <c r="J6586" s="3"/>
    </row>
    <row r="6587" spans="8:10" x14ac:dyDescent="0.3">
      <c r="H6587" s="3"/>
      <c r="I6587" s="3"/>
      <c r="J6587" s="3"/>
    </row>
    <row r="6588" spans="8:10" x14ac:dyDescent="0.3">
      <c r="H6588" s="3"/>
      <c r="I6588" s="3"/>
      <c r="J6588" s="3"/>
    </row>
    <row r="6589" spans="8:10" x14ac:dyDescent="0.3">
      <c r="H6589" s="3"/>
      <c r="I6589" s="3"/>
      <c r="J6589" s="3"/>
    </row>
    <row r="6590" spans="8:10" x14ac:dyDescent="0.3">
      <c r="H6590" s="3"/>
      <c r="I6590" s="3"/>
      <c r="J6590" s="3"/>
    </row>
    <row r="6591" spans="8:10" x14ac:dyDescent="0.3">
      <c r="H6591" s="3"/>
      <c r="I6591" s="3"/>
      <c r="J6591" s="3"/>
    </row>
    <row r="6592" spans="8:10" x14ac:dyDescent="0.3">
      <c r="H6592" s="3"/>
      <c r="I6592" s="3"/>
      <c r="J6592" s="3"/>
    </row>
    <row r="6593" spans="8:10" x14ac:dyDescent="0.3">
      <c r="H6593" s="3"/>
      <c r="I6593" s="3"/>
      <c r="J6593" s="3"/>
    </row>
    <row r="6594" spans="8:10" x14ac:dyDescent="0.3">
      <c r="H6594" s="3"/>
      <c r="I6594" s="3"/>
      <c r="J6594" s="3"/>
    </row>
    <row r="6595" spans="8:10" x14ac:dyDescent="0.3">
      <c r="H6595" s="3"/>
      <c r="I6595" s="3"/>
      <c r="J6595" s="3"/>
    </row>
    <row r="6596" spans="8:10" x14ac:dyDescent="0.3">
      <c r="H6596" s="3"/>
      <c r="I6596" s="3"/>
      <c r="J6596" s="3"/>
    </row>
    <row r="6597" spans="8:10" x14ac:dyDescent="0.3">
      <c r="H6597" s="3"/>
      <c r="I6597" s="3"/>
      <c r="J6597" s="3"/>
    </row>
    <row r="6598" spans="8:10" x14ac:dyDescent="0.3">
      <c r="H6598" s="3"/>
      <c r="I6598" s="3"/>
      <c r="J6598" s="3"/>
    </row>
    <row r="6599" spans="8:10" x14ac:dyDescent="0.3">
      <c r="H6599" s="3"/>
      <c r="I6599" s="3"/>
      <c r="J6599" s="3"/>
    </row>
    <row r="6600" spans="8:10" x14ac:dyDescent="0.3">
      <c r="H6600" s="3"/>
      <c r="I6600" s="3"/>
      <c r="J6600" s="3"/>
    </row>
    <row r="6601" spans="8:10" x14ac:dyDescent="0.3">
      <c r="H6601" s="3"/>
      <c r="I6601" s="3"/>
      <c r="J6601" s="3"/>
    </row>
    <row r="6602" spans="8:10" x14ac:dyDescent="0.3">
      <c r="H6602" s="3"/>
      <c r="I6602" s="3"/>
      <c r="J6602" s="3"/>
    </row>
    <row r="6603" spans="8:10" x14ac:dyDescent="0.3">
      <c r="H6603" s="3"/>
      <c r="I6603" s="3"/>
      <c r="J6603" s="3"/>
    </row>
    <row r="6604" spans="8:10" x14ac:dyDescent="0.3">
      <c r="H6604" s="3"/>
      <c r="I6604" s="3"/>
      <c r="J6604" s="3"/>
    </row>
    <row r="6605" spans="8:10" x14ac:dyDescent="0.3">
      <c r="H6605" s="3"/>
      <c r="I6605" s="3"/>
      <c r="J6605" s="3"/>
    </row>
    <row r="6606" spans="8:10" x14ac:dyDescent="0.3">
      <c r="H6606" s="3"/>
      <c r="I6606" s="3"/>
      <c r="J6606" s="3"/>
    </row>
    <row r="6607" spans="8:10" x14ac:dyDescent="0.3">
      <c r="H6607" s="3"/>
      <c r="I6607" s="3"/>
      <c r="J6607" s="3"/>
    </row>
    <row r="6608" spans="8:10" x14ac:dyDescent="0.3">
      <c r="H6608" s="3"/>
      <c r="I6608" s="3"/>
      <c r="J6608" s="3"/>
    </row>
    <row r="6609" spans="8:10" x14ac:dyDescent="0.3">
      <c r="H6609" s="3"/>
      <c r="I6609" s="3"/>
      <c r="J6609" s="3"/>
    </row>
    <row r="6610" spans="8:10" x14ac:dyDescent="0.3">
      <c r="H6610" s="3"/>
      <c r="I6610" s="3"/>
      <c r="J6610" s="3"/>
    </row>
    <row r="6611" spans="8:10" x14ac:dyDescent="0.3">
      <c r="H6611" s="3"/>
      <c r="I6611" s="3"/>
      <c r="J6611" s="3"/>
    </row>
    <row r="6612" spans="8:10" x14ac:dyDescent="0.3">
      <c r="H6612" s="3"/>
      <c r="I6612" s="3"/>
      <c r="J6612" s="3"/>
    </row>
    <row r="6613" spans="8:10" x14ac:dyDescent="0.3">
      <c r="H6613" s="3"/>
      <c r="I6613" s="3"/>
      <c r="J6613" s="3"/>
    </row>
    <row r="6614" spans="8:10" x14ac:dyDescent="0.3">
      <c r="H6614" s="3"/>
      <c r="I6614" s="3"/>
      <c r="J6614" s="3"/>
    </row>
    <row r="6615" spans="8:10" x14ac:dyDescent="0.3">
      <c r="H6615" s="3"/>
      <c r="I6615" s="3"/>
      <c r="J6615" s="3"/>
    </row>
    <row r="6616" spans="8:10" x14ac:dyDescent="0.3">
      <c r="H6616" s="3"/>
      <c r="I6616" s="3"/>
      <c r="J6616" s="3"/>
    </row>
    <row r="6617" spans="8:10" x14ac:dyDescent="0.3">
      <c r="H6617" s="3"/>
      <c r="I6617" s="3"/>
      <c r="J6617" s="3"/>
    </row>
    <row r="6618" spans="8:10" x14ac:dyDescent="0.3">
      <c r="H6618" s="3"/>
      <c r="I6618" s="3"/>
      <c r="J6618" s="3"/>
    </row>
    <row r="6619" spans="8:10" x14ac:dyDescent="0.3">
      <c r="H6619" s="3"/>
      <c r="I6619" s="3"/>
      <c r="J6619" s="3"/>
    </row>
    <row r="6620" spans="8:10" x14ac:dyDescent="0.3">
      <c r="H6620" s="3"/>
      <c r="I6620" s="3"/>
      <c r="J6620" s="3"/>
    </row>
    <row r="6621" spans="8:10" x14ac:dyDescent="0.3">
      <c r="H6621" s="3"/>
      <c r="I6621" s="3"/>
      <c r="J6621" s="3"/>
    </row>
    <row r="6622" spans="8:10" x14ac:dyDescent="0.3">
      <c r="H6622" s="3"/>
      <c r="I6622" s="3"/>
      <c r="J6622" s="3"/>
    </row>
    <row r="6623" spans="8:10" x14ac:dyDescent="0.3">
      <c r="H6623" s="3"/>
      <c r="I6623" s="3"/>
      <c r="J6623" s="3"/>
    </row>
    <row r="6624" spans="8:10" x14ac:dyDescent="0.3">
      <c r="H6624" s="3"/>
      <c r="I6624" s="3"/>
      <c r="J6624" s="3"/>
    </row>
    <row r="6625" spans="8:10" x14ac:dyDescent="0.3">
      <c r="H6625" s="3"/>
      <c r="I6625" s="3"/>
      <c r="J6625" s="3"/>
    </row>
    <row r="6626" spans="8:10" x14ac:dyDescent="0.3">
      <c r="H6626" s="3"/>
      <c r="I6626" s="3"/>
      <c r="J6626" s="3"/>
    </row>
    <row r="6627" spans="8:10" x14ac:dyDescent="0.3">
      <c r="H6627" s="3"/>
      <c r="I6627" s="3"/>
      <c r="J6627" s="3"/>
    </row>
    <row r="6628" spans="8:10" x14ac:dyDescent="0.3">
      <c r="H6628" s="3"/>
      <c r="I6628" s="3"/>
      <c r="J6628" s="3"/>
    </row>
    <row r="6629" spans="8:10" x14ac:dyDescent="0.3">
      <c r="H6629" s="3"/>
      <c r="I6629" s="3"/>
      <c r="J6629" s="3"/>
    </row>
    <row r="6630" spans="8:10" x14ac:dyDescent="0.3">
      <c r="H6630" s="3"/>
      <c r="I6630" s="3"/>
      <c r="J6630" s="3"/>
    </row>
    <row r="6631" spans="8:10" x14ac:dyDescent="0.3">
      <c r="H6631" s="3"/>
      <c r="I6631" s="3"/>
      <c r="J6631" s="3"/>
    </row>
    <row r="6632" spans="8:10" x14ac:dyDescent="0.3">
      <c r="H6632" s="3"/>
      <c r="I6632" s="3"/>
      <c r="J6632" s="3"/>
    </row>
    <row r="6633" spans="8:10" x14ac:dyDescent="0.3">
      <c r="H6633" s="3"/>
      <c r="I6633" s="3"/>
      <c r="J6633" s="3"/>
    </row>
    <row r="6634" spans="8:10" x14ac:dyDescent="0.3">
      <c r="H6634" s="3"/>
      <c r="I6634" s="3"/>
      <c r="J6634" s="3"/>
    </row>
    <row r="6635" spans="8:10" x14ac:dyDescent="0.3">
      <c r="H6635" s="3"/>
      <c r="I6635" s="3"/>
      <c r="J6635" s="3"/>
    </row>
    <row r="6636" spans="8:10" x14ac:dyDescent="0.3">
      <c r="H6636" s="3"/>
      <c r="I6636" s="3"/>
      <c r="J6636" s="3"/>
    </row>
    <row r="6637" spans="8:10" x14ac:dyDescent="0.3">
      <c r="H6637" s="3"/>
      <c r="I6637" s="3"/>
      <c r="J6637" s="3"/>
    </row>
    <row r="6638" spans="8:10" x14ac:dyDescent="0.3">
      <c r="H6638" s="3"/>
      <c r="I6638" s="3"/>
      <c r="J6638" s="3"/>
    </row>
    <row r="6639" spans="8:10" x14ac:dyDescent="0.3">
      <c r="H6639" s="3"/>
      <c r="I6639" s="3"/>
      <c r="J6639" s="3"/>
    </row>
    <row r="6640" spans="8:10" x14ac:dyDescent="0.3">
      <c r="H6640" s="3"/>
      <c r="I6640" s="3"/>
      <c r="J6640" s="3"/>
    </row>
    <row r="6641" spans="8:10" x14ac:dyDescent="0.3">
      <c r="H6641" s="3"/>
      <c r="I6641" s="3"/>
      <c r="J6641" s="3"/>
    </row>
    <row r="6642" spans="8:10" x14ac:dyDescent="0.3">
      <c r="H6642" s="3"/>
      <c r="I6642" s="3"/>
      <c r="J6642" s="3"/>
    </row>
    <row r="6643" spans="8:10" x14ac:dyDescent="0.3">
      <c r="H6643" s="3"/>
      <c r="I6643" s="3"/>
      <c r="J6643" s="3"/>
    </row>
    <row r="6644" spans="8:10" x14ac:dyDescent="0.3">
      <c r="H6644" s="3"/>
      <c r="I6644" s="3"/>
      <c r="J6644" s="3"/>
    </row>
    <row r="6645" spans="8:10" x14ac:dyDescent="0.3">
      <c r="H6645" s="3"/>
      <c r="I6645" s="3"/>
      <c r="J6645" s="3"/>
    </row>
    <row r="6646" spans="8:10" x14ac:dyDescent="0.3">
      <c r="H6646" s="3"/>
      <c r="I6646" s="3"/>
      <c r="J6646" s="3"/>
    </row>
    <row r="6647" spans="8:10" x14ac:dyDescent="0.3">
      <c r="H6647" s="3"/>
      <c r="I6647" s="3"/>
      <c r="J6647" s="3"/>
    </row>
    <row r="6648" spans="8:10" x14ac:dyDescent="0.3">
      <c r="H6648" s="3"/>
      <c r="I6648" s="3"/>
      <c r="J6648" s="3"/>
    </row>
    <row r="6649" spans="8:10" x14ac:dyDescent="0.3">
      <c r="H6649" s="3"/>
      <c r="I6649" s="3"/>
      <c r="J6649" s="3"/>
    </row>
    <row r="6650" spans="8:10" x14ac:dyDescent="0.3">
      <c r="H6650" s="3"/>
      <c r="I6650" s="3"/>
      <c r="J6650" s="3"/>
    </row>
    <row r="6651" spans="8:10" x14ac:dyDescent="0.3">
      <c r="H6651" s="3"/>
      <c r="I6651" s="3"/>
      <c r="J6651" s="3"/>
    </row>
    <row r="6652" spans="8:10" x14ac:dyDescent="0.3">
      <c r="H6652" s="3"/>
      <c r="I6652" s="3"/>
      <c r="J6652" s="3"/>
    </row>
    <row r="6653" spans="8:10" x14ac:dyDescent="0.3">
      <c r="H6653" s="3"/>
      <c r="I6653" s="3"/>
      <c r="J6653" s="3"/>
    </row>
    <row r="6654" spans="8:10" x14ac:dyDescent="0.3">
      <c r="H6654" s="3"/>
      <c r="I6654" s="3"/>
      <c r="J6654" s="3"/>
    </row>
    <row r="6655" spans="8:10" x14ac:dyDescent="0.3">
      <c r="H6655" s="3"/>
      <c r="I6655" s="3"/>
      <c r="J6655" s="3"/>
    </row>
    <row r="6656" spans="8:10" x14ac:dyDescent="0.3">
      <c r="H6656" s="3"/>
      <c r="I6656" s="3"/>
      <c r="J6656" s="3"/>
    </row>
    <row r="6657" spans="8:10" x14ac:dyDescent="0.3">
      <c r="H6657" s="3"/>
      <c r="I6657" s="3"/>
      <c r="J6657" s="3"/>
    </row>
    <row r="6658" spans="8:10" x14ac:dyDescent="0.3">
      <c r="H6658" s="3"/>
      <c r="I6658" s="3"/>
      <c r="J6658" s="3"/>
    </row>
    <row r="6659" spans="8:10" x14ac:dyDescent="0.3">
      <c r="H6659" s="3"/>
      <c r="I6659" s="3"/>
      <c r="J6659" s="3"/>
    </row>
    <row r="6660" spans="8:10" x14ac:dyDescent="0.3">
      <c r="H6660" s="3"/>
      <c r="I6660" s="3"/>
      <c r="J6660" s="3"/>
    </row>
    <row r="6661" spans="8:10" x14ac:dyDescent="0.3">
      <c r="H6661" s="3"/>
      <c r="I6661" s="3"/>
      <c r="J6661" s="3"/>
    </row>
    <row r="6662" spans="8:10" x14ac:dyDescent="0.3">
      <c r="H6662" s="3"/>
      <c r="I6662" s="3"/>
      <c r="J6662" s="3"/>
    </row>
    <row r="6663" spans="8:10" x14ac:dyDescent="0.3">
      <c r="H6663" s="3"/>
      <c r="I6663" s="3"/>
      <c r="J6663" s="3"/>
    </row>
    <row r="6664" spans="8:10" x14ac:dyDescent="0.3">
      <c r="H6664" s="3"/>
      <c r="I6664" s="3"/>
      <c r="J6664" s="3"/>
    </row>
    <row r="6665" spans="8:10" x14ac:dyDescent="0.3">
      <c r="H6665" s="3"/>
      <c r="I6665" s="3"/>
      <c r="J6665" s="3"/>
    </row>
    <row r="6666" spans="8:10" x14ac:dyDescent="0.3">
      <c r="H6666" s="3"/>
      <c r="I6666" s="3"/>
      <c r="J6666" s="3"/>
    </row>
    <row r="6667" spans="8:10" x14ac:dyDescent="0.3">
      <c r="H6667" s="3"/>
      <c r="I6667" s="3"/>
      <c r="J6667" s="3"/>
    </row>
    <row r="6668" spans="8:10" x14ac:dyDescent="0.3">
      <c r="H6668" s="3"/>
      <c r="I6668" s="3"/>
      <c r="J6668" s="3"/>
    </row>
    <row r="6669" spans="8:10" x14ac:dyDescent="0.3">
      <c r="H6669" s="3"/>
      <c r="I6669" s="3"/>
      <c r="J6669" s="3"/>
    </row>
    <row r="6670" spans="8:10" x14ac:dyDescent="0.3">
      <c r="H6670" s="3"/>
      <c r="I6670" s="3"/>
      <c r="J6670" s="3"/>
    </row>
    <row r="6671" spans="8:10" x14ac:dyDescent="0.3">
      <c r="H6671" s="3"/>
      <c r="I6671" s="3"/>
      <c r="J6671" s="3"/>
    </row>
    <row r="6672" spans="8:10" x14ac:dyDescent="0.3">
      <c r="H6672" s="3"/>
      <c r="I6672" s="3"/>
      <c r="J6672" s="3"/>
    </row>
    <row r="6673" spans="8:10" x14ac:dyDescent="0.3">
      <c r="H6673" s="3"/>
      <c r="I6673" s="3"/>
      <c r="J6673" s="3"/>
    </row>
    <row r="6674" spans="8:10" x14ac:dyDescent="0.3">
      <c r="H6674" s="3"/>
      <c r="I6674" s="3"/>
      <c r="J6674" s="3"/>
    </row>
    <row r="6675" spans="8:10" x14ac:dyDescent="0.3">
      <c r="H6675" s="3"/>
      <c r="I6675" s="3"/>
      <c r="J6675" s="3"/>
    </row>
    <row r="6676" spans="8:10" x14ac:dyDescent="0.3">
      <c r="H6676" s="3"/>
      <c r="I6676" s="3"/>
      <c r="J6676" s="3"/>
    </row>
    <row r="6677" spans="8:10" x14ac:dyDescent="0.3">
      <c r="H6677" s="3"/>
      <c r="I6677" s="3"/>
      <c r="J6677" s="3"/>
    </row>
    <row r="6678" spans="8:10" x14ac:dyDescent="0.3">
      <c r="H6678" s="3"/>
      <c r="I6678" s="3"/>
      <c r="J6678" s="3"/>
    </row>
    <row r="6679" spans="8:10" x14ac:dyDescent="0.3">
      <c r="H6679" s="3"/>
      <c r="I6679" s="3"/>
      <c r="J6679" s="3"/>
    </row>
    <row r="6680" spans="8:10" x14ac:dyDescent="0.3">
      <c r="H6680" s="3"/>
      <c r="I6680" s="3"/>
      <c r="J6680" s="3"/>
    </row>
    <row r="6681" spans="8:10" x14ac:dyDescent="0.3">
      <c r="H6681" s="3"/>
      <c r="I6681" s="3"/>
      <c r="J6681" s="3"/>
    </row>
    <row r="6682" spans="8:10" x14ac:dyDescent="0.3">
      <c r="H6682" s="3"/>
      <c r="I6682" s="3"/>
      <c r="J6682" s="3"/>
    </row>
    <row r="6683" spans="8:10" x14ac:dyDescent="0.3">
      <c r="H6683" s="3"/>
      <c r="I6683" s="3"/>
      <c r="J6683" s="3"/>
    </row>
    <row r="6684" spans="8:10" x14ac:dyDescent="0.3">
      <c r="H6684" s="3"/>
      <c r="I6684" s="3"/>
      <c r="J6684" s="3"/>
    </row>
    <row r="6685" spans="8:10" x14ac:dyDescent="0.3">
      <c r="H6685" s="3"/>
      <c r="I6685" s="3"/>
      <c r="J6685" s="3"/>
    </row>
    <row r="6686" spans="8:10" x14ac:dyDescent="0.3">
      <c r="H6686" s="3"/>
      <c r="I6686" s="3"/>
      <c r="J6686" s="3"/>
    </row>
    <row r="6687" spans="8:10" x14ac:dyDescent="0.3">
      <c r="H6687" s="3"/>
      <c r="I6687" s="3"/>
      <c r="J6687" s="3"/>
    </row>
    <row r="6688" spans="8:10" x14ac:dyDescent="0.3">
      <c r="H6688" s="3"/>
      <c r="I6688" s="3"/>
      <c r="J6688" s="3"/>
    </row>
    <row r="6689" spans="8:10" x14ac:dyDescent="0.3">
      <c r="H6689" s="3"/>
      <c r="I6689" s="3"/>
      <c r="J6689" s="3"/>
    </row>
    <row r="6690" spans="8:10" x14ac:dyDescent="0.3">
      <c r="H6690" s="3"/>
      <c r="I6690" s="3"/>
      <c r="J6690" s="3"/>
    </row>
    <row r="6691" spans="8:10" x14ac:dyDescent="0.3">
      <c r="H6691" s="3"/>
      <c r="I6691" s="3"/>
      <c r="J6691" s="3"/>
    </row>
    <row r="6692" spans="8:10" x14ac:dyDescent="0.3">
      <c r="H6692" s="3"/>
      <c r="I6692" s="3"/>
      <c r="J6692" s="3"/>
    </row>
    <row r="6693" spans="8:10" x14ac:dyDescent="0.3">
      <c r="H6693" s="3"/>
      <c r="I6693" s="3"/>
      <c r="J6693" s="3"/>
    </row>
    <row r="6694" spans="8:10" x14ac:dyDescent="0.3">
      <c r="H6694" s="3"/>
      <c r="I6694" s="3"/>
      <c r="J6694" s="3"/>
    </row>
    <row r="6695" spans="8:10" x14ac:dyDescent="0.3">
      <c r="H6695" s="3"/>
      <c r="I6695" s="3"/>
      <c r="J6695" s="3"/>
    </row>
    <row r="6696" spans="8:10" x14ac:dyDescent="0.3">
      <c r="H6696" s="3"/>
      <c r="I6696" s="3"/>
      <c r="J6696" s="3"/>
    </row>
    <row r="6697" spans="8:10" x14ac:dyDescent="0.3">
      <c r="H6697" s="3"/>
      <c r="I6697" s="3"/>
      <c r="J6697" s="3"/>
    </row>
    <row r="6698" spans="8:10" x14ac:dyDescent="0.3">
      <c r="H6698" s="3"/>
      <c r="I6698" s="3"/>
      <c r="J6698" s="3"/>
    </row>
    <row r="6699" spans="8:10" x14ac:dyDescent="0.3">
      <c r="H6699" s="3"/>
      <c r="I6699" s="3"/>
      <c r="J6699" s="3"/>
    </row>
    <row r="6700" spans="8:10" x14ac:dyDescent="0.3">
      <c r="H6700" s="3"/>
      <c r="I6700" s="3"/>
      <c r="J6700" s="3"/>
    </row>
    <row r="6701" spans="8:10" x14ac:dyDescent="0.3">
      <c r="H6701" s="3"/>
      <c r="I6701" s="3"/>
      <c r="J6701" s="3"/>
    </row>
    <row r="6702" spans="8:10" x14ac:dyDescent="0.3">
      <c r="H6702" s="3"/>
      <c r="I6702" s="3"/>
      <c r="J6702" s="3"/>
    </row>
    <row r="6703" spans="8:10" x14ac:dyDescent="0.3">
      <c r="H6703" s="3"/>
      <c r="I6703" s="3"/>
      <c r="J6703" s="3"/>
    </row>
    <row r="6704" spans="8:10" x14ac:dyDescent="0.3">
      <c r="H6704" s="3"/>
      <c r="I6704" s="3"/>
      <c r="J6704" s="3"/>
    </row>
    <row r="6705" spans="8:10" x14ac:dyDescent="0.3">
      <c r="H6705" s="3"/>
      <c r="I6705" s="3"/>
      <c r="J6705" s="3"/>
    </row>
    <row r="6706" spans="8:10" x14ac:dyDescent="0.3">
      <c r="H6706" s="3"/>
      <c r="I6706" s="3"/>
      <c r="J6706" s="3"/>
    </row>
    <row r="6707" spans="8:10" x14ac:dyDescent="0.3">
      <c r="H6707" s="3"/>
      <c r="I6707" s="3"/>
      <c r="J6707" s="3"/>
    </row>
    <row r="6708" spans="8:10" x14ac:dyDescent="0.3">
      <c r="H6708" s="3"/>
      <c r="I6708" s="3"/>
      <c r="J6708" s="3"/>
    </row>
    <row r="6709" spans="8:10" x14ac:dyDescent="0.3">
      <c r="H6709" s="3"/>
      <c r="I6709" s="3"/>
      <c r="J6709" s="3"/>
    </row>
    <row r="6710" spans="8:10" x14ac:dyDescent="0.3">
      <c r="H6710" s="3"/>
      <c r="I6710" s="3"/>
      <c r="J6710" s="3"/>
    </row>
    <row r="6711" spans="8:10" x14ac:dyDescent="0.3">
      <c r="H6711" s="3"/>
      <c r="I6711" s="3"/>
      <c r="J6711" s="3"/>
    </row>
    <row r="6712" spans="8:10" x14ac:dyDescent="0.3">
      <c r="H6712" s="3"/>
      <c r="I6712" s="3"/>
      <c r="J6712" s="3"/>
    </row>
    <row r="6713" spans="8:10" x14ac:dyDescent="0.3">
      <c r="H6713" s="3"/>
      <c r="I6713" s="3"/>
      <c r="J6713" s="3"/>
    </row>
    <row r="6714" spans="8:10" x14ac:dyDescent="0.3">
      <c r="H6714" s="3"/>
      <c r="I6714" s="3"/>
      <c r="J6714" s="3"/>
    </row>
    <row r="6715" spans="8:10" x14ac:dyDescent="0.3">
      <c r="H6715" s="3"/>
      <c r="I6715" s="3"/>
      <c r="J6715" s="3"/>
    </row>
    <row r="6716" spans="8:10" x14ac:dyDescent="0.3">
      <c r="H6716" s="3"/>
      <c r="I6716" s="3"/>
      <c r="J6716" s="3"/>
    </row>
    <row r="6717" spans="8:10" x14ac:dyDescent="0.3">
      <c r="H6717" s="3"/>
      <c r="I6717" s="3"/>
      <c r="J6717" s="3"/>
    </row>
    <row r="6718" spans="8:10" x14ac:dyDescent="0.3">
      <c r="H6718" s="3"/>
      <c r="I6718" s="3"/>
      <c r="J6718" s="3"/>
    </row>
    <row r="6719" spans="8:10" x14ac:dyDescent="0.3">
      <c r="H6719" s="3"/>
      <c r="I6719" s="3"/>
      <c r="J6719" s="3"/>
    </row>
    <row r="6720" spans="8:10" x14ac:dyDescent="0.3">
      <c r="H6720" s="3"/>
      <c r="I6720" s="3"/>
      <c r="J6720" s="3"/>
    </row>
    <row r="6721" spans="8:10" x14ac:dyDescent="0.3">
      <c r="H6721" s="3"/>
      <c r="I6721" s="3"/>
      <c r="J6721" s="3"/>
    </row>
    <row r="6722" spans="8:10" x14ac:dyDescent="0.3">
      <c r="H6722" s="3"/>
      <c r="I6722" s="3"/>
      <c r="J6722" s="3"/>
    </row>
    <row r="6723" spans="8:10" x14ac:dyDescent="0.3">
      <c r="H6723" s="3"/>
      <c r="I6723" s="3"/>
      <c r="J6723" s="3"/>
    </row>
    <row r="6724" spans="8:10" x14ac:dyDescent="0.3">
      <c r="H6724" s="3"/>
      <c r="I6724" s="3"/>
      <c r="J6724" s="3"/>
    </row>
    <row r="6725" spans="8:10" x14ac:dyDescent="0.3">
      <c r="H6725" s="3"/>
      <c r="I6725" s="3"/>
      <c r="J6725" s="3"/>
    </row>
    <row r="6726" spans="8:10" x14ac:dyDescent="0.3">
      <c r="H6726" s="3"/>
      <c r="I6726" s="3"/>
      <c r="J6726" s="3"/>
    </row>
    <row r="6727" spans="8:10" x14ac:dyDescent="0.3">
      <c r="H6727" s="3"/>
      <c r="I6727" s="3"/>
      <c r="J6727" s="3"/>
    </row>
    <row r="6728" spans="8:10" x14ac:dyDescent="0.3">
      <c r="H6728" s="3"/>
      <c r="I6728" s="3"/>
      <c r="J6728" s="3"/>
    </row>
    <row r="6729" spans="8:10" x14ac:dyDescent="0.3">
      <c r="H6729" s="3"/>
      <c r="I6729" s="3"/>
      <c r="J6729" s="3"/>
    </row>
    <row r="6730" spans="8:10" x14ac:dyDescent="0.3">
      <c r="H6730" s="3"/>
      <c r="I6730" s="3"/>
      <c r="J6730" s="3"/>
    </row>
    <row r="6731" spans="8:10" x14ac:dyDescent="0.3">
      <c r="H6731" s="3"/>
      <c r="I6731" s="3"/>
      <c r="J6731" s="3"/>
    </row>
    <row r="6732" spans="8:10" x14ac:dyDescent="0.3">
      <c r="H6732" s="3"/>
      <c r="I6732" s="3"/>
      <c r="J6732" s="3"/>
    </row>
    <row r="6733" spans="8:10" x14ac:dyDescent="0.3">
      <c r="H6733" s="3"/>
      <c r="I6733" s="3"/>
      <c r="J6733" s="3"/>
    </row>
    <row r="6734" spans="8:10" x14ac:dyDescent="0.3">
      <c r="H6734" s="3"/>
      <c r="I6734" s="3"/>
      <c r="J6734" s="3"/>
    </row>
    <row r="6735" spans="8:10" x14ac:dyDescent="0.3">
      <c r="H6735" s="3"/>
      <c r="I6735" s="3"/>
      <c r="J6735" s="3"/>
    </row>
    <row r="6736" spans="8:10" x14ac:dyDescent="0.3">
      <c r="H6736" s="3"/>
      <c r="I6736" s="3"/>
      <c r="J6736" s="3"/>
    </row>
    <row r="6737" spans="8:10" x14ac:dyDescent="0.3">
      <c r="H6737" s="3"/>
      <c r="I6737" s="3"/>
      <c r="J6737" s="3"/>
    </row>
    <row r="6738" spans="8:10" x14ac:dyDescent="0.3">
      <c r="H6738" s="3"/>
      <c r="I6738" s="3"/>
      <c r="J6738" s="3"/>
    </row>
    <row r="6739" spans="8:10" x14ac:dyDescent="0.3">
      <c r="H6739" s="3"/>
      <c r="I6739" s="3"/>
      <c r="J6739" s="3"/>
    </row>
    <row r="6740" spans="8:10" x14ac:dyDescent="0.3">
      <c r="H6740" s="3"/>
      <c r="I6740" s="3"/>
      <c r="J6740" s="3"/>
    </row>
    <row r="6741" spans="8:10" x14ac:dyDescent="0.3">
      <c r="H6741" s="3"/>
      <c r="I6741" s="3"/>
      <c r="J6741" s="3"/>
    </row>
    <row r="6742" spans="8:10" x14ac:dyDescent="0.3">
      <c r="H6742" s="3"/>
      <c r="I6742" s="3"/>
      <c r="J6742" s="3"/>
    </row>
    <row r="6743" spans="8:10" x14ac:dyDescent="0.3">
      <c r="H6743" s="3"/>
      <c r="I6743" s="3"/>
      <c r="J6743" s="3"/>
    </row>
    <row r="6744" spans="8:10" x14ac:dyDescent="0.3">
      <c r="H6744" s="3"/>
      <c r="I6744" s="3"/>
      <c r="J6744" s="3"/>
    </row>
    <row r="6745" spans="8:10" x14ac:dyDescent="0.3">
      <c r="H6745" s="3"/>
      <c r="I6745" s="3"/>
      <c r="J6745" s="3"/>
    </row>
    <row r="6746" spans="8:10" x14ac:dyDescent="0.3">
      <c r="H6746" s="3"/>
      <c r="I6746" s="3"/>
      <c r="J6746" s="3"/>
    </row>
    <row r="6747" spans="8:10" x14ac:dyDescent="0.3">
      <c r="H6747" s="3"/>
      <c r="I6747" s="3"/>
      <c r="J6747" s="3"/>
    </row>
    <row r="6748" spans="8:10" x14ac:dyDescent="0.3">
      <c r="H6748" s="3"/>
      <c r="I6748" s="3"/>
      <c r="J6748" s="3"/>
    </row>
    <row r="6749" spans="8:10" x14ac:dyDescent="0.3">
      <c r="H6749" s="3"/>
      <c r="I6749" s="3"/>
      <c r="J6749" s="3"/>
    </row>
    <row r="6750" spans="8:10" x14ac:dyDescent="0.3">
      <c r="H6750" s="3"/>
      <c r="I6750" s="3"/>
      <c r="J6750" s="3"/>
    </row>
    <row r="6751" spans="8:10" x14ac:dyDescent="0.3">
      <c r="H6751" s="3"/>
      <c r="I6751" s="3"/>
      <c r="J6751" s="3"/>
    </row>
    <row r="6752" spans="8:10" x14ac:dyDescent="0.3">
      <c r="H6752" s="3"/>
      <c r="I6752" s="3"/>
      <c r="J6752" s="3"/>
    </row>
    <row r="6753" spans="8:10" x14ac:dyDescent="0.3">
      <c r="H6753" s="3"/>
      <c r="I6753" s="3"/>
      <c r="J6753" s="3"/>
    </row>
    <row r="6754" spans="8:10" x14ac:dyDescent="0.3">
      <c r="H6754" s="3"/>
      <c r="I6754" s="3"/>
      <c r="J6754" s="3"/>
    </row>
    <row r="6755" spans="8:10" x14ac:dyDescent="0.3">
      <c r="H6755" s="3"/>
      <c r="I6755" s="3"/>
      <c r="J6755" s="3"/>
    </row>
    <row r="6756" spans="8:10" x14ac:dyDescent="0.3">
      <c r="H6756" s="3"/>
      <c r="I6756" s="3"/>
      <c r="J6756" s="3"/>
    </row>
    <row r="6757" spans="8:10" x14ac:dyDescent="0.3">
      <c r="H6757" s="3"/>
      <c r="I6757" s="3"/>
      <c r="J6757" s="3"/>
    </row>
    <row r="6758" spans="8:10" x14ac:dyDescent="0.3">
      <c r="H6758" s="3"/>
      <c r="I6758" s="3"/>
      <c r="J6758" s="3"/>
    </row>
    <row r="6759" spans="8:10" x14ac:dyDescent="0.3">
      <c r="H6759" s="3"/>
      <c r="I6759" s="3"/>
      <c r="J6759" s="3"/>
    </row>
    <row r="6760" spans="8:10" x14ac:dyDescent="0.3">
      <c r="H6760" s="3"/>
      <c r="I6760" s="3"/>
      <c r="J6760" s="3"/>
    </row>
    <row r="6761" spans="8:10" x14ac:dyDescent="0.3">
      <c r="H6761" s="3"/>
      <c r="I6761" s="3"/>
      <c r="J6761" s="3"/>
    </row>
    <row r="6762" spans="8:10" x14ac:dyDescent="0.3">
      <c r="H6762" s="3"/>
      <c r="I6762" s="3"/>
      <c r="J6762" s="3"/>
    </row>
    <row r="6763" spans="8:10" x14ac:dyDescent="0.3">
      <c r="H6763" s="3"/>
      <c r="I6763" s="3"/>
      <c r="J6763" s="3"/>
    </row>
    <row r="6764" spans="8:10" x14ac:dyDescent="0.3">
      <c r="H6764" s="3"/>
      <c r="I6764" s="3"/>
      <c r="J6764" s="3"/>
    </row>
    <row r="6765" spans="8:10" x14ac:dyDescent="0.3">
      <c r="H6765" s="3"/>
      <c r="I6765" s="3"/>
      <c r="J6765" s="3"/>
    </row>
    <row r="6766" spans="8:10" x14ac:dyDescent="0.3">
      <c r="H6766" s="3"/>
      <c r="I6766" s="3"/>
      <c r="J6766" s="3"/>
    </row>
    <row r="6767" spans="8:10" x14ac:dyDescent="0.3">
      <c r="H6767" s="3"/>
      <c r="I6767" s="3"/>
      <c r="J6767" s="3"/>
    </row>
    <row r="6768" spans="8:10" x14ac:dyDescent="0.3">
      <c r="H6768" s="3"/>
      <c r="I6768" s="3"/>
      <c r="J6768" s="3"/>
    </row>
    <row r="6769" spans="8:10" x14ac:dyDescent="0.3">
      <c r="H6769" s="3"/>
      <c r="I6769" s="3"/>
      <c r="J6769" s="3"/>
    </row>
    <row r="6770" spans="8:10" x14ac:dyDescent="0.3">
      <c r="H6770" s="3"/>
      <c r="I6770" s="3"/>
      <c r="J6770" s="3"/>
    </row>
    <row r="6771" spans="8:10" x14ac:dyDescent="0.3">
      <c r="H6771" s="3"/>
      <c r="I6771" s="3"/>
      <c r="J6771" s="3"/>
    </row>
    <row r="6772" spans="8:10" x14ac:dyDescent="0.3">
      <c r="H6772" s="3"/>
      <c r="I6772" s="3"/>
      <c r="J6772" s="3"/>
    </row>
    <row r="6773" spans="8:10" x14ac:dyDescent="0.3">
      <c r="H6773" s="3"/>
      <c r="I6773" s="3"/>
      <c r="J6773" s="3"/>
    </row>
    <row r="6774" spans="8:10" x14ac:dyDescent="0.3">
      <c r="H6774" s="3"/>
      <c r="I6774" s="3"/>
      <c r="J6774" s="3"/>
    </row>
    <row r="6775" spans="8:10" x14ac:dyDescent="0.3">
      <c r="H6775" s="3"/>
      <c r="I6775" s="3"/>
      <c r="J6775" s="3"/>
    </row>
    <row r="6776" spans="8:10" x14ac:dyDescent="0.3">
      <c r="H6776" s="3"/>
      <c r="I6776" s="3"/>
      <c r="J6776" s="3"/>
    </row>
    <row r="6777" spans="8:10" x14ac:dyDescent="0.3">
      <c r="H6777" s="3"/>
      <c r="I6777" s="3"/>
      <c r="J6777" s="3"/>
    </row>
    <row r="6778" spans="8:10" x14ac:dyDescent="0.3">
      <c r="H6778" s="3"/>
      <c r="I6778" s="3"/>
      <c r="J6778" s="3"/>
    </row>
    <row r="6779" spans="8:10" x14ac:dyDescent="0.3">
      <c r="H6779" s="3"/>
      <c r="I6779" s="3"/>
      <c r="J6779" s="3"/>
    </row>
    <row r="6780" spans="8:10" x14ac:dyDescent="0.3">
      <c r="H6780" s="3"/>
      <c r="I6780" s="3"/>
      <c r="J6780" s="3"/>
    </row>
    <row r="6781" spans="8:10" x14ac:dyDescent="0.3">
      <c r="H6781" s="3"/>
      <c r="I6781" s="3"/>
      <c r="J6781" s="3"/>
    </row>
    <row r="6782" spans="8:10" x14ac:dyDescent="0.3">
      <c r="H6782" s="3"/>
      <c r="I6782" s="3"/>
      <c r="J6782" s="3"/>
    </row>
    <row r="6783" spans="8:10" x14ac:dyDescent="0.3">
      <c r="H6783" s="3"/>
      <c r="I6783" s="3"/>
      <c r="J6783" s="3"/>
    </row>
    <row r="6784" spans="8:10" x14ac:dyDescent="0.3">
      <c r="H6784" s="3"/>
      <c r="I6784" s="3"/>
      <c r="J6784" s="3"/>
    </row>
    <row r="6785" spans="8:10" x14ac:dyDescent="0.3">
      <c r="H6785" s="3"/>
      <c r="I6785" s="3"/>
      <c r="J6785" s="3"/>
    </row>
    <row r="6786" spans="8:10" x14ac:dyDescent="0.3">
      <c r="H6786" s="3"/>
      <c r="I6786" s="3"/>
      <c r="J6786" s="3"/>
    </row>
    <row r="6787" spans="8:10" x14ac:dyDescent="0.3">
      <c r="H6787" s="3"/>
      <c r="I6787" s="3"/>
      <c r="J6787" s="3"/>
    </row>
    <row r="6788" spans="8:10" x14ac:dyDescent="0.3">
      <c r="H6788" s="3"/>
      <c r="I6788" s="3"/>
      <c r="J6788" s="3"/>
    </row>
    <row r="6789" spans="8:10" x14ac:dyDescent="0.3">
      <c r="H6789" s="3"/>
      <c r="I6789" s="3"/>
      <c r="J6789" s="3"/>
    </row>
    <row r="6790" spans="8:10" x14ac:dyDescent="0.3">
      <c r="H6790" s="3"/>
      <c r="I6790" s="3"/>
      <c r="J6790" s="3"/>
    </row>
    <row r="6791" spans="8:10" x14ac:dyDescent="0.3">
      <c r="H6791" s="3"/>
      <c r="I6791" s="3"/>
      <c r="J6791" s="3"/>
    </row>
    <row r="6792" spans="8:10" x14ac:dyDescent="0.3">
      <c r="H6792" s="3"/>
      <c r="I6792" s="3"/>
      <c r="J6792" s="3"/>
    </row>
    <row r="6793" spans="8:10" x14ac:dyDescent="0.3">
      <c r="H6793" s="3"/>
      <c r="I6793" s="3"/>
      <c r="J6793" s="3"/>
    </row>
    <row r="6794" spans="8:10" x14ac:dyDescent="0.3">
      <c r="H6794" s="3"/>
      <c r="I6794" s="3"/>
      <c r="J6794" s="3"/>
    </row>
    <row r="6795" spans="8:10" x14ac:dyDescent="0.3">
      <c r="H6795" s="3"/>
      <c r="I6795" s="3"/>
      <c r="J6795" s="3"/>
    </row>
    <row r="6796" spans="8:10" x14ac:dyDescent="0.3">
      <c r="H6796" s="3"/>
      <c r="I6796" s="3"/>
      <c r="J6796" s="3"/>
    </row>
    <row r="6797" spans="8:10" x14ac:dyDescent="0.3">
      <c r="H6797" s="3"/>
      <c r="I6797" s="3"/>
      <c r="J6797" s="3"/>
    </row>
    <row r="6798" spans="8:10" x14ac:dyDescent="0.3">
      <c r="H6798" s="3"/>
      <c r="I6798" s="3"/>
      <c r="J6798" s="3"/>
    </row>
    <row r="6799" spans="8:10" x14ac:dyDescent="0.3">
      <c r="H6799" s="3"/>
      <c r="I6799" s="3"/>
      <c r="J6799" s="3"/>
    </row>
    <row r="6800" spans="8:10" x14ac:dyDescent="0.3">
      <c r="H6800" s="3"/>
      <c r="I6800" s="3"/>
      <c r="J6800" s="3"/>
    </row>
    <row r="6801" spans="8:10" x14ac:dyDescent="0.3">
      <c r="H6801" s="3"/>
      <c r="I6801" s="3"/>
      <c r="J6801" s="3"/>
    </row>
    <row r="6802" spans="8:10" x14ac:dyDescent="0.3">
      <c r="H6802" s="3"/>
      <c r="I6802" s="3"/>
      <c r="J6802" s="3"/>
    </row>
    <row r="6803" spans="8:10" x14ac:dyDescent="0.3">
      <c r="H6803" s="3"/>
      <c r="I6803" s="3"/>
      <c r="J6803" s="3"/>
    </row>
    <row r="6804" spans="8:10" x14ac:dyDescent="0.3">
      <c r="H6804" s="3"/>
      <c r="I6804" s="3"/>
      <c r="J6804" s="3"/>
    </row>
    <row r="6805" spans="8:10" x14ac:dyDescent="0.3">
      <c r="H6805" s="3"/>
      <c r="I6805" s="3"/>
      <c r="J6805" s="3"/>
    </row>
    <row r="6806" spans="8:10" x14ac:dyDescent="0.3">
      <c r="H6806" s="3"/>
      <c r="I6806" s="3"/>
      <c r="J6806" s="3"/>
    </row>
    <row r="6807" spans="8:10" x14ac:dyDescent="0.3">
      <c r="H6807" s="3"/>
      <c r="I6807" s="3"/>
      <c r="J6807" s="3"/>
    </row>
    <row r="6808" spans="8:10" x14ac:dyDescent="0.3">
      <c r="H6808" s="3"/>
      <c r="I6808" s="3"/>
      <c r="J6808" s="3"/>
    </row>
    <row r="6809" spans="8:10" x14ac:dyDescent="0.3">
      <c r="H6809" s="3"/>
      <c r="I6809" s="3"/>
      <c r="J6809" s="3"/>
    </row>
    <row r="6810" spans="8:10" x14ac:dyDescent="0.3">
      <c r="H6810" s="3"/>
      <c r="I6810" s="3"/>
      <c r="J6810" s="3"/>
    </row>
    <row r="6811" spans="8:10" x14ac:dyDescent="0.3">
      <c r="H6811" s="3"/>
      <c r="I6811" s="3"/>
      <c r="J6811" s="3"/>
    </row>
    <row r="6812" spans="8:10" x14ac:dyDescent="0.3">
      <c r="H6812" s="3"/>
      <c r="I6812" s="3"/>
      <c r="J6812" s="3"/>
    </row>
    <row r="6813" spans="8:10" x14ac:dyDescent="0.3">
      <c r="H6813" s="3"/>
      <c r="I6813" s="3"/>
      <c r="J6813" s="3"/>
    </row>
    <row r="6814" spans="8:10" x14ac:dyDescent="0.3">
      <c r="H6814" s="3"/>
      <c r="I6814" s="3"/>
      <c r="J6814" s="3"/>
    </row>
    <row r="6815" spans="8:10" x14ac:dyDescent="0.3">
      <c r="H6815" s="3"/>
      <c r="I6815" s="3"/>
      <c r="J6815" s="3"/>
    </row>
    <row r="6816" spans="8:10" x14ac:dyDescent="0.3">
      <c r="H6816" s="3"/>
      <c r="I6816" s="3"/>
      <c r="J6816" s="3"/>
    </row>
    <row r="6817" spans="8:10" x14ac:dyDescent="0.3">
      <c r="H6817" s="3"/>
      <c r="I6817" s="3"/>
      <c r="J6817" s="3"/>
    </row>
    <row r="6818" spans="8:10" x14ac:dyDescent="0.3">
      <c r="H6818" s="3"/>
      <c r="I6818" s="3"/>
      <c r="J6818" s="3"/>
    </row>
    <row r="6819" spans="8:10" x14ac:dyDescent="0.3">
      <c r="H6819" s="3"/>
      <c r="I6819" s="3"/>
      <c r="J6819" s="3"/>
    </row>
    <row r="6820" spans="8:10" x14ac:dyDescent="0.3">
      <c r="H6820" s="3"/>
      <c r="I6820" s="3"/>
      <c r="J6820" s="3"/>
    </row>
    <row r="6821" spans="8:10" x14ac:dyDescent="0.3">
      <c r="H6821" s="3"/>
      <c r="I6821" s="3"/>
      <c r="J6821" s="3"/>
    </row>
    <row r="6822" spans="8:10" x14ac:dyDescent="0.3">
      <c r="H6822" s="3"/>
      <c r="I6822" s="3"/>
      <c r="J6822" s="3"/>
    </row>
    <row r="6823" spans="8:10" x14ac:dyDescent="0.3">
      <c r="H6823" s="3"/>
      <c r="I6823" s="3"/>
      <c r="J6823" s="3"/>
    </row>
    <row r="6824" spans="8:10" x14ac:dyDescent="0.3">
      <c r="H6824" s="3"/>
      <c r="I6824" s="3"/>
      <c r="J6824" s="3"/>
    </row>
    <row r="6825" spans="8:10" x14ac:dyDescent="0.3">
      <c r="H6825" s="3"/>
      <c r="I6825" s="3"/>
      <c r="J6825" s="3"/>
    </row>
    <row r="6826" spans="8:10" x14ac:dyDescent="0.3">
      <c r="H6826" s="3"/>
      <c r="I6826" s="3"/>
      <c r="J6826" s="3"/>
    </row>
    <row r="6827" spans="8:10" x14ac:dyDescent="0.3">
      <c r="H6827" s="3"/>
      <c r="I6827" s="3"/>
      <c r="J6827" s="3"/>
    </row>
    <row r="6828" spans="8:10" x14ac:dyDescent="0.3">
      <c r="H6828" s="3"/>
      <c r="I6828" s="3"/>
      <c r="J6828" s="3"/>
    </row>
    <row r="6829" spans="8:10" x14ac:dyDescent="0.3">
      <c r="H6829" s="3"/>
      <c r="I6829" s="3"/>
      <c r="J6829" s="3"/>
    </row>
    <row r="6830" spans="8:10" x14ac:dyDescent="0.3">
      <c r="H6830" s="3"/>
      <c r="I6830" s="3"/>
      <c r="J6830" s="3"/>
    </row>
    <row r="6831" spans="8:10" x14ac:dyDescent="0.3">
      <c r="H6831" s="3"/>
      <c r="I6831" s="3"/>
      <c r="J6831" s="3"/>
    </row>
    <row r="6832" spans="8:10" x14ac:dyDescent="0.3">
      <c r="H6832" s="3"/>
      <c r="I6832" s="3"/>
      <c r="J6832" s="3"/>
    </row>
    <row r="6833" spans="8:10" x14ac:dyDescent="0.3">
      <c r="H6833" s="3"/>
      <c r="I6833" s="3"/>
      <c r="J6833" s="3"/>
    </row>
    <row r="6834" spans="8:10" x14ac:dyDescent="0.3">
      <c r="H6834" s="3"/>
      <c r="I6834" s="3"/>
      <c r="J6834" s="3"/>
    </row>
    <row r="6835" spans="8:10" x14ac:dyDescent="0.3">
      <c r="H6835" s="3"/>
      <c r="I6835" s="3"/>
      <c r="J6835" s="3"/>
    </row>
    <row r="6836" spans="8:10" x14ac:dyDescent="0.3">
      <c r="H6836" s="3"/>
      <c r="I6836" s="3"/>
      <c r="J6836" s="3"/>
    </row>
    <row r="6837" spans="8:10" x14ac:dyDescent="0.3">
      <c r="H6837" s="3"/>
      <c r="I6837" s="3"/>
      <c r="J6837" s="3"/>
    </row>
    <row r="6838" spans="8:10" x14ac:dyDescent="0.3">
      <c r="H6838" s="3"/>
      <c r="I6838" s="3"/>
      <c r="J6838" s="3"/>
    </row>
    <row r="6839" spans="8:10" x14ac:dyDescent="0.3">
      <c r="H6839" s="3"/>
      <c r="I6839" s="3"/>
      <c r="J6839" s="3"/>
    </row>
    <row r="6840" spans="8:10" x14ac:dyDescent="0.3">
      <c r="H6840" s="3"/>
      <c r="I6840" s="3"/>
      <c r="J6840" s="3"/>
    </row>
    <row r="6841" spans="8:10" x14ac:dyDescent="0.3">
      <c r="H6841" s="3"/>
      <c r="I6841" s="3"/>
      <c r="J6841" s="3"/>
    </row>
    <row r="6842" spans="8:10" x14ac:dyDescent="0.3">
      <c r="H6842" s="3"/>
      <c r="I6842" s="3"/>
      <c r="J6842" s="3"/>
    </row>
    <row r="6843" spans="8:10" x14ac:dyDescent="0.3">
      <c r="H6843" s="3"/>
      <c r="I6843" s="3"/>
      <c r="J6843" s="3"/>
    </row>
    <row r="6844" spans="8:10" x14ac:dyDescent="0.3">
      <c r="H6844" s="3"/>
      <c r="I6844" s="3"/>
      <c r="J6844" s="3"/>
    </row>
    <row r="6845" spans="8:10" x14ac:dyDescent="0.3">
      <c r="H6845" s="3"/>
      <c r="I6845" s="3"/>
      <c r="J6845" s="3"/>
    </row>
    <row r="6846" spans="8:10" x14ac:dyDescent="0.3">
      <c r="H6846" s="3"/>
      <c r="I6846" s="3"/>
      <c r="J6846" s="3"/>
    </row>
    <row r="6847" spans="8:10" x14ac:dyDescent="0.3">
      <c r="H6847" s="3"/>
      <c r="I6847" s="3"/>
      <c r="J6847" s="3"/>
    </row>
    <row r="6848" spans="8:10" x14ac:dyDescent="0.3">
      <c r="H6848" s="3"/>
      <c r="I6848" s="3"/>
      <c r="J6848" s="3"/>
    </row>
    <row r="6849" spans="8:10" x14ac:dyDescent="0.3">
      <c r="H6849" s="3"/>
      <c r="I6849" s="3"/>
      <c r="J6849" s="3"/>
    </row>
    <row r="6850" spans="8:10" x14ac:dyDescent="0.3">
      <c r="H6850" s="3"/>
      <c r="I6850" s="3"/>
      <c r="J6850" s="3"/>
    </row>
    <row r="6851" spans="8:10" x14ac:dyDescent="0.3">
      <c r="H6851" s="3"/>
      <c r="I6851" s="3"/>
      <c r="J6851" s="3"/>
    </row>
    <row r="6852" spans="8:10" x14ac:dyDescent="0.3">
      <c r="H6852" s="3"/>
      <c r="I6852" s="3"/>
      <c r="J6852" s="3"/>
    </row>
    <row r="6853" spans="8:10" x14ac:dyDescent="0.3">
      <c r="H6853" s="3"/>
      <c r="I6853" s="3"/>
      <c r="J6853" s="3"/>
    </row>
    <row r="6854" spans="8:10" x14ac:dyDescent="0.3">
      <c r="H6854" s="3"/>
      <c r="I6854" s="3"/>
      <c r="J6854" s="3"/>
    </row>
    <row r="6855" spans="8:10" x14ac:dyDescent="0.3">
      <c r="H6855" s="3"/>
      <c r="I6855" s="3"/>
      <c r="J6855" s="3"/>
    </row>
    <row r="6856" spans="8:10" x14ac:dyDescent="0.3">
      <c r="H6856" s="3"/>
      <c r="I6856" s="3"/>
      <c r="J6856" s="3"/>
    </row>
    <row r="6857" spans="8:10" x14ac:dyDescent="0.3">
      <c r="H6857" s="3"/>
      <c r="I6857" s="3"/>
      <c r="J6857" s="3"/>
    </row>
    <row r="6858" spans="8:10" x14ac:dyDescent="0.3">
      <c r="H6858" s="3"/>
      <c r="I6858" s="3"/>
      <c r="J6858" s="3"/>
    </row>
    <row r="6859" spans="8:10" x14ac:dyDescent="0.3">
      <c r="H6859" s="3"/>
      <c r="I6859" s="3"/>
      <c r="J6859" s="3"/>
    </row>
    <row r="6860" spans="8:10" x14ac:dyDescent="0.3">
      <c r="H6860" s="3"/>
      <c r="I6860" s="3"/>
      <c r="J6860" s="3"/>
    </row>
    <row r="6861" spans="8:10" x14ac:dyDescent="0.3">
      <c r="H6861" s="3"/>
      <c r="I6861" s="3"/>
      <c r="J6861" s="3"/>
    </row>
    <row r="6862" spans="8:10" x14ac:dyDescent="0.3">
      <c r="H6862" s="3"/>
      <c r="I6862" s="3"/>
      <c r="J6862" s="3"/>
    </row>
    <row r="6863" spans="8:10" x14ac:dyDescent="0.3">
      <c r="H6863" s="3"/>
      <c r="I6863" s="3"/>
      <c r="J6863" s="3"/>
    </row>
    <row r="6864" spans="8:10" x14ac:dyDescent="0.3">
      <c r="H6864" s="3"/>
      <c r="I6864" s="3"/>
      <c r="J6864" s="3"/>
    </row>
    <row r="6865" spans="8:10" x14ac:dyDescent="0.3">
      <c r="H6865" s="3"/>
      <c r="I6865" s="3"/>
      <c r="J6865" s="3"/>
    </row>
    <row r="6866" spans="8:10" x14ac:dyDescent="0.3">
      <c r="H6866" s="3"/>
      <c r="I6866" s="3"/>
      <c r="J6866" s="3"/>
    </row>
    <row r="6867" spans="8:10" x14ac:dyDescent="0.3">
      <c r="H6867" s="3"/>
      <c r="I6867" s="3"/>
      <c r="J6867" s="3"/>
    </row>
    <row r="6868" spans="8:10" x14ac:dyDescent="0.3">
      <c r="H6868" s="3"/>
      <c r="I6868" s="3"/>
      <c r="J6868" s="3"/>
    </row>
    <row r="6869" spans="8:10" x14ac:dyDescent="0.3">
      <c r="H6869" s="3"/>
      <c r="I6869" s="3"/>
      <c r="J6869" s="3"/>
    </row>
    <row r="6870" spans="8:10" x14ac:dyDescent="0.3">
      <c r="H6870" s="3"/>
      <c r="I6870" s="3"/>
      <c r="J6870" s="3"/>
    </row>
    <row r="6871" spans="8:10" x14ac:dyDescent="0.3">
      <c r="H6871" s="3"/>
      <c r="I6871" s="3"/>
      <c r="J6871" s="3"/>
    </row>
    <row r="6872" spans="8:10" x14ac:dyDescent="0.3">
      <c r="H6872" s="3"/>
      <c r="I6872" s="3"/>
      <c r="J6872" s="3"/>
    </row>
    <row r="6873" spans="8:10" x14ac:dyDescent="0.3">
      <c r="H6873" s="3"/>
      <c r="I6873" s="3"/>
      <c r="J6873" s="3"/>
    </row>
    <row r="6874" spans="8:10" x14ac:dyDescent="0.3">
      <c r="H6874" s="3"/>
      <c r="I6874" s="3"/>
      <c r="J6874" s="3"/>
    </row>
    <row r="6875" spans="8:10" x14ac:dyDescent="0.3">
      <c r="H6875" s="3"/>
      <c r="I6875" s="3"/>
      <c r="J6875" s="3"/>
    </row>
    <row r="6876" spans="8:10" x14ac:dyDescent="0.3">
      <c r="H6876" s="3"/>
      <c r="I6876" s="3"/>
      <c r="J6876" s="3"/>
    </row>
    <row r="6877" spans="8:10" x14ac:dyDescent="0.3">
      <c r="H6877" s="3"/>
      <c r="I6877" s="3"/>
      <c r="J6877" s="3"/>
    </row>
    <row r="6878" spans="8:10" x14ac:dyDescent="0.3">
      <c r="H6878" s="3"/>
      <c r="I6878" s="3"/>
      <c r="J6878" s="3"/>
    </row>
    <row r="6879" spans="8:10" x14ac:dyDescent="0.3">
      <c r="H6879" s="3"/>
      <c r="I6879" s="3"/>
      <c r="J6879" s="3"/>
    </row>
    <row r="6880" spans="8:10" x14ac:dyDescent="0.3">
      <c r="H6880" s="3"/>
      <c r="I6880" s="3"/>
      <c r="J6880" s="3"/>
    </row>
    <row r="6881" spans="8:10" x14ac:dyDescent="0.3">
      <c r="H6881" s="3"/>
      <c r="I6881" s="3"/>
      <c r="J6881" s="3"/>
    </row>
    <row r="6882" spans="8:10" x14ac:dyDescent="0.3">
      <c r="H6882" s="3"/>
      <c r="I6882" s="3"/>
      <c r="J6882" s="3"/>
    </row>
    <row r="6883" spans="8:10" x14ac:dyDescent="0.3">
      <c r="H6883" s="3"/>
      <c r="I6883" s="3"/>
      <c r="J6883" s="3"/>
    </row>
    <row r="6884" spans="8:10" x14ac:dyDescent="0.3">
      <c r="H6884" s="3"/>
      <c r="I6884" s="3"/>
      <c r="J6884" s="3"/>
    </row>
    <row r="6885" spans="8:10" x14ac:dyDescent="0.3">
      <c r="H6885" s="3"/>
      <c r="I6885" s="3"/>
      <c r="J6885" s="3"/>
    </row>
    <row r="6886" spans="8:10" x14ac:dyDescent="0.3">
      <c r="H6886" s="3"/>
      <c r="I6886" s="3"/>
      <c r="J6886" s="3"/>
    </row>
    <row r="6887" spans="8:10" x14ac:dyDescent="0.3">
      <c r="H6887" s="3"/>
      <c r="I6887" s="3"/>
      <c r="J6887" s="3"/>
    </row>
    <row r="6888" spans="8:10" x14ac:dyDescent="0.3">
      <c r="H6888" s="3"/>
      <c r="I6888" s="3"/>
      <c r="J6888" s="3"/>
    </row>
    <row r="6889" spans="8:10" x14ac:dyDescent="0.3">
      <c r="H6889" s="3"/>
      <c r="I6889" s="3"/>
      <c r="J6889" s="3"/>
    </row>
    <row r="6890" spans="8:10" x14ac:dyDescent="0.3">
      <c r="H6890" s="3"/>
      <c r="I6890" s="3"/>
      <c r="J6890" s="3"/>
    </row>
    <row r="6891" spans="8:10" x14ac:dyDescent="0.3">
      <c r="H6891" s="3"/>
      <c r="I6891" s="3"/>
      <c r="J6891" s="3"/>
    </row>
    <row r="6892" spans="8:10" x14ac:dyDescent="0.3">
      <c r="H6892" s="3"/>
      <c r="I6892" s="3"/>
      <c r="J6892" s="3"/>
    </row>
    <row r="6893" spans="8:10" x14ac:dyDescent="0.3">
      <c r="H6893" s="3"/>
      <c r="I6893" s="3"/>
      <c r="J6893" s="3"/>
    </row>
    <row r="6894" spans="8:10" x14ac:dyDescent="0.3">
      <c r="H6894" s="3"/>
      <c r="I6894" s="3"/>
      <c r="J6894" s="3"/>
    </row>
    <row r="6895" spans="8:10" x14ac:dyDescent="0.3">
      <c r="H6895" s="3"/>
      <c r="I6895" s="3"/>
      <c r="J6895" s="3"/>
    </row>
    <row r="6896" spans="8:10" x14ac:dyDescent="0.3">
      <c r="H6896" s="3"/>
      <c r="I6896" s="3"/>
      <c r="J6896" s="3"/>
    </row>
    <row r="6897" spans="8:10" x14ac:dyDescent="0.3">
      <c r="H6897" s="3"/>
      <c r="I6897" s="3"/>
      <c r="J6897" s="3"/>
    </row>
    <row r="6898" spans="8:10" x14ac:dyDescent="0.3">
      <c r="H6898" s="3"/>
      <c r="I6898" s="3"/>
      <c r="J6898" s="3"/>
    </row>
    <row r="6899" spans="8:10" x14ac:dyDescent="0.3">
      <c r="H6899" s="3"/>
      <c r="I6899" s="3"/>
      <c r="J6899" s="3"/>
    </row>
    <row r="6900" spans="8:10" x14ac:dyDescent="0.3">
      <c r="H6900" s="3"/>
      <c r="I6900" s="3"/>
      <c r="J6900" s="3"/>
    </row>
    <row r="6901" spans="8:10" x14ac:dyDescent="0.3">
      <c r="H6901" s="3"/>
      <c r="I6901" s="3"/>
      <c r="J6901" s="3"/>
    </row>
    <row r="6902" spans="8:10" x14ac:dyDescent="0.3">
      <c r="H6902" s="3"/>
      <c r="I6902" s="3"/>
      <c r="J6902" s="3"/>
    </row>
    <row r="6903" spans="8:10" x14ac:dyDescent="0.3">
      <c r="H6903" s="3"/>
      <c r="I6903" s="3"/>
      <c r="J6903" s="3"/>
    </row>
    <row r="6904" spans="8:10" x14ac:dyDescent="0.3">
      <c r="H6904" s="3"/>
      <c r="I6904" s="3"/>
      <c r="J6904" s="3"/>
    </row>
    <row r="6905" spans="8:10" x14ac:dyDescent="0.3">
      <c r="H6905" s="3"/>
      <c r="I6905" s="3"/>
      <c r="J6905" s="3"/>
    </row>
    <row r="6906" spans="8:10" x14ac:dyDescent="0.3">
      <c r="H6906" s="3"/>
      <c r="I6906" s="3"/>
      <c r="J6906" s="3"/>
    </row>
    <row r="6907" spans="8:10" x14ac:dyDescent="0.3">
      <c r="H6907" s="3"/>
      <c r="I6907" s="3"/>
      <c r="J6907" s="3"/>
    </row>
    <row r="6908" spans="8:10" x14ac:dyDescent="0.3">
      <c r="H6908" s="3"/>
      <c r="I6908" s="3"/>
      <c r="J6908" s="3"/>
    </row>
    <row r="6909" spans="8:10" x14ac:dyDescent="0.3">
      <c r="H6909" s="3"/>
      <c r="I6909" s="3"/>
      <c r="J6909" s="3"/>
    </row>
    <row r="6910" spans="8:10" x14ac:dyDescent="0.3">
      <c r="H6910" s="3"/>
      <c r="I6910" s="3"/>
      <c r="J6910" s="3"/>
    </row>
    <row r="6911" spans="8:10" x14ac:dyDescent="0.3">
      <c r="H6911" s="3"/>
      <c r="I6911" s="3"/>
      <c r="J6911" s="3"/>
    </row>
    <row r="6912" spans="8:10" x14ac:dyDescent="0.3">
      <c r="H6912" s="3"/>
      <c r="I6912" s="3"/>
      <c r="J6912" s="3"/>
    </row>
    <row r="6913" spans="8:10" x14ac:dyDescent="0.3">
      <c r="H6913" s="3"/>
      <c r="I6913" s="3"/>
      <c r="J6913" s="3"/>
    </row>
    <row r="6914" spans="8:10" x14ac:dyDescent="0.3">
      <c r="H6914" s="3"/>
      <c r="I6914" s="3"/>
      <c r="J6914" s="3"/>
    </row>
    <row r="6915" spans="8:10" x14ac:dyDescent="0.3">
      <c r="H6915" s="3"/>
      <c r="I6915" s="3"/>
      <c r="J6915" s="3"/>
    </row>
    <row r="6916" spans="8:10" x14ac:dyDescent="0.3">
      <c r="H6916" s="3"/>
      <c r="I6916" s="3"/>
      <c r="J6916" s="3"/>
    </row>
    <row r="6917" spans="8:10" x14ac:dyDescent="0.3">
      <c r="H6917" s="3"/>
      <c r="I6917" s="3"/>
      <c r="J6917" s="3"/>
    </row>
    <row r="6918" spans="8:10" x14ac:dyDescent="0.3">
      <c r="H6918" s="3"/>
      <c r="I6918" s="3"/>
      <c r="J6918" s="3"/>
    </row>
    <row r="6919" spans="8:10" x14ac:dyDescent="0.3">
      <c r="H6919" s="3"/>
      <c r="I6919" s="3"/>
      <c r="J6919" s="3"/>
    </row>
    <row r="6920" spans="8:10" x14ac:dyDescent="0.3">
      <c r="H6920" s="3"/>
      <c r="I6920" s="3"/>
      <c r="J6920" s="3"/>
    </row>
    <row r="6921" spans="8:10" x14ac:dyDescent="0.3">
      <c r="H6921" s="3"/>
      <c r="I6921" s="3"/>
      <c r="J6921" s="3"/>
    </row>
    <row r="6922" spans="8:10" x14ac:dyDescent="0.3">
      <c r="H6922" s="3"/>
      <c r="I6922" s="3"/>
      <c r="J6922" s="3"/>
    </row>
    <row r="6923" spans="8:10" x14ac:dyDescent="0.3">
      <c r="H6923" s="3"/>
      <c r="I6923" s="3"/>
      <c r="J6923" s="3"/>
    </row>
    <row r="6924" spans="8:10" x14ac:dyDescent="0.3">
      <c r="H6924" s="3"/>
      <c r="I6924" s="3"/>
      <c r="J6924" s="3"/>
    </row>
    <row r="6925" spans="8:10" x14ac:dyDescent="0.3">
      <c r="H6925" s="3"/>
      <c r="I6925" s="3"/>
      <c r="J6925" s="3"/>
    </row>
    <row r="6926" spans="8:10" x14ac:dyDescent="0.3">
      <c r="H6926" s="3"/>
      <c r="I6926" s="3"/>
      <c r="J6926" s="3"/>
    </row>
    <row r="6927" spans="8:10" x14ac:dyDescent="0.3">
      <c r="H6927" s="3"/>
      <c r="I6927" s="3"/>
      <c r="J6927" s="3"/>
    </row>
    <row r="6928" spans="8:10" x14ac:dyDescent="0.3">
      <c r="H6928" s="3"/>
      <c r="I6928" s="3"/>
      <c r="J6928" s="3"/>
    </row>
    <row r="6929" spans="8:10" x14ac:dyDescent="0.3">
      <c r="H6929" s="3"/>
      <c r="I6929" s="3"/>
      <c r="J6929" s="3"/>
    </row>
    <row r="6930" spans="8:10" x14ac:dyDescent="0.3">
      <c r="H6930" s="3"/>
      <c r="I6930" s="3"/>
      <c r="J6930" s="3"/>
    </row>
    <row r="6931" spans="8:10" x14ac:dyDescent="0.3">
      <c r="H6931" s="3"/>
      <c r="I6931" s="3"/>
      <c r="J6931" s="3"/>
    </row>
    <row r="6932" spans="8:10" x14ac:dyDescent="0.3">
      <c r="H6932" s="3"/>
      <c r="I6932" s="3"/>
      <c r="J6932" s="3"/>
    </row>
    <row r="6933" spans="8:10" x14ac:dyDescent="0.3">
      <c r="H6933" s="3"/>
      <c r="I6933" s="3"/>
      <c r="J6933" s="3"/>
    </row>
    <row r="6934" spans="8:10" x14ac:dyDescent="0.3">
      <c r="H6934" s="3"/>
      <c r="I6934" s="3"/>
      <c r="J6934" s="3"/>
    </row>
    <row r="6935" spans="8:10" x14ac:dyDescent="0.3">
      <c r="H6935" s="3"/>
      <c r="I6935" s="3"/>
      <c r="J6935" s="3"/>
    </row>
    <row r="6936" spans="8:10" x14ac:dyDescent="0.3">
      <c r="H6936" s="3"/>
      <c r="I6936" s="3"/>
      <c r="J6936" s="3"/>
    </row>
    <row r="6937" spans="8:10" x14ac:dyDescent="0.3">
      <c r="H6937" s="3"/>
      <c r="I6937" s="3"/>
      <c r="J6937" s="3"/>
    </row>
    <row r="6938" spans="8:10" x14ac:dyDescent="0.3">
      <c r="H6938" s="3"/>
      <c r="I6938" s="3"/>
      <c r="J6938" s="3"/>
    </row>
    <row r="6939" spans="8:10" x14ac:dyDescent="0.3">
      <c r="H6939" s="3"/>
      <c r="I6939" s="3"/>
      <c r="J6939" s="3"/>
    </row>
    <row r="6940" spans="8:10" x14ac:dyDescent="0.3">
      <c r="H6940" s="3"/>
      <c r="I6940" s="3"/>
      <c r="J6940" s="3"/>
    </row>
    <row r="6941" spans="8:10" x14ac:dyDescent="0.3">
      <c r="H6941" s="3"/>
      <c r="I6941" s="3"/>
      <c r="J6941" s="3"/>
    </row>
    <row r="6942" spans="8:10" x14ac:dyDescent="0.3">
      <c r="H6942" s="3"/>
      <c r="I6942" s="3"/>
      <c r="J6942" s="3"/>
    </row>
    <row r="6943" spans="8:10" x14ac:dyDescent="0.3">
      <c r="H6943" s="3"/>
      <c r="I6943" s="3"/>
      <c r="J6943" s="3"/>
    </row>
    <row r="6944" spans="8:10" x14ac:dyDescent="0.3">
      <c r="H6944" s="3"/>
      <c r="I6944" s="3"/>
      <c r="J6944" s="3"/>
    </row>
    <row r="6945" spans="8:10" x14ac:dyDescent="0.3">
      <c r="H6945" s="3"/>
      <c r="I6945" s="3"/>
      <c r="J6945" s="3"/>
    </row>
    <row r="6946" spans="8:10" x14ac:dyDescent="0.3">
      <c r="H6946" s="3"/>
      <c r="I6946" s="3"/>
      <c r="J6946" s="3"/>
    </row>
    <row r="6947" spans="8:10" x14ac:dyDescent="0.3">
      <c r="H6947" s="3"/>
      <c r="I6947" s="3"/>
      <c r="J6947" s="3"/>
    </row>
    <row r="6948" spans="8:10" x14ac:dyDescent="0.3">
      <c r="H6948" s="3"/>
      <c r="I6948" s="3"/>
      <c r="J6948" s="3"/>
    </row>
    <row r="6949" spans="8:10" x14ac:dyDescent="0.3">
      <c r="H6949" s="3"/>
      <c r="I6949" s="3"/>
      <c r="J6949" s="3"/>
    </row>
    <row r="6950" spans="8:10" x14ac:dyDescent="0.3">
      <c r="H6950" s="3"/>
      <c r="I6950" s="3"/>
      <c r="J6950" s="3"/>
    </row>
    <row r="6951" spans="8:10" x14ac:dyDescent="0.3">
      <c r="H6951" s="3"/>
      <c r="I6951" s="3"/>
      <c r="J6951" s="3"/>
    </row>
    <row r="6952" spans="8:10" x14ac:dyDescent="0.3">
      <c r="H6952" s="3"/>
      <c r="I6952" s="3"/>
      <c r="J6952" s="3"/>
    </row>
    <row r="6953" spans="8:10" x14ac:dyDescent="0.3">
      <c r="H6953" s="3"/>
      <c r="I6953" s="3"/>
      <c r="J6953" s="3"/>
    </row>
    <row r="6954" spans="8:10" x14ac:dyDescent="0.3">
      <c r="H6954" s="3"/>
      <c r="I6954" s="3"/>
      <c r="J6954" s="3"/>
    </row>
    <row r="6955" spans="8:10" x14ac:dyDescent="0.3">
      <c r="H6955" s="3"/>
      <c r="I6955" s="3"/>
      <c r="J6955" s="3"/>
    </row>
    <row r="6956" spans="8:10" x14ac:dyDescent="0.3">
      <c r="H6956" s="3"/>
      <c r="I6956" s="3"/>
      <c r="J6956" s="3"/>
    </row>
    <row r="6957" spans="8:10" x14ac:dyDescent="0.3">
      <c r="H6957" s="3"/>
      <c r="I6957" s="3"/>
      <c r="J6957" s="3"/>
    </row>
    <row r="6958" spans="8:10" x14ac:dyDescent="0.3">
      <c r="H6958" s="3"/>
      <c r="I6958" s="3"/>
      <c r="J6958" s="3"/>
    </row>
    <row r="6959" spans="8:10" x14ac:dyDescent="0.3">
      <c r="H6959" s="3"/>
      <c r="I6959" s="3"/>
      <c r="J6959" s="3"/>
    </row>
    <row r="6960" spans="8:10" x14ac:dyDescent="0.3">
      <c r="H6960" s="3"/>
      <c r="I6960" s="3"/>
      <c r="J6960" s="3"/>
    </row>
    <row r="6961" spans="8:10" x14ac:dyDescent="0.3">
      <c r="H6961" s="3"/>
      <c r="I6961" s="3"/>
      <c r="J6961" s="3"/>
    </row>
    <row r="6962" spans="8:10" x14ac:dyDescent="0.3">
      <c r="H6962" s="3"/>
      <c r="I6962" s="3"/>
      <c r="J6962" s="3"/>
    </row>
    <row r="6963" spans="8:10" x14ac:dyDescent="0.3">
      <c r="H6963" s="3"/>
      <c r="I6963" s="3"/>
      <c r="J6963" s="3"/>
    </row>
    <row r="6964" spans="8:10" x14ac:dyDescent="0.3">
      <c r="H6964" s="3"/>
      <c r="I6964" s="3"/>
      <c r="J6964" s="3"/>
    </row>
    <row r="6965" spans="8:10" x14ac:dyDescent="0.3">
      <c r="H6965" s="3"/>
      <c r="I6965" s="3"/>
      <c r="J6965" s="3"/>
    </row>
    <row r="6966" spans="8:10" x14ac:dyDescent="0.3">
      <c r="H6966" s="3"/>
      <c r="I6966" s="3"/>
      <c r="J6966" s="3"/>
    </row>
    <row r="6967" spans="8:10" x14ac:dyDescent="0.3">
      <c r="H6967" s="3"/>
      <c r="I6967" s="3"/>
      <c r="J6967" s="3"/>
    </row>
    <row r="6968" spans="8:10" x14ac:dyDescent="0.3">
      <c r="H6968" s="3"/>
      <c r="I6968" s="3"/>
      <c r="J6968" s="3"/>
    </row>
    <row r="6969" spans="8:10" x14ac:dyDescent="0.3">
      <c r="H6969" s="3"/>
      <c r="I6969" s="3"/>
      <c r="J6969" s="3"/>
    </row>
    <row r="6970" spans="8:10" x14ac:dyDescent="0.3">
      <c r="H6970" s="3"/>
      <c r="I6970" s="3"/>
      <c r="J6970" s="3"/>
    </row>
    <row r="6971" spans="8:10" x14ac:dyDescent="0.3">
      <c r="H6971" s="3"/>
      <c r="I6971" s="3"/>
      <c r="J6971" s="3"/>
    </row>
    <row r="6972" spans="8:10" x14ac:dyDescent="0.3">
      <c r="H6972" s="3"/>
      <c r="I6972" s="3"/>
      <c r="J6972" s="3"/>
    </row>
    <row r="6973" spans="8:10" x14ac:dyDescent="0.3">
      <c r="H6973" s="3"/>
      <c r="I6973" s="3"/>
      <c r="J6973" s="3"/>
    </row>
    <row r="6974" spans="8:10" x14ac:dyDescent="0.3">
      <c r="H6974" s="3"/>
      <c r="I6974" s="3"/>
      <c r="J6974" s="3"/>
    </row>
    <row r="6975" spans="8:10" x14ac:dyDescent="0.3">
      <c r="H6975" s="3"/>
      <c r="I6975" s="3"/>
      <c r="J6975" s="3"/>
    </row>
    <row r="6976" spans="8:10" x14ac:dyDescent="0.3">
      <c r="H6976" s="3"/>
      <c r="I6976" s="3"/>
      <c r="J6976" s="3"/>
    </row>
    <row r="6977" spans="8:10" x14ac:dyDescent="0.3">
      <c r="H6977" s="3"/>
      <c r="I6977" s="3"/>
      <c r="J6977" s="3"/>
    </row>
    <row r="6978" spans="8:10" x14ac:dyDescent="0.3">
      <c r="H6978" s="3"/>
      <c r="I6978" s="3"/>
      <c r="J6978" s="3"/>
    </row>
    <row r="6979" spans="8:10" x14ac:dyDescent="0.3">
      <c r="H6979" s="3"/>
      <c r="I6979" s="3"/>
      <c r="J6979" s="3"/>
    </row>
    <row r="6980" spans="8:10" x14ac:dyDescent="0.3">
      <c r="H6980" s="3"/>
      <c r="I6980" s="3"/>
      <c r="J6980" s="3"/>
    </row>
    <row r="6981" spans="8:10" x14ac:dyDescent="0.3">
      <c r="H6981" s="3"/>
      <c r="I6981" s="3"/>
      <c r="J6981" s="3"/>
    </row>
    <row r="6982" spans="8:10" x14ac:dyDescent="0.3">
      <c r="H6982" s="3"/>
      <c r="I6982" s="3"/>
      <c r="J6982" s="3"/>
    </row>
    <row r="6983" spans="8:10" x14ac:dyDescent="0.3">
      <c r="H6983" s="3"/>
      <c r="I6983" s="3"/>
      <c r="J6983" s="3"/>
    </row>
    <row r="6984" spans="8:10" x14ac:dyDescent="0.3">
      <c r="H6984" s="3"/>
      <c r="I6984" s="3"/>
      <c r="J6984" s="3"/>
    </row>
    <row r="6985" spans="8:10" x14ac:dyDescent="0.3">
      <c r="H6985" s="3"/>
      <c r="I6985" s="3"/>
      <c r="J6985" s="3"/>
    </row>
    <row r="6986" spans="8:10" x14ac:dyDescent="0.3">
      <c r="H6986" s="3"/>
      <c r="I6986" s="3"/>
      <c r="J6986" s="3"/>
    </row>
    <row r="6987" spans="8:10" x14ac:dyDescent="0.3">
      <c r="H6987" s="3"/>
      <c r="I6987" s="3"/>
      <c r="J6987" s="3"/>
    </row>
    <row r="6988" spans="8:10" x14ac:dyDescent="0.3">
      <c r="H6988" s="3"/>
      <c r="I6988" s="3"/>
      <c r="J6988" s="3"/>
    </row>
    <row r="6989" spans="8:10" x14ac:dyDescent="0.3">
      <c r="H6989" s="3"/>
      <c r="I6989" s="3"/>
      <c r="J6989" s="3"/>
    </row>
    <row r="6990" spans="8:10" x14ac:dyDescent="0.3">
      <c r="H6990" s="3"/>
      <c r="I6990" s="3"/>
      <c r="J6990" s="3"/>
    </row>
    <row r="6991" spans="8:10" x14ac:dyDescent="0.3">
      <c r="H6991" s="3"/>
      <c r="I6991" s="3"/>
      <c r="J6991" s="3"/>
    </row>
    <row r="6992" spans="8:10" x14ac:dyDescent="0.3">
      <c r="H6992" s="3"/>
      <c r="I6992" s="3"/>
      <c r="J6992" s="3"/>
    </row>
    <row r="6993" spans="8:10" x14ac:dyDescent="0.3">
      <c r="H6993" s="3"/>
      <c r="I6993" s="3"/>
      <c r="J6993" s="3"/>
    </row>
    <row r="6994" spans="8:10" x14ac:dyDescent="0.3">
      <c r="H6994" s="3"/>
      <c r="I6994" s="3"/>
      <c r="J6994" s="3"/>
    </row>
    <row r="6995" spans="8:10" x14ac:dyDescent="0.3">
      <c r="H6995" s="3"/>
      <c r="I6995" s="3"/>
      <c r="J6995" s="3"/>
    </row>
    <row r="6996" spans="8:10" x14ac:dyDescent="0.3">
      <c r="H6996" s="3"/>
      <c r="I6996" s="3"/>
      <c r="J6996" s="3"/>
    </row>
    <row r="6997" spans="8:10" x14ac:dyDescent="0.3">
      <c r="H6997" s="3"/>
      <c r="I6997" s="3"/>
      <c r="J6997" s="3"/>
    </row>
    <row r="6998" spans="8:10" x14ac:dyDescent="0.3">
      <c r="H6998" s="3"/>
      <c r="I6998" s="3"/>
      <c r="J6998" s="3"/>
    </row>
    <row r="6999" spans="8:10" x14ac:dyDescent="0.3">
      <c r="H6999" s="3"/>
      <c r="I6999" s="3"/>
      <c r="J6999" s="3"/>
    </row>
    <row r="7000" spans="8:10" x14ac:dyDescent="0.3">
      <c r="H7000" s="3"/>
      <c r="I7000" s="3"/>
      <c r="J7000" s="3"/>
    </row>
    <row r="7001" spans="8:10" x14ac:dyDescent="0.3">
      <c r="H7001" s="3"/>
      <c r="I7001" s="3"/>
      <c r="J7001" s="3"/>
    </row>
    <row r="7002" spans="8:10" x14ac:dyDescent="0.3">
      <c r="H7002" s="3"/>
      <c r="I7002" s="3"/>
      <c r="J7002" s="3"/>
    </row>
    <row r="7003" spans="8:10" x14ac:dyDescent="0.3">
      <c r="H7003" s="3"/>
      <c r="I7003" s="3"/>
      <c r="J7003" s="3"/>
    </row>
    <row r="7004" spans="8:10" x14ac:dyDescent="0.3">
      <c r="H7004" s="3"/>
      <c r="I7004" s="3"/>
      <c r="J7004" s="3"/>
    </row>
    <row r="7005" spans="8:10" x14ac:dyDescent="0.3">
      <c r="H7005" s="3"/>
      <c r="I7005" s="3"/>
      <c r="J7005" s="3"/>
    </row>
    <row r="7006" spans="8:10" x14ac:dyDescent="0.3">
      <c r="H7006" s="3"/>
      <c r="I7006" s="3"/>
      <c r="J7006" s="3"/>
    </row>
    <row r="7007" spans="8:10" x14ac:dyDescent="0.3">
      <c r="H7007" s="3"/>
      <c r="I7007" s="3"/>
      <c r="J7007" s="3"/>
    </row>
    <row r="7008" spans="8:10" x14ac:dyDescent="0.3">
      <c r="H7008" s="3"/>
      <c r="I7008" s="3"/>
      <c r="J7008" s="3"/>
    </row>
    <row r="7009" spans="8:10" x14ac:dyDescent="0.3">
      <c r="H7009" s="3"/>
      <c r="I7009" s="3"/>
      <c r="J7009" s="3"/>
    </row>
    <row r="7010" spans="8:10" x14ac:dyDescent="0.3">
      <c r="H7010" s="3"/>
      <c r="I7010" s="3"/>
      <c r="J7010" s="3"/>
    </row>
    <row r="7011" spans="8:10" x14ac:dyDescent="0.3">
      <c r="H7011" s="3"/>
      <c r="I7011" s="3"/>
      <c r="J7011" s="3"/>
    </row>
    <row r="7012" spans="8:10" x14ac:dyDescent="0.3">
      <c r="H7012" s="3"/>
      <c r="I7012" s="3"/>
      <c r="J7012" s="3"/>
    </row>
    <row r="7013" spans="8:10" x14ac:dyDescent="0.3">
      <c r="H7013" s="3"/>
      <c r="I7013" s="3"/>
      <c r="J7013" s="3"/>
    </row>
    <row r="7014" spans="8:10" x14ac:dyDescent="0.3">
      <c r="H7014" s="3"/>
      <c r="I7014" s="3"/>
      <c r="J7014" s="3"/>
    </row>
    <row r="7015" spans="8:10" x14ac:dyDescent="0.3">
      <c r="H7015" s="3"/>
      <c r="I7015" s="3"/>
      <c r="J7015" s="3"/>
    </row>
    <row r="7016" spans="8:10" x14ac:dyDescent="0.3">
      <c r="H7016" s="3"/>
      <c r="I7016" s="3"/>
      <c r="J7016" s="3"/>
    </row>
    <row r="7017" spans="8:10" x14ac:dyDescent="0.3">
      <c r="H7017" s="3"/>
      <c r="I7017" s="3"/>
      <c r="J7017" s="3"/>
    </row>
    <row r="7018" spans="8:10" x14ac:dyDescent="0.3">
      <c r="H7018" s="3"/>
      <c r="I7018" s="3"/>
      <c r="J7018" s="3"/>
    </row>
    <row r="7019" spans="8:10" x14ac:dyDescent="0.3">
      <c r="H7019" s="3"/>
      <c r="I7019" s="3"/>
      <c r="J7019" s="3"/>
    </row>
    <row r="7020" spans="8:10" x14ac:dyDescent="0.3">
      <c r="H7020" s="3"/>
      <c r="I7020" s="3"/>
      <c r="J7020" s="3"/>
    </row>
    <row r="7021" spans="8:10" x14ac:dyDescent="0.3">
      <c r="H7021" s="3"/>
      <c r="I7021" s="3"/>
      <c r="J7021" s="3"/>
    </row>
    <row r="7022" spans="8:10" x14ac:dyDescent="0.3">
      <c r="H7022" s="3"/>
      <c r="I7022" s="3"/>
      <c r="J7022" s="3"/>
    </row>
    <row r="7023" spans="8:10" x14ac:dyDescent="0.3">
      <c r="H7023" s="3"/>
      <c r="I7023" s="3"/>
      <c r="J7023" s="3"/>
    </row>
    <row r="7024" spans="8:10" x14ac:dyDescent="0.3">
      <c r="H7024" s="3"/>
      <c r="I7024" s="3"/>
      <c r="J7024" s="3"/>
    </row>
    <row r="7025" spans="8:10" x14ac:dyDescent="0.3">
      <c r="H7025" s="3"/>
      <c r="I7025" s="3"/>
      <c r="J7025" s="3"/>
    </row>
    <row r="7026" spans="8:10" x14ac:dyDescent="0.3">
      <c r="H7026" s="3"/>
      <c r="I7026" s="3"/>
      <c r="J7026" s="3"/>
    </row>
    <row r="7027" spans="8:10" x14ac:dyDescent="0.3">
      <c r="H7027" s="3"/>
      <c r="I7027" s="3"/>
      <c r="J7027" s="3"/>
    </row>
    <row r="7028" spans="8:10" x14ac:dyDescent="0.3">
      <c r="H7028" s="3"/>
      <c r="I7028" s="3"/>
      <c r="J7028" s="3"/>
    </row>
    <row r="7029" spans="8:10" x14ac:dyDescent="0.3">
      <c r="H7029" s="3"/>
      <c r="I7029" s="3"/>
      <c r="J7029" s="3"/>
    </row>
    <row r="7030" spans="8:10" x14ac:dyDescent="0.3">
      <c r="H7030" s="3"/>
      <c r="I7030" s="3"/>
      <c r="J7030" s="3"/>
    </row>
    <row r="7031" spans="8:10" x14ac:dyDescent="0.3">
      <c r="H7031" s="3"/>
      <c r="I7031" s="3"/>
      <c r="J7031" s="3"/>
    </row>
    <row r="7032" spans="8:10" x14ac:dyDescent="0.3">
      <c r="H7032" s="3"/>
      <c r="I7032" s="3"/>
      <c r="J7032" s="3"/>
    </row>
    <row r="7033" spans="8:10" x14ac:dyDescent="0.3">
      <c r="H7033" s="3"/>
      <c r="I7033" s="3"/>
      <c r="J7033" s="3"/>
    </row>
    <row r="7034" spans="8:10" x14ac:dyDescent="0.3">
      <c r="H7034" s="3"/>
      <c r="I7034" s="3"/>
      <c r="J7034" s="3"/>
    </row>
    <row r="7035" spans="8:10" x14ac:dyDescent="0.3">
      <c r="H7035" s="3"/>
      <c r="I7035" s="3"/>
      <c r="J7035" s="3"/>
    </row>
    <row r="7036" spans="8:10" x14ac:dyDescent="0.3">
      <c r="H7036" s="3"/>
      <c r="I7036" s="3"/>
      <c r="J7036" s="3"/>
    </row>
    <row r="7037" spans="8:10" x14ac:dyDescent="0.3">
      <c r="H7037" s="3"/>
      <c r="I7037" s="3"/>
      <c r="J7037" s="3"/>
    </row>
    <row r="7038" spans="8:10" x14ac:dyDescent="0.3">
      <c r="H7038" s="3"/>
      <c r="I7038" s="3"/>
      <c r="J7038" s="3"/>
    </row>
    <row r="7039" spans="8:10" x14ac:dyDescent="0.3">
      <c r="H7039" s="3"/>
      <c r="I7039" s="3"/>
      <c r="J7039" s="3"/>
    </row>
    <row r="7040" spans="8:10" x14ac:dyDescent="0.3">
      <c r="H7040" s="3"/>
      <c r="I7040" s="3"/>
      <c r="J7040" s="3"/>
    </row>
    <row r="7041" spans="8:10" x14ac:dyDescent="0.3">
      <c r="H7041" s="3"/>
      <c r="I7041" s="3"/>
      <c r="J7041" s="3"/>
    </row>
    <row r="7042" spans="8:10" x14ac:dyDescent="0.3">
      <c r="H7042" s="3"/>
      <c r="I7042" s="3"/>
      <c r="J7042" s="3"/>
    </row>
    <row r="7043" spans="8:10" x14ac:dyDescent="0.3">
      <c r="H7043" s="3"/>
      <c r="I7043" s="3"/>
      <c r="J7043" s="3"/>
    </row>
    <row r="7044" spans="8:10" x14ac:dyDescent="0.3">
      <c r="H7044" s="3"/>
      <c r="I7044" s="3"/>
      <c r="J7044" s="3"/>
    </row>
    <row r="7045" spans="8:10" x14ac:dyDescent="0.3">
      <c r="H7045" s="3"/>
      <c r="I7045" s="3"/>
      <c r="J7045" s="3"/>
    </row>
    <row r="7046" spans="8:10" x14ac:dyDescent="0.3">
      <c r="H7046" s="3"/>
      <c r="I7046" s="3"/>
      <c r="J7046" s="3"/>
    </row>
    <row r="7047" spans="8:10" x14ac:dyDescent="0.3">
      <c r="H7047" s="3"/>
      <c r="I7047" s="3"/>
      <c r="J7047" s="3"/>
    </row>
    <row r="7048" spans="8:10" x14ac:dyDescent="0.3">
      <c r="H7048" s="3"/>
      <c r="I7048" s="3"/>
      <c r="J7048" s="3"/>
    </row>
    <row r="7049" spans="8:10" x14ac:dyDescent="0.3">
      <c r="H7049" s="3"/>
      <c r="I7049" s="3"/>
      <c r="J7049" s="3"/>
    </row>
    <row r="7050" spans="8:10" x14ac:dyDescent="0.3">
      <c r="H7050" s="3"/>
      <c r="I7050" s="3"/>
      <c r="J7050" s="3"/>
    </row>
    <row r="7051" spans="8:10" x14ac:dyDescent="0.3">
      <c r="H7051" s="3"/>
      <c r="I7051" s="3"/>
      <c r="J7051" s="3"/>
    </row>
    <row r="7052" spans="8:10" x14ac:dyDescent="0.3">
      <c r="H7052" s="3"/>
      <c r="I7052" s="3"/>
      <c r="J7052" s="3"/>
    </row>
    <row r="7053" spans="8:10" x14ac:dyDescent="0.3">
      <c r="H7053" s="3"/>
      <c r="I7053" s="3"/>
      <c r="J7053" s="3"/>
    </row>
    <row r="7054" spans="8:10" x14ac:dyDescent="0.3">
      <c r="H7054" s="3"/>
      <c r="I7054" s="3"/>
      <c r="J7054" s="3"/>
    </row>
    <row r="7055" spans="8:10" x14ac:dyDescent="0.3">
      <c r="H7055" s="3"/>
      <c r="I7055" s="3"/>
      <c r="J7055" s="3"/>
    </row>
    <row r="7056" spans="8:10" x14ac:dyDescent="0.3">
      <c r="H7056" s="3"/>
      <c r="I7056" s="3"/>
      <c r="J7056" s="3"/>
    </row>
    <row r="7057" spans="8:10" x14ac:dyDescent="0.3">
      <c r="H7057" s="3"/>
      <c r="I7057" s="3"/>
      <c r="J7057" s="3"/>
    </row>
    <row r="7058" spans="8:10" x14ac:dyDescent="0.3">
      <c r="H7058" s="3"/>
      <c r="I7058" s="3"/>
      <c r="J7058" s="3"/>
    </row>
    <row r="7059" spans="8:10" x14ac:dyDescent="0.3">
      <c r="H7059" s="3"/>
      <c r="I7059" s="3"/>
      <c r="J7059" s="3"/>
    </row>
    <row r="7060" spans="8:10" x14ac:dyDescent="0.3">
      <c r="H7060" s="3"/>
      <c r="I7060" s="3"/>
      <c r="J7060" s="3"/>
    </row>
    <row r="7061" spans="8:10" x14ac:dyDescent="0.3">
      <c r="H7061" s="3"/>
      <c r="I7061" s="3"/>
      <c r="J7061" s="3"/>
    </row>
    <row r="7062" spans="8:10" x14ac:dyDescent="0.3">
      <c r="H7062" s="3"/>
      <c r="I7062" s="3"/>
      <c r="J7062" s="3"/>
    </row>
    <row r="7063" spans="8:10" x14ac:dyDescent="0.3">
      <c r="H7063" s="3"/>
      <c r="I7063" s="3"/>
      <c r="J7063" s="3"/>
    </row>
    <row r="7064" spans="8:10" x14ac:dyDescent="0.3">
      <c r="H7064" s="3"/>
      <c r="I7064" s="3"/>
      <c r="J7064" s="3"/>
    </row>
    <row r="7065" spans="8:10" x14ac:dyDescent="0.3">
      <c r="H7065" s="3"/>
      <c r="I7065" s="3"/>
      <c r="J7065" s="3"/>
    </row>
    <row r="7066" spans="8:10" x14ac:dyDescent="0.3">
      <c r="H7066" s="3"/>
      <c r="I7066" s="3"/>
      <c r="J7066" s="3"/>
    </row>
    <row r="7067" spans="8:10" x14ac:dyDescent="0.3">
      <c r="H7067" s="3"/>
      <c r="I7067" s="3"/>
      <c r="J7067" s="3"/>
    </row>
    <row r="7068" spans="8:10" x14ac:dyDescent="0.3">
      <c r="H7068" s="3"/>
      <c r="I7068" s="3"/>
      <c r="J7068" s="3"/>
    </row>
    <row r="7069" spans="8:10" x14ac:dyDescent="0.3">
      <c r="H7069" s="3"/>
      <c r="I7069" s="3"/>
      <c r="J7069" s="3"/>
    </row>
    <row r="7070" spans="8:10" x14ac:dyDescent="0.3">
      <c r="H7070" s="3"/>
      <c r="I7070" s="3"/>
      <c r="J7070" s="3"/>
    </row>
    <row r="7071" spans="8:10" x14ac:dyDescent="0.3">
      <c r="H7071" s="3"/>
      <c r="I7071" s="3"/>
      <c r="J7071" s="3"/>
    </row>
    <row r="7072" spans="8:10" x14ac:dyDescent="0.3">
      <c r="H7072" s="3"/>
      <c r="I7072" s="3"/>
      <c r="J7072" s="3"/>
    </row>
    <row r="7073" spans="8:10" x14ac:dyDescent="0.3">
      <c r="H7073" s="3"/>
      <c r="I7073" s="3"/>
      <c r="J7073" s="3"/>
    </row>
    <row r="7074" spans="8:10" x14ac:dyDescent="0.3">
      <c r="H7074" s="3"/>
      <c r="I7074" s="3"/>
      <c r="J7074" s="3"/>
    </row>
    <row r="7075" spans="8:10" x14ac:dyDescent="0.3">
      <c r="H7075" s="3"/>
      <c r="I7075" s="3"/>
      <c r="J7075" s="3"/>
    </row>
    <row r="7076" spans="8:10" x14ac:dyDescent="0.3">
      <c r="H7076" s="3"/>
      <c r="I7076" s="3"/>
      <c r="J7076" s="3"/>
    </row>
    <row r="7077" spans="8:10" x14ac:dyDescent="0.3">
      <c r="H7077" s="3"/>
      <c r="I7077" s="3"/>
      <c r="J7077" s="3"/>
    </row>
    <row r="7078" spans="8:10" x14ac:dyDescent="0.3">
      <c r="H7078" s="3"/>
      <c r="I7078" s="3"/>
      <c r="J7078" s="3"/>
    </row>
    <row r="7079" spans="8:10" x14ac:dyDescent="0.3">
      <c r="H7079" s="3"/>
      <c r="I7079" s="3"/>
      <c r="J7079" s="3"/>
    </row>
    <row r="7080" spans="8:10" x14ac:dyDescent="0.3">
      <c r="H7080" s="3"/>
      <c r="I7080" s="3"/>
      <c r="J7080" s="3"/>
    </row>
    <row r="7081" spans="8:10" x14ac:dyDescent="0.3">
      <c r="H7081" s="3"/>
      <c r="I7081" s="3"/>
      <c r="J7081" s="3"/>
    </row>
    <row r="7082" spans="8:10" x14ac:dyDescent="0.3">
      <c r="H7082" s="3"/>
      <c r="I7082" s="3"/>
      <c r="J7082" s="3"/>
    </row>
    <row r="7083" spans="8:10" x14ac:dyDescent="0.3">
      <c r="H7083" s="3"/>
      <c r="I7083" s="3"/>
      <c r="J7083" s="3"/>
    </row>
    <row r="7084" spans="8:10" x14ac:dyDescent="0.3">
      <c r="H7084" s="3"/>
      <c r="I7084" s="3"/>
      <c r="J7084" s="3"/>
    </row>
    <row r="7085" spans="8:10" x14ac:dyDescent="0.3">
      <c r="H7085" s="3"/>
      <c r="I7085" s="3"/>
      <c r="J7085" s="3"/>
    </row>
    <row r="7086" spans="8:10" x14ac:dyDescent="0.3">
      <c r="H7086" s="3"/>
      <c r="I7086" s="3"/>
      <c r="J7086" s="3"/>
    </row>
    <row r="7087" spans="8:10" x14ac:dyDescent="0.3">
      <c r="H7087" s="3"/>
      <c r="I7087" s="3"/>
      <c r="J7087" s="3"/>
    </row>
    <row r="7088" spans="8:10" x14ac:dyDescent="0.3">
      <c r="H7088" s="3"/>
      <c r="I7088" s="3"/>
      <c r="J7088" s="3"/>
    </row>
    <row r="7089" spans="8:10" x14ac:dyDescent="0.3">
      <c r="H7089" s="3"/>
      <c r="I7089" s="3"/>
      <c r="J7089" s="3"/>
    </row>
    <row r="7090" spans="8:10" x14ac:dyDescent="0.3">
      <c r="H7090" s="3"/>
      <c r="I7090" s="3"/>
      <c r="J7090" s="3"/>
    </row>
    <row r="7091" spans="8:10" x14ac:dyDescent="0.3">
      <c r="H7091" s="3"/>
      <c r="I7091" s="3"/>
      <c r="J7091" s="3"/>
    </row>
    <row r="7092" spans="8:10" x14ac:dyDescent="0.3">
      <c r="H7092" s="3"/>
      <c r="I7092" s="3"/>
      <c r="J7092" s="3"/>
    </row>
    <row r="7093" spans="8:10" x14ac:dyDescent="0.3">
      <c r="H7093" s="3"/>
      <c r="I7093" s="3"/>
      <c r="J7093" s="3"/>
    </row>
    <row r="7094" spans="8:10" x14ac:dyDescent="0.3">
      <c r="H7094" s="3"/>
      <c r="I7094" s="3"/>
      <c r="J7094" s="3"/>
    </row>
    <row r="7095" spans="8:10" x14ac:dyDescent="0.3">
      <c r="H7095" s="3"/>
      <c r="I7095" s="3"/>
      <c r="J7095" s="3"/>
    </row>
    <row r="7096" spans="8:10" x14ac:dyDescent="0.3">
      <c r="H7096" s="3"/>
      <c r="I7096" s="3"/>
      <c r="J7096" s="3"/>
    </row>
    <row r="7097" spans="8:10" x14ac:dyDescent="0.3">
      <c r="H7097" s="3"/>
      <c r="I7097" s="3"/>
      <c r="J7097" s="3"/>
    </row>
    <row r="7098" spans="8:10" x14ac:dyDescent="0.3">
      <c r="H7098" s="3"/>
      <c r="I7098" s="3"/>
      <c r="J7098" s="3"/>
    </row>
    <row r="7099" spans="8:10" x14ac:dyDescent="0.3">
      <c r="H7099" s="3"/>
      <c r="I7099" s="3"/>
      <c r="J7099" s="3"/>
    </row>
    <row r="7100" spans="8:10" x14ac:dyDescent="0.3">
      <c r="H7100" s="3"/>
      <c r="I7100" s="3"/>
      <c r="J7100" s="3"/>
    </row>
    <row r="7101" spans="8:10" x14ac:dyDescent="0.3">
      <c r="H7101" s="3"/>
      <c r="I7101" s="3"/>
      <c r="J7101" s="3"/>
    </row>
    <row r="7102" spans="8:10" x14ac:dyDescent="0.3">
      <c r="H7102" s="3"/>
      <c r="I7102" s="3"/>
      <c r="J7102" s="3"/>
    </row>
    <row r="7103" spans="8:10" x14ac:dyDescent="0.3">
      <c r="H7103" s="3"/>
      <c r="I7103" s="3"/>
      <c r="J7103" s="3"/>
    </row>
    <row r="7104" spans="8:10" x14ac:dyDescent="0.3">
      <c r="H7104" s="3"/>
      <c r="I7104" s="3"/>
      <c r="J7104" s="3"/>
    </row>
    <row r="7105" spans="8:10" x14ac:dyDescent="0.3">
      <c r="H7105" s="3"/>
      <c r="I7105" s="3"/>
      <c r="J7105" s="3"/>
    </row>
    <row r="7106" spans="8:10" x14ac:dyDescent="0.3">
      <c r="H7106" s="3"/>
      <c r="I7106" s="3"/>
      <c r="J7106" s="3"/>
    </row>
    <row r="7107" spans="8:10" x14ac:dyDescent="0.3">
      <c r="H7107" s="3"/>
      <c r="I7107" s="3"/>
      <c r="J7107" s="3"/>
    </row>
    <row r="7108" spans="8:10" x14ac:dyDescent="0.3">
      <c r="H7108" s="3"/>
      <c r="I7108" s="3"/>
      <c r="J7108" s="3"/>
    </row>
    <row r="7109" spans="8:10" x14ac:dyDescent="0.3">
      <c r="H7109" s="3"/>
      <c r="I7109" s="3"/>
      <c r="J7109" s="3"/>
    </row>
    <row r="7110" spans="8:10" x14ac:dyDescent="0.3">
      <c r="H7110" s="3"/>
      <c r="I7110" s="3"/>
      <c r="J7110" s="3"/>
    </row>
    <row r="7111" spans="8:10" x14ac:dyDescent="0.3">
      <c r="H7111" s="3"/>
      <c r="I7111" s="3"/>
      <c r="J7111" s="3"/>
    </row>
    <row r="7112" spans="8:10" x14ac:dyDescent="0.3">
      <c r="H7112" s="3"/>
      <c r="I7112" s="3"/>
      <c r="J7112" s="3"/>
    </row>
    <row r="7113" spans="8:10" x14ac:dyDescent="0.3">
      <c r="H7113" s="3"/>
      <c r="I7113" s="3"/>
      <c r="J7113" s="3"/>
    </row>
    <row r="7114" spans="8:10" x14ac:dyDescent="0.3">
      <c r="H7114" s="3"/>
      <c r="I7114" s="3"/>
      <c r="J7114" s="3"/>
    </row>
    <row r="7115" spans="8:10" x14ac:dyDescent="0.3">
      <c r="H7115" s="3"/>
      <c r="I7115" s="3"/>
      <c r="J7115" s="3"/>
    </row>
    <row r="7116" spans="8:10" x14ac:dyDescent="0.3">
      <c r="H7116" s="3"/>
      <c r="I7116" s="3"/>
      <c r="J7116" s="3"/>
    </row>
    <row r="7117" spans="8:10" x14ac:dyDescent="0.3">
      <c r="H7117" s="3"/>
      <c r="I7117" s="3"/>
      <c r="J7117" s="3"/>
    </row>
    <row r="7118" spans="8:10" x14ac:dyDescent="0.3">
      <c r="H7118" s="3"/>
      <c r="I7118" s="3"/>
      <c r="J7118" s="3"/>
    </row>
    <row r="7119" spans="8:10" x14ac:dyDescent="0.3">
      <c r="H7119" s="3"/>
      <c r="I7119" s="3"/>
      <c r="J7119" s="3"/>
    </row>
    <row r="7120" spans="8:10" x14ac:dyDescent="0.3">
      <c r="H7120" s="3"/>
      <c r="I7120" s="3"/>
      <c r="J7120" s="3"/>
    </row>
    <row r="7121" spans="8:10" x14ac:dyDescent="0.3">
      <c r="H7121" s="3"/>
      <c r="I7121" s="3"/>
      <c r="J7121" s="3"/>
    </row>
    <row r="7122" spans="8:10" x14ac:dyDescent="0.3">
      <c r="H7122" s="3"/>
      <c r="I7122" s="3"/>
      <c r="J7122" s="3"/>
    </row>
    <row r="7123" spans="8:10" x14ac:dyDescent="0.3">
      <c r="H7123" s="3"/>
      <c r="I7123" s="3"/>
      <c r="J7123" s="3"/>
    </row>
    <row r="7124" spans="8:10" x14ac:dyDescent="0.3">
      <c r="H7124" s="3"/>
      <c r="I7124" s="3"/>
      <c r="J7124" s="3"/>
    </row>
    <row r="7125" spans="8:10" x14ac:dyDescent="0.3">
      <c r="H7125" s="3"/>
      <c r="I7125" s="3"/>
      <c r="J7125" s="3"/>
    </row>
    <row r="7126" spans="8:10" x14ac:dyDescent="0.3">
      <c r="H7126" s="3"/>
      <c r="I7126" s="3"/>
      <c r="J7126" s="3"/>
    </row>
    <row r="7127" spans="8:10" x14ac:dyDescent="0.3">
      <c r="H7127" s="3"/>
      <c r="I7127" s="3"/>
      <c r="J7127" s="3"/>
    </row>
    <row r="7128" spans="8:10" x14ac:dyDescent="0.3">
      <c r="H7128" s="3"/>
      <c r="I7128" s="3"/>
      <c r="J7128" s="3"/>
    </row>
    <row r="7129" spans="8:10" x14ac:dyDescent="0.3">
      <c r="H7129" s="3"/>
      <c r="I7129" s="3"/>
      <c r="J7129" s="3"/>
    </row>
    <row r="7130" spans="8:10" x14ac:dyDescent="0.3">
      <c r="H7130" s="3"/>
      <c r="I7130" s="3"/>
      <c r="J7130" s="3"/>
    </row>
    <row r="7131" spans="8:10" x14ac:dyDescent="0.3">
      <c r="H7131" s="3"/>
      <c r="I7131" s="3"/>
      <c r="J7131" s="3"/>
    </row>
    <row r="7132" spans="8:10" x14ac:dyDescent="0.3">
      <c r="H7132" s="3"/>
      <c r="I7132" s="3"/>
      <c r="J7132" s="3"/>
    </row>
    <row r="7133" spans="8:10" x14ac:dyDescent="0.3">
      <c r="H7133" s="3"/>
      <c r="I7133" s="3"/>
      <c r="J7133" s="3"/>
    </row>
    <row r="7134" spans="8:10" x14ac:dyDescent="0.3">
      <c r="H7134" s="3"/>
      <c r="I7134" s="3"/>
      <c r="J7134" s="3"/>
    </row>
    <row r="7135" spans="8:10" x14ac:dyDescent="0.3">
      <c r="H7135" s="3"/>
      <c r="I7135" s="3"/>
      <c r="J7135" s="3"/>
    </row>
    <row r="7136" spans="8:10" x14ac:dyDescent="0.3">
      <c r="H7136" s="3"/>
      <c r="I7136" s="3"/>
      <c r="J7136" s="3"/>
    </row>
    <row r="7137" spans="8:10" x14ac:dyDescent="0.3">
      <c r="H7137" s="3"/>
      <c r="I7137" s="3"/>
      <c r="J7137" s="3"/>
    </row>
    <row r="7138" spans="8:10" x14ac:dyDescent="0.3">
      <c r="H7138" s="3"/>
      <c r="I7138" s="3"/>
      <c r="J7138" s="3"/>
    </row>
    <row r="7139" spans="8:10" x14ac:dyDescent="0.3">
      <c r="H7139" s="3"/>
      <c r="I7139" s="3"/>
      <c r="J7139" s="3"/>
    </row>
    <row r="7140" spans="8:10" x14ac:dyDescent="0.3">
      <c r="H7140" s="3"/>
      <c r="I7140" s="3"/>
      <c r="J7140" s="3"/>
    </row>
    <row r="7141" spans="8:10" x14ac:dyDescent="0.3">
      <c r="H7141" s="3"/>
      <c r="I7141" s="3"/>
      <c r="J7141" s="3"/>
    </row>
    <row r="7142" spans="8:10" x14ac:dyDescent="0.3">
      <c r="H7142" s="3"/>
      <c r="I7142" s="3"/>
      <c r="J7142" s="3"/>
    </row>
    <row r="7143" spans="8:10" x14ac:dyDescent="0.3">
      <c r="H7143" s="3"/>
      <c r="I7143" s="3"/>
      <c r="J7143" s="3"/>
    </row>
    <row r="7144" spans="8:10" x14ac:dyDescent="0.3">
      <c r="H7144" s="3"/>
      <c r="I7144" s="3"/>
      <c r="J7144" s="3"/>
    </row>
    <row r="7145" spans="8:10" x14ac:dyDescent="0.3">
      <c r="H7145" s="3"/>
      <c r="I7145" s="3"/>
      <c r="J7145" s="3"/>
    </row>
    <row r="7146" spans="8:10" x14ac:dyDescent="0.3">
      <c r="H7146" s="3"/>
      <c r="I7146" s="3"/>
      <c r="J7146" s="3"/>
    </row>
    <row r="7147" spans="8:10" x14ac:dyDescent="0.3">
      <c r="H7147" s="3"/>
      <c r="I7147" s="3"/>
      <c r="J7147" s="3"/>
    </row>
    <row r="7148" spans="8:10" x14ac:dyDescent="0.3">
      <c r="H7148" s="3"/>
      <c r="I7148" s="3"/>
      <c r="J7148" s="3"/>
    </row>
    <row r="7149" spans="8:10" x14ac:dyDescent="0.3">
      <c r="H7149" s="3"/>
      <c r="I7149" s="3"/>
      <c r="J7149" s="3"/>
    </row>
    <row r="7150" spans="8:10" x14ac:dyDescent="0.3">
      <c r="H7150" s="3"/>
      <c r="I7150" s="3"/>
      <c r="J7150" s="3"/>
    </row>
    <row r="7151" spans="8:10" x14ac:dyDescent="0.3">
      <c r="H7151" s="3"/>
      <c r="I7151" s="3"/>
      <c r="J7151" s="3"/>
    </row>
    <row r="7152" spans="8:10" x14ac:dyDescent="0.3">
      <c r="H7152" s="3"/>
      <c r="I7152" s="3"/>
      <c r="J7152" s="3"/>
    </row>
    <row r="7153" spans="8:10" x14ac:dyDescent="0.3">
      <c r="H7153" s="3"/>
      <c r="I7153" s="3"/>
      <c r="J7153" s="3"/>
    </row>
    <row r="7154" spans="8:10" x14ac:dyDescent="0.3">
      <c r="H7154" s="3"/>
      <c r="I7154" s="3"/>
      <c r="J7154" s="3"/>
    </row>
    <row r="7155" spans="8:10" x14ac:dyDescent="0.3">
      <c r="H7155" s="3"/>
      <c r="I7155" s="3"/>
      <c r="J7155" s="3"/>
    </row>
    <row r="7156" spans="8:10" x14ac:dyDescent="0.3">
      <c r="H7156" s="3"/>
      <c r="I7156" s="3"/>
      <c r="J7156" s="3"/>
    </row>
    <row r="7157" spans="8:10" x14ac:dyDescent="0.3">
      <c r="H7157" s="3"/>
      <c r="I7157" s="3"/>
      <c r="J7157" s="3"/>
    </row>
    <row r="7158" spans="8:10" x14ac:dyDescent="0.3">
      <c r="H7158" s="3"/>
      <c r="I7158" s="3"/>
      <c r="J7158" s="3"/>
    </row>
    <row r="7159" spans="8:10" x14ac:dyDescent="0.3">
      <c r="H7159" s="3"/>
      <c r="I7159" s="3"/>
      <c r="J7159" s="3"/>
    </row>
    <row r="7160" spans="8:10" x14ac:dyDescent="0.3">
      <c r="H7160" s="3"/>
      <c r="I7160" s="3"/>
      <c r="J7160" s="3"/>
    </row>
    <row r="7161" spans="8:10" x14ac:dyDescent="0.3">
      <c r="H7161" s="3"/>
      <c r="I7161" s="3"/>
      <c r="J7161" s="3"/>
    </row>
    <row r="7162" spans="8:10" x14ac:dyDescent="0.3">
      <c r="H7162" s="3"/>
      <c r="I7162" s="3"/>
      <c r="J7162" s="3"/>
    </row>
    <row r="7163" spans="8:10" x14ac:dyDescent="0.3">
      <c r="H7163" s="3"/>
      <c r="I7163" s="3"/>
      <c r="J7163" s="3"/>
    </row>
    <row r="7164" spans="8:10" x14ac:dyDescent="0.3">
      <c r="H7164" s="3"/>
      <c r="I7164" s="3"/>
      <c r="J7164" s="3"/>
    </row>
    <row r="7165" spans="8:10" x14ac:dyDescent="0.3">
      <c r="H7165" s="3"/>
      <c r="I7165" s="3"/>
      <c r="J7165" s="3"/>
    </row>
    <row r="7166" spans="8:10" x14ac:dyDescent="0.3">
      <c r="H7166" s="3"/>
      <c r="I7166" s="3"/>
      <c r="J7166" s="3"/>
    </row>
    <row r="7167" spans="8:10" x14ac:dyDescent="0.3">
      <c r="H7167" s="3"/>
      <c r="I7167" s="3"/>
      <c r="J7167" s="3"/>
    </row>
    <row r="7168" spans="8:10" x14ac:dyDescent="0.3">
      <c r="H7168" s="3"/>
      <c r="I7168" s="3"/>
      <c r="J7168" s="3"/>
    </row>
    <row r="7169" spans="8:10" x14ac:dyDescent="0.3">
      <c r="H7169" s="3"/>
      <c r="I7169" s="3"/>
      <c r="J7169" s="3"/>
    </row>
    <row r="7170" spans="8:10" x14ac:dyDescent="0.3">
      <c r="H7170" s="3"/>
      <c r="I7170" s="3"/>
      <c r="J7170" s="3"/>
    </row>
    <row r="7171" spans="8:10" x14ac:dyDescent="0.3">
      <c r="H7171" s="3"/>
      <c r="I7171" s="3"/>
      <c r="J7171" s="3"/>
    </row>
    <row r="7172" spans="8:10" x14ac:dyDescent="0.3">
      <c r="H7172" s="3"/>
      <c r="I7172" s="3"/>
      <c r="J7172" s="3"/>
    </row>
    <row r="7173" spans="8:10" x14ac:dyDescent="0.3">
      <c r="H7173" s="3"/>
      <c r="I7173" s="3"/>
      <c r="J7173" s="3"/>
    </row>
    <row r="7174" spans="8:10" x14ac:dyDescent="0.3">
      <c r="H7174" s="3"/>
      <c r="I7174" s="3"/>
      <c r="J7174" s="3"/>
    </row>
    <row r="7175" spans="8:10" x14ac:dyDescent="0.3">
      <c r="H7175" s="3"/>
      <c r="I7175" s="3"/>
      <c r="J7175" s="3"/>
    </row>
    <row r="7176" spans="8:10" x14ac:dyDescent="0.3">
      <c r="H7176" s="3"/>
      <c r="I7176" s="3"/>
      <c r="J7176" s="3"/>
    </row>
    <row r="7177" spans="8:10" x14ac:dyDescent="0.3">
      <c r="H7177" s="3"/>
      <c r="I7177" s="3"/>
      <c r="J7177" s="3"/>
    </row>
    <row r="7178" spans="8:10" x14ac:dyDescent="0.3">
      <c r="H7178" s="3"/>
      <c r="I7178" s="3"/>
      <c r="J7178" s="3"/>
    </row>
    <row r="7179" spans="8:10" x14ac:dyDescent="0.3">
      <c r="H7179" s="3"/>
      <c r="I7179" s="3"/>
      <c r="J7179" s="3"/>
    </row>
    <row r="7180" spans="8:10" x14ac:dyDescent="0.3">
      <c r="H7180" s="3"/>
      <c r="I7180" s="3"/>
      <c r="J7180" s="3"/>
    </row>
    <row r="7181" spans="8:10" x14ac:dyDescent="0.3">
      <c r="H7181" s="3"/>
      <c r="I7181" s="3"/>
      <c r="J7181" s="3"/>
    </row>
    <row r="7182" spans="8:10" x14ac:dyDescent="0.3">
      <c r="H7182" s="3"/>
      <c r="I7182" s="3"/>
      <c r="J7182" s="3"/>
    </row>
    <row r="7183" spans="8:10" x14ac:dyDescent="0.3">
      <c r="H7183" s="3"/>
      <c r="I7183" s="3"/>
      <c r="J7183" s="3"/>
    </row>
    <row r="7184" spans="8:10" x14ac:dyDescent="0.3">
      <c r="H7184" s="3"/>
      <c r="I7184" s="3"/>
      <c r="J7184" s="3"/>
    </row>
    <row r="7185" spans="8:10" x14ac:dyDescent="0.3">
      <c r="H7185" s="3"/>
      <c r="I7185" s="3"/>
      <c r="J7185" s="3"/>
    </row>
    <row r="7186" spans="8:10" x14ac:dyDescent="0.3">
      <c r="H7186" s="3"/>
      <c r="I7186" s="3"/>
      <c r="J7186" s="3"/>
    </row>
    <row r="7187" spans="8:10" x14ac:dyDescent="0.3">
      <c r="H7187" s="3"/>
      <c r="I7187" s="3"/>
      <c r="J7187" s="3"/>
    </row>
    <row r="7188" spans="8:10" x14ac:dyDescent="0.3">
      <c r="H7188" s="3"/>
      <c r="I7188" s="3"/>
      <c r="J7188" s="3"/>
    </row>
    <row r="7189" spans="8:10" x14ac:dyDescent="0.3">
      <c r="H7189" s="3"/>
      <c r="I7189" s="3"/>
      <c r="J7189" s="3"/>
    </row>
    <row r="7190" spans="8:10" x14ac:dyDescent="0.3">
      <c r="H7190" s="3"/>
      <c r="I7190" s="3"/>
      <c r="J7190" s="3"/>
    </row>
    <row r="7191" spans="8:10" x14ac:dyDescent="0.3">
      <c r="H7191" s="3"/>
      <c r="I7191" s="3"/>
      <c r="J7191" s="3"/>
    </row>
    <row r="7192" spans="8:10" x14ac:dyDescent="0.3">
      <c r="H7192" s="3"/>
      <c r="I7192" s="3"/>
      <c r="J7192" s="3"/>
    </row>
    <row r="7193" spans="8:10" x14ac:dyDescent="0.3">
      <c r="H7193" s="3"/>
      <c r="I7193" s="3"/>
      <c r="J7193" s="3"/>
    </row>
    <row r="7194" spans="8:10" x14ac:dyDescent="0.3">
      <c r="H7194" s="3"/>
      <c r="I7194" s="3"/>
      <c r="J7194" s="3"/>
    </row>
    <row r="7195" spans="8:10" x14ac:dyDescent="0.3">
      <c r="H7195" s="3"/>
      <c r="I7195" s="3"/>
      <c r="J7195" s="3"/>
    </row>
    <row r="7196" spans="8:10" x14ac:dyDescent="0.3">
      <c r="H7196" s="3"/>
      <c r="I7196" s="3"/>
      <c r="J7196" s="3"/>
    </row>
    <row r="7197" spans="8:10" x14ac:dyDescent="0.3">
      <c r="H7197" s="3"/>
      <c r="I7197" s="3"/>
      <c r="J7197" s="3"/>
    </row>
    <row r="7198" spans="8:10" x14ac:dyDescent="0.3">
      <c r="H7198" s="3"/>
      <c r="I7198" s="3"/>
      <c r="J7198" s="3"/>
    </row>
    <row r="7199" spans="8:10" x14ac:dyDescent="0.3">
      <c r="H7199" s="3"/>
      <c r="I7199" s="3"/>
      <c r="J7199" s="3"/>
    </row>
    <row r="7200" spans="8:10" x14ac:dyDescent="0.3">
      <c r="H7200" s="3"/>
      <c r="I7200" s="3"/>
      <c r="J7200" s="3"/>
    </row>
    <row r="7201" spans="8:10" x14ac:dyDescent="0.3">
      <c r="H7201" s="3"/>
      <c r="I7201" s="3"/>
      <c r="J7201" s="3"/>
    </row>
    <row r="7202" spans="8:10" x14ac:dyDescent="0.3">
      <c r="H7202" s="3"/>
      <c r="I7202" s="3"/>
      <c r="J7202" s="3"/>
    </row>
    <row r="7203" spans="8:10" x14ac:dyDescent="0.3">
      <c r="H7203" s="3"/>
      <c r="I7203" s="3"/>
      <c r="J7203" s="3"/>
    </row>
    <row r="7204" spans="8:10" x14ac:dyDescent="0.3">
      <c r="H7204" s="3"/>
      <c r="I7204" s="3"/>
      <c r="J7204" s="3"/>
    </row>
    <row r="7205" spans="8:10" x14ac:dyDescent="0.3">
      <c r="H7205" s="3"/>
      <c r="I7205" s="3"/>
      <c r="J7205" s="3"/>
    </row>
    <row r="7206" spans="8:10" x14ac:dyDescent="0.3">
      <c r="H7206" s="3"/>
      <c r="I7206" s="3"/>
      <c r="J7206" s="3"/>
    </row>
    <row r="7207" spans="8:10" x14ac:dyDescent="0.3">
      <c r="H7207" s="3"/>
      <c r="I7207" s="3"/>
      <c r="J7207" s="3"/>
    </row>
    <row r="7208" spans="8:10" x14ac:dyDescent="0.3">
      <c r="H7208" s="3"/>
      <c r="I7208" s="3"/>
      <c r="J7208" s="3"/>
    </row>
    <row r="7209" spans="8:10" x14ac:dyDescent="0.3">
      <c r="H7209" s="3"/>
      <c r="I7209" s="3"/>
      <c r="J7209" s="3"/>
    </row>
    <row r="7210" spans="8:10" x14ac:dyDescent="0.3">
      <c r="H7210" s="3"/>
      <c r="I7210" s="3"/>
      <c r="J7210" s="3"/>
    </row>
    <row r="7211" spans="8:10" x14ac:dyDescent="0.3">
      <c r="H7211" s="3"/>
      <c r="I7211" s="3"/>
      <c r="J7211" s="3"/>
    </row>
    <row r="7212" spans="8:10" x14ac:dyDescent="0.3">
      <c r="H7212" s="3"/>
      <c r="I7212" s="3"/>
      <c r="J7212" s="3"/>
    </row>
    <row r="7213" spans="8:10" x14ac:dyDescent="0.3">
      <c r="H7213" s="3"/>
      <c r="I7213" s="3"/>
      <c r="J7213" s="3"/>
    </row>
    <row r="7214" spans="8:10" x14ac:dyDescent="0.3">
      <c r="H7214" s="3"/>
      <c r="I7214" s="3"/>
      <c r="J7214" s="3"/>
    </row>
    <row r="7215" spans="8:10" x14ac:dyDescent="0.3">
      <c r="H7215" s="3"/>
      <c r="I7215" s="3"/>
      <c r="J7215" s="3"/>
    </row>
    <row r="7216" spans="8:10" x14ac:dyDescent="0.3">
      <c r="H7216" s="3"/>
      <c r="I7216" s="3"/>
      <c r="J7216" s="3"/>
    </row>
    <row r="7217" spans="8:10" x14ac:dyDescent="0.3">
      <c r="H7217" s="3"/>
      <c r="I7217" s="3"/>
      <c r="J7217" s="3"/>
    </row>
    <row r="7218" spans="8:10" x14ac:dyDescent="0.3">
      <c r="H7218" s="3"/>
      <c r="I7218" s="3"/>
      <c r="J7218" s="3"/>
    </row>
    <row r="7219" spans="8:10" x14ac:dyDescent="0.3">
      <c r="H7219" s="3"/>
      <c r="I7219" s="3"/>
      <c r="J7219" s="3"/>
    </row>
    <row r="7220" spans="8:10" x14ac:dyDescent="0.3">
      <c r="H7220" s="3"/>
      <c r="I7220" s="3"/>
      <c r="J7220" s="3"/>
    </row>
    <row r="7221" spans="8:10" x14ac:dyDescent="0.3">
      <c r="H7221" s="3"/>
      <c r="I7221" s="3"/>
      <c r="J7221" s="3"/>
    </row>
    <row r="7222" spans="8:10" x14ac:dyDescent="0.3">
      <c r="H7222" s="3"/>
      <c r="I7222" s="3"/>
      <c r="J7222" s="3"/>
    </row>
    <row r="7223" spans="8:10" x14ac:dyDescent="0.3">
      <c r="H7223" s="3"/>
      <c r="I7223" s="3"/>
      <c r="J7223" s="3"/>
    </row>
    <row r="7224" spans="8:10" x14ac:dyDescent="0.3">
      <c r="H7224" s="3"/>
      <c r="I7224" s="3"/>
      <c r="J7224" s="3"/>
    </row>
    <row r="7225" spans="8:10" x14ac:dyDescent="0.3">
      <c r="H7225" s="3"/>
      <c r="I7225" s="3"/>
      <c r="J7225" s="3"/>
    </row>
    <row r="7226" spans="8:10" x14ac:dyDescent="0.3">
      <c r="H7226" s="3"/>
      <c r="I7226" s="3"/>
      <c r="J7226" s="3"/>
    </row>
    <row r="7227" spans="8:10" x14ac:dyDescent="0.3">
      <c r="H7227" s="3"/>
      <c r="I7227" s="3"/>
      <c r="J7227" s="3"/>
    </row>
    <row r="7228" spans="8:10" x14ac:dyDescent="0.3">
      <c r="H7228" s="3"/>
      <c r="I7228" s="3"/>
      <c r="J7228" s="3"/>
    </row>
    <row r="7229" spans="8:10" x14ac:dyDescent="0.3">
      <c r="H7229" s="3"/>
      <c r="I7229" s="3"/>
      <c r="J7229" s="3"/>
    </row>
    <row r="7230" spans="8:10" x14ac:dyDescent="0.3">
      <c r="H7230" s="3"/>
      <c r="I7230" s="3"/>
      <c r="J7230" s="3"/>
    </row>
    <row r="7231" spans="8:10" x14ac:dyDescent="0.3">
      <c r="H7231" s="3"/>
      <c r="I7231" s="3"/>
      <c r="J7231" s="3"/>
    </row>
    <row r="7232" spans="8:10" x14ac:dyDescent="0.3">
      <c r="H7232" s="3"/>
      <c r="I7232" s="3"/>
      <c r="J7232" s="3"/>
    </row>
    <row r="7233" spans="8:10" x14ac:dyDescent="0.3">
      <c r="H7233" s="3"/>
      <c r="I7233" s="3"/>
      <c r="J7233" s="3"/>
    </row>
    <row r="7234" spans="8:10" x14ac:dyDescent="0.3">
      <c r="H7234" s="3"/>
      <c r="I7234" s="3"/>
      <c r="J7234" s="3"/>
    </row>
    <row r="7235" spans="8:10" x14ac:dyDescent="0.3">
      <c r="H7235" s="3"/>
      <c r="I7235" s="3"/>
      <c r="J7235" s="3"/>
    </row>
    <row r="7236" spans="8:10" x14ac:dyDescent="0.3">
      <c r="H7236" s="3"/>
      <c r="I7236" s="3"/>
      <c r="J7236" s="3"/>
    </row>
    <row r="7237" spans="8:10" x14ac:dyDescent="0.3">
      <c r="H7237" s="3"/>
      <c r="I7237" s="3"/>
      <c r="J7237" s="3"/>
    </row>
    <row r="7238" spans="8:10" x14ac:dyDescent="0.3">
      <c r="H7238" s="3"/>
      <c r="I7238" s="3"/>
      <c r="J7238" s="3"/>
    </row>
    <row r="7239" spans="8:10" x14ac:dyDescent="0.3">
      <c r="H7239" s="3"/>
      <c r="I7239" s="3"/>
      <c r="J7239" s="3"/>
    </row>
    <row r="7240" spans="8:10" x14ac:dyDescent="0.3">
      <c r="H7240" s="3"/>
      <c r="I7240" s="3"/>
      <c r="J7240" s="3"/>
    </row>
    <row r="7241" spans="8:10" x14ac:dyDescent="0.3">
      <c r="H7241" s="3"/>
      <c r="I7241" s="3"/>
      <c r="J7241" s="3"/>
    </row>
    <row r="7242" spans="8:10" x14ac:dyDescent="0.3">
      <c r="H7242" s="3"/>
      <c r="I7242" s="3"/>
      <c r="J7242" s="3"/>
    </row>
    <row r="7243" spans="8:10" x14ac:dyDescent="0.3">
      <c r="H7243" s="3"/>
      <c r="I7243" s="3"/>
      <c r="J7243" s="3"/>
    </row>
    <row r="7244" spans="8:10" x14ac:dyDescent="0.3">
      <c r="H7244" s="3"/>
      <c r="I7244" s="3"/>
      <c r="J7244" s="3"/>
    </row>
    <row r="7245" spans="8:10" x14ac:dyDescent="0.3">
      <c r="H7245" s="3"/>
      <c r="I7245" s="3"/>
      <c r="J7245" s="3"/>
    </row>
    <row r="7246" spans="8:10" x14ac:dyDescent="0.3">
      <c r="H7246" s="3"/>
      <c r="I7246" s="3"/>
      <c r="J7246" s="3"/>
    </row>
    <row r="7247" spans="8:10" x14ac:dyDescent="0.3">
      <c r="H7247" s="3"/>
      <c r="I7247" s="3"/>
      <c r="J7247" s="3"/>
    </row>
    <row r="7248" spans="8:10" x14ac:dyDescent="0.3">
      <c r="H7248" s="3"/>
      <c r="I7248" s="3"/>
      <c r="J7248" s="3"/>
    </row>
    <row r="7249" spans="8:10" x14ac:dyDescent="0.3">
      <c r="H7249" s="3"/>
      <c r="I7249" s="3"/>
      <c r="J7249" s="3"/>
    </row>
    <row r="7250" spans="8:10" x14ac:dyDescent="0.3">
      <c r="H7250" s="3"/>
      <c r="I7250" s="3"/>
      <c r="J7250" s="3"/>
    </row>
    <row r="7251" spans="8:10" x14ac:dyDescent="0.3">
      <c r="H7251" s="3"/>
      <c r="I7251" s="3"/>
      <c r="J7251" s="3"/>
    </row>
    <row r="7252" spans="8:10" x14ac:dyDescent="0.3">
      <c r="H7252" s="3"/>
      <c r="I7252" s="3"/>
      <c r="J7252" s="3"/>
    </row>
    <row r="7253" spans="8:10" x14ac:dyDescent="0.3">
      <c r="H7253" s="3"/>
      <c r="I7253" s="3"/>
      <c r="J7253" s="3"/>
    </row>
    <row r="7254" spans="8:10" x14ac:dyDescent="0.3">
      <c r="H7254" s="3"/>
      <c r="I7254" s="3"/>
      <c r="J7254" s="3"/>
    </row>
    <row r="7255" spans="8:10" x14ac:dyDescent="0.3">
      <c r="H7255" s="3"/>
      <c r="I7255" s="3"/>
      <c r="J7255" s="3"/>
    </row>
    <row r="7256" spans="8:10" x14ac:dyDescent="0.3">
      <c r="H7256" s="3"/>
      <c r="I7256" s="3"/>
      <c r="J7256" s="3"/>
    </row>
    <row r="7257" spans="8:10" x14ac:dyDescent="0.3">
      <c r="H7257" s="3"/>
      <c r="I7257" s="3"/>
      <c r="J7257" s="3"/>
    </row>
    <row r="7258" spans="8:10" x14ac:dyDescent="0.3">
      <c r="H7258" s="3"/>
      <c r="I7258" s="3"/>
      <c r="J7258" s="3"/>
    </row>
    <row r="7259" spans="8:10" x14ac:dyDescent="0.3">
      <c r="H7259" s="3"/>
      <c r="I7259" s="3"/>
      <c r="J7259" s="3"/>
    </row>
    <row r="7260" spans="8:10" x14ac:dyDescent="0.3">
      <c r="H7260" s="3"/>
      <c r="I7260" s="3"/>
      <c r="J7260" s="3"/>
    </row>
    <row r="7261" spans="8:10" x14ac:dyDescent="0.3">
      <c r="H7261" s="3"/>
      <c r="I7261" s="3"/>
      <c r="J7261" s="3"/>
    </row>
    <row r="7262" spans="8:10" x14ac:dyDescent="0.3">
      <c r="H7262" s="3"/>
      <c r="I7262" s="3"/>
      <c r="J7262" s="3"/>
    </row>
    <row r="7263" spans="8:10" x14ac:dyDescent="0.3">
      <c r="H7263" s="3"/>
      <c r="I7263" s="3"/>
      <c r="J7263" s="3"/>
    </row>
    <row r="7264" spans="8:10" x14ac:dyDescent="0.3">
      <c r="H7264" s="3"/>
      <c r="I7264" s="3"/>
      <c r="J7264" s="3"/>
    </row>
    <row r="7265" spans="8:10" x14ac:dyDescent="0.3">
      <c r="H7265" s="3"/>
      <c r="I7265" s="3"/>
      <c r="J7265" s="3"/>
    </row>
    <row r="7266" spans="8:10" x14ac:dyDescent="0.3">
      <c r="H7266" s="3"/>
      <c r="I7266" s="3"/>
      <c r="J7266" s="3"/>
    </row>
    <row r="7267" spans="8:10" x14ac:dyDescent="0.3">
      <c r="H7267" s="3"/>
      <c r="I7267" s="3"/>
      <c r="J7267" s="3"/>
    </row>
    <row r="7268" spans="8:10" x14ac:dyDescent="0.3">
      <c r="H7268" s="3"/>
      <c r="I7268" s="3"/>
      <c r="J7268" s="3"/>
    </row>
    <row r="7269" spans="8:10" x14ac:dyDescent="0.3">
      <c r="H7269" s="3"/>
      <c r="I7269" s="3"/>
      <c r="J7269" s="3"/>
    </row>
    <row r="7270" spans="8:10" x14ac:dyDescent="0.3">
      <c r="H7270" s="3"/>
      <c r="I7270" s="3"/>
      <c r="J7270" s="3"/>
    </row>
    <row r="7271" spans="8:10" x14ac:dyDescent="0.3">
      <c r="H7271" s="3"/>
      <c r="I7271" s="3"/>
      <c r="J7271" s="3"/>
    </row>
    <row r="7272" spans="8:10" x14ac:dyDescent="0.3">
      <c r="H7272" s="3"/>
      <c r="I7272" s="3"/>
      <c r="J7272" s="3"/>
    </row>
    <row r="7273" spans="8:10" x14ac:dyDescent="0.3">
      <c r="H7273" s="3"/>
      <c r="I7273" s="3"/>
      <c r="J7273" s="3"/>
    </row>
    <row r="7274" spans="8:10" x14ac:dyDescent="0.3">
      <c r="H7274" s="3"/>
      <c r="I7274" s="3"/>
      <c r="J7274" s="3"/>
    </row>
    <row r="7275" spans="8:10" x14ac:dyDescent="0.3">
      <c r="H7275" s="3"/>
      <c r="I7275" s="3"/>
      <c r="J7275" s="3"/>
    </row>
    <row r="7276" spans="8:10" x14ac:dyDescent="0.3">
      <c r="H7276" s="3"/>
      <c r="I7276" s="3"/>
      <c r="J7276" s="3"/>
    </row>
    <row r="7277" spans="8:10" x14ac:dyDescent="0.3">
      <c r="H7277" s="3"/>
      <c r="I7277" s="3"/>
      <c r="J7277" s="3"/>
    </row>
    <row r="7278" spans="8:10" x14ac:dyDescent="0.3">
      <c r="H7278" s="3"/>
      <c r="I7278" s="3"/>
      <c r="J7278" s="3"/>
    </row>
    <row r="7279" spans="8:10" x14ac:dyDescent="0.3">
      <c r="H7279" s="3"/>
      <c r="I7279" s="3"/>
      <c r="J7279" s="3"/>
    </row>
    <row r="7280" spans="8:10" x14ac:dyDescent="0.3">
      <c r="H7280" s="3"/>
      <c r="I7280" s="3"/>
      <c r="J7280" s="3"/>
    </row>
    <row r="7281" spans="8:10" x14ac:dyDescent="0.3">
      <c r="H7281" s="3"/>
      <c r="I7281" s="3"/>
      <c r="J7281" s="3"/>
    </row>
    <row r="7282" spans="8:10" x14ac:dyDescent="0.3">
      <c r="H7282" s="3"/>
      <c r="I7282" s="3"/>
      <c r="J7282" s="3"/>
    </row>
    <row r="7283" spans="8:10" x14ac:dyDescent="0.3">
      <c r="H7283" s="3"/>
      <c r="I7283" s="3"/>
      <c r="J7283" s="3"/>
    </row>
    <row r="7284" spans="8:10" x14ac:dyDescent="0.3">
      <c r="H7284" s="3"/>
      <c r="I7284" s="3"/>
      <c r="J7284" s="3"/>
    </row>
    <row r="7285" spans="8:10" x14ac:dyDescent="0.3">
      <c r="H7285" s="3"/>
      <c r="I7285" s="3"/>
      <c r="J7285" s="3"/>
    </row>
    <row r="7286" spans="8:10" x14ac:dyDescent="0.3">
      <c r="H7286" s="3"/>
      <c r="I7286" s="3"/>
      <c r="J7286" s="3"/>
    </row>
    <row r="7287" spans="8:10" x14ac:dyDescent="0.3">
      <c r="H7287" s="3"/>
      <c r="I7287" s="3"/>
      <c r="J7287" s="3"/>
    </row>
    <row r="7288" spans="8:10" x14ac:dyDescent="0.3">
      <c r="H7288" s="3"/>
      <c r="I7288" s="3"/>
      <c r="J7288" s="3"/>
    </row>
    <row r="7289" spans="8:10" x14ac:dyDescent="0.3">
      <c r="H7289" s="3"/>
      <c r="I7289" s="3"/>
      <c r="J7289" s="3"/>
    </row>
    <row r="7290" spans="8:10" x14ac:dyDescent="0.3">
      <c r="H7290" s="3"/>
      <c r="I7290" s="3"/>
      <c r="J7290" s="3"/>
    </row>
    <row r="7291" spans="8:10" x14ac:dyDescent="0.3">
      <c r="H7291" s="3"/>
      <c r="I7291" s="3"/>
      <c r="J7291" s="3"/>
    </row>
    <row r="7292" spans="8:10" x14ac:dyDescent="0.3">
      <c r="H7292" s="3"/>
      <c r="I7292" s="3"/>
      <c r="J7292" s="3"/>
    </row>
    <row r="7293" spans="8:10" x14ac:dyDescent="0.3">
      <c r="H7293" s="3"/>
      <c r="I7293" s="3"/>
      <c r="J7293" s="3"/>
    </row>
    <row r="7294" spans="8:10" x14ac:dyDescent="0.3">
      <c r="H7294" s="3"/>
      <c r="I7294" s="3"/>
      <c r="J7294" s="3"/>
    </row>
    <row r="7295" spans="8:10" x14ac:dyDescent="0.3">
      <c r="H7295" s="3"/>
      <c r="I7295" s="3"/>
      <c r="J7295" s="3"/>
    </row>
    <row r="7296" spans="8:10" x14ac:dyDescent="0.3">
      <c r="H7296" s="3"/>
      <c r="I7296" s="3"/>
      <c r="J7296" s="3"/>
    </row>
    <row r="7297" spans="8:10" x14ac:dyDescent="0.3">
      <c r="H7297" s="3"/>
      <c r="I7297" s="3"/>
      <c r="J7297" s="3"/>
    </row>
    <row r="7298" spans="8:10" x14ac:dyDescent="0.3">
      <c r="H7298" s="3"/>
      <c r="I7298" s="3"/>
      <c r="J7298" s="3"/>
    </row>
    <row r="7299" spans="8:10" x14ac:dyDescent="0.3">
      <c r="H7299" s="3"/>
      <c r="I7299" s="3"/>
      <c r="J7299" s="3"/>
    </row>
    <row r="7300" spans="8:10" x14ac:dyDescent="0.3">
      <c r="H7300" s="3"/>
      <c r="I7300" s="3"/>
      <c r="J7300" s="3"/>
    </row>
    <row r="7301" spans="8:10" x14ac:dyDescent="0.3">
      <c r="H7301" s="3"/>
      <c r="I7301" s="3"/>
      <c r="J7301" s="3"/>
    </row>
    <row r="7302" spans="8:10" x14ac:dyDescent="0.3">
      <c r="H7302" s="3"/>
      <c r="I7302" s="3"/>
      <c r="J7302" s="3"/>
    </row>
    <row r="7303" spans="8:10" x14ac:dyDescent="0.3">
      <c r="H7303" s="3"/>
      <c r="I7303" s="3"/>
      <c r="J7303" s="3"/>
    </row>
    <row r="7304" spans="8:10" x14ac:dyDescent="0.3">
      <c r="H7304" s="3"/>
      <c r="I7304" s="3"/>
      <c r="J7304" s="3"/>
    </row>
    <row r="7305" spans="8:10" x14ac:dyDescent="0.3">
      <c r="H7305" s="3"/>
      <c r="I7305" s="3"/>
      <c r="J7305" s="3"/>
    </row>
    <row r="7306" spans="8:10" x14ac:dyDescent="0.3">
      <c r="H7306" s="3"/>
      <c r="I7306" s="3"/>
      <c r="J7306" s="3"/>
    </row>
    <row r="7307" spans="8:10" x14ac:dyDescent="0.3">
      <c r="H7307" s="3"/>
      <c r="I7307" s="3"/>
      <c r="J7307" s="3"/>
    </row>
    <row r="7308" spans="8:10" x14ac:dyDescent="0.3">
      <c r="H7308" s="3"/>
      <c r="I7308" s="3"/>
      <c r="J7308" s="3"/>
    </row>
    <row r="7309" spans="8:10" x14ac:dyDescent="0.3">
      <c r="H7309" s="3"/>
      <c r="I7309" s="3"/>
      <c r="J7309" s="3"/>
    </row>
    <row r="7310" spans="8:10" x14ac:dyDescent="0.3">
      <c r="H7310" s="3"/>
      <c r="I7310" s="3"/>
      <c r="J7310" s="3"/>
    </row>
    <row r="7311" spans="8:10" x14ac:dyDescent="0.3">
      <c r="H7311" s="3"/>
      <c r="I7311" s="3"/>
      <c r="J7311" s="3"/>
    </row>
    <row r="7312" spans="8:10" x14ac:dyDescent="0.3">
      <c r="H7312" s="3"/>
      <c r="I7312" s="3"/>
      <c r="J7312" s="3"/>
    </row>
    <row r="7313" spans="8:10" x14ac:dyDescent="0.3">
      <c r="H7313" s="3"/>
      <c r="I7313" s="3"/>
      <c r="J7313" s="3"/>
    </row>
    <row r="7314" spans="8:10" x14ac:dyDescent="0.3">
      <c r="H7314" s="3"/>
      <c r="I7314" s="3"/>
      <c r="J7314" s="3"/>
    </row>
    <row r="7315" spans="8:10" x14ac:dyDescent="0.3">
      <c r="H7315" s="3"/>
      <c r="I7315" s="3"/>
      <c r="J7315" s="3"/>
    </row>
    <row r="7316" spans="8:10" x14ac:dyDescent="0.3">
      <c r="H7316" s="3"/>
      <c r="I7316" s="3"/>
      <c r="J7316" s="3"/>
    </row>
    <row r="7317" spans="8:10" x14ac:dyDescent="0.3">
      <c r="H7317" s="3"/>
      <c r="I7317" s="3"/>
      <c r="J7317" s="3"/>
    </row>
    <row r="7318" spans="8:10" x14ac:dyDescent="0.3">
      <c r="H7318" s="3"/>
      <c r="I7318" s="3"/>
      <c r="J7318" s="3"/>
    </row>
    <row r="7319" spans="8:10" x14ac:dyDescent="0.3">
      <c r="H7319" s="3"/>
      <c r="I7319" s="3"/>
      <c r="J7319" s="3"/>
    </row>
    <row r="7320" spans="8:10" x14ac:dyDescent="0.3">
      <c r="H7320" s="3"/>
      <c r="I7320" s="3"/>
      <c r="J7320" s="3"/>
    </row>
    <row r="7321" spans="8:10" x14ac:dyDescent="0.3">
      <c r="H7321" s="3"/>
      <c r="I7321" s="3"/>
      <c r="J7321" s="3"/>
    </row>
    <row r="7322" spans="8:10" x14ac:dyDescent="0.3">
      <c r="H7322" s="3"/>
      <c r="I7322" s="3"/>
      <c r="J7322" s="3"/>
    </row>
    <row r="7323" spans="8:10" x14ac:dyDescent="0.3">
      <c r="H7323" s="3"/>
      <c r="I7323" s="3"/>
      <c r="J7323" s="3"/>
    </row>
    <row r="7324" spans="8:10" x14ac:dyDescent="0.3">
      <c r="H7324" s="3"/>
      <c r="I7324" s="3"/>
      <c r="J7324" s="3"/>
    </row>
    <row r="7325" spans="8:10" x14ac:dyDescent="0.3">
      <c r="H7325" s="3"/>
      <c r="I7325" s="3"/>
      <c r="J7325" s="3"/>
    </row>
    <row r="7326" spans="8:10" x14ac:dyDescent="0.3">
      <c r="H7326" s="3"/>
      <c r="I7326" s="3"/>
      <c r="J7326" s="3"/>
    </row>
    <row r="7327" spans="8:10" x14ac:dyDescent="0.3">
      <c r="H7327" s="3"/>
      <c r="I7327" s="3"/>
      <c r="J7327" s="3"/>
    </row>
    <row r="7328" spans="8:10" x14ac:dyDescent="0.3">
      <c r="H7328" s="3"/>
      <c r="I7328" s="3"/>
      <c r="J7328" s="3"/>
    </row>
    <row r="7329" spans="8:10" x14ac:dyDescent="0.3">
      <c r="H7329" s="3"/>
      <c r="I7329" s="3"/>
      <c r="J7329" s="3"/>
    </row>
    <row r="7330" spans="8:10" x14ac:dyDescent="0.3">
      <c r="H7330" s="3"/>
      <c r="I7330" s="3"/>
      <c r="J7330" s="3"/>
    </row>
    <row r="7331" spans="8:10" x14ac:dyDescent="0.3">
      <c r="H7331" s="3"/>
      <c r="I7331" s="3"/>
      <c r="J7331" s="3"/>
    </row>
    <row r="7332" spans="8:10" x14ac:dyDescent="0.3">
      <c r="H7332" s="3"/>
      <c r="I7332" s="3"/>
      <c r="J7332" s="3"/>
    </row>
    <row r="7333" spans="8:10" x14ac:dyDescent="0.3">
      <c r="H7333" s="3"/>
      <c r="I7333" s="3"/>
      <c r="J7333" s="3"/>
    </row>
    <row r="7334" spans="8:10" x14ac:dyDescent="0.3">
      <c r="H7334" s="3"/>
      <c r="I7334" s="3"/>
      <c r="J7334" s="3"/>
    </row>
    <row r="7335" spans="8:10" x14ac:dyDescent="0.3">
      <c r="H7335" s="3"/>
      <c r="I7335" s="3"/>
      <c r="J7335" s="3"/>
    </row>
    <row r="7336" spans="8:10" x14ac:dyDescent="0.3">
      <c r="H7336" s="3"/>
      <c r="I7336" s="3"/>
      <c r="J7336" s="3"/>
    </row>
    <row r="7337" spans="8:10" x14ac:dyDescent="0.3">
      <c r="H7337" s="3"/>
      <c r="I7337" s="3"/>
      <c r="J7337" s="3"/>
    </row>
    <row r="7338" spans="8:10" x14ac:dyDescent="0.3">
      <c r="H7338" s="3"/>
      <c r="I7338" s="3"/>
      <c r="J7338" s="3"/>
    </row>
    <row r="7339" spans="8:10" x14ac:dyDescent="0.3">
      <c r="H7339" s="3"/>
      <c r="I7339" s="3"/>
      <c r="J7339" s="3"/>
    </row>
    <row r="7340" spans="8:10" x14ac:dyDescent="0.3">
      <c r="H7340" s="3"/>
      <c r="I7340" s="3"/>
      <c r="J7340" s="3"/>
    </row>
    <row r="7341" spans="8:10" x14ac:dyDescent="0.3">
      <c r="H7341" s="3"/>
      <c r="I7341" s="3"/>
      <c r="J7341" s="3"/>
    </row>
    <row r="7342" spans="8:10" x14ac:dyDescent="0.3">
      <c r="H7342" s="3"/>
      <c r="I7342" s="3"/>
      <c r="J7342" s="3"/>
    </row>
    <row r="7343" spans="8:10" x14ac:dyDescent="0.3">
      <c r="H7343" s="3"/>
      <c r="I7343" s="3"/>
      <c r="J7343" s="3"/>
    </row>
    <row r="7344" spans="8:10" x14ac:dyDescent="0.3">
      <c r="H7344" s="3"/>
      <c r="I7344" s="3"/>
      <c r="J7344" s="3"/>
    </row>
    <row r="7345" spans="8:10" x14ac:dyDescent="0.3">
      <c r="H7345" s="3"/>
      <c r="I7345" s="3"/>
      <c r="J7345" s="3"/>
    </row>
    <row r="7346" spans="8:10" x14ac:dyDescent="0.3">
      <c r="H7346" s="3"/>
      <c r="I7346" s="3"/>
      <c r="J7346" s="3"/>
    </row>
    <row r="7347" spans="8:10" x14ac:dyDescent="0.3">
      <c r="H7347" s="3"/>
      <c r="I7347" s="3"/>
      <c r="J7347" s="3"/>
    </row>
    <row r="7348" spans="8:10" x14ac:dyDescent="0.3">
      <c r="H7348" s="3"/>
      <c r="I7348" s="3"/>
      <c r="J7348" s="3"/>
    </row>
    <row r="7349" spans="8:10" x14ac:dyDescent="0.3">
      <c r="H7349" s="3"/>
      <c r="I7349" s="3"/>
      <c r="J7349" s="3"/>
    </row>
    <row r="7350" spans="8:10" x14ac:dyDescent="0.3">
      <c r="H7350" s="3"/>
      <c r="I7350" s="3"/>
      <c r="J7350" s="3"/>
    </row>
    <row r="7351" spans="8:10" x14ac:dyDescent="0.3">
      <c r="H7351" s="3"/>
      <c r="I7351" s="3"/>
      <c r="J7351" s="3"/>
    </row>
    <row r="7352" spans="8:10" x14ac:dyDescent="0.3">
      <c r="H7352" s="3"/>
      <c r="I7352" s="3"/>
      <c r="J7352" s="3"/>
    </row>
    <row r="7353" spans="8:10" x14ac:dyDescent="0.3">
      <c r="H7353" s="3"/>
      <c r="I7353" s="3"/>
      <c r="J7353" s="3"/>
    </row>
    <row r="7354" spans="8:10" x14ac:dyDescent="0.3">
      <c r="H7354" s="3"/>
      <c r="I7354" s="3"/>
      <c r="J7354" s="3"/>
    </row>
    <row r="7355" spans="8:10" x14ac:dyDescent="0.3">
      <c r="H7355" s="3"/>
      <c r="I7355" s="3"/>
      <c r="J7355" s="3"/>
    </row>
    <row r="7356" spans="8:10" x14ac:dyDescent="0.3">
      <c r="H7356" s="3"/>
      <c r="I7356" s="3"/>
      <c r="J7356" s="3"/>
    </row>
    <row r="7357" spans="8:10" x14ac:dyDescent="0.3">
      <c r="H7357" s="3"/>
      <c r="I7357" s="3"/>
      <c r="J7357" s="3"/>
    </row>
    <row r="7358" spans="8:10" x14ac:dyDescent="0.3">
      <c r="H7358" s="3"/>
      <c r="I7358" s="3"/>
      <c r="J7358" s="3"/>
    </row>
    <row r="7359" spans="8:10" x14ac:dyDescent="0.3">
      <c r="H7359" s="3"/>
      <c r="I7359" s="3"/>
      <c r="J7359" s="3"/>
    </row>
    <row r="7360" spans="8:10" x14ac:dyDescent="0.3">
      <c r="H7360" s="3"/>
      <c r="I7360" s="3"/>
      <c r="J7360" s="3"/>
    </row>
    <row r="7361" spans="8:10" x14ac:dyDescent="0.3">
      <c r="H7361" s="3"/>
      <c r="I7361" s="3"/>
      <c r="J7361" s="3"/>
    </row>
    <row r="7362" spans="8:10" x14ac:dyDescent="0.3">
      <c r="H7362" s="3"/>
      <c r="I7362" s="3"/>
      <c r="J7362" s="3"/>
    </row>
    <row r="7363" spans="8:10" x14ac:dyDescent="0.3">
      <c r="H7363" s="3"/>
      <c r="I7363" s="3"/>
      <c r="J7363" s="3"/>
    </row>
    <row r="7364" spans="8:10" x14ac:dyDescent="0.3">
      <c r="H7364" s="3"/>
      <c r="I7364" s="3"/>
      <c r="J7364" s="3"/>
    </row>
    <row r="7365" spans="8:10" x14ac:dyDescent="0.3">
      <c r="H7365" s="3"/>
      <c r="I7365" s="3"/>
      <c r="J7365" s="3"/>
    </row>
    <row r="7366" spans="8:10" x14ac:dyDescent="0.3">
      <c r="H7366" s="3"/>
      <c r="I7366" s="3"/>
      <c r="J7366" s="3"/>
    </row>
    <row r="7367" spans="8:10" x14ac:dyDescent="0.3">
      <c r="H7367" s="3"/>
      <c r="I7367" s="3"/>
      <c r="J7367" s="3"/>
    </row>
    <row r="7368" spans="8:10" x14ac:dyDescent="0.3">
      <c r="H7368" s="3"/>
      <c r="I7368" s="3"/>
      <c r="J7368" s="3"/>
    </row>
    <row r="7369" spans="8:10" x14ac:dyDescent="0.3">
      <c r="H7369" s="3"/>
      <c r="I7369" s="3"/>
      <c r="J7369" s="3"/>
    </row>
    <row r="7370" spans="8:10" x14ac:dyDescent="0.3">
      <c r="H7370" s="3"/>
      <c r="I7370" s="3"/>
      <c r="J7370" s="3"/>
    </row>
    <row r="7371" spans="8:10" x14ac:dyDescent="0.3">
      <c r="H7371" s="3"/>
      <c r="I7371" s="3"/>
      <c r="J7371" s="3"/>
    </row>
    <row r="7372" spans="8:10" x14ac:dyDescent="0.3">
      <c r="H7372" s="3"/>
      <c r="I7372" s="3"/>
      <c r="J7372" s="3"/>
    </row>
    <row r="7373" spans="8:10" x14ac:dyDescent="0.3">
      <c r="H7373" s="3"/>
      <c r="I7373" s="3"/>
      <c r="J7373" s="3"/>
    </row>
    <row r="7374" spans="8:10" x14ac:dyDescent="0.3">
      <c r="H7374" s="3"/>
      <c r="I7374" s="3"/>
      <c r="J7374" s="3"/>
    </row>
    <row r="7375" spans="8:10" x14ac:dyDescent="0.3">
      <c r="H7375" s="3"/>
      <c r="I7375" s="3"/>
      <c r="J7375" s="3"/>
    </row>
    <row r="7376" spans="8:10" x14ac:dyDescent="0.3">
      <c r="H7376" s="3"/>
      <c r="I7376" s="3"/>
      <c r="J7376" s="3"/>
    </row>
    <row r="7377" spans="8:10" x14ac:dyDescent="0.3">
      <c r="H7377" s="3"/>
      <c r="I7377" s="3"/>
      <c r="J7377" s="3"/>
    </row>
    <row r="7378" spans="8:10" x14ac:dyDescent="0.3">
      <c r="H7378" s="3"/>
      <c r="I7378" s="3"/>
      <c r="J7378" s="3"/>
    </row>
    <row r="7379" spans="8:10" x14ac:dyDescent="0.3">
      <c r="H7379" s="3"/>
      <c r="I7379" s="3"/>
      <c r="J7379" s="3"/>
    </row>
    <row r="7380" spans="8:10" x14ac:dyDescent="0.3">
      <c r="H7380" s="3"/>
      <c r="I7380" s="3"/>
      <c r="J7380" s="3"/>
    </row>
    <row r="7381" spans="8:10" x14ac:dyDescent="0.3">
      <c r="H7381" s="3"/>
      <c r="I7381" s="3"/>
      <c r="J7381" s="3"/>
    </row>
    <row r="7382" spans="8:10" x14ac:dyDescent="0.3">
      <c r="H7382" s="3"/>
      <c r="I7382" s="3"/>
      <c r="J7382" s="3"/>
    </row>
    <row r="7383" spans="8:10" x14ac:dyDescent="0.3">
      <c r="H7383" s="3"/>
      <c r="I7383" s="3"/>
      <c r="J7383" s="3"/>
    </row>
    <row r="7384" spans="8:10" x14ac:dyDescent="0.3">
      <c r="H7384" s="3"/>
      <c r="I7384" s="3"/>
      <c r="J7384" s="3"/>
    </row>
    <row r="7385" spans="8:10" x14ac:dyDescent="0.3">
      <c r="H7385" s="3"/>
      <c r="I7385" s="3"/>
      <c r="J7385" s="3"/>
    </row>
    <row r="7386" spans="8:10" x14ac:dyDescent="0.3">
      <c r="H7386" s="3"/>
      <c r="I7386" s="3"/>
      <c r="J7386" s="3"/>
    </row>
    <row r="7387" spans="8:10" x14ac:dyDescent="0.3">
      <c r="H7387" s="3"/>
      <c r="I7387" s="3"/>
      <c r="J7387" s="3"/>
    </row>
    <row r="7388" spans="8:10" x14ac:dyDescent="0.3">
      <c r="H7388" s="3"/>
      <c r="I7388" s="3"/>
      <c r="J7388" s="3"/>
    </row>
    <row r="7389" spans="8:10" x14ac:dyDescent="0.3">
      <c r="H7389" s="3"/>
      <c r="I7389" s="3"/>
      <c r="J7389" s="3"/>
    </row>
    <row r="7390" spans="8:10" x14ac:dyDescent="0.3">
      <c r="H7390" s="3"/>
      <c r="I7390" s="3"/>
      <c r="J7390" s="3"/>
    </row>
    <row r="7391" spans="8:10" x14ac:dyDescent="0.3">
      <c r="H7391" s="3"/>
      <c r="I7391" s="3"/>
      <c r="J7391" s="3"/>
    </row>
    <row r="7392" spans="8:10" x14ac:dyDescent="0.3">
      <c r="H7392" s="3"/>
      <c r="I7392" s="3"/>
      <c r="J7392" s="3"/>
    </row>
    <row r="7393" spans="8:10" x14ac:dyDescent="0.3">
      <c r="H7393" s="3"/>
      <c r="I7393" s="3"/>
      <c r="J7393" s="3"/>
    </row>
    <row r="7394" spans="8:10" x14ac:dyDescent="0.3">
      <c r="H7394" s="3"/>
      <c r="I7394" s="3"/>
      <c r="J7394" s="3"/>
    </row>
    <row r="7395" spans="8:10" x14ac:dyDescent="0.3">
      <c r="H7395" s="3"/>
      <c r="I7395" s="3"/>
      <c r="J7395" s="3"/>
    </row>
    <row r="7396" spans="8:10" x14ac:dyDescent="0.3">
      <c r="H7396" s="3"/>
      <c r="I7396" s="3"/>
      <c r="J7396" s="3"/>
    </row>
    <row r="7397" spans="8:10" x14ac:dyDescent="0.3">
      <c r="H7397" s="3"/>
      <c r="I7397" s="3"/>
      <c r="J7397" s="3"/>
    </row>
    <row r="7398" spans="8:10" x14ac:dyDescent="0.3">
      <c r="H7398" s="3"/>
      <c r="I7398" s="3"/>
      <c r="J7398" s="3"/>
    </row>
    <row r="7399" spans="8:10" x14ac:dyDescent="0.3">
      <c r="H7399" s="3"/>
      <c r="I7399" s="3"/>
      <c r="J7399" s="3"/>
    </row>
    <row r="7400" spans="8:10" x14ac:dyDescent="0.3">
      <c r="H7400" s="3"/>
      <c r="I7400" s="3"/>
      <c r="J7400" s="3"/>
    </row>
    <row r="7401" spans="8:10" x14ac:dyDescent="0.3">
      <c r="H7401" s="3"/>
      <c r="I7401" s="3"/>
      <c r="J7401" s="3"/>
    </row>
    <row r="7402" spans="8:10" x14ac:dyDescent="0.3">
      <c r="H7402" s="3"/>
      <c r="I7402" s="3"/>
      <c r="J7402" s="3"/>
    </row>
    <row r="7403" spans="8:10" x14ac:dyDescent="0.3">
      <c r="H7403" s="3"/>
      <c r="I7403" s="3"/>
      <c r="J7403" s="3"/>
    </row>
    <row r="7404" spans="8:10" x14ac:dyDescent="0.3">
      <c r="H7404" s="3"/>
      <c r="I7404" s="3"/>
      <c r="J7404" s="3"/>
    </row>
    <row r="7405" spans="8:10" x14ac:dyDescent="0.3">
      <c r="H7405" s="3"/>
      <c r="I7405" s="3"/>
      <c r="J7405" s="3"/>
    </row>
    <row r="7406" spans="8:10" x14ac:dyDescent="0.3">
      <c r="H7406" s="3"/>
      <c r="I7406" s="3"/>
      <c r="J7406" s="3"/>
    </row>
    <row r="7407" spans="8:10" x14ac:dyDescent="0.3">
      <c r="H7407" s="3"/>
      <c r="I7407" s="3"/>
      <c r="J7407" s="3"/>
    </row>
    <row r="7408" spans="8:10" x14ac:dyDescent="0.3">
      <c r="H7408" s="3"/>
      <c r="I7408" s="3"/>
      <c r="J7408" s="3"/>
    </row>
    <row r="7409" spans="8:10" x14ac:dyDescent="0.3">
      <c r="H7409" s="3"/>
      <c r="I7409" s="3"/>
      <c r="J7409" s="3"/>
    </row>
    <row r="7410" spans="8:10" x14ac:dyDescent="0.3">
      <c r="H7410" s="3"/>
      <c r="I7410" s="3"/>
      <c r="J7410" s="3"/>
    </row>
    <row r="7411" spans="8:10" x14ac:dyDescent="0.3">
      <c r="H7411" s="3"/>
      <c r="I7411" s="3"/>
      <c r="J7411" s="3"/>
    </row>
    <row r="7412" spans="8:10" x14ac:dyDescent="0.3">
      <c r="H7412" s="3"/>
      <c r="I7412" s="3"/>
      <c r="J7412" s="3"/>
    </row>
    <row r="7413" spans="8:10" x14ac:dyDescent="0.3">
      <c r="H7413" s="3"/>
      <c r="I7413" s="3"/>
      <c r="J7413" s="3"/>
    </row>
    <row r="7414" spans="8:10" x14ac:dyDescent="0.3">
      <c r="H7414" s="3"/>
      <c r="I7414" s="3"/>
      <c r="J7414" s="3"/>
    </row>
    <row r="7415" spans="8:10" x14ac:dyDescent="0.3">
      <c r="H7415" s="3"/>
      <c r="I7415" s="3"/>
      <c r="J7415" s="3"/>
    </row>
    <row r="7416" spans="8:10" x14ac:dyDescent="0.3">
      <c r="H7416" s="3"/>
      <c r="I7416" s="3"/>
      <c r="J7416" s="3"/>
    </row>
    <row r="7417" spans="8:10" x14ac:dyDescent="0.3">
      <c r="H7417" s="3"/>
      <c r="I7417" s="3"/>
      <c r="J7417" s="3"/>
    </row>
    <row r="7418" spans="8:10" x14ac:dyDescent="0.3">
      <c r="H7418" s="3"/>
      <c r="I7418" s="3"/>
      <c r="J7418" s="3"/>
    </row>
    <row r="7419" spans="8:10" x14ac:dyDescent="0.3">
      <c r="H7419" s="3"/>
      <c r="I7419" s="3"/>
      <c r="J7419" s="3"/>
    </row>
    <row r="7420" spans="8:10" x14ac:dyDescent="0.3">
      <c r="H7420" s="3"/>
      <c r="I7420" s="3"/>
      <c r="J7420" s="3"/>
    </row>
    <row r="7421" spans="8:10" x14ac:dyDescent="0.3">
      <c r="H7421" s="3"/>
      <c r="I7421" s="3"/>
      <c r="J7421" s="3"/>
    </row>
    <row r="7422" spans="8:10" x14ac:dyDescent="0.3">
      <c r="H7422" s="3"/>
      <c r="I7422" s="3"/>
      <c r="J7422" s="3"/>
    </row>
    <row r="7423" spans="8:10" x14ac:dyDescent="0.3">
      <c r="H7423" s="3"/>
      <c r="I7423" s="3"/>
      <c r="J7423" s="3"/>
    </row>
    <row r="7424" spans="8:10" x14ac:dyDescent="0.3">
      <c r="H7424" s="3"/>
      <c r="I7424" s="3"/>
      <c r="J7424" s="3"/>
    </row>
    <row r="7425" spans="8:10" x14ac:dyDescent="0.3">
      <c r="H7425" s="3"/>
      <c r="I7425" s="3"/>
      <c r="J7425" s="3"/>
    </row>
    <row r="7426" spans="8:10" x14ac:dyDescent="0.3">
      <c r="H7426" s="3"/>
      <c r="I7426" s="3"/>
      <c r="J7426" s="3"/>
    </row>
    <row r="7427" spans="8:10" x14ac:dyDescent="0.3">
      <c r="H7427" s="3"/>
      <c r="I7427" s="3"/>
      <c r="J7427" s="3"/>
    </row>
    <row r="7428" spans="8:10" x14ac:dyDescent="0.3">
      <c r="H7428" s="3"/>
      <c r="I7428" s="3"/>
      <c r="J7428" s="3"/>
    </row>
    <row r="7429" spans="8:10" x14ac:dyDescent="0.3">
      <c r="H7429" s="3"/>
      <c r="I7429" s="3"/>
      <c r="J7429" s="3"/>
    </row>
    <row r="7430" spans="8:10" x14ac:dyDescent="0.3">
      <c r="H7430" s="3"/>
      <c r="I7430" s="3"/>
      <c r="J7430" s="3"/>
    </row>
    <row r="7431" spans="8:10" x14ac:dyDescent="0.3">
      <c r="H7431" s="3"/>
      <c r="I7431" s="3"/>
      <c r="J7431" s="3"/>
    </row>
    <row r="7432" spans="8:10" x14ac:dyDescent="0.3">
      <c r="H7432" s="3"/>
      <c r="I7432" s="3"/>
      <c r="J7432" s="3"/>
    </row>
    <row r="7433" spans="8:10" x14ac:dyDescent="0.3">
      <c r="H7433" s="3"/>
      <c r="I7433" s="3"/>
      <c r="J7433" s="3"/>
    </row>
    <row r="7434" spans="8:10" x14ac:dyDescent="0.3">
      <c r="H7434" s="3"/>
      <c r="I7434" s="3"/>
      <c r="J7434" s="3"/>
    </row>
    <row r="7435" spans="8:10" x14ac:dyDescent="0.3">
      <c r="H7435" s="3"/>
      <c r="I7435" s="3"/>
      <c r="J7435" s="3"/>
    </row>
    <row r="7436" spans="8:10" x14ac:dyDescent="0.3">
      <c r="H7436" s="3"/>
      <c r="I7436" s="3"/>
      <c r="J7436" s="3"/>
    </row>
    <row r="7437" spans="8:10" x14ac:dyDescent="0.3">
      <c r="H7437" s="3"/>
      <c r="I7437" s="3"/>
      <c r="J7437" s="3"/>
    </row>
    <row r="7438" spans="8:10" x14ac:dyDescent="0.3">
      <c r="H7438" s="3"/>
      <c r="I7438" s="3"/>
      <c r="J7438" s="3"/>
    </row>
    <row r="7439" spans="8:10" x14ac:dyDescent="0.3">
      <c r="H7439" s="3"/>
      <c r="I7439" s="3"/>
      <c r="J7439" s="3"/>
    </row>
    <row r="7440" spans="8:10" x14ac:dyDescent="0.3">
      <c r="H7440" s="3"/>
      <c r="I7440" s="3"/>
      <c r="J7440" s="3"/>
    </row>
    <row r="7441" spans="8:10" x14ac:dyDescent="0.3">
      <c r="H7441" s="3"/>
      <c r="I7441" s="3"/>
      <c r="J7441" s="3"/>
    </row>
    <row r="7442" spans="8:10" x14ac:dyDescent="0.3">
      <c r="H7442" s="3"/>
      <c r="I7442" s="3"/>
      <c r="J7442" s="3"/>
    </row>
    <row r="7443" spans="8:10" x14ac:dyDescent="0.3">
      <c r="H7443" s="3"/>
      <c r="I7443" s="3"/>
      <c r="J7443" s="3"/>
    </row>
    <row r="7444" spans="8:10" x14ac:dyDescent="0.3">
      <c r="H7444" s="3"/>
      <c r="I7444" s="3"/>
      <c r="J7444" s="3"/>
    </row>
    <row r="7445" spans="8:10" x14ac:dyDescent="0.3">
      <c r="H7445" s="3"/>
      <c r="I7445" s="3"/>
      <c r="J7445" s="3"/>
    </row>
    <row r="7446" spans="8:10" x14ac:dyDescent="0.3">
      <c r="H7446" s="3"/>
      <c r="I7446" s="3"/>
      <c r="J7446" s="3"/>
    </row>
    <row r="7447" spans="8:10" x14ac:dyDescent="0.3">
      <c r="H7447" s="3"/>
      <c r="I7447" s="3"/>
      <c r="J7447" s="3"/>
    </row>
    <row r="7448" spans="8:10" x14ac:dyDescent="0.3">
      <c r="H7448" s="3"/>
      <c r="I7448" s="3"/>
      <c r="J7448" s="3"/>
    </row>
    <row r="7449" spans="8:10" x14ac:dyDescent="0.3">
      <c r="H7449" s="3"/>
      <c r="I7449" s="3"/>
      <c r="J7449" s="3"/>
    </row>
    <row r="7450" spans="8:10" x14ac:dyDescent="0.3">
      <c r="H7450" s="3"/>
      <c r="I7450" s="3"/>
      <c r="J7450" s="3"/>
    </row>
    <row r="7451" spans="8:10" x14ac:dyDescent="0.3">
      <c r="H7451" s="3"/>
      <c r="I7451" s="3"/>
      <c r="J7451" s="3"/>
    </row>
    <row r="7452" spans="8:10" x14ac:dyDescent="0.3">
      <c r="H7452" s="3"/>
      <c r="I7452" s="3"/>
      <c r="J7452" s="3"/>
    </row>
    <row r="7453" spans="8:10" x14ac:dyDescent="0.3">
      <c r="H7453" s="3"/>
      <c r="I7453" s="3"/>
      <c r="J7453" s="3"/>
    </row>
    <row r="7454" spans="8:10" x14ac:dyDescent="0.3">
      <c r="H7454" s="3"/>
      <c r="I7454" s="3"/>
      <c r="J7454" s="3"/>
    </row>
    <row r="7455" spans="8:10" x14ac:dyDescent="0.3">
      <c r="H7455" s="3"/>
      <c r="I7455" s="3"/>
      <c r="J7455" s="3"/>
    </row>
    <row r="7456" spans="8:10" x14ac:dyDescent="0.3">
      <c r="H7456" s="3"/>
      <c r="I7456" s="3"/>
      <c r="J7456" s="3"/>
    </row>
    <row r="7457" spans="8:10" x14ac:dyDescent="0.3">
      <c r="H7457" s="3"/>
      <c r="I7457" s="3"/>
      <c r="J7457" s="3"/>
    </row>
    <row r="7458" spans="8:10" x14ac:dyDescent="0.3">
      <c r="H7458" s="3"/>
      <c r="I7458" s="3"/>
      <c r="J7458" s="3"/>
    </row>
    <row r="7459" spans="8:10" x14ac:dyDescent="0.3">
      <c r="H7459" s="3"/>
      <c r="I7459" s="3"/>
      <c r="J7459" s="3"/>
    </row>
    <row r="7460" spans="8:10" x14ac:dyDescent="0.3">
      <c r="H7460" s="3"/>
      <c r="I7460" s="3"/>
      <c r="J7460" s="3"/>
    </row>
    <row r="7461" spans="8:10" x14ac:dyDescent="0.3">
      <c r="H7461" s="3"/>
      <c r="I7461" s="3"/>
      <c r="J7461" s="3"/>
    </row>
    <row r="7462" spans="8:10" x14ac:dyDescent="0.3">
      <c r="H7462" s="3"/>
      <c r="I7462" s="3"/>
      <c r="J7462" s="3"/>
    </row>
    <row r="7463" spans="8:10" x14ac:dyDescent="0.3">
      <c r="H7463" s="3"/>
      <c r="I7463" s="3"/>
      <c r="J7463" s="3"/>
    </row>
    <row r="7464" spans="8:10" x14ac:dyDescent="0.3">
      <c r="H7464" s="3"/>
      <c r="I7464" s="3"/>
      <c r="J7464" s="3"/>
    </row>
    <row r="7465" spans="8:10" x14ac:dyDescent="0.3">
      <c r="H7465" s="3"/>
      <c r="I7465" s="3"/>
      <c r="J7465" s="3"/>
    </row>
    <row r="7466" spans="8:10" x14ac:dyDescent="0.3">
      <c r="H7466" s="3"/>
      <c r="I7466" s="3"/>
      <c r="J7466" s="3"/>
    </row>
    <row r="7467" spans="8:10" x14ac:dyDescent="0.3">
      <c r="H7467" s="3"/>
      <c r="I7467" s="3"/>
      <c r="J7467" s="3"/>
    </row>
    <row r="7468" spans="8:10" x14ac:dyDescent="0.3">
      <c r="H7468" s="3"/>
      <c r="I7468" s="3"/>
      <c r="J7468" s="3"/>
    </row>
    <row r="7469" spans="8:10" x14ac:dyDescent="0.3">
      <c r="H7469" s="3"/>
      <c r="I7469" s="3"/>
      <c r="J7469" s="3"/>
    </row>
    <row r="7470" spans="8:10" x14ac:dyDescent="0.3">
      <c r="H7470" s="3"/>
      <c r="I7470" s="3"/>
      <c r="J7470" s="3"/>
    </row>
    <row r="7471" spans="8:10" x14ac:dyDescent="0.3">
      <c r="H7471" s="3"/>
      <c r="I7471" s="3"/>
      <c r="J7471" s="3"/>
    </row>
    <row r="7472" spans="8:10" x14ac:dyDescent="0.3">
      <c r="H7472" s="3"/>
      <c r="I7472" s="3"/>
      <c r="J7472" s="3"/>
    </row>
    <row r="7473" spans="8:10" x14ac:dyDescent="0.3">
      <c r="H7473" s="3"/>
      <c r="I7473" s="3"/>
      <c r="J7473" s="3"/>
    </row>
    <row r="7474" spans="8:10" x14ac:dyDescent="0.3">
      <c r="H7474" s="3"/>
      <c r="I7474" s="3"/>
      <c r="J7474" s="3"/>
    </row>
    <row r="7475" spans="8:10" x14ac:dyDescent="0.3">
      <c r="H7475" s="3"/>
      <c r="I7475" s="3"/>
      <c r="J7475" s="3"/>
    </row>
    <row r="7476" spans="8:10" x14ac:dyDescent="0.3">
      <c r="H7476" s="3"/>
      <c r="I7476" s="3"/>
      <c r="J7476" s="3"/>
    </row>
    <row r="7477" spans="8:10" x14ac:dyDescent="0.3">
      <c r="H7477" s="3"/>
      <c r="I7477" s="3"/>
      <c r="J7477" s="3"/>
    </row>
    <row r="7478" spans="8:10" x14ac:dyDescent="0.3">
      <c r="H7478" s="3"/>
      <c r="I7478" s="3"/>
      <c r="J7478" s="3"/>
    </row>
    <row r="7479" spans="8:10" x14ac:dyDescent="0.3">
      <c r="H7479" s="3"/>
      <c r="I7479" s="3"/>
      <c r="J7479" s="3"/>
    </row>
    <row r="7480" spans="8:10" x14ac:dyDescent="0.3">
      <c r="H7480" s="3"/>
      <c r="I7480" s="3"/>
      <c r="J7480" s="3"/>
    </row>
    <row r="7481" spans="8:10" x14ac:dyDescent="0.3">
      <c r="H7481" s="3"/>
      <c r="I7481" s="3"/>
      <c r="J7481" s="3"/>
    </row>
    <row r="7482" spans="8:10" x14ac:dyDescent="0.3">
      <c r="H7482" s="3"/>
      <c r="I7482" s="3"/>
      <c r="J7482" s="3"/>
    </row>
    <row r="7483" spans="8:10" x14ac:dyDescent="0.3">
      <c r="H7483" s="3"/>
      <c r="I7483" s="3"/>
      <c r="J7483" s="3"/>
    </row>
    <row r="7484" spans="8:10" x14ac:dyDescent="0.3">
      <c r="H7484" s="3"/>
      <c r="I7484" s="3"/>
      <c r="J7484" s="3"/>
    </row>
    <row r="7485" spans="8:10" x14ac:dyDescent="0.3">
      <c r="H7485" s="3"/>
      <c r="I7485" s="3"/>
      <c r="J7485" s="3"/>
    </row>
    <row r="7486" spans="8:10" x14ac:dyDescent="0.3">
      <c r="H7486" s="3"/>
      <c r="I7486" s="3"/>
      <c r="J7486" s="3"/>
    </row>
    <row r="7487" spans="8:10" x14ac:dyDescent="0.3">
      <c r="H7487" s="3"/>
      <c r="I7487" s="3"/>
      <c r="J7487" s="3"/>
    </row>
    <row r="7488" spans="8:10" x14ac:dyDescent="0.3">
      <c r="H7488" s="3"/>
      <c r="I7488" s="3"/>
      <c r="J7488" s="3"/>
    </row>
    <row r="7489" spans="8:10" x14ac:dyDescent="0.3">
      <c r="H7489" s="3"/>
      <c r="I7489" s="3"/>
      <c r="J7489" s="3"/>
    </row>
    <row r="7490" spans="8:10" x14ac:dyDescent="0.3">
      <c r="H7490" s="3"/>
      <c r="I7490" s="3"/>
      <c r="J7490" s="3"/>
    </row>
    <row r="7491" spans="8:10" x14ac:dyDescent="0.3">
      <c r="H7491" s="3"/>
      <c r="I7491" s="3"/>
      <c r="J7491" s="3"/>
    </row>
    <row r="7492" spans="8:10" x14ac:dyDescent="0.3">
      <c r="H7492" s="3"/>
      <c r="I7492" s="3"/>
      <c r="J7492" s="3"/>
    </row>
    <row r="7493" spans="8:10" x14ac:dyDescent="0.3">
      <c r="H7493" s="3"/>
      <c r="I7493" s="3"/>
      <c r="J7493" s="3"/>
    </row>
    <row r="7494" spans="8:10" x14ac:dyDescent="0.3">
      <c r="H7494" s="3"/>
      <c r="I7494" s="3"/>
      <c r="J7494" s="3"/>
    </row>
    <row r="7495" spans="8:10" x14ac:dyDescent="0.3">
      <c r="H7495" s="3"/>
      <c r="I7495" s="3"/>
      <c r="J7495" s="3"/>
    </row>
    <row r="7496" spans="8:10" x14ac:dyDescent="0.3">
      <c r="H7496" s="3"/>
      <c r="I7496" s="3"/>
      <c r="J7496" s="3"/>
    </row>
    <row r="7497" spans="8:10" x14ac:dyDescent="0.3">
      <c r="H7497" s="3"/>
      <c r="I7497" s="3"/>
      <c r="J7497" s="3"/>
    </row>
    <row r="7498" spans="8:10" x14ac:dyDescent="0.3">
      <c r="H7498" s="3"/>
      <c r="I7498" s="3"/>
      <c r="J7498" s="3"/>
    </row>
    <row r="7499" spans="8:10" x14ac:dyDescent="0.3">
      <c r="H7499" s="3"/>
      <c r="I7499" s="3"/>
      <c r="J7499" s="3"/>
    </row>
    <row r="7500" spans="8:10" x14ac:dyDescent="0.3">
      <c r="H7500" s="3"/>
      <c r="I7500" s="3"/>
      <c r="J7500" s="3"/>
    </row>
    <row r="7501" spans="8:10" x14ac:dyDescent="0.3">
      <c r="H7501" s="3"/>
      <c r="I7501" s="3"/>
      <c r="J7501" s="3"/>
    </row>
    <row r="7502" spans="8:10" x14ac:dyDescent="0.3">
      <c r="H7502" s="3"/>
      <c r="I7502" s="3"/>
      <c r="J7502" s="3"/>
    </row>
    <row r="7503" spans="8:10" x14ac:dyDescent="0.3">
      <c r="H7503" s="3"/>
      <c r="I7503" s="3"/>
      <c r="J7503" s="3"/>
    </row>
    <row r="7504" spans="8:10" x14ac:dyDescent="0.3">
      <c r="H7504" s="3"/>
      <c r="I7504" s="3"/>
      <c r="J7504" s="3"/>
    </row>
    <row r="7505" spans="8:10" x14ac:dyDescent="0.3">
      <c r="H7505" s="3"/>
      <c r="I7505" s="3"/>
      <c r="J7505" s="3"/>
    </row>
    <row r="7506" spans="8:10" x14ac:dyDescent="0.3">
      <c r="H7506" s="3"/>
      <c r="I7506" s="3"/>
      <c r="J7506" s="3"/>
    </row>
    <row r="7507" spans="8:10" x14ac:dyDescent="0.3">
      <c r="H7507" s="3"/>
      <c r="I7507" s="3"/>
      <c r="J7507" s="3"/>
    </row>
    <row r="7508" spans="8:10" x14ac:dyDescent="0.3">
      <c r="H7508" s="3"/>
      <c r="I7508" s="3"/>
      <c r="J7508" s="3"/>
    </row>
    <row r="7509" spans="8:10" x14ac:dyDescent="0.3">
      <c r="H7509" s="3"/>
      <c r="I7509" s="3"/>
      <c r="J7509" s="3"/>
    </row>
    <row r="7510" spans="8:10" x14ac:dyDescent="0.3">
      <c r="H7510" s="3"/>
      <c r="I7510" s="3"/>
      <c r="J7510" s="3"/>
    </row>
    <row r="7511" spans="8:10" x14ac:dyDescent="0.3">
      <c r="H7511" s="3"/>
      <c r="I7511" s="3"/>
      <c r="J7511" s="3"/>
    </row>
    <row r="7512" spans="8:10" x14ac:dyDescent="0.3">
      <c r="H7512" s="3"/>
      <c r="I7512" s="3"/>
      <c r="J7512" s="3"/>
    </row>
    <row r="7513" spans="8:10" x14ac:dyDescent="0.3">
      <c r="H7513" s="3"/>
      <c r="I7513" s="3"/>
      <c r="J7513" s="3"/>
    </row>
    <row r="7514" spans="8:10" x14ac:dyDescent="0.3">
      <c r="H7514" s="3"/>
      <c r="I7514" s="3"/>
      <c r="J7514" s="3"/>
    </row>
    <row r="7515" spans="8:10" x14ac:dyDescent="0.3">
      <c r="H7515" s="3"/>
      <c r="I7515" s="3"/>
      <c r="J7515" s="3"/>
    </row>
    <row r="7516" spans="8:10" x14ac:dyDescent="0.3">
      <c r="H7516" s="3"/>
      <c r="I7516" s="3"/>
      <c r="J7516" s="3"/>
    </row>
    <row r="7517" spans="8:10" x14ac:dyDescent="0.3">
      <c r="H7517" s="3"/>
      <c r="I7517" s="3"/>
      <c r="J7517" s="3"/>
    </row>
    <row r="7518" spans="8:10" x14ac:dyDescent="0.3">
      <c r="H7518" s="3"/>
      <c r="I7518" s="3"/>
      <c r="J7518" s="3"/>
    </row>
    <row r="7519" spans="8:10" x14ac:dyDescent="0.3">
      <c r="H7519" s="3"/>
      <c r="I7519" s="3"/>
      <c r="J7519" s="3"/>
    </row>
    <row r="7520" spans="8:10" x14ac:dyDescent="0.3">
      <c r="H7520" s="3"/>
      <c r="I7520" s="3"/>
      <c r="J7520" s="3"/>
    </row>
    <row r="7521" spans="8:10" x14ac:dyDescent="0.3">
      <c r="H7521" s="3"/>
      <c r="I7521" s="3"/>
      <c r="J7521" s="3"/>
    </row>
    <row r="7522" spans="8:10" x14ac:dyDescent="0.3">
      <c r="H7522" s="3"/>
      <c r="I7522" s="3"/>
      <c r="J7522" s="3"/>
    </row>
    <row r="7523" spans="8:10" x14ac:dyDescent="0.3">
      <c r="H7523" s="3"/>
      <c r="I7523" s="3"/>
      <c r="J7523" s="3"/>
    </row>
    <row r="7524" spans="8:10" x14ac:dyDescent="0.3">
      <c r="H7524" s="3"/>
      <c r="I7524" s="3"/>
      <c r="J7524" s="3"/>
    </row>
    <row r="7525" spans="8:10" x14ac:dyDescent="0.3">
      <c r="H7525" s="3"/>
      <c r="I7525" s="3"/>
      <c r="J7525" s="3"/>
    </row>
    <row r="7526" spans="8:10" x14ac:dyDescent="0.3">
      <c r="H7526" s="3"/>
      <c r="I7526" s="3"/>
      <c r="J7526" s="3"/>
    </row>
    <row r="7527" spans="8:10" x14ac:dyDescent="0.3">
      <c r="H7527" s="3"/>
      <c r="I7527" s="3"/>
      <c r="J7527" s="3"/>
    </row>
    <row r="7528" spans="8:10" x14ac:dyDescent="0.3">
      <c r="H7528" s="3"/>
      <c r="I7528" s="3"/>
      <c r="J7528" s="3"/>
    </row>
    <row r="7529" spans="8:10" x14ac:dyDescent="0.3">
      <c r="H7529" s="3"/>
      <c r="I7529" s="3"/>
      <c r="J7529" s="3"/>
    </row>
    <row r="7530" spans="8:10" x14ac:dyDescent="0.3">
      <c r="H7530" s="3"/>
      <c r="I7530" s="3"/>
      <c r="J7530" s="3"/>
    </row>
    <row r="7531" spans="8:10" x14ac:dyDescent="0.3">
      <c r="H7531" s="3"/>
      <c r="I7531" s="3"/>
      <c r="J7531" s="3"/>
    </row>
    <row r="7532" spans="8:10" x14ac:dyDescent="0.3">
      <c r="H7532" s="3"/>
      <c r="I7532" s="3"/>
      <c r="J7532" s="3"/>
    </row>
    <row r="7533" spans="8:10" x14ac:dyDescent="0.3">
      <c r="H7533" s="3"/>
      <c r="I7533" s="3"/>
      <c r="J7533" s="3"/>
    </row>
    <row r="7534" spans="8:10" x14ac:dyDescent="0.3">
      <c r="H7534" s="3"/>
      <c r="I7534" s="3"/>
      <c r="J7534" s="3"/>
    </row>
    <row r="7535" spans="8:10" x14ac:dyDescent="0.3">
      <c r="H7535" s="3"/>
      <c r="I7535" s="3"/>
      <c r="J7535" s="3"/>
    </row>
    <row r="7536" spans="8:10" x14ac:dyDescent="0.3">
      <c r="H7536" s="3"/>
      <c r="I7536" s="3"/>
      <c r="J7536" s="3"/>
    </row>
    <row r="7537" spans="8:10" x14ac:dyDescent="0.3">
      <c r="H7537" s="3"/>
      <c r="I7537" s="3"/>
      <c r="J7537" s="3"/>
    </row>
    <row r="7538" spans="8:10" x14ac:dyDescent="0.3">
      <c r="H7538" s="3"/>
      <c r="I7538" s="3"/>
      <c r="J7538" s="3"/>
    </row>
    <row r="7539" spans="8:10" x14ac:dyDescent="0.3">
      <c r="H7539" s="3"/>
      <c r="I7539" s="3"/>
      <c r="J7539" s="3"/>
    </row>
    <row r="7540" spans="8:10" x14ac:dyDescent="0.3">
      <c r="H7540" s="3"/>
      <c r="I7540" s="3"/>
      <c r="J7540" s="3"/>
    </row>
    <row r="7541" spans="8:10" x14ac:dyDescent="0.3">
      <c r="H7541" s="3"/>
      <c r="I7541" s="3"/>
      <c r="J7541" s="3"/>
    </row>
    <row r="7542" spans="8:10" x14ac:dyDescent="0.3">
      <c r="H7542" s="3"/>
      <c r="I7542" s="3"/>
      <c r="J7542" s="3"/>
    </row>
    <row r="7543" spans="8:10" x14ac:dyDescent="0.3">
      <c r="H7543" s="3"/>
      <c r="I7543" s="3"/>
      <c r="J7543" s="3"/>
    </row>
    <row r="7544" spans="8:10" x14ac:dyDescent="0.3">
      <c r="H7544" s="3"/>
      <c r="I7544" s="3"/>
      <c r="J7544" s="3"/>
    </row>
    <row r="7545" spans="8:10" x14ac:dyDescent="0.3">
      <c r="H7545" s="3"/>
      <c r="I7545" s="3"/>
      <c r="J7545" s="3"/>
    </row>
    <row r="7546" spans="8:10" x14ac:dyDescent="0.3">
      <c r="H7546" s="3"/>
      <c r="I7546" s="3"/>
      <c r="J7546" s="3"/>
    </row>
    <row r="7547" spans="8:10" x14ac:dyDescent="0.3">
      <c r="H7547" s="3"/>
      <c r="I7547" s="3"/>
      <c r="J7547" s="3"/>
    </row>
    <row r="7548" spans="8:10" x14ac:dyDescent="0.3">
      <c r="H7548" s="3"/>
      <c r="I7548" s="3"/>
      <c r="J7548" s="3"/>
    </row>
    <row r="7549" spans="8:10" x14ac:dyDescent="0.3">
      <c r="H7549" s="3"/>
      <c r="I7549" s="3"/>
      <c r="J7549" s="3"/>
    </row>
    <row r="7550" spans="8:10" x14ac:dyDescent="0.3">
      <c r="H7550" s="3"/>
      <c r="I7550" s="3"/>
      <c r="J7550" s="3"/>
    </row>
    <row r="7551" spans="8:10" x14ac:dyDescent="0.3">
      <c r="H7551" s="3"/>
      <c r="I7551" s="3"/>
      <c r="J7551" s="3"/>
    </row>
    <row r="7552" spans="8:10" x14ac:dyDescent="0.3">
      <c r="H7552" s="3"/>
      <c r="I7552" s="3"/>
      <c r="J7552" s="3"/>
    </row>
    <row r="7553" spans="8:10" x14ac:dyDescent="0.3">
      <c r="H7553" s="3"/>
      <c r="I7553" s="3"/>
      <c r="J7553" s="3"/>
    </row>
    <row r="7554" spans="8:10" x14ac:dyDescent="0.3">
      <c r="H7554" s="3"/>
      <c r="I7554" s="3"/>
      <c r="J7554" s="3"/>
    </row>
    <row r="7555" spans="8:10" x14ac:dyDescent="0.3">
      <c r="H7555" s="3"/>
      <c r="I7555" s="3"/>
      <c r="J7555" s="3"/>
    </row>
    <row r="7556" spans="8:10" x14ac:dyDescent="0.3">
      <c r="H7556" s="3"/>
      <c r="I7556" s="3"/>
      <c r="J7556" s="3"/>
    </row>
    <row r="7557" spans="8:10" x14ac:dyDescent="0.3">
      <c r="H7557" s="3"/>
      <c r="I7557" s="3"/>
      <c r="J7557" s="3"/>
    </row>
    <row r="7558" spans="8:10" x14ac:dyDescent="0.3">
      <c r="H7558" s="3"/>
      <c r="I7558" s="3"/>
      <c r="J7558" s="3"/>
    </row>
    <row r="7559" spans="8:10" x14ac:dyDescent="0.3">
      <c r="H7559" s="3"/>
      <c r="I7559" s="3"/>
      <c r="J7559" s="3"/>
    </row>
    <row r="7560" spans="8:10" x14ac:dyDescent="0.3">
      <c r="H7560" s="3"/>
      <c r="I7560" s="3"/>
      <c r="J7560" s="3"/>
    </row>
    <row r="7561" spans="8:10" x14ac:dyDescent="0.3">
      <c r="H7561" s="3"/>
      <c r="I7561" s="3"/>
      <c r="J7561" s="3"/>
    </row>
    <row r="7562" spans="8:10" x14ac:dyDescent="0.3">
      <c r="H7562" s="3"/>
      <c r="I7562" s="3"/>
      <c r="J7562" s="3"/>
    </row>
    <row r="7563" spans="8:10" x14ac:dyDescent="0.3">
      <c r="H7563" s="3"/>
      <c r="I7563" s="3"/>
      <c r="J7563" s="3"/>
    </row>
    <row r="7564" spans="8:10" x14ac:dyDescent="0.3">
      <c r="H7564" s="3"/>
      <c r="I7564" s="3"/>
      <c r="J7564" s="3"/>
    </row>
    <row r="7565" spans="8:10" x14ac:dyDescent="0.3">
      <c r="H7565" s="3"/>
      <c r="I7565" s="3"/>
      <c r="J7565" s="3"/>
    </row>
    <row r="7566" spans="8:10" x14ac:dyDescent="0.3">
      <c r="H7566" s="3"/>
      <c r="I7566" s="3"/>
      <c r="J7566" s="3"/>
    </row>
    <row r="7567" spans="8:10" x14ac:dyDescent="0.3">
      <c r="H7567" s="3"/>
      <c r="I7567" s="3"/>
      <c r="J7567" s="3"/>
    </row>
    <row r="7568" spans="8:10" x14ac:dyDescent="0.3">
      <c r="H7568" s="3"/>
      <c r="I7568" s="3"/>
      <c r="J7568" s="3"/>
    </row>
    <row r="7569" spans="8:10" x14ac:dyDescent="0.3">
      <c r="H7569" s="3"/>
      <c r="I7569" s="3"/>
      <c r="J7569" s="3"/>
    </row>
    <row r="7570" spans="8:10" x14ac:dyDescent="0.3">
      <c r="H7570" s="3"/>
      <c r="I7570" s="3"/>
      <c r="J7570" s="3"/>
    </row>
    <row r="7571" spans="8:10" x14ac:dyDescent="0.3">
      <c r="H7571" s="3"/>
      <c r="I7571" s="3"/>
      <c r="J7571" s="3"/>
    </row>
    <row r="7572" spans="8:10" x14ac:dyDescent="0.3">
      <c r="H7572" s="3"/>
      <c r="I7572" s="3"/>
      <c r="J7572" s="3"/>
    </row>
    <row r="7573" spans="8:10" x14ac:dyDescent="0.3">
      <c r="H7573" s="3"/>
      <c r="I7573" s="3"/>
      <c r="J7573" s="3"/>
    </row>
    <row r="7574" spans="8:10" x14ac:dyDescent="0.3">
      <c r="H7574" s="3"/>
      <c r="I7574" s="3"/>
      <c r="J7574" s="3"/>
    </row>
    <row r="7575" spans="8:10" x14ac:dyDescent="0.3">
      <c r="H7575" s="3"/>
      <c r="I7575" s="3"/>
      <c r="J7575" s="3"/>
    </row>
    <row r="7576" spans="8:10" x14ac:dyDescent="0.3">
      <c r="H7576" s="3"/>
      <c r="I7576" s="3"/>
      <c r="J7576" s="3"/>
    </row>
    <row r="7577" spans="8:10" x14ac:dyDescent="0.3">
      <c r="H7577" s="3"/>
      <c r="I7577" s="3"/>
      <c r="J7577" s="3"/>
    </row>
    <row r="7578" spans="8:10" x14ac:dyDescent="0.3">
      <c r="H7578" s="3"/>
      <c r="I7578" s="3"/>
      <c r="J7578" s="3"/>
    </row>
    <row r="7579" spans="8:10" x14ac:dyDescent="0.3">
      <c r="H7579" s="3"/>
      <c r="I7579" s="3"/>
      <c r="J7579" s="3"/>
    </row>
    <row r="7580" spans="8:10" x14ac:dyDescent="0.3">
      <c r="H7580" s="3"/>
      <c r="I7580" s="3"/>
      <c r="J7580" s="3"/>
    </row>
    <row r="7581" spans="8:10" x14ac:dyDescent="0.3">
      <c r="H7581" s="3"/>
      <c r="I7581" s="3"/>
      <c r="J7581" s="3"/>
    </row>
    <row r="7582" spans="8:10" x14ac:dyDescent="0.3">
      <c r="H7582" s="3"/>
      <c r="I7582" s="3"/>
      <c r="J7582" s="3"/>
    </row>
    <row r="7583" spans="8:10" x14ac:dyDescent="0.3">
      <c r="H7583" s="3"/>
      <c r="I7583" s="3"/>
      <c r="J7583" s="3"/>
    </row>
    <row r="7584" spans="8:10" x14ac:dyDescent="0.3">
      <c r="H7584" s="3"/>
      <c r="I7584" s="3"/>
      <c r="J7584" s="3"/>
    </row>
    <row r="7585" spans="8:10" x14ac:dyDescent="0.3">
      <c r="H7585" s="3"/>
      <c r="I7585" s="3"/>
      <c r="J7585" s="3"/>
    </row>
    <row r="7586" spans="8:10" x14ac:dyDescent="0.3">
      <c r="H7586" s="3"/>
      <c r="I7586" s="3"/>
      <c r="J7586" s="3"/>
    </row>
    <row r="7587" spans="8:10" x14ac:dyDescent="0.3">
      <c r="H7587" s="3"/>
      <c r="I7587" s="3"/>
      <c r="J7587" s="3"/>
    </row>
    <row r="7588" spans="8:10" x14ac:dyDescent="0.3">
      <c r="H7588" s="3"/>
      <c r="I7588" s="3"/>
      <c r="J7588" s="3"/>
    </row>
    <row r="7589" spans="8:10" x14ac:dyDescent="0.3">
      <c r="H7589" s="3"/>
      <c r="I7589" s="3"/>
      <c r="J7589" s="3"/>
    </row>
    <row r="7590" spans="8:10" x14ac:dyDescent="0.3">
      <c r="H7590" s="3"/>
      <c r="I7590" s="3"/>
      <c r="J7590" s="3"/>
    </row>
    <row r="7591" spans="8:10" x14ac:dyDescent="0.3">
      <c r="H7591" s="3"/>
      <c r="I7591" s="3"/>
      <c r="J7591" s="3"/>
    </row>
    <row r="7592" spans="8:10" x14ac:dyDescent="0.3">
      <c r="H7592" s="3"/>
      <c r="I7592" s="3"/>
      <c r="J7592" s="3"/>
    </row>
    <row r="7593" spans="8:10" x14ac:dyDescent="0.3">
      <c r="H7593" s="3"/>
      <c r="I7593" s="3"/>
      <c r="J7593" s="3"/>
    </row>
    <row r="7594" spans="8:10" x14ac:dyDescent="0.3">
      <c r="H7594" s="3"/>
      <c r="I7594" s="3"/>
      <c r="J7594" s="3"/>
    </row>
    <row r="7595" spans="8:10" x14ac:dyDescent="0.3">
      <c r="H7595" s="3"/>
      <c r="I7595" s="3"/>
      <c r="J7595" s="3"/>
    </row>
    <row r="7596" spans="8:10" x14ac:dyDescent="0.3">
      <c r="H7596" s="3"/>
      <c r="I7596" s="3"/>
      <c r="J7596" s="3"/>
    </row>
    <row r="7597" spans="8:10" x14ac:dyDescent="0.3">
      <c r="H7597" s="3"/>
      <c r="I7597" s="3"/>
      <c r="J7597" s="3"/>
    </row>
    <row r="7598" spans="8:10" x14ac:dyDescent="0.3">
      <c r="H7598" s="3"/>
      <c r="I7598" s="3"/>
      <c r="J7598" s="3"/>
    </row>
    <row r="7599" spans="8:10" x14ac:dyDescent="0.3">
      <c r="H7599" s="3"/>
      <c r="I7599" s="3"/>
      <c r="J7599" s="3"/>
    </row>
    <row r="7600" spans="8:10" x14ac:dyDescent="0.3">
      <c r="H7600" s="3"/>
      <c r="I7600" s="3"/>
      <c r="J7600" s="3"/>
    </row>
    <row r="7601" spans="8:10" x14ac:dyDescent="0.3">
      <c r="H7601" s="3"/>
      <c r="I7601" s="3"/>
      <c r="J7601" s="3"/>
    </row>
    <row r="7602" spans="8:10" x14ac:dyDescent="0.3">
      <c r="H7602" s="3"/>
      <c r="I7602" s="3"/>
      <c r="J7602" s="3"/>
    </row>
    <row r="7603" spans="8:10" x14ac:dyDescent="0.3">
      <c r="H7603" s="3"/>
      <c r="I7603" s="3"/>
      <c r="J7603" s="3"/>
    </row>
    <row r="7604" spans="8:10" x14ac:dyDescent="0.3">
      <c r="H7604" s="3"/>
      <c r="I7604" s="3"/>
      <c r="J7604" s="3"/>
    </row>
    <row r="7605" spans="8:10" x14ac:dyDescent="0.3">
      <c r="H7605" s="3"/>
      <c r="I7605" s="3"/>
      <c r="J7605" s="3"/>
    </row>
    <row r="7606" spans="8:10" x14ac:dyDescent="0.3">
      <c r="H7606" s="3"/>
      <c r="I7606" s="3"/>
      <c r="J7606" s="3"/>
    </row>
    <row r="7607" spans="8:10" x14ac:dyDescent="0.3">
      <c r="H7607" s="3"/>
      <c r="I7607" s="3"/>
      <c r="J7607" s="3"/>
    </row>
    <row r="7608" spans="8:10" x14ac:dyDescent="0.3">
      <c r="H7608" s="3"/>
      <c r="I7608" s="3"/>
      <c r="J7608" s="3"/>
    </row>
    <row r="7609" spans="8:10" x14ac:dyDescent="0.3">
      <c r="H7609" s="3"/>
      <c r="I7609" s="3"/>
      <c r="J7609" s="3"/>
    </row>
    <row r="7610" spans="8:10" x14ac:dyDescent="0.3">
      <c r="H7610" s="3"/>
      <c r="I7610" s="3"/>
      <c r="J7610" s="3"/>
    </row>
    <row r="7611" spans="8:10" x14ac:dyDescent="0.3">
      <c r="H7611" s="3"/>
      <c r="I7611" s="3"/>
      <c r="J7611" s="3"/>
    </row>
    <row r="7612" spans="8:10" x14ac:dyDescent="0.3">
      <c r="H7612" s="3"/>
      <c r="I7612" s="3"/>
      <c r="J7612" s="3"/>
    </row>
    <row r="7613" spans="8:10" x14ac:dyDescent="0.3">
      <c r="H7613" s="3"/>
      <c r="I7613" s="3"/>
      <c r="J7613" s="3"/>
    </row>
    <row r="7614" spans="8:10" x14ac:dyDescent="0.3">
      <c r="H7614" s="3"/>
      <c r="I7614" s="3"/>
      <c r="J7614" s="3"/>
    </row>
    <row r="7615" spans="8:10" x14ac:dyDescent="0.3">
      <c r="H7615" s="3"/>
      <c r="I7615" s="3"/>
      <c r="J7615" s="3"/>
    </row>
    <row r="7616" spans="8:10" x14ac:dyDescent="0.3">
      <c r="H7616" s="3"/>
      <c r="I7616" s="3"/>
      <c r="J7616" s="3"/>
    </row>
    <row r="7617" spans="8:10" x14ac:dyDescent="0.3">
      <c r="H7617" s="3"/>
      <c r="I7617" s="3"/>
      <c r="J7617" s="3"/>
    </row>
    <row r="7618" spans="8:10" x14ac:dyDescent="0.3">
      <c r="H7618" s="3"/>
      <c r="I7618" s="3"/>
      <c r="J7618" s="3"/>
    </row>
    <row r="7619" spans="8:10" x14ac:dyDescent="0.3">
      <c r="H7619" s="3"/>
      <c r="I7619" s="3"/>
      <c r="J7619" s="3"/>
    </row>
    <row r="7620" spans="8:10" x14ac:dyDescent="0.3">
      <c r="H7620" s="3"/>
      <c r="I7620" s="3"/>
      <c r="J7620" s="3"/>
    </row>
    <row r="7621" spans="8:10" x14ac:dyDescent="0.3">
      <c r="H7621" s="3"/>
      <c r="I7621" s="3"/>
      <c r="J7621" s="3"/>
    </row>
    <row r="7622" spans="8:10" x14ac:dyDescent="0.3">
      <c r="H7622" s="3"/>
      <c r="I7622" s="3"/>
      <c r="J7622" s="3"/>
    </row>
    <row r="7623" spans="8:10" x14ac:dyDescent="0.3">
      <c r="H7623" s="3"/>
      <c r="I7623" s="3"/>
      <c r="J7623" s="3"/>
    </row>
    <row r="7624" spans="8:10" x14ac:dyDescent="0.3">
      <c r="H7624" s="3"/>
      <c r="I7624" s="3"/>
      <c r="J7624" s="3"/>
    </row>
    <row r="7625" spans="8:10" x14ac:dyDescent="0.3">
      <c r="H7625" s="3"/>
      <c r="I7625" s="3"/>
      <c r="J7625" s="3"/>
    </row>
    <row r="7626" spans="8:10" x14ac:dyDescent="0.3">
      <c r="H7626" s="3"/>
      <c r="I7626" s="3"/>
      <c r="J7626" s="3"/>
    </row>
    <row r="7627" spans="8:10" x14ac:dyDescent="0.3">
      <c r="H7627" s="3"/>
      <c r="I7627" s="3"/>
      <c r="J7627" s="3"/>
    </row>
    <row r="7628" spans="8:10" x14ac:dyDescent="0.3">
      <c r="H7628" s="3"/>
      <c r="I7628" s="3"/>
      <c r="J7628" s="3"/>
    </row>
    <row r="7629" spans="8:10" x14ac:dyDescent="0.3">
      <c r="H7629" s="3"/>
      <c r="I7629" s="3"/>
      <c r="J7629" s="3"/>
    </row>
    <row r="7630" spans="8:10" x14ac:dyDescent="0.3">
      <c r="H7630" s="3"/>
      <c r="I7630" s="3"/>
      <c r="J7630" s="3"/>
    </row>
    <row r="7631" spans="8:10" x14ac:dyDescent="0.3">
      <c r="H7631" s="3"/>
      <c r="I7631" s="3"/>
      <c r="J7631" s="3"/>
    </row>
    <row r="7632" spans="8:10" x14ac:dyDescent="0.3">
      <c r="H7632" s="3"/>
      <c r="I7632" s="3"/>
      <c r="J7632" s="3"/>
    </row>
    <row r="7633" spans="8:10" x14ac:dyDescent="0.3">
      <c r="H7633" s="3"/>
      <c r="I7633" s="3"/>
      <c r="J7633" s="3"/>
    </row>
    <row r="7634" spans="8:10" x14ac:dyDescent="0.3">
      <c r="H7634" s="3"/>
      <c r="I7634" s="3"/>
      <c r="J7634" s="3"/>
    </row>
    <row r="7635" spans="8:10" x14ac:dyDescent="0.3">
      <c r="H7635" s="3"/>
      <c r="I7635" s="3"/>
      <c r="J7635" s="3"/>
    </row>
    <row r="7636" spans="8:10" x14ac:dyDescent="0.3">
      <c r="H7636" s="3"/>
      <c r="I7636" s="3"/>
      <c r="J7636" s="3"/>
    </row>
    <row r="7637" spans="8:10" x14ac:dyDescent="0.3">
      <c r="H7637" s="3"/>
      <c r="I7637" s="3"/>
      <c r="J7637" s="3"/>
    </row>
    <row r="7638" spans="8:10" x14ac:dyDescent="0.3">
      <c r="H7638" s="3"/>
      <c r="I7638" s="3"/>
      <c r="J7638" s="3"/>
    </row>
    <row r="7639" spans="8:10" x14ac:dyDescent="0.3">
      <c r="H7639" s="3"/>
      <c r="I7639" s="3"/>
      <c r="J7639" s="3"/>
    </row>
    <row r="7640" spans="8:10" x14ac:dyDescent="0.3">
      <c r="H7640" s="3"/>
      <c r="I7640" s="3"/>
      <c r="J7640" s="3"/>
    </row>
    <row r="7641" spans="8:10" x14ac:dyDescent="0.3">
      <c r="H7641" s="3"/>
      <c r="I7641" s="3"/>
      <c r="J7641" s="3"/>
    </row>
    <row r="7642" spans="8:10" x14ac:dyDescent="0.3">
      <c r="H7642" s="3"/>
      <c r="I7642" s="3"/>
      <c r="J7642" s="3"/>
    </row>
    <row r="7643" spans="8:10" x14ac:dyDescent="0.3">
      <c r="H7643" s="3"/>
      <c r="I7643" s="3"/>
      <c r="J7643" s="3"/>
    </row>
    <row r="7644" spans="8:10" x14ac:dyDescent="0.3">
      <c r="H7644" s="3"/>
      <c r="I7644" s="3"/>
      <c r="J7644" s="3"/>
    </row>
    <row r="7645" spans="8:10" x14ac:dyDescent="0.3">
      <c r="H7645" s="3"/>
      <c r="I7645" s="3"/>
      <c r="J7645" s="3"/>
    </row>
    <row r="7646" spans="8:10" x14ac:dyDescent="0.3">
      <c r="H7646" s="3"/>
      <c r="I7646" s="3"/>
      <c r="J7646" s="3"/>
    </row>
    <row r="7647" spans="8:10" x14ac:dyDescent="0.3">
      <c r="H7647" s="3"/>
      <c r="I7647" s="3"/>
      <c r="J7647" s="3"/>
    </row>
    <row r="7648" spans="8:10" x14ac:dyDescent="0.3">
      <c r="H7648" s="3"/>
      <c r="I7648" s="3"/>
      <c r="J7648" s="3"/>
    </row>
    <row r="7649" spans="8:10" x14ac:dyDescent="0.3">
      <c r="H7649" s="3"/>
      <c r="I7649" s="3"/>
      <c r="J7649" s="3"/>
    </row>
    <row r="7650" spans="8:10" x14ac:dyDescent="0.3">
      <c r="H7650" s="3"/>
      <c r="I7650" s="3"/>
      <c r="J7650" s="3"/>
    </row>
    <row r="7651" spans="8:10" x14ac:dyDescent="0.3">
      <c r="H7651" s="3"/>
      <c r="I7651" s="3"/>
      <c r="J7651" s="3"/>
    </row>
    <row r="7652" spans="8:10" x14ac:dyDescent="0.3">
      <c r="H7652" s="3"/>
      <c r="I7652" s="3"/>
      <c r="J7652" s="3"/>
    </row>
    <row r="7653" spans="8:10" x14ac:dyDescent="0.3">
      <c r="H7653" s="3"/>
      <c r="I7653" s="3"/>
      <c r="J7653" s="3"/>
    </row>
    <row r="7654" spans="8:10" x14ac:dyDescent="0.3">
      <c r="H7654" s="3"/>
      <c r="I7654" s="3"/>
      <c r="J7654" s="3"/>
    </row>
    <row r="7655" spans="8:10" x14ac:dyDescent="0.3">
      <c r="H7655" s="3"/>
      <c r="I7655" s="3"/>
      <c r="J7655" s="3"/>
    </row>
    <row r="7656" spans="8:10" x14ac:dyDescent="0.3">
      <c r="H7656" s="3"/>
      <c r="I7656" s="3"/>
      <c r="J7656" s="3"/>
    </row>
    <row r="7657" spans="8:10" x14ac:dyDescent="0.3">
      <c r="H7657" s="3"/>
      <c r="I7657" s="3"/>
      <c r="J7657" s="3"/>
    </row>
    <row r="7658" spans="8:10" x14ac:dyDescent="0.3">
      <c r="H7658" s="3"/>
      <c r="I7658" s="3"/>
      <c r="J7658" s="3"/>
    </row>
    <row r="7659" spans="8:10" x14ac:dyDescent="0.3">
      <c r="H7659" s="3"/>
      <c r="I7659" s="3"/>
      <c r="J7659" s="3"/>
    </row>
    <row r="7660" spans="8:10" x14ac:dyDescent="0.3">
      <c r="H7660" s="3"/>
      <c r="I7660" s="3"/>
      <c r="J7660" s="3"/>
    </row>
    <row r="7661" spans="8:10" x14ac:dyDescent="0.3">
      <c r="H7661" s="3"/>
      <c r="I7661" s="3"/>
      <c r="J7661" s="3"/>
    </row>
    <row r="7662" spans="8:10" x14ac:dyDescent="0.3">
      <c r="H7662" s="3"/>
      <c r="I7662" s="3"/>
      <c r="J7662" s="3"/>
    </row>
    <row r="7663" spans="8:10" x14ac:dyDescent="0.3">
      <c r="H7663" s="3"/>
      <c r="I7663" s="3"/>
      <c r="J7663" s="3"/>
    </row>
    <row r="7664" spans="8:10" x14ac:dyDescent="0.3">
      <c r="H7664" s="3"/>
      <c r="I7664" s="3"/>
      <c r="J7664" s="3"/>
    </row>
    <row r="7665" spans="8:10" x14ac:dyDescent="0.3">
      <c r="H7665" s="3"/>
      <c r="I7665" s="3"/>
      <c r="J7665" s="3"/>
    </row>
    <row r="7666" spans="8:10" x14ac:dyDescent="0.3">
      <c r="H7666" s="3"/>
      <c r="I7666" s="3"/>
      <c r="J7666" s="3"/>
    </row>
    <row r="7667" spans="8:10" x14ac:dyDescent="0.3">
      <c r="H7667" s="3"/>
      <c r="I7667" s="3"/>
      <c r="J7667" s="3"/>
    </row>
    <row r="7668" spans="8:10" x14ac:dyDescent="0.3">
      <c r="H7668" s="3"/>
      <c r="I7668" s="3"/>
      <c r="J7668" s="3"/>
    </row>
    <row r="7669" spans="8:10" x14ac:dyDescent="0.3">
      <c r="H7669" s="3"/>
      <c r="I7669" s="3"/>
      <c r="J7669" s="3"/>
    </row>
    <row r="7670" spans="8:10" x14ac:dyDescent="0.3">
      <c r="H7670" s="3"/>
      <c r="I7670" s="3"/>
      <c r="J7670" s="3"/>
    </row>
    <row r="7671" spans="8:10" x14ac:dyDescent="0.3">
      <c r="H7671" s="3"/>
      <c r="I7671" s="3"/>
      <c r="J7671" s="3"/>
    </row>
    <row r="7672" spans="8:10" x14ac:dyDescent="0.3">
      <c r="H7672" s="3"/>
      <c r="I7672" s="3"/>
      <c r="J7672" s="3"/>
    </row>
    <row r="7673" spans="8:10" x14ac:dyDescent="0.3">
      <c r="H7673" s="3"/>
      <c r="I7673" s="3"/>
      <c r="J7673" s="3"/>
    </row>
    <row r="7674" spans="8:10" x14ac:dyDescent="0.3">
      <c r="H7674" s="3"/>
      <c r="I7674" s="3"/>
      <c r="J7674" s="3"/>
    </row>
    <row r="7675" spans="8:10" x14ac:dyDescent="0.3">
      <c r="H7675" s="3"/>
      <c r="I7675" s="3"/>
      <c r="J7675" s="3"/>
    </row>
    <row r="7676" spans="8:10" x14ac:dyDescent="0.3">
      <c r="H7676" s="3"/>
      <c r="I7676" s="3"/>
      <c r="J7676" s="3"/>
    </row>
    <row r="7677" spans="8:10" x14ac:dyDescent="0.3">
      <c r="H7677" s="3"/>
      <c r="I7677" s="3"/>
      <c r="J7677" s="3"/>
    </row>
    <row r="7678" spans="8:10" x14ac:dyDescent="0.3">
      <c r="H7678" s="3"/>
      <c r="I7678" s="3"/>
      <c r="J7678" s="3"/>
    </row>
    <row r="7679" spans="8:10" x14ac:dyDescent="0.3">
      <c r="H7679" s="3"/>
      <c r="I7679" s="3"/>
      <c r="J7679" s="3"/>
    </row>
    <row r="7680" spans="8:10" x14ac:dyDescent="0.3">
      <c r="H7680" s="3"/>
      <c r="I7680" s="3"/>
      <c r="J7680" s="3"/>
    </row>
    <row r="7681" spans="8:10" x14ac:dyDescent="0.3">
      <c r="H7681" s="3"/>
      <c r="I7681" s="3"/>
      <c r="J7681" s="3"/>
    </row>
    <row r="7682" spans="8:10" x14ac:dyDescent="0.3">
      <c r="H7682" s="3"/>
      <c r="I7682" s="3"/>
      <c r="J7682" s="3"/>
    </row>
    <row r="7683" spans="8:10" x14ac:dyDescent="0.3">
      <c r="H7683" s="3"/>
      <c r="I7683" s="3"/>
      <c r="J7683" s="3"/>
    </row>
    <row r="7684" spans="8:10" x14ac:dyDescent="0.3">
      <c r="H7684" s="3"/>
      <c r="I7684" s="3"/>
      <c r="J7684" s="3"/>
    </row>
    <row r="7685" spans="8:10" x14ac:dyDescent="0.3">
      <c r="H7685" s="3"/>
      <c r="I7685" s="3"/>
      <c r="J7685" s="3"/>
    </row>
    <row r="7686" spans="8:10" x14ac:dyDescent="0.3">
      <c r="H7686" s="3"/>
      <c r="I7686" s="3"/>
      <c r="J7686" s="3"/>
    </row>
    <row r="7687" spans="8:10" x14ac:dyDescent="0.3">
      <c r="H7687" s="3"/>
      <c r="I7687" s="3"/>
      <c r="J7687" s="3"/>
    </row>
    <row r="7688" spans="8:10" x14ac:dyDescent="0.3">
      <c r="H7688" s="3"/>
      <c r="I7688" s="3"/>
      <c r="J7688" s="3"/>
    </row>
    <row r="7689" spans="8:10" x14ac:dyDescent="0.3">
      <c r="H7689" s="3"/>
      <c r="I7689" s="3"/>
      <c r="J7689" s="3"/>
    </row>
    <row r="7690" spans="8:10" x14ac:dyDescent="0.3">
      <c r="H7690" s="3"/>
      <c r="I7690" s="3"/>
      <c r="J7690" s="3"/>
    </row>
    <row r="7691" spans="8:10" x14ac:dyDescent="0.3">
      <c r="H7691" s="3"/>
      <c r="I7691" s="3"/>
      <c r="J7691" s="3"/>
    </row>
    <row r="7692" spans="8:10" x14ac:dyDescent="0.3">
      <c r="H7692" s="3"/>
      <c r="I7692" s="3"/>
      <c r="J7692" s="3"/>
    </row>
    <row r="7693" spans="8:10" x14ac:dyDescent="0.3">
      <c r="H7693" s="3"/>
      <c r="I7693" s="3"/>
      <c r="J7693" s="3"/>
    </row>
    <row r="7694" spans="8:10" x14ac:dyDescent="0.3">
      <c r="H7694" s="3"/>
      <c r="I7694" s="3"/>
      <c r="J7694" s="3"/>
    </row>
    <row r="7695" spans="8:10" x14ac:dyDescent="0.3">
      <c r="H7695" s="3"/>
      <c r="I7695" s="3"/>
      <c r="J7695" s="3"/>
    </row>
    <row r="7696" spans="8:10" x14ac:dyDescent="0.3">
      <c r="H7696" s="3"/>
      <c r="I7696" s="3"/>
      <c r="J7696" s="3"/>
    </row>
    <row r="7697" spans="8:10" x14ac:dyDescent="0.3">
      <c r="H7697" s="3"/>
      <c r="I7697" s="3"/>
      <c r="J7697" s="3"/>
    </row>
    <row r="7698" spans="8:10" x14ac:dyDescent="0.3">
      <c r="H7698" s="3"/>
      <c r="I7698" s="3"/>
      <c r="J7698" s="3"/>
    </row>
    <row r="7699" spans="8:10" x14ac:dyDescent="0.3">
      <c r="H7699" s="3"/>
      <c r="I7699" s="3"/>
      <c r="J7699" s="3"/>
    </row>
    <row r="7700" spans="8:10" x14ac:dyDescent="0.3">
      <c r="H7700" s="3"/>
      <c r="I7700" s="3"/>
      <c r="J7700" s="3"/>
    </row>
    <row r="7701" spans="8:10" x14ac:dyDescent="0.3">
      <c r="H7701" s="3"/>
      <c r="I7701" s="3"/>
      <c r="J7701" s="3"/>
    </row>
    <row r="7702" spans="8:10" x14ac:dyDescent="0.3">
      <c r="H7702" s="3"/>
      <c r="I7702" s="3"/>
      <c r="J7702" s="3"/>
    </row>
    <row r="7703" spans="8:10" x14ac:dyDescent="0.3">
      <c r="H7703" s="3"/>
      <c r="I7703" s="3"/>
      <c r="J7703" s="3"/>
    </row>
    <row r="7704" spans="8:10" x14ac:dyDescent="0.3">
      <c r="H7704" s="3"/>
      <c r="I7704" s="3"/>
      <c r="J7704" s="3"/>
    </row>
    <row r="7705" spans="8:10" x14ac:dyDescent="0.3">
      <c r="H7705" s="3"/>
      <c r="I7705" s="3"/>
      <c r="J7705" s="3"/>
    </row>
    <row r="7706" spans="8:10" x14ac:dyDescent="0.3">
      <c r="H7706" s="3"/>
      <c r="I7706" s="3"/>
      <c r="J7706" s="3"/>
    </row>
    <row r="7707" spans="8:10" x14ac:dyDescent="0.3">
      <c r="H7707" s="3"/>
      <c r="I7707" s="3"/>
      <c r="J7707" s="3"/>
    </row>
    <row r="7708" spans="8:10" x14ac:dyDescent="0.3">
      <c r="H7708" s="3"/>
      <c r="I7708" s="3"/>
      <c r="J7708" s="3"/>
    </row>
    <row r="7709" spans="8:10" x14ac:dyDescent="0.3">
      <c r="H7709" s="3"/>
      <c r="I7709" s="3"/>
      <c r="J7709" s="3"/>
    </row>
    <row r="7710" spans="8:10" x14ac:dyDescent="0.3">
      <c r="H7710" s="3"/>
      <c r="I7710" s="3"/>
      <c r="J7710" s="3"/>
    </row>
    <row r="7711" spans="8:10" x14ac:dyDescent="0.3">
      <c r="H7711" s="3"/>
      <c r="I7711" s="3"/>
      <c r="J7711" s="3"/>
    </row>
    <row r="7712" spans="8:10" x14ac:dyDescent="0.3">
      <c r="H7712" s="3"/>
      <c r="I7712" s="3"/>
      <c r="J7712" s="3"/>
    </row>
    <row r="7713" spans="8:10" x14ac:dyDescent="0.3">
      <c r="H7713" s="3"/>
      <c r="I7713" s="3"/>
      <c r="J7713" s="3"/>
    </row>
    <row r="7714" spans="8:10" x14ac:dyDescent="0.3">
      <c r="H7714" s="3"/>
      <c r="I7714" s="3"/>
      <c r="J7714" s="3"/>
    </row>
    <row r="7715" spans="8:10" x14ac:dyDescent="0.3">
      <c r="H7715" s="3"/>
      <c r="I7715" s="3"/>
      <c r="J7715" s="3"/>
    </row>
    <row r="7716" spans="8:10" x14ac:dyDescent="0.3">
      <c r="H7716" s="3"/>
      <c r="I7716" s="3"/>
      <c r="J7716" s="3"/>
    </row>
    <row r="7717" spans="8:10" x14ac:dyDescent="0.3">
      <c r="H7717" s="3"/>
      <c r="I7717" s="3"/>
      <c r="J7717" s="3"/>
    </row>
    <row r="7718" spans="8:10" x14ac:dyDescent="0.3">
      <c r="H7718" s="3"/>
      <c r="I7718" s="3"/>
      <c r="J7718" s="3"/>
    </row>
    <row r="7719" spans="8:10" x14ac:dyDescent="0.3">
      <c r="H7719" s="3"/>
      <c r="I7719" s="3"/>
      <c r="J7719" s="3"/>
    </row>
    <row r="7720" spans="8:10" x14ac:dyDescent="0.3">
      <c r="H7720" s="3"/>
      <c r="I7720" s="3"/>
      <c r="J7720" s="3"/>
    </row>
    <row r="7721" spans="8:10" x14ac:dyDescent="0.3">
      <c r="H7721" s="3"/>
      <c r="I7721" s="3"/>
      <c r="J7721" s="3"/>
    </row>
    <row r="7722" spans="8:10" x14ac:dyDescent="0.3">
      <c r="H7722" s="3"/>
      <c r="I7722" s="3"/>
      <c r="J7722" s="3"/>
    </row>
    <row r="7723" spans="8:10" x14ac:dyDescent="0.3">
      <c r="H7723" s="3"/>
      <c r="I7723" s="3"/>
      <c r="J7723" s="3"/>
    </row>
    <row r="7724" spans="8:10" x14ac:dyDescent="0.3">
      <c r="H7724" s="3"/>
      <c r="I7724" s="3"/>
      <c r="J7724" s="3"/>
    </row>
    <row r="7725" spans="8:10" x14ac:dyDescent="0.3">
      <c r="H7725" s="3"/>
      <c r="I7725" s="3"/>
      <c r="J7725" s="3"/>
    </row>
    <row r="7726" spans="8:10" x14ac:dyDescent="0.3">
      <c r="H7726" s="3"/>
      <c r="I7726" s="3"/>
      <c r="J7726" s="3"/>
    </row>
    <row r="7727" spans="8:10" x14ac:dyDescent="0.3">
      <c r="H7727" s="3"/>
      <c r="I7727" s="3"/>
      <c r="J7727" s="3"/>
    </row>
    <row r="7728" spans="8:10" x14ac:dyDescent="0.3">
      <c r="H7728" s="3"/>
      <c r="I7728" s="3"/>
      <c r="J7728" s="3"/>
    </row>
    <row r="7729" spans="8:10" x14ac:dyDescent="0.3">
      <c r="H7729" s="3"/>
      <c r="I7729" s="3"/>
      <c r="J7729" s="3"/>
    </row>
    <row r="7730" spans="8:10" x14ac:dyDescent="0.3">
      <c r="H7730" s="3"/>
      <c r="I7730" s="3"/>
      <c r="J7730" s="3"/>
    </row>
    <row r="7731" spans="8:10" x14ac:dyDescent="0.3">
      <c r="H7731" s="3"/>
      <c r="I7731" s="3"/>
      <c r="J7731" s="3"/>
    </row>
    <row r="7732" spans="8:10" x14ac:dyDescent="0.3">
      <c r="H7732" s="3"/>
      <c r="I7732" s="3"/>
      <c r="J7732" s="3"/>
    </row>
    <row r="7733" spans="8:10" x14ac:dyDescent="0.3">
      <c r="H7733" s="3"/>
      <c r="I7733" s="3"/>
      <c r="J7733" s="3"/>
    </row>
    <row r="7734" spans="8:10" x14ac:dyDescent="0.3">
      <c r="H7734" s="3"/>
      <c r="I7734" s="3"/>
      <c r="J7734" s="3"/>
    </row>
    <row r="7735" spans="8:10" x14ac:dyDescent="0.3">
      <c r="H7735" s="3"/>
      <c r="I7735" s="3"/>
      <c r="J7735" s="3"/>
    </row>
    <row r="7736" spans="8:10" x14ac:dyDescent="0.3">
      <c r="H7736" s="3"/>
      <c r="I7736" s="3"/>
      <c r="J7736" s="3"/>
    </row>
    <row r="7737" spans="8:10" x14ac:dyDescent="0.3">
      <c r="H7737" s="3"/>
      <c r="I7737" s="3"/>
      <c r="J7737" s="3"/>
    </row>
    <row r="7738" spans="8:10" x14ac:dyDescent="0.3">
      <c r="H7738" s="3"/>
      <c r="I7738" s="3"/>
      <c r="J7738" s="3"/>
    </row>
    <row r="7739" spans="8:10" x14ac:dyDescent="0.3">
      <c r="H7739" s="3"/>
      <c r="I7739" s="3"/>
      <c r="J7739" s="3"/>
    </row>
    <row r="7740" spans="8:10" x14ac:dyDescent="0.3">
      <c r="H7740" s="3"/>
      <c r="I7740" s="3"/>
      <c r="J7740" s="3"/>
    </row>
    <row r="7741" spans="8:10" x14ac:dyDescent="0.3">
      <c r="H7741" s="3"/>
      <c r="I7741" s="3"/>
      <c r="J7741" s="3"/>
    </row>
    <row r="7742" spans="8:10" x14ac:dyDescent="0.3">
      <c r="H7742" s="3"/>
      <c r="I7742" s="3"/>
      <c r="J7742" s="3"/>
    </row>
    <row r="7743" spans="8:10" x14ac:dyDescent="0.3">
      <c r="H7743" s="3"/>
      <c r="I7743" s="3"/>
      <c r="J7743" s="3"/>
    </row>
    <row r="7744" spans="8:10" x14ac:dyDescent="0.3">
      <c r="H7744" s="3"/>
      <c r="I7744" s="3"/>
      <c r="J7744" s="3"/>
    </row>
    <row r="7745" spans="8:10" x14ac:dyDescent="0.3">
      <c r="H7745" s="3"/>
      <c r="I7745" s="3"/>
      <c r="J7745" s="3"/>
    </row>
    <row r="7746" spans="8:10" x14ac:dyDescent="0.3">
      <c r="H7746" s="3"/>
      <c r="I7746" s="3"/>
      <c r="J7746" s="3"/>
    </row>
    <row r="7747" spans="8:10" x14ac:dyDescent="0.3">
      <c r="H7747" s="3"/>
      <c r="I7747" s="3"/>
      <c r="J7747" s="3"/>
    </row>
    <row r="7748" spans="8:10" x14ac:dyDescent="0.3">
      <c r="H7748" s="3"/>
      <c r="I7748" s="3"/>
      <c r="J7748" s="3"/>
    </row>
    <row r="7749" spans="8:10" x14ac:dyDescent="0.3">
      <c r="H7749" s="3"/>
      <c r="I7749" s="3"/>
      <c r="J7749" s="3"/>
    </row>
    <row r="7750" spans="8:10" x14ac:dyDescent="0.3">
      <c r="H7750" s="3"/>
      <c r="I7750" s="3"/>
      <c r="J7750" s="3"/>
    </row>
    <row r="7751" spans="8:10" x14ac:dyDescent="0.3">
      <c r="H7751" s="3"/>
      <c r="I7751" s="3"/>
      <c r="J7751" s="3"/>
    </row>
    <row r="7752" spans="8:10" x14ac:dyDescent="0.3">
      <c r="H7752" s="3"/>
      <c r="I7752" s="3"/>
      <c r="J7752" s="3"/>
    </row>
    <row r="7753" spans="8:10" x14ac:dyDescent="0.3">
      <c r="H7753" s="3"/>
      <c r="I7753" s="3"/>
      <c r="J7753" s="3"/>
    </row>
    <row r="7754" spans="8:10" x14ac:dyDescent="0.3">
      <c r="H7754" s="3"/>
      <c r="I7754" s="3"/>
      <c r="J7754" s="3"/>
    </row>
    <row r="7755" spans="8:10" x14ac:dyDescent="0.3">
      <c r="H7755" s="3"/>
      <c r="I7755" s="3"/>
      <c r="J7755" s="3"/>
    </row>
    <row r="7756" spans="8:10" x14ac:dyDescent="0.3">
      <c r="H7756" s="3"/>
      <c r="I7756" s="3"/>
      <c r="J7756" s="3"/>
    </row>
    <row r="7757" spans="8:10" x14ac:dyDescent="0.3">
      <c r="H7757" s="3"/>
      <c r="I7757" s="3"/>
      <c r="J7757" s="3"/>
    </row>
    <row r="7758" spans="8:10" x14ac:dyDescent="0.3">
      <c r="H7758" s="3"/>
      <c r="I7758" s="3"/>
      <c r="J7758" s="3"/>
    </row>
    <row r="7759" spans="8:10" x14ac:dyDescent="0.3">
      <c r="H7759" s="3"/>
      <c r="I7759" s="3"/>
      <c r="J7759" s="3"/>
    </row>
    <row r="7760" spans="8:10" x14ac:dyDescent="0.3">
      <c r="H7760" s="3"/>
      <c r="I7760" s="3"/>
      <c r="J7760" s="3"/>
    </row>
    <row r="7761" spans="8:10" x14ac:dyDescent="0.3">
      <c r="H7761" s="3"/>
      <c r="I7761" s="3"/>
      <c r="J7761" s="3"/>
    </row>
    <row r="7762" spans="8:10" x14ac:dyDescent="0.3">
      <c r="H7762" s="3"/>
      <c r="I7762" s="3"/>
      <c r="J7762" s="3"/>
    </row>
    <row r="7763" spans="8:10" x14ac:dyDescent="0.3">
      <c r="H7763" s="3"/>
      <c r="I7763" s="3"/>
      <c r="J7763" s="3"/>
    </row>
    <row r="7764" spans="8:10" x14ac:dyDescent="0.3">
      <c r="H7764" s="3"/>
      <c r="I7764" s="3"/>
      <c r="J7764" s="3"/>
    </row>
    <row r="7765" spans="8:10" x14ac:dyDescent="0.3">
      <c r="H7765" s="3"/>
      <c r="I7765" s="3"/>
      <c r="J7765" s="3"/>
    </row>
    <row r="7766" spans="8:10" x14ac:dyDescent="0.3">
      <c r="H7766" s="3"/>
      <c r="I7766" s="3"/>
      <c r="J7766" s="3"/>
    </row>
    <row r="7767" spans="8:10" x14ac:dyDescent="0.3">
      <c r="H7767" s="3"/>
      <c r="I7767" s="3"/>
      <c r="J7767" s="3"/>
    </row>
    <row r="7768" spans="8:10" x14ac:dyDescent="0.3">
      <c r="H7768" s="3"/>
      <c r="I7768" s="3"/>
      <c r="J7768" s="3"/>
    </row>
    <row r="7769" spans="8:10" x14ac:dyDescent="0.3">
      <c r="H7769" s="3"/>
      <c r="I7769" s="3"/>
      <c r="J7769" s="3"/>
    </row>
    <row r="7770" spans="8:10" x14ac:dyDescent="0.3">
      <c r="H7770" s="3"/>
      <c r="I7770" s="3"/>
      <c r="J7770" s="3"/>
    </row>
    <row r="7771" spans="8:10" x14ac:dyDescent="0.3">
      <c r="H7771" s="3"/>
      <c r="I7771" s="3"/>
      <c r="J7771" s="3"/>
    </row>
    <row r="7772" spans="8:10" x14ac:dyDescent="0.3">
      <c r="H7772" s="3"/>
      <c r="I7772" s="3"/>
      <c r="J7772" s="3"/>
    </row>
    <row r="7773" spans="8:10" x14ac:dyDescent="0.3">
      <c r="H7773" s="3"/>
      <c r="I7773" s="3"/>
      <c r="J7773" s="3"/>
    </row>
    <row r="7774" spans="8:10" x14ac:dyDescent="0.3">
      <c r="H7774" s="3"/>
      <c r="I7774" s="3"/>
      <c r="J7774" s="3"/>
    </row>
    <row r="7775" spans="8:10" x14ac:dyDescent="0.3">
      <c r="H7775" s="3"/>
      <c r="I7775" s="3"/>
      <c r="J7775" s="3"/>
    </row>
    <row r="7776" spans="8:10" x14ac:dyDescent="0.3">
      <c r="H7776" s="3"/>
      <c r="I7776" s="3"/>
      <c r="J7776" s="3"/>
    </row>
    <row r="7777" spans="8:10" x14ac:dyDescent="0.3">
      <c r="H7777" s="3"/>
      <c r="I7777" s="3"/>
      <c r="J7777" s="3"/>
    </row>
    <row r="7778" spans="8:10" x14ac:dyDescent="0.3">
      <c r="H7778" s="3"/>
      <c r="I7778" s="3"/>
      <c r="J7778" s="3"/>
    </row>
    <row r="7779" spans="8:10" x14ac:dyDescent="0.3">
      <c r="H7779" s="3"/>
      <c r="I7779" s="3"/>
      <c r="J7779" s="3"/>
    </row>
    <row r="7780" spans="8:10" x14ac:dyDescent="0.3">
      <c r="H7780" s="3"/>
      <c r="I7780" s="3"/>
      <c r="J7780" s="3"/>
    </row>
    <row r="7781" spans="8:10" x14ac:dyDescent="0.3">
      <c r="H7781" s="3"/>
      <c r="I7781" s="3"/>
      <c r="J7781" s="3"/>
    </row>
    <row r="7782" spans="8:10" x14ac:dyDescent="0.3">
      <c r="H7782" s="3"/>
      <c r="I7782" s="3"/>
      <c r="J7782" s="3"/>
    </row>
    <row r="7783" spans="8:10" x14ac:dyDescent="0.3">
      <c r="H7783" s="3"/>
      <c r="I7783" s="3"/>
      <c r="J7783" s="3"/>
    </row>
    <row r="7784" spans="8:10" x14ac:dyDescent="0.3">
      <c r="H7784" s="3"/>
      <c r="I7784" s="3"/>
      <c r="J7784" s="3"/>
    </row>
    <row r="7785" spans="8:10" x14ac:dyDescent="0.3">
      <c r="H7785" s="3"/>
      <c r="I7785" s="3"/>
      <c r="J7785" s="3"/>
    </row>
    <row r="7786" spans="8:10" x14ac:dyDescent="0.3">
      <c r="H7786" s="3"/>
      <c r="I7786" s="3"/>
      <c r="J7786" s="3"/>
    </row>
    <row r="7787" spans="8:10" x14ac:dyDescent="0.3">
      <c r="H7787" s="3"/>
      <c r="I7787" s="3"/>
      <c r="J7787" s="3"/>
    </row>
    <row r="7788" spans="8:10" x14ac:dyDescent="0.3">
      <c r="H7788" s="3"/>
      <c r="I7788" s="3"/>
      <c r="J7788" s="3"/>
    </row>
    <row r="7789" spans="8:10" x14ac:dyDescent="0.3">
      <c r="H7789" s="3"/>
      <c r="I7789" s="3"/>
      <c r="J7789" s="3"/>
    </row>
    <row r="7790" spans="8:10" x14ac:dyDescent="0.3">
      <c r="H7790" s="3"/>
      <c r="I7790" s="3"/>
      <c r="J7790" s="3"/>
    </row>
    <row r="7791" spans="8:10" x14ac:dyDescent="0.3">
      <c r="H7791" s="3"/>
      <c r="I7791" s="3"/>
      <c r="J7791" s="3"/>
    </row>
    <row r="7792" spans="8:10" x14ac:dyDescent="0.3">
      <c r="H7792" s="3"/>
      <c r="I7792" s="3"/>
      <c r="J7792" s="3"/>
    </row>
    <row r="7793" spans="8:10" x14ac:dyDescent="0.3">
      <c r="H7793" s="3"/>
      <c r="I7793" s="3"/>
      <c r="J7793" s="3"/>
    </row>
    <row r="7794" spans="8:10" x14ac:dyDescent="0.3">
      <c r="H7794" s="3"/>
      <c r="I7794" s="3"/>
      <c r="J7794" s="3"/>
    </row>
    <row r="7795" spans="8:10" x14ac:dyDescent="0.3">
      <c r="H7795" s="3"/>
      <c r="I7795" s="3"/>
      <c r="J7795" s="3"/>
    </row>
    <row r="7796" spans="8:10" x14ac:dyDescent="0.3">
      <c r="H7796" s="3"/>
      <c r="I7796" s="3"/>
      <c r="J7796" s="3"/>
    </row>
    <row r="7797" spans="8:10" x14ac:dyDescent="0.3">
      <c r="H7797" s="3"/>
      <c r="I7797" s="3"/>
      <c r="J7797" s="3"/>
    </row>
    <row r="7798" spans="8:10" x14ac:dyDescent="0.3">
      <c r="H7798" s="3"/>
      <c r="I7798" s="3"/>
      <c r="J7798" s="3"/>
    </row>
    <row r="7799" spans="8:10" x14ac:dyDescent="0.3">
      <c r="H7799" s="3"/>
      <c r="I7799" s="3"/>
      <c r="J7799" s="3"/>
    </row>
    <row r="7800" spans="8:10" x14ac:dyDescent="0.3">
      <c r="H7800" s="3"/>
      <c r="I7800" s="3"/>
      <c r="J7800" s="3"/>
    </row>
    <row r="7801" spans="8:10" x14ac:dyDescent="0.3">
      <c r="H7801" s="3"/>
      <c r="I7801" s="3"/>
      <c r="J7801" s="3"/>
    </row>
    <row r="7802" spans="8:10" x14ac:dyDescent="0.3">
      <c r="H7802" s="3"/>
      <c r="I7802" s="3"/>
      <c r="J7802" s="3"/>
    </row>
    <row r="7803" spans="8:10" x14ac:dyDescent="0.3">
      <c r="H7803" s="3"/>
      <c r="I7803" s="3"/>
      <c r="J7803" s="3"/>
    </row>
    <row r="7804" spans="8:10" x14ac:dyDescent="0.3">
      <c r="H7804" s="3"/>
      <c r="I7804" s="3"/>
      <c r="J7804" s="3"/>
    </row>
    <row r="7805" spans="8:10" x14ac:dyDescent="0.3">
      <c r="H7805" s="3"/>
      <c r="I7805" s="3"/>
      <c r="J7805" s="3"/>
    </row>
    <row r="7806" spans="8:10" x14ac:dyDescent="0.3">
      <c r="H7806" s="3"/>
      <c r="I7806" s="3"/>
      <c r="J7806" s="3"/>
    </row>
    <row r="7807" spans="8:10" x14ac:dyDescent="0.3">
      <c r="H7807" s="3"/>
      <c r="I7807" s="3"/>
      <c r="J7807" s="3"/>
    </row>
    <row r="7808" spans="8:10" x14ac:dyDescent="0.3">
      <c r="H7808" s="3"/>
      <c r="I7808" s="3"/>
      <c r="J7808" s="3"/>
    </row>
    <row r="7809" spans="8:10" x14ac:dyDescent="0.3">
      <c r="H7809" s="3"/>
      <c r="I7809" s="3"/>
      <c r="J7809" s="3"/>
    </row>
    <row r="7810" spans="8:10" x14ac:dyDescent="0.3">
      <c r="H7810" s="3"/>
      <c r="I7810" s="3"/>
      <c r="J7810" s="3"/>
    </row>
    <row r="7811" spans="8:10" x14ac:dyDescent="0.3">
      <c r="H7811" s="3"/>
      <c r="I7811" s="3"/>
      <c r="J7811" s="3"/>
    </row>
    <row r="7812" spans="8:10" x14ac:dyDescent="0.3">
      <c r="H7812" s="3"/>
      <c r="I7812" s="3"/>
      <c r="J7812" s="3"/>
    </row>
    <row r="7813" spans="8:10" x14ac:dyDescent="0.3">
      <c r="H7813" s="3"/>
      <c r="I7813" s="3"/>
      <c r="J7813" s="3"/>
    </row>
    <row r="7814" spans="8:10" x14ac:dyDescent="0.3">
      <c r="H7814" s="3"/>
      <c r="I7814" s="3"/>
      <c r="J7814" s="3"/>
    </row>
    <row r="7815" spans="8:10" x14ac:dyDescent="0.3">
      <c r="H7815" s="3"/>
      <c r="I7815" s="3"/>
      <c r="J7815" s="3"/>
    </row>
    <row r="7816" spans="8:10" x14ac:dyDescent="0.3">
      <c r="H7816" s="3"/>
      <c r="I7816" s="3"/>
      <c r="J7816" s="3"/>
    </row>
    <row r="7817" spans="8:10" x14ac:dyDescent="0.3">
      <c r="H7817" s="3"/>
      <c r="I7817" s="3"/>
      <c r="J7817" s="3"/>
    </row>
    <row r="7818" spans="8:10" x14ac:dyDescent="0.3">
      <c r="H7818" s="3"/>
      <c r="I7818" s="3"/>
      <c r="J7818" s="3"/>
    </row>
    <row r="7819" spans="8:10" x14ac:dyDescent="0.3">
      <c r="H7819" s="3"/>
      <c r="I7819" s="3"/>
      <c r="J7819" s="3"/>
    </row>
    <row r="7820" spans="8:10" x14ac:dyDescent="0.3">
      <c r="H7820" s="3"/>
      <c r="I7820" s="3"/>
      <c r="J7820" s="3"/>
    </row>
    <row r="7821" spans="8:10" x14ac:dyDescent="0.3">
      <c r="H7821" s="3"/>
      <c r="I7821" s="3"/>
      <c r="J7821" s="3"/>
    </row>
    <row r="7822" spans="8:10" x14ac:dyDescent="0.3">
      <c r="H7822" s="3"/>
      <c r="I7822" s="3"/>
      <c r="J7822" s="3"/>
    </row>
    <row r="7823" spans="8:10" x14ac:dyDescent="0.3">
      <c r="H7823" s="3"/>
      <c r="I7823" s="3"/>
      <c r="J7823" s="3"/>
    </row>
    <row r="7824" spans="8:10" x14ac:dyDescent="0.3">
      <c r="H7824" s="3"/>
      <c r="I7824" s="3"/>
      <c r="J7824" s="3"/>
    </row>
    <row r="7825" spans="8:10" x14ac:dyDescent="0.3">
      <c r="H7825" s="3"/>
      <c r="I7825" s="3"/>
      <c r="J7825" s="3"/>
    </row>
    <row r="7826" spans="8:10" x14ac:dyDescent="0.3">
      <c r="H7826" s="3"/>
      <c r="I7826" s="3"/>
      <c r="J7826" s="3"/>
    </row>
    <row r="7827" spans="8:10" x14ac:dyDescent="0.3">
      <c r="H7827" s="3"/>
      <c r="I7827" s="3"/>
      <c r="J7827" s="3"/>
    </row>
    <row r="7828" spans="8:10" x14ac:dyDescent="0.3">
      <c r="H7828" s="3"/>
      <c r="I7828" s="3"/>
      <c r="J7828" s="3"/>
    </row>
    <row r="7829" spans="8:10" x14ac:dyDescent="0.3">
      <c r="H7829" s="3"/>
      <c r="I7829" s="3"/>
      <c r="J7829" s="3"/>
    </row>
    <row r="7830" spans="8:10" x14ac:dyDescent="0.3">
      <c r="H7830" s="3"/>
      <c r="I7830" s="3"/>
      <c r="J7830" s="3"/>
    </row>
    <row r="7831" spans="8:10" x14ac:dyDescent="0.3">
      <c r="H7831" s="3"/>
      <c r="I7831" s="3"/>
      <c r="J7831" s="3"/>
    </row>
    <row r="7832" spans="8:10" x14ac:dyDescent="0.3">
      <c r="H7832" s="3"/>
      <c r="I7832" s="3"/>
      <c r="J7832" s="3"/>
    </row>
    <row r="7833" spans="8:10" x14ac:dyDescent="0.3">
      <c r="H7833" s="3"/>
      <c r="I7833" s="3"/>
      <c r="J7833" s="3"/>
    </row>
    <row r="7834" spans="8:10" x14ac:dyDescent="0.3">
      <c r="H7834" s="3"/>
      <c r="I7834" s="3"/>
      <c r="J7834" s="3"/>
    </row>
    <row r="7835" spans="8:10" x14ac:dyDescent="0.3">
      <c r="H7835" s="3"/>
      <c r="I7835" s="3"/>
      <c r="J7835" s="3"/>
    </row>
    <row r="7836" spans="8:10" x14ac:dyDescent="0.3">
      <c r="H7836" s="3"/>
      <c r="I7836" s="3"/>
      <c r="J7836" s="3"/>
    </row>
    <row r="7837" spans="8:10" x14ac:dyDescent="0.3">
      <c r="H7837" s="3"/>
      <c r="I7837" s="3"/>
      <c r="J7837" s="3"/>
    </row>
    <row r="7838" spans="8:10" x14ac:dyDescent="0.3">
      <c r="H7838" s="3"/>
      <c r="I7838" s="3"/>
      <c r="J7838" s="3"/>
    </row>
    <row r="7839" spans="8:10" x14ac:dyDescent="0.3">
      <c r="H7839" s="3"/>
      <c r="I7839" s="3"/>
      <c r="J7839" s="3"/>
    </row>
    <row r="7840" spans="8:10" x14ac:dyDescent="0.3">
      <c r="H7840" s="3"/>
      <c r="I7840" s="3"/>
      <c r="J7840" s="3"/>
    </row>
    <row r="7841" spans="8:10" x14ac:dyDescent="0.3">
      <c r="H7841" s="3"/>
      <c r="I7841" s="3"/>
      <c r="J7841" s="3"/>
    </row>
    <row r="7842" spans="8:10" x14ac:dyDescent="0.3">
      <c r="H7842" s="3"/>
      <c r="I7842" s="3"/>
      <c r="J7842" s="3"/>
    </row>
    <row r="7843" spans="8:10" x14ac:dyDescent="0.3">
      <c r="H7843" s="3"/>
      <c r="I7843" s="3"/>
      <c r="J7843" s="3"/>
    </row>
    <row r="7844" spans="8:10" x14ac:dyDescent="0.3">
      <c r="H7844" s="3"/>
      <c r="I7844" s="3"/>
      <c r="J7844" s="3"/>
    </row>
    <row r="7845" spans="8:10" x14ac:dyDescent="0.3">
      <c r="H7845" s="3"/>
      <c r="I7845" s="3"/>
      <c r="J7845" s="3"/>
    </row>
    <row r="7846" spans="8:10" x14ac:dyDescent="0.3">
      <c r="H7846" s="3"/>
      <c r="I7846" s="3"/>
      <c r="J7846" s="3"/>
    </row>
    <row r="7847" spans="8:10" x14ac:dyDescent="0.3">
      <c r="H7847" s="3"/>
      <c r="I7847" s="3"/>
      <c r="J7847" s="3"/>
    </row>
    <row r="7848" spans="8:10" x14ac:dyDescent="0.3">
      <c r="H7848" s="3"/>
      <c r="I7848" s="3"/>
      <c r="J7848" s="3"/>
    </row>
    <row r="7849" spans="8:10" x14ac:dyDescent="0.3">
      <c r="H7849" s="3"/>
      <c r="I7849" s="3"/>
      <c r="J7849" s="3"/>
    </row>
    <row r="7850" spans="8:10" x14ac:dyDescent="0.3">
      <c r="H7850" s="3"/>
      <c r="I7850" s="3"/>
      <c r="J7850" s="3"/>
    </row>
    <row r="7851" spans="8:10" x14ac:dyDescent="0.3">
      <c r="H7851" s="3"/>
      <c r="I7851" s="3"/>
      <c r="J7851" s="3"/>
    </row>
    <row r="7852" spans="8:10" x14ac:dyDescent="0.3">
      <c r="H7852" s="3"/>
      <c r="I7852" s="3"/>
      <c r="J7852" s="3"/>
    </row>
    <row r="7853" spans="8:10" x14ac:dyDescent="0.3">
      <c r="H7853" s="3"/>
      <c r="I7853" s="3"/>
      <c r="J7853" s="3"/>
    </row>
    <row r="7854" spans="8:10" x14ac:dyDescent="0.3">
      <c r="H7854" s="3"/>
      <c r="I7854" s="3"/>
      <c r="J7854" s="3"/>
    </row>
    <row r="7855" spans="8:10" x14ac:dyDescent="0.3">
      <c r="H7855" s="3"/>
      <c r="I7855" s="3"/>
      <c r="J7855" s="3"/>
    </row>
    <row r="7856" spans="8:10" x14ac:dyDescent="0.3">
      <c r="H7856" s="3"/>
      <c r="I7856" s="3"/>
      <c r="J7856" s="3"/>
    </row>
    <row r="7857" spans="8:10" x14ac:dyDescent="0.3">
      <c r="H7857" s="3"/>
      <c r="I7857" s="3"/>
      <c r="J7857" s="3"/>
    </row>
    <row r="7858" spans="8:10" x14ac:dyDescent="0.3">
      <c r="H7858" s="3"/>
      <c r="I7858" s="3"/>
      <c r="J7858" s="3"/>
    </row>
    <row r="7859" spans="8:10" x14ac:dyDescent="0.3">
      <c r="H7859" s="3"/>
      <c r="I7859" s="3"/>
      <c r="J7859" s="3"/>
    </row>
    <row r="7860" spans="8:10" x14ac:dyDescent="0.3">
      <c r="H7860" s="3"/>
      <c r="I7860" s="3"/>
      <c r="J7860" s="3"/>
    </row>
    <row r="7861" spans="8:10" x14ac:dyDescent="0.3">
      <c r="H7861" s="3"/>
      <c r="I7861" s="3"/>
      <c r="J7861" s="3"/>
    </row>
    <row r="7862" spans="8:10" x14ac:dyDescent="0.3">
      <c r="H7862" s="3"/>
      <c r="I7862" s="3"/>
      <c r="J7862" s="3"/>
    </row>
    <row r="7863" spans="8:10" x14ac:dyDescent="0.3">
      <c r="H7863" s="3"/>
      <c r="I7863" s="3"/>
      <c r="J7863" s="3"/>
    </row>
    <row r="7864" spans="8:10" x14ac:dyDescent="0.3">
      <c r="H7864" s="3"/>
      <c r="I7864" s="3"/>
      <c r="J7864" s="3"/>
    </row>
    <row r="7865" spans="8:10" x14ac:dyDescent="0.3">
      <c r="H7865" s="3"/>
      <c r="I7865" s="3"/>
      <c r="J7865" s="3"/>
    </row>
    <row r="7866" spans="8:10" x14ac:dyDescent="0.3">
      <c r="H7866" s="3"/>
      <c r="I7866" s="3"/>
      <c r="J7866" s="3"/>
    </row>
    <row r="7867" spans="8:10" x14ac:dyDescent="0.3">
      <c r="H7867" s="3"/>
      <c r="I7867" s="3"/>
      <c r="J7867" s="3"/>
    </row>
    <row r="7868" spans="8:10" x14ac:dyDescent="0.3">
      <c r="H7868" s="3"/>
      <c r="I7868" s="3"/>
      <c r="J7868" s="3"/>
    </row>
    <row r="7869" spans="8:10" x14ac:dyDescent="0.3">
      <c r="H7869" s="3"/>
      <c r="I7869" s="3"/>
      <c r="J7869" s="3"/>
    </row>
    <row r="7870" spans="8:10" x14ac:dyDescent="0.3">
      <c r="H7870" s="3"/>
      <c r="I7870" s="3"/>
      <c r="J7870" s="3"/>
    </row>
    <row r="7871" spans="8:10" x14ac:dyDescent="0.3">
      <c r="H7871" s="3"/>
      <c r="I7871" s="3"/>
      <c r="J7871" s="3"/>
    </row>
    <row r="7872" spans="8:10" x14ac:dyDescent="0.3">
      <c r="H7872" s="3"/>
      <c r="I7872" s="3"/>
      <c r="J7872" s="3"/>
    </row>
    <row r="7873" spans="8:10" x14ac:dyDescent="0.3">
      <c r="H7873" s="3"/>
      <c r="I7873" s="3"/>
      <c r="J7873" s="3"/>
    </row>
    <row r="7874" spans="8:10" x14ac:dyDescent="0.3">
      <c r="H7874" s="3"/>
      <c r="I7874" s="3"/>
      <c r="J7874" s="3"/>
    </row>
    <row r="7875" spans="8:10" x14ac:dyDescent="0.3">
      <c r="H7875" s="3"/>
      <c r="I7875" s="3"/>
      <c r="J7875" s="3"/>
    </row>
    <row r="7876" spans="8:10" x14ac:dyDescent="0.3">
      <c r="H7876" s="3"/>
      <c r="I7876" s="3"/>
      <c r="J7876" s="3"/>
    </row>
    <row r="7877" spans="8:10" x14ac:dyDescent="0.3">
      <c r="H7877" s="3"/>
      <c r="I7877" s="3"/>
      <c r="J7877" s="3"/>
    </row>
    <row r="7878" spans="8:10" x14ac:dyDescent="0.3">
      <c r="H7878" s="3"/>
      <c r="I7878" s="3"/>
      <c r="J7878" s="3"/>
    </row>
    <row r="7879" spans="8:10" x14ac:dyDescent="0.3">
      <c r="H7879" s="3"/>
      <c r="I7879" s="3"/>
      <c r="J7879" s="3"/>
    </row>
    <row r="7880" spans="8:10" x14ac:dyDescent="0.3">
      <c r="H7880" s="3"/>
      <c r="I7880" s="3"/>
      <c r="J7880" s="3"/>
    </row>
    <row r="7881" spans="8:10" x14ac:dyDescent="0.3">
      <c r="H7881" s="3"/>
      <c r="I7881" s="3"/>
      <c r="J7881" s="3"/>
    </row>
    <row r="7882" spans="8:10" x14ac:dyDescent="0.3">
      <c r="H7882" s="3"/>
      <c r="I7882" s="3"/>
      <c r="J7882" s="3"/>
    </row>
    <row r="7883" spans="8:10" x14ac:dyDescent="0.3">
      <c r="H7883" s="3"/>
      <c r="I7883" s="3"/>
      <c r="J7883" s="3"/>
    </row>
    <row r="7884" spans="8:10" x14ac:dyDescent="0.3">
      <c r="H7884" s="3"/>
      <c r="I7884" s="3"/>
      <c r="J7884" s="3"/>
    </row>
    <row r="7885" spans="8:10" x14ac:dyDescent="0.3">
      <c r="H7885" s="3"/>
      <c r="I7885" s="3"/>
      <c r="J7885" s="3"/>
    </row>
    <row r="7886" spans="8:10" x14ac:dyDescent="0.3">
      <c r="H7886" s="3"/>
      <c r="I7886" s="3"/>
      <c r="J7886" s="3"/>
    </row>
    <row r="7887" spans="8:10" x14ac:dyDescent="0.3">
      <c r="H7887" s="3"/>
      <c r="I7887" s="3"/>
      <c r="J7887" s="3"/>
    </row>
    <row r="7888" spans="8:10" x14ac:dyDescent="0.3">
      <c r="H7888" s="3"/>
      <c r="I7888" s="3"/>
      <c r="J7888" s="3"/>
    </row>
    <row r="7889" spans="8:10" x14ac:dyDescent="0.3">
      <c r="H7889" s="3"/>
      <c r="I7889" s="3"/>
      <c r="J7889" s="3"/>
    </row>
    <row r="7890" spans="8:10" x14ac:dyDescent="0.3">
      <c r="H7890" s="3"/>
      <c r="I7890" s="3"/>
      <c r="J7890" s="3"/>
    </row>
    <row r="7891" spans="8:10" x14ac:dyDescent="0.3">
      <c r="H7891" s="3"/>
      <c r="I7891" s="3"/>
      <c r="J7891" s="3"/>
    </row>
    <row r="7892" spans="8:10" x14ac:dyDescent="0.3">
      <c r="H7892" s="3"/>
      <c r="I7892" s="3"/>
      <c r="J7892" s="3"/>
    </row>
    <row r="7893" spans="8:10" x14ac:dyDescent="0.3">
      <c r="H7893" s="3"/>
      <c r="I7893" s="3"/>
      <c r="J7893" s="3"/>
    </row>
    <row r="7894" spans="8:10" x14ac:dyDescent="0.3">
      <c r="H7894" s="3"/>
      <c r="I7894" s="3"/>
      <c r="J7894" s="3"/>
    </row>
    <row r="7895" spans="8:10" x14ac:dyDescent="0.3">
      <c r="H7895" s="3"/>
      <c r="I7895" s="3"/>
      <c r="J7895" s="3"/>
    </row>
    <row r="7896" spans="8:10" x14ac:dyDescent="0.3">
      <c r="H7896" s="3"/>
      <c r="I7896" s="3"/>
      <c r="J7896" s="3"/>
    </row>
    <row r="7897" spans="8:10" x14ac:dyDescent="0.3">
      <c r="H7897" s="3"/>
      <c r="I7897" s="3"/>
      <c r="J7897" s="3"/>
    </row>
    <row r="7898" spans="8:10" x14ac:dyDescent="0.3">
      <c r="H7898" s="3"/>
      <c r="I7898" s="3"/>
      <c r="J7898" s="3"/>
    </row>
    <row r="7899" spans="8:10" x14ac:dyDescent="0.3">
      <c r="H7899" s="3"/>
      <c r="I7899" s="3"/>
      <c r="J7899" s="3"/>
    </row>
    <row r="7900" spans="8:10" x14ac:dyDescent="0.3">
      <c r="H7900" s="3"/>
      <c r="I7900" s="3"/>
      <c r="J7900" s="3"/>
    </row>
    <row r="7901" spans="8:10" x14ac:dyDescent="0.3">
      <c r="H7901" s="3"/>
      <c r="I7901" s="3"/>
      <c r="J7901" s="3"/>
    </row>
    <row r="7902" spans="8:10" x14ac:dyDescent="0.3">
      <c r="H7902" s="3"/>
      <c r="I7902" s="3"/>
      <c r="J7902" s="3"/>
    </row>
    <row r="7903" spans="8:10" x14ac:dyDescent="0.3">
      <c r="H7903" s="3"/>
      <c r="I7903" s="3"/>
      <c r="J7903" s="3"/>
    </row>
    <row r="7904" spans="8:10" x14ac:dyDescent="0.3">
      <c r="H7904" s="3"/>
      <c r="I7904" s="3"/>
      <c r="J7904" s="3"/>
    </row>
    <row r="7905" spans="8:10" x14ac:dyDescent="0.3">
      <c r="H7905" s="3"/>
      <c r="I7905" s="3"/>
      <c r="J7905" s="3"/>
    </row>
    <row r="7906" spans="8:10" x14ac:dyDescent="0.3">
      <c r="H7906" s="3"/>
      <c r="I7906" s="3"/>
      <c r="J7906" s="3"/>
    </row>
    <row r="7907" spans="8:10" x14ac:dyDescent="0.3">
      <c r="H7907" s="3"/>
      <c r="I7907" s="3"/>
      <c r="J7907" s="3"/>
    </row>
    <row r="7908" spans="8:10" x14ac:dyDescent="0.3">
      <c r="H7908" s="3"/>
      <c r="I7908" s="3"/>
      <c r="J7908" s="3"/>
    </row>
    <row r="7909" spans="8:10" x14ac:dyDescent="0.3">
      <c r="H7909" s="3"/>
      <c r="I7909" s="3"/>
      <c r="J7909" s="3"/>
    </row>
    <row r="7910" spans="8:10" x14ac:dyDescent="0.3">
      <c r="H7910" s="3"/>
      <c r="I7910" s="3"/>
      <c r="J7910" s="3"/>
    </row>
    <row r="7911" spans="8:10" x14ac:dyDescent="0.3">
      <c r="H7911" s="3"/>
      <c r="I7911" s="3"/>
      <c r="J7911" s="3"/>
    </row>
    <row r="7912" spans="8:10" x14ac:dyDescent="0.3">
      <c r="H7912" s="3"/>
      <c r="I7912" s="3"/>
      <c r="J7912" s="3"/>
    </row>
    <row r="7913" spans="8:10" x14ac:dyDescent="0.3">
      <c r="H7913" s="3"/>
      <c r="I7913" s="3"/>
      <c r="J7913" s="3"/>
    </row>
    <row r="7914" spans="8:10" x14ac:dyDescent="0.3">
      <c r="H7914" s="3"/>
      <c r="I7914" s="3"/>
      <c r="J7914" s="3"/>
    </row>
    <row r="7915" spans="8:10" x14ac:dyDescent="0.3">
      <c r="H7915" s="3"/>
      <c r="I7915" s="3"/>
      <c r="J7915" s="3"/>
    </row>
    <row r="7916" spans="8:10" x14ac:dyDescent="0.3">
      <c r="H7916" s="3"/>
      <c r="I7916" s="3"/>
      <c r="J7916" s="3"/>
    </row>
    <row r="7917" spans="8:10" x14ac:dyDescent="0.3">
      <c r="H7917" s="3"/>
      <c r="I7917" s="3"/>
      <c r="J7917" s="3"/>
    </row>
    <row r="7918" spans="8:10" x14ac:dyDescent="0.3">
      <c r="H7918" s="3"/>
      <c r="I7918" s="3"/>
      <c r="J7918" s="3"/>
    </row>
    <row r="7919" spans="8:10" x14ac:dyDescent="0.3">
      <c r="H7919" s="3"/>
      <c r="I7919" s="3"/>
      <c r="J7919" s="3"/>
    </row>
    <row r="7920" spans="8:10" x14ac:dyDescent="0.3">
      <c r="H7920" s="3"/>
      <c r="I7920" s="3"/>
      <c r="J7920" s="3"/>
    </row>
    <row r="7921" spans="8:10" x14ac:dyDescent="0.3">
      <c r="H7921" s="3"/>
      <c r="I7921" s="3"/>
      <c r="J7921" s="3"/>
    </row>
    <row r="7922" spans="8:10" x14ac:dyDescent="0.3">
      <c r="H7922" s="3"/>
      <c r="I7922" s="3"/>
      <c r="J7922" s="3"/>
    </row>
    <row r="7923" spans="8:10" x14ac:dyDescent="0.3">
      <c r="H7923" s="3"/>
      <c r="I7923" s="3"/>
      <c r="J7923" s="3"/>
    </row>
    <row r="7924" spans="8:10" x14ac:dyDescent="0.3">
      <c r="H7924" s="3"/>
      <c r="I7924" s="3"/>
      <c r="J7924" s="3"/>
    </row>
    <row r="7925" spans="8:10" x14ac:dyDescent="0.3">
      <c r="H7925" s="3"/>
      <c r="I7925" s="3"/>
      <c r="J7925" s="3"/>
    </row>
    <row r="7926" spans="8:10" x14ac:dyDescent="0.3">
      <c r="H7926" s="3"/>
      <c r="I7926" s="3"/>
      <c r="J7926" s="3"/>
    </row>
    <row r="7927" spans="8:10" x14ac:dyDescent="0.3">
      <c r="H7927" s="3"/>
      <c r="I7927" s="3"/>
      <c r="J7927" s="3"/>
    </row>
    <row r="7928" spans="8:10" x14ac:dyDescent="0.3">
      <c r="H7928" s="3"/>
      <c r="I7928" s="3"/>
      <c r="J7928" s="3"/>
    </row>
    <row r="7929" spans="8:10" x14ac:dyDescent="0.3">
      <c r="H7929" s="3"/>
      <c r="I7929" s="3"/>
      <c r="J7929" s="3"/>
    </row>
    <row r="7930" spans="8:10" x14ac:dyDescent="0.3">
      <c r="H7930" s="3"/>
      <c r="I7930" s="3"/>
      <c r="J7930" s="3"/>
    </row>
    <row r="7931" spans="8:10" x14ac:dyDescent="0.3">
      <c r="H7931" s="3"/>
      <c r="I7931" s="3"/>
      <c r="J7931" s="3"/>
    </row>
    <row r="7932" spans="8:10" x14ac:dyDescent="0.3">
      <c r="H7932" s="3"/>
      <c r="I7932" s="3"/>
      <c r="J7932" s="3"/>
    </row>
    <row r="7933" spans="8:10" x14ac:dyDescent="0.3">
      <c r="H7933" s="3"/>
      <c r="I7933" s="3"/>
      <c r="J7933" s="3"/>
    </row>
    <row r="7934" spans="8:10" x14ac:dyDescent="0.3">
      <c r="H7934" s="3"/>
      <c r="I7934" s="3"/>
      <c r="J7934" s="3"/>
    </row>
    <row r="7935" spans="8:10" x14ac:dyDescent="0.3">
      <c r="H7935" s="3"/>
      <c r="I7935" s="3"/>
      <c r="J7935" s="3"/>
    </row>
    <row r="7936" spans="8:10" x14ac:dyDescent="0.3">
      <c r="H7936" s="3"/>
      <c r="I7936" s="3"/>
      <c r="J7936" s="3"/>
    </row>
    <row r="7937" spans="8:10" x14ac:dyDescent="0.3">
      <c r="H7937" s="3"/>
      <c r="I7937" s="3"/>
      <c r="J7937" s="3"/>
    </row>
    <row r="7938" spans="8:10" x14ac:dyDescent="0.3">
      <c r="H7938" s="3"/>
      <c r="I7938" s="3"/>
      <c r="J7938" s="3"/>
    </row>
    <row r="7939" spans="8:10" x14ac:dyDescent="0.3">
      <c r="H7939" s="3"/>
      <c r="I7939" s="3"/>
      <c r="J7939" s="3"/>
    </row>
    <row r="7940" spans="8:10" x14ac:dyDescent="0.3">
      <c r="H7940" s="3"/>
      <c r="I7940" s="3"/>
      <c r="J7940" s="3"/>
    </row>
    <row r="7941" spans="8:10" x14ac:dyDescent="0.3">
      <c r="H7941" s="3"/>
      <c r="I7941" s="3"/>
      <c r="J7941" s="3"/>
    </row>
    <row r="7942" spans="8:10" x14ac:dyDescent="0.3">
      <c r="H7942" s="3"/>
      <c r="I7942" s="3"/>
      <c r="J7942" s="3"/>
    </row>
    <row r="7943" spans="8:10" x14ac:dyDescent="0.3">
      <c r="H7943" s="3"/>
      <c r="I7943" s="3"/>
      <c r="J7943" s="3"/>
    </row>
    <row r="7944" spans="8:10" x14ac:dyDescent="0.3">
      <c r="H7944" s="3"/>
      <c r="I7944" s="3"/>
      <c r="J7944" s="3"/>
    </row>
    <row r="7945" spans="8:10" x14ac:dyDescent="0.3">
      <c r="H7945" s="3"/>
      <c r="I7945" s="3"/>
      <c r="J7945" s="3"/>
    </row>
    <row r="7946" spans="8:10" x14ac:dyDescent="0.3">
      <c r="H7946" s="3"/>
      <c r="I7946" s="3"/>
      <c r="J7946" s="3"/>
    </row>
    <row r="7947" spans="8:10" x14ac:dyDescent="0.3">
      <c r="H7947" s="3"/>
      <c r="I7947" s="3"/>
      <c r="J7947" s="3"/>
    </row>
    <row r="7948" spans="8:10" x14ac:dyDescent="0.3">
      <c r="H7948" s="3"/>
      <c r="I7948" s="3"/>
      <c r="J7948" s="3"/>
    </row>
    <row r="7949" spans="8:10" x14ac:dyDescent="0.3">
      <c r="H7949" s="3"/>
      <c r="I7949" s="3"/>
      <c r="J7949" s="3"/>
    </row>
    <row r="7950" spans="8:10" x14ac:dyDescent="0.3">
      <c r="H7950" s="3"/>
      <c r="I7950" s="3"/>
      <c r="J7950" s="3"/>
    </row>
    <row r="7951" spans="8:10" x14ac:dyDescent="0.3">
      <c r="H7951" s="3"/>
      <c r="I7951" s="3"/>
      <c r="J7951" s="3"/>
    </row>
    <row r="7952" spans="8:10" x14ac:dyDescent="0.3">
      <c r="H7952" s="3"/>
      <c r="I7952" s="3"/>
      <c r="J7952" s="3"/>
    </row>
    <row r="7953" spans="8:10" x14ac:dyDescent="0.3">
      <c r="H7953" s="3"/>
      <c r="I7953" s="3"/>
      <c r="J7953" s="3"/>
    </row>
    <row r="7954" spans="8:10" x14ac:dyDescent="0.3">
      <c r="H7954" s="3"/>
      <c r="I7954" s="3"/>
      <c r="J7954" s="3"/>
    </row>
    <row r="7955" spans="8:10" x14ac:dyDescent="0.3">
      <c r="H7955" s="3"/>
      <c r="I7955" s="3"/>
      <c r="J7955" s="3"/>
    </row>
    <row r="7956" spans="8:10" x14ac:dyDescent="0.3">
      <c r="H7956" s="3"/>
      <c r="I7956" s="3"/>
      <c r="J7956" s="3"/>
    </row>
    <row r="7957" spans="8:10" x14ac:dyDescent="0.3">
      <c r="H7957" s="3"/>
      <c r="I7957" s="3"/>
      <c r="J7957" s="3"/>
    </row>
    <row r="7958" spans="8:10" x14ac:dyDescent="0.3">
      <c r="H7958" s="3"/>
      <c r="I7958" s="3"/>
      <c r="J7958" s="3"/>
    </row>
    <row r="7959" spans="8:10" x14ac:dyDescent="0.3">
      <c r="H7959" s="3"/>
      <c r="I7959" s="3"/>
      <c r="J7959" s="3"/>
    </row>
    <row r="7960" spans="8:10" x14ac:dyDescent="0.3">
      <c r="H7960" s="3"/>
      <c r="I7960" s="3"/>
      <c r="J7960" s="3"/>
    </row>
    <row r="7961" spans="8:10" x14ac:dyDescent="0.3">
      <c r="H7961" s="3"/>
      <c r="I7961" s="3"/>
      <c r="J7961" s="3"/>
    </row>
    <row r="7962" spans="8:10" x14ac:dyDescent="0.3">
      <c r="H7962" s="3"/>
      <c r="I7962" s="3"/>
      <c r="J7962" s="3"/>
    </row>
    <row r="7963" spans="8:10" x14ac:dyDescent="0.3">
      <c r="H7963" s="3"/>
      <c r="I7963" s="3"/>
      <c r="J7963" s="3"/>
    </row>
    <row r="7964" spans="8:10" x14ac:dyDescent="0.3">
      <c r="H7964" s="3"/>
      <c r="I7964" s="3"/>
      <c r="J7964" s="3"/>
    </row>
    <row r="7965" spans="8:10" x14ac:dyDescent="0.3">
      <c r="H7965" s="3"/>
      <c r="I7965" s="3"/>
      <c r="J7965" s="3"/>
    </row>
    <row r="7966" spans="8:10" x14ac:dyDescent="0.3">
      <c r="H7966" s="3"/>
      <c r="I7966" s="3"/>
      <c r="J7966" s="3"/>
    </row>
    <row r="7967" spans="8:10" x14ac:dyDescent="0.3">
      <c r="H7967" s="3"/>
      <c r="I7967" s="3"/>
      <c r="J7967" s="3"/>
    </row>
    <row r="7968" spans="8:10" x14ac:dyDescent="0.3">
      <c r="H7968" s="3"/>
      <c r="I7968" s="3"/>
      <c r="J7968" s="3"/>
    </row>
    <row r="7969" spans="8:10" x14ac:dyDescent="0.3">
      <c r="H7969" s="3"/>
      <c r="I7969" s="3"/>
      <c r="J7969" s="3"/>
    </row>
    <row r="7970" spans="8:10" x14ac:dyDescent="0.3">
      <c r="H7970" s="3"/>
      <c r="I7970" s="3"/>
      <c r="J7970" s="3"/>
    </row>
    <row r="7971" spans="8:10" x14ac:dyDescent="0.3">
      <c r="H7971" s="3"/>
      <c r="I7971" s="3"/>
      <c r="J7971" s="3"/>
    </row>
    <row r="7972" spans="8:10" x14ac:dyDescent="0.3">
      <c r="H7972" s="3"/>
      <c r="I7972" s="3"/>
      <c r="J7972" s="3"/>
    </row>
    <row r="7973" spans="8:10" x14ac:dyDescent="0.3">
      <c r="H7973" s="3"/>
      <c r="I7973" s="3"/>
      <c r="J7973" s="3"/>
    </row>
    <row r="7974" spans="8:10" x14ac:dyDescent="0.3">
      <c r="H7974" s="3"/>
      <c r="I7974" s="3"/>
      <c r="J7974" s="3"/>
    </row>
    <row r="7975" spans="8:10" x14ac:dyDescent="0.3">
      <c r="H7975" s="3"/>
      <c r="I7975" s="3"/>
      <c r="J7975" s="3"/>
    </row>
    <row r="7976" spans="8:10" x14ac:dyDescent="0.3">
      <c r="H7976" s="3"/>
      <c r="I7976" s="3"/>
      <c r="J7976" s="3"/>
    </row>
    <row r="7977" spans="8:10" x14ac:dyDescent="0.3">
      <c r="H7977" s="3"/>
      <c r="I7977" s="3"/>
      <c r="J7977" s="3"/>
    </row>
    <row r="7978" spans="8:10" x14ac:dyDescent="0.3">
      <c r="H7978" s="3"/>
      <c r="I7978" s="3"/>
      <c r="J7978" s="3"/>
    </row>
    <row r="7979" spans="8:10" x14ac:dyDescent="0.3">
      <c r="H7979" s="3"/>
      <c r="I7979" s="3"/>
      <c r="J7979" s="3"/>
    </row>
    <row r="7980" spans="8:10" x14ac:dyDescent="0.3">
      <c r="H7980" s="3"/>
      <c r="I7980" s="3"/>
      <c r="J7980" s="3"/>
    </row>
    <row r="7981" spans="8:10" x14ac:dyDescent="0.3">
      <c r="H7981" s="3"/>
      <c r="I7981" s="3"/>
      <c r="J7981" s="3"/>
    </row>
    <row r="7982" spans="8:10" x14ac:dyDescent="0.3">
      <c r="H7982" s="3"/>
      <c r="I7982" s="3"/>
      <c r="J7982" s="3"/>
    </row>
    <row r="7983" spans="8:10" x14ac:dyDescent="0.3">
      <c r="H7983" s="3"/>
      <c r="I7983" s="3"/>
      <c r="J7983" s="3"/>
    </row>
    <row r="7984" spans="8:10" x14ac:dyDescent="0.3">
      <c r="H7984" s="3"/>
      <c r="I7984" s="3"/>
      <c r="J7984" s="3"/>
    </row>
    <row r="7985" spans="8:10" x14ac:dyDescent="0.3">
      <c r="H7985" s="3"/>
      <c r="I7985" s="3"/>
      <c r="J7985" s="3"/>
    </row>
    <row r="7986" spans="8:10" x14ac:dyDescent="0.3">
      <c r="H7986" s="3"/>
      <c r="I7986" s="3"/>
      <c r="J7986" s="3"/>
    </row>
    <row r="7987" spans="8:10" x14ac:dyDescent="0.3">
      <c r="H7987" s="3"/>
      <c r="I7987" s="3"/>
      <c r="J7987" s="3"/>
    </row>
    <row r="7988" spans="8:10" x14ac:dyDescent="0.3">
      <c r="H7988" s="3"/>
      <c r="I7988" s="3"/>
      <c r="J7988" s="3"/>
    </row>
    <row r="7989" spans="8:10" x14ac:dyDescent="0.3">
      <c r="H7989" s="3"/>
      <c r="I7989" s="3"/>
      <c r="J7989" s="3"/>
    </row>
    <row r="7990" spans="8:10" x14ac:dyDescent="0.3">
      <c r="H7990" s="3"/>
      <c r="I7990" s="3"/>
      <c r="J7990" s="3"/>
    </row>
    <row r="7991" spans="8:10" x14ac:dyDescent="0.3">
      <c r="H7991" s="3"/>
      <c r="I7991" s="3"/>
      <c r="J7991" s="3"/>
    </row>
    <row r="7992" spans="8:10" x14ac:dyDescent="0.3">
      <c r="H7992" s="3"/>
      <c r="I7992" s="3"/>
      <c r="J7992" s="3"/>
    </row>
    <row r="7993" spans="8:10" x14ac:dyDescent="0.3">
      <c r="H7993" s="3"/>
      <c r="I7993" s="3"/>
      <c r="J7993" s="3"/>
    </row>
    <row r="7994" spans="8:10" x14ac:dyDescent="0.3">
      <c r="H7994" s="3"/>
      <c r="I7994" s="3"/>
      <c r="J7994" s="3"/>
    </row>
    <row r="7995" spans="8:10" x14ac:dyDescent="0.3">
      <c r="H7995" s="3"/>
      <c r="I7995" s="3"/>
      <c r="J7995" s="3"/>
    </row>
    <row r="7996" spans="8:10" x14ac:dyDescent="0.3">
      <c r="H7996" s="3"/>
      <c r="I7996" s="3"/>
      <c r="J7996" s="3"/>
    </row>
    <row r="7997" spans="8:10" x14ac:dyDescent="0.3">
      <c r="H7997" s="3"/>
      <c r="I7997" s="3"/>
      <c r="J7997" s="3"/>
    </row>
    <row r="7998" spans="8:10" x14ac:dyDescent="0.3">
      <c r="H7998" s="3"/>
      <c r="I7998" s="3"/>
      <c r="J7998" s="3"/>
    </row>
    <row r="7999" spans="8:10" x14ac:dyDescent="0.3">
      <c r="H7999" s="3"/>
      <c r="I7999" s="3"/>
      <c r="J7999" s="3"/>
    </row>
    <row r="8000" spans="8:10" x14ac:dyDescent="0.3">
      <c r="H8000" s="3"/>
      <c r="I8000" s="3"/>
      <c r="J8000" s="3"/>
    </row>
    <row r="8001" spans="8:10" x14ac:dyDescent="0.3">
      <c r="H8001" s="3"/>
      <c r="I8001" s="3"/>
      <c r="J8001" s="3"/>
    </row>
    <row r="8002" spans="8:10" x14ac:dyDescent="0.3">
      <c r="H8002" s="3"/>
      <c r="I8002" s="3"/>
      <c r="J8002" s="3"/>
    </row>
    <row r="8003" spans="8:10" x14ac:dyDescent="0.3">
      <c r="H8003" s="3"/>
      <c r="I8003" s="3"/>
      <c r="J8003" s="3"/>
    </row>
    <row r="8004" spans="8:10" x14ac:dyDescent="0.3">
      <c r="H8004" s="3"/>
      <c r="I8004" s="3"/>
      <c r="J8004" s="3"/>
    </row>
    <row r="8005" spans="8:10" x14ac:dyDescent="0.3">
      <c r="H8005" s="3"/>
      <c r="I8005" s="3"/>
      <c r="J8005" s="3"/>
    </row>
    <row r="8006" spans="8:10" x14ac:dyDescent="0.3">
      <c r="H8006" s="3"/>
      <c r="I8006" s="3"/>
      <c r="J8006" s="3"/>
    </row>
    <row r="8007" spans="8:10" x14ac:dyDescent="0.3">
      <c r="H8007" s="3"/>
      <c r="I8007" s="3"/>
      <c r="J8007" s="3"/>
    </row>
    <row r="8008" spans="8:10" x14ac:dyDescent="0.3">
      <c r="H8008" s="3"/>
      <c r="I8008" s="3"/>
      <c r="J8008" s="3"/>
    </row>
    <row r="8009" spans="8:10" x14ac:dyDescent="0.3">
      <c r="H8009" s="3"/>
      <c r="I8009" s="3"/>
      <c r="J8009" s="3"/>
    </row>
    <row r="8010" spans="8:10" x14ac:dyDescent="0.3">
      <c r="H8010" s="3"/>
      <c r="I8010" s="3"/>
      <c r="J8010" s="3"/>
    </row>
    <row r="8011" spans="8:10" x14ac:dyDescent="0.3">
      <c r="H8011" s="3"/>
      <c r="I8011" s="3"/>
      <c r="J8011" s="3"/>
    </row>
    <row r="8012" spans="8:10" x14ac:dyDescent="0.3">
      <c r="H8012" s="3"/>
      <c r="I8012" s="3"/>
      <c r="J8012" s="3"/>
    </row>
    <row r="8013" spans="8:10" x14ac:dyDescent="0.3">
      <c r="H8013" s="3"/>
      <c r="I8013" s="3"/>
      <c r="J8013" s="3"/>
    </row>
    <row r="8014" spans="8:10" x14ac:dyDescent="0.3">
      <c r="H8014" s="3"/>
      <c r="I8014" s="3"/>
      <c r="J8014" s="3"/>
    </row>
    <row r="8015" spans="8:10" x14ac:dyDescent="0.3">
      <c r="H8015" s="3"/>
      <c r="I8015" s="3"/>
      <c r="J8015" s="3"/>
    </row>
    <row r="8016" spans="8:10" x14ac:dyDescent="0.3">
      <c r="H8016" s="3"/>
      <c r="I8016" s="3"/>
      <c r="J8016" s="3"/>
    </row>
    <row r="8017" spans="8:10" x14ac:dyDescent="0.3">
      <c r="H8017" s="3"/>
      <c r="I8017" s="3"/>
      <c r="J8017" s="3"/>
    </row>
    <row r="8018" spans="8:10" x14ac:dyDescent="0.3">
      <c r="H8018" s="3"/>
      <c r="I8018" s="3"/>
      <c r="J8018" s="3"/>
    </row>
    <row r="8019" spans="8:10" x14ac:dyDescent="0.3">
      <c r="H8019" s="3"/>
      <c r="I8019" s="3"/>
      <c r="J8019" s="3"/>
    </row>
    <row r="8020" spans="8:10" x14ac:dyDescent="0.3">
      <c r="H8020" s="3"/>
      <c r="I8020" s="3"/>
      <c r="J8020" s="3"/>
    </row>
    <row r="8021" spans="8:10" x14ac:dyDescent="0.3">
      <c r="H8021" s="3"/>
      <c r="I8021" s="3"/>
      <c r="J8021" s="3"/>
    </row>
    <row r="8022" spans="8:10" x14ac:dyDescent="0.3">
      <c r="H8022" s="3"/>
      <c r="I8022" s="3"/>
      <c r="J8022" s="3"/>
    </row>
    <row r="8023" spans="8:10" x14ac:dyDescent="0.3">
      <c r="H8023" s="3"/>
      <c r="I8023" s="3"/>
      <c r="J8023" s="3"/>
    </row>
    <row r="8024" spans="8:10" x14ac:dyDescent="0.3">
      <c r="H8024" s="3"/>
      <c r="I8024" s="3"/>
      <c r="J8024" s="3"/>
    </row>
    <row r="8025" spans="8:10" x14ac:dyDescent="0.3">
      <c r="H8025" s="3"/>
      <c r="I8025" s="3"/>
      <c r="J8025" s="3"/>
    </row>
    <row r="8026" spans="8:10" x14ac:dyDescent="0.3">
      <c r="H8026" s="3"/>
      <c r="I8026" s="3"/>
      <c r="J8026" s="3"/>
    </row>
    <row r="8027" spans="8:10" x14ac:dyDescent="0.3">
      <c r="H8027" s="3"/>
      <c r="I8027" s="3"/>
      <c r="J8027" s="3"/>
    </row>
    <row r="8028" spans="8:10" x14ac:dyDescent="0.3">
      <c r="H8028" s="3"/>
      <c r="I8028" s="3"/>
      <c r="J8028" s="3"/>
    </row>
    <row r="8029" spans="8:10" x14ac:dyDescent="0.3">
      <c r="H8029" s="3"/>
      <c r="I8029" s="3"/>
      <c r="J8029" s="3"/>
    </row>
    <row r="8030" spans="8:10" x14ac:dyDescent="0.3">
      <c r="H8030" s="3"/>
      <c r="I8030" s="3"/>
      <c r="J8030" s="3"/>
    </row>
    <row r="8031" spans="8:10" x14ac:dyDescent="0.3">
      <c r="H8031" s="3"/>
      <c r="I8031" s="3"/>
      <c r="J8031" s="3"/>
    </row>
    <row r="8032" spans="8:10" x14ac:dyDescent="0.3">
      <c r="H8032" s="3"/>
      <c r="I8032" s="3"/>
      <c r="J8032" s="3"/>
    </row>
    <row r="8033" spans="8:10" x14ac:dyDescent="0.3">
      <c r="H8033" s="3"/>
      <c r="I8033" s="3"/>
      <c r="J8033" s="3"/>
    </row>
    <row r="8034" spans="8:10" x14ac:dyDescent="0.3">
      <c r="H8034" s="3"/>
      <c r="I8034" s="3"/>
      <c r="J8034" s="3"/>
    </row>
    <row r="8035" spans="8:10" x14ac:dyDescent="0.3">
      <c r="H8035" s="3"/>
      <c r="I8035" s="3"/>
      <c r="J8035" s="3"/>
    </row>
    <row r="8036" spans="8:10" x14ac:dyDescent="0.3">
      <c r="H8036" s="3"/>
      <c r="I8036" s="3"/>
      <c r="J8036" s="3"/>
    </row>
    <row r="8037" spans="8:10" x14ac:dyDescent="0.3">
      <c r="H8037" s="3"/>
      <c r="I8037" s="3"/>
      <c r="J8037" s="3"/>
    </row>
    <row r="8038" spans="8:10" x14ac:dyDescent="0.3">
      <c r="H8038" s="3"/>
      <c r="I8038" s="3"/>
      <c r="J8038" s="3"/>
    </row>
    <row r="8039" spans="8:10" x14ac:dyDescent="0.3">
      <c r="H8039" s="3"/>
      <c r="I8039" s="3"/>
      <c r="J8039" s="3"/>
    </row>
    <row r="8040" spans="8:10" x14ac:dyDescent="0.3">
      <c r="H8040" s="3"/>
      <c r="I8040" s="3"/>
      <c r="J8040" s="3"/>
    </row>
    <row r="8041" spans="8:10" x14ac:dyDescent="0.3">
      <c r="H8041" s="3"/>
      <c r="I8041" s="3"/>
      <c r="J8041" s="3"/>
    </row>
    <row r="8042" spans="8:10" x14ac:dyDescent="0.3">
      <c r="H8042" s="3"/>
      <c r="I8042" s="3"/>
      <c r="J8042" s="3"/>
    </row>
    <row r="8043" spans="8:10" x14ac:dyDescent="0.3">
      <c r="H8043" s="3"/>
      <c r="I8043" s="3"/>
      <c r="J8043" s="3"/>
    </row>
    <row r="8044" spans="8:10" x14ac:dyDescent="0.3">
      <c r="H8044" s="3"/>
      <c r="I8044" s="3"/>
      <c r="J8044" s="3"/>
    </row>
    <row r="8045" spans="8:10" x14ac:dyDescent="0.3">
      <c r="H8045" s="3"/>
      <c r="I8045" s="3"/>
      <c r="J8045" s="3"/>
    </row>
    <row r="8046" spans="8:10" x14ac:dyDescent="0.3">
      <c r="H8046" s="3"/>
      <c r="I8046" s="3"/>
      <c r="J8046" s="3"/>
    </row>
    <row r="8047" spans="8:10" x14ac:dyDescent="0.3">
      <c r="H8047" s="3"/>
      <c r="I8047" s="3"/>
      <c r="J8047" s="3"/>
    </row>
    <row r="8048" spans="8:10" x14ac:dyDescent="0.3">
      <c r="H8048" s="3"/>
      <c r="I8048" s="3"/>
      <c r="J8048" s="3"/>
    </row>
    <row r="8049" spans="8:10" x14ac:dyDescent="0.3">
      <c r="H8049" s="3"/>
      <c r="I8049" s="3"/>
      <c r="J8049" s="3"/>
    </row>
    <row r="8050" spans="8:10" x14ac:dyDescent="0.3">
      <c r="H8050" s="3"/>
      <c r="I8050" s="3"/>
      <c r="J8050" s="3"/>
    </row>
    <row r="8051" spans="8:10" x14ac:dyDescent="0.3">
      <c r="H8051" s="3"/>
      <c r="I8051" s="3"/>
      <c r="J8051" s="3"/>
    </row>
    <row r="8052" spans="8:10" x14ac:dyDescent="0.3">
      <c r="H8052" s="3"/>
      <c r="I8052" s="3"/>
      <c r="J8052" s="3"/>
    </row>
    <row r="8053" spans="8:10" x14ac:dyDescent="0.3">
      <c r="H8053" s="3"/>
      <c r="I8053" s="3"/>
      <c r="J8053" s="3"/>
    </row>
    <row r="8054" spans="8:10" x14ac:dyDescent="0.3">
      <c r="H8054" s="3"/>
      <c r="I8054" s="3"/>
      <c r="J8054" s="3"/>
    </row>
    <row r="8055" spans="8:10" x14ac:dyDescent="0.3">
      <c r="H8055" s="3"/>
      <c r="I8055" s="3"/>
      <c r="J8055" s="3"/>
    </row>
    <row r="8056" spans="8:10" x14ac:dyDescent="0.3">
      <c r="H8056" s="3"/>
      <c r="I8056" s="3"/>
      <c r="J8056" s="3"/>
    </row>
    <row r="8057" spans="8:10" x14ac:dyDescent="0.3">
      <c r="H8057" s="3"/>
      <c r="I8057" s="3"/>
      <c r="J8057" s="3"/>
    </row>
    <row r="8058" spans="8:10" x14ac:dyDescent="0.3">
      <c r="H8058" s="3"/>
      <c r="I8058" s="3"/>
      <c r="J8058" s="3"/>
    </row>
    <row r="8059" spans="8:10" x14ac:dyDescent="0.3">
      <c r="H8059" s="3"/>
      <c r="I8059" s="3"/>
      <c r="J8059" s="3"/>
    </row>
    <row r="8060" spans="8:10" x14ac:dyDescent="0.3">
      <c r="H8060" s="3"/>
      <c r="I8060" s="3"/>
      <c r="J8060" s="3"/>
    </row>
    <row r="8061" spans="8:10" x14ac:dyDescent="0.3">
      <c r="H8061" s="3"/>
      <c r="I8061" s="3"/>
      <c r="J8061" s="3"/>
    </row>
    <row r="8062" spans="8:10" x14ac:dyDescent="0.3">
      <c r="H8062" s="3"/>
      <c r="I8062" s="3"/>
      <c r="J8062" s="3"/>
    </row>
    <row r="8063" spans="8:10" x14ac:dyDescent="0.3">
      <c r="H8063" s="3"/>
      <c r="I8063" s="3"/>
      <c r="J8063" s="3"/>
    </row>
    <row r="8064" spans="8:10" x14ac:dyDescent="0.3">
      <c r="H8064" s="3"/>
      <c r="I8064" s="3"/>
      <c r="J8064" s="3"/>
    </row>
    <row r="8065" spans="8:10" x14ac:dyDescent="0.3">
      <c r="H8065" s="3"/>
      <c r="I8065" s="3"/>
      <c r="J8065" s="3"/>
    </row>
    <row r="8066" spans="8:10" x14ac:dyDescent="0.3">
      <c r="H8066" s="3"/>
      <c r="I8066" s="3"/>
      <c r="J8066" s="3"/>
    </row>
    <row r="8067" spans="8:10" x14ac:dyDescent="0.3">
      <c r="H8067" s="3"/>
      <c r="I8067" s="3"/>
      <c r="J8067" s="3"/>
    </row>
    <row r="8068" spans="8:10" x14ac:dyDescent="0.3">
      <c r="H8068" s="3"/>
      <c r="I8068" s="3"/>
      <c r="J8068" s="3"/>
    </row>
    <row r="8069" spans="8:10" x14ac:dyDescent="0.3">
      <c r="H8069" s="3"/>
      <c r="I8069" s="3"/>
      <c r="J8069" s="3"/>
    </row>
    <row r="8070" spans="8:10" x14ac:dyDescent="0.3">
      <c r="H8070" s="3"/>
      <c r="I8070" s="3"/>
      <c r="J8070" s="3"/>
    </row>
    <row r="8071" spans="8:10" x14ac:dyDescent="0.3">
      <c r="H8071" s="3"/>
      <c r="I8071" s="3"/>
      <c r="J8071" s="3"/>
    </row>
    <row r="8072" spans="8:10" x14ac:dyDescent="0.3">
      <c r="H8072" s="3"/>
      <c r="I8072" s="3"/>
      <c r="J8072" s="3"/>
    </row>
    <row r="8073" spans="8:10" x14ac:dyDescent="0.3">
      <c r="H8073" s="3"/>
      <c r="I8073" s="3"/>
      <c r="J8073" s="3"/>
    </row>
    <row r="8074" spans="8:10" x14ac:dyDescent="0.3">
      <c r="H8074" s="3"/>
      <c r="I8074" s="3"/>
      <c r="J8074" s="3"/>
    </row>
    <row r="8075" spans="8:10" x14ac:dyDescent="0.3">
      <c r="H8075" s="3"/>
      <c r="I8075" s="3"/>
      <c r="J8075" s="3"/>
    </row>
    <row r="8076" spans="8:10" x14ac:dyDescent="0.3">
      <c r="H8076" s="3"/>
      <c r="I8076" s="3"/>
      <c r="J8076" s="3"/>
    </row>
    <row r="8077" spans="8:10" x14ac:dyDescent="0.3">
      <c r="H8077" s="3"/>
      <c r="I8077" s="3"/>
      <c r="J8077" s="3"/>
    </row>
    <row r="8078" spans="8:10" x14ac:dyDescent="0.3">
      <c r="H8078" s="3"/>
      <c r="I8078" s="3"/>
      <c r="J8078" s="3"/>
    </row>
    <row r="8079" spans="8:10" x14ac:dyDescent="0.3">
      <c r="H8079" s="3"/>
      <c r="I8079" s="3"/>
      <c r="J8079" s="3"/>
    </row>
    <row r="8080" spans="8:10" x14ac:dyDescent="0.3">
      <c r="H8080" s="3"/>
      <c r="I8080" s="3"/>
      <c r="J8080" s="3"/>
    </row>
    <row r="8081" spans="8:10" x14ac:dyDescent="0.3">
      <c r="H8081" s="3"/>
      <c r="I8081" s="3"/>
      <c r="J8081" s="3"/>
    </row>
    <row r="8082" spans="8:10" x14ac:dyDescent="0.3">
      <c r="H8082" s="3"/>
      <c r="I8082" s="3"/>
      <c r="J8082" s="3"/>
    </row>
    <row r="8083" spans="8:10" x14ac:dyDescent="0.3">
      <c r="H8083" s="3"/>
      <c r="I8083" s="3"/>
      <c r="J8083" s="3"/>
    </row>
    <row r="8084" spans="8:10" x14ac:dyDescent="0.3">
      <c r="H8084" s="3"/>
      <c r="I8084" s="3"/>
      <c r="J8084" s="3"/>
    </row>
    <row r="8085" spans="8:10" x14ac:dyDescent="0.3">
      <c r="H8085" s="3"/>
      <c r="I8085" s="3"/>
      <c r="J8085" s="3"/>
    </row>
    <row r="8086" spans="8:10" x14ac:dyDescent="0.3">
      <c r="H8086" s="3"/>
      <c r="I8086" s="3"/>
      <c r="J8086" s="3"/>
    </row>
    <row r="8087" spans="8:10" x14ac:dyDescent="0.3">
      <c r="H8087" s="3"/>
      <c r="I8087" s="3"/>
      <c r="J8087" s="3"/>
    </row>
    <row r="8088" spans="8:10" x14ac:dyDescent="0.3">
      <c r="H8088" s="3"/>
      <c r="I8088" s="3"/>
      <c r="J8088" s="3"/>
    </row>
    <row r="8089" spans="8:10" x14ac:dyDescent="0.3">
      <c r="H8089" s="3"/>
      <c r="I8089" s="3"/>
      <c r="J8089" s="3"/>
    </row>
    <row r="8090" spans="8:10" x14ac:dyDescent="0.3">
      <c r="H8090" s="3"/>
      <c r="I8090" s="3"/>
      <c r="J8090" s="3"/>
    </row>
    <row r="8091" spans="8:10" x14ac:dyDescent="0.3">
      <c r="H8091" s="3"/>
      <c r="I8091" s="3"/>
      <c r="J8091" s="3"/>
    </row>
    <row r="8092" spans="8:10" x14ac:dyDescent="0.3">
      <c r="H8092" s="3"/>
      <c r="I8092" s="3"/>
      <c r="J8092" s="3"/>
    </row>
    <row r="8093" spans="8:10" x14ac:dyDescent="0.3">
      <c r="H8093" s="3"/>
      <c r="I8093" s="3"/>
      <c r="J8093" s="3"/>
    </row>
    <row r="8094" spans="8:10" x14ac:dyDescent="0.3">
      <c r="H8094" s="3"/>
      <c r="I8094" s="3"/>
      <c r="J8094" s="3"/>
    </row>
    <row r="8095" spans="8:10" x14ac:dyDescent="0.3">
      <c r="H8095" s="3"/>
      <c r="I8095" s="3"/>
      <c r="J8095" s="3"/>
    </row>
    <row r="8096" spans="8:10" x14ac:dyDescent="0.3">
      <c r="H8096" s="3"/>
      <c r="I8096" s="3"/>
      <c r="J8096" s="3"/>
    </row>
    <row r="8097" spans="8:10" x14ac:dyDescent="0.3">
      <c r="H8097" s="3"/>
      <c r="I8097" s="3"/>
      <c r="J8097" s="3"/>
    </row>
    <row r="8098" spans="8:10" x14ac:dyDescent="0.3">
      <c r="H8098" s="3"/>
      <c r="I8098" s="3"/>
      <c r="J8098" s="3"/>
    </row>
    <row r="8099" spans="8:10" x14ac:dyDescent="0.3">
      <c r="H8099" s="3"/>
      <c r="I8099" s="3"/>
      <c r="J8099" s="3"/>
    </row>
    <row r="8100" spans="8:10" x14ac:dyDescent="0.3">
      <c r="H8100" s="3"/>
      <c r="I8100" s="3"/>
      <c r="J8100" s="3"/>
    </row>
    <row r="8101" spans="8:10" x14ac:dyDescent="0.3">
      <c r="H8101" s="3"/>
      <c r="I8101" s="3"/>
      <c r="J8101" s="3"/>
    </row>
    <row r="8102" spans="8:10" x14ac:dyDescent="0.3">
      <c r="H8102" s="3"/>
      <c r="I8102" s="3"/>
      <c r="J8102" s="3"/>
    </row>
    <row r="8103" spans="8:10" x14ac:dyDescent="0.3">
      <c r="H8103" s="3"/>
      <c r="I8103" s="3"/>
      <c r="J8103" s="3"/>
    </row>
    <row r="8104" spans="8:10" x14ac:dyDescent="0.3">
      <c r="H8104" s="3"/>
      <c r="I8104" s="3"/>
      <c r="J8104" s="3"/>
    </row>
    <row r="8105" spans="8:10" x14ac:dyDescent="0.3">
      <c r="H8105" s="3"/>
      <c r="I8105" s="3"/>
      <c r="J8105" s="3"/>
    </row>
    <row r="8106" spans="8:10" x14ac:dyDescent="0.3">
      <c r="H8106" s="3"/>
      <c r="I8106" s="3"/>
      <c r="J8106" s="3"/>
    </row>
    <row r="8107" spans="8:10" x14ac:dyDescent="0.3">
      <c r="H8107" s="3"/>
      <c r="I8107" s="3"/>
      <c r="J8107" s="3"/>
    </row>
    <row r="8108" spans="8:10" x14ac:dyDescent="0.3">
      <c r="H8108" s="3"/>
      <c r="I8108" s="3"/>
      <c r="J8108" s="3"/>
    </row>
    <row r="8109" spans="8:10" x14ac:dyDescent="0.3">
      <c r="H8109" s="3"/>
      <c r="I8109" s="3"/>
      <c r="J8109" s="3"/>
    </row>
    <row r="8110" spans="8:10" x14ac:dyDescent="0.3">
      <c r="H8110" s="3"/>
      <c r="I8110" s="3"/>
      <c r="J8110" s="3"/>
    </row>
    <row r="8111" spans="8:10" x14ac:dyDescent="0.3">
      <c r="H8111" s="3"/>
      <c r="I8111" s="3"/>
      <c r="J8111" s="3"/>
    </row>
    <row r="8112" spans="8:10" x14ac:dyDescent="0.3">
      <c r="H8112" s="3"/>
      <c r="I8112" s="3"/>
      <c r="J8112" s="3"/>
    </row>
    <row r="8113" spans="8:10" x14ac:dyDescent="0.3">
      <c r="H8113" s="3"/>
      <c r="I8113" s="3"/>
      <c r="J8113" s="3"/>
    </row>
    <row r="8114" spans="8:10" x14ac:dyDescent="0.3">
      <c r="H8114" s="3"/>
      <c r="I8114" s="3"/>
      <c r="J8114" s="3"/>
    </row>
    <row r="8115" spans="8:10" x14ac:dyDescent="0.3">
      <c r="H8115" s="3"/>
      <c r="I8115" s="3"/>
      <c r="J8115" s="3"/>
    </row>
    <row r="8116" spans="8:10" x14ac:dyDescent="0.3">
      <c r="H8116" s="3"/>
      <c r="I8116" s="3"/>
      <c r="J8116" s="3"/>
    </row>
    <row r="8117" spans="8:10" x14ac:dyDescent="0.3">
      <c r="H8117" s="3"/>
      <c r="I8117" s="3"/>
      <c r="J8117" s="3"/>
    </row>
    <row r="8118" spans="8:10" x14ac:dyDescent="0.3">
      <c r="H8118" s="3"/>
      <c r="I8118" s="3"/>
      <c r="J8118" s="3"/>
    </row>
    <row r="8119" spans="8:10" x14ac:dyDescent="0.3">
      <c r="H8119" s="3"/>
      <c r="I8119" s="3"/>
      <c r="J8119" s="3"/>
    </row>
    <row r="8120" spans="8:10" x14ac:dyDescent="0.3">
      <c r="H8120" s="3"/>
      <c r="I8120" s="3"/>
      <c r="J8120" s="3"/>
    </row>
    <row r="8121" spans="8:10" x14ac:dyDescent="0.3">
      <c r="H8121" s="3"/>
      <c r="I8121" s="3"/>
      <c r="J8121" s="3"/>
    </row>
    <row r="8122" spans="8:10" x14ac:dyDescent="0.3">
      <c r="H8122" s="3"/>
      <c r="I8122" s="3"/>
      <c r="J8122" s="3"/>
    </row>
    <row r="8123" spans="8:10" x14ac:dyDescent="0.3">
      <c r="H8123" s="3"/>
      <c r="I8123" s="3"/>
      <c r="J8123" s="3"/>
    </row>
    <row r="8124" spans="8:10" x14ac:dyDescent="0.3">
      <c r="H8124" s="3"/>
      <c r="I8124" s="3"/>
      <c r="J8124" s="3"/>
    </row>
    <row r="8125" spans="8:10" x14ac:dyDescent="0.3">
      <c r="H8125" s="3"/>
      <c r="I8125" s="3"/>
      <c r="J8125" s="3"/>
    </row>
    <row r="8126" spans="8:10" x14ac:dyDescent="0.3">
      <c r="H8126" s="3"/>
      <c r="I8126" s="3"/>
      <c r="J8126" s="3"/>
    </row>
    <row r="8127" spans="8:10" x14ac:dyDescent="0.3">
      <c r="H8127" s="3"/>
      <c r="I8127" s="3"/>
      <c r="J8127" s="3"/>
    </row>
    <row r="8128" spans="8:10" x14ac:dyDescent="0.3">
      <c r="H8128" s="3"/>
      <c r="I8128" s="3"/>
      <c r="J8128" s="3"/>
    </row>
    <row r="8129" spans="8:10" x14ac:dyDescent="0.3">
      <c r="H8129" s="3"/>
      <c r="I8129" s="3"/>
      <c r="J8129" s="3"/>
    </row>
    <row r="8130" spans="8:10" x14ac:dyDescent="0.3">
      <c r="H8130" s="3"/>
      <c r="I8130" s="3"/>
      <c r="J8130" s="3"/>
    </row>
    <row r="8131" spans="8:10" x14ac:dyDescent="0.3">
      <c r="H8131" s="3"/>
      <c r="I8131" s="3"/>
      <c r="J8131" s="3"/>
    </row>
    <row r="8132" spans="8:10" x14ac:dyDescent="0.3">
      <c r="H8132" s="3"/>
      <c r="I8132" s="3"/>
      <c r="J8132" s="3"/>
    </row>
    <row r="8133" spans="8:10" x14ac:dyDescent="0.3">
      <c r="H8133" s="3"/>
      <c r="I8133" s="3"/>
      <c r="J8133" s="3"/>
    </row>
    <row r="8134" spans="8:10" x14ac:dyDescent="0.3">
      <c r="H8134" s="3"/>
      <c r="I8134" s="3"/>
      <c r="J8134" s="3"/>
    </row>
    <row r="8135" spans="8:10" x14ac:dyDescent="0.3">
      <c r="H8135" s="3"/>
      <c r="I8135" s="3"/>
      <c r="J8135" s="3"/>
    </row>
    <row r="8136" spans="8:10" x14ac:dyDescent="0.3">
      <c r="H8136" s="3"/>
      <c r="I8136" s="3"/>
      <c r="J8136" s="3"/>
    </row>
    <row r="8137" spans="8:10" x14ac:dyDescent="0.3">
      <c r="H8137" s="3"/>
      <c r="I8137" s="3"/>
      <c r="J8137" s="3"/>
    </row>
    <row r="8138" spans="8:10" x14ac:dyDescent="0.3">
      <c r="H8138" s="3"/>
      <c r="I8138" s="3"/>
      <c r="J8138" s="3"/>
    </row>
    <row r="8139" spans="8:10" x14ac:dyDescent="0.3">
      <c r="H8139" s="3"/>
      <c r="I8139" s="3"/>
      <c r="J8139" s="3"/>
    </row>
    <row r="8140" spans="8:10" x14ac:dyDescent="0.3">
      <c r="H8140" s="3"/>
      <c r="I8140" s="3"/>
      <c r="J8140" s="3"/>
    </row>
    <row r="8141" spans="8:10" x14ac:dyDescent="0.3">
      <c r="H8141" s="3"/>
      <c r="I8141" s="3"/>
      <c r="J8141" s="3"/>
    </row>
    <row r="8142" spans="8:10" x14ac:dyDescent="0.3">
      <c r="H8142" s="3"/>
      <c r="I8142" s="3"/>
      <c r="J8142" s="3"/>
    </row>
    <row r="8143" spans="8:10" x14ac:dyDescent="0.3">
      <c r="H8143" s="3"/>
      <c r="I8143" s="3"/>
      <c r="J8143" s="3"/>
    </row>
    <row r="8144" spans="8:10" x14ac:dyDescent="0.3">
      <c r="H8144" s="3"/>
      <c r="I8144" s="3"/>
      <c r="J8144" s="3"/>
    </row>
    <row r="8145" spans="8:10" x14ac:dyDescent="0.3">
      <c r="H8145" s="3"/>
      <c r="I8145" s="3"/>
      <c r="J8145" s="3"/>
    </row>
    <row r="8146" spans="8:10" x14ac:dyDescent="0.3">
      <c r="H8146" s="3"/>
      <c r="I8146" s="3"/>
      <c r="J8146" s="3"/>
    </row>
    <row r="8147" spans="8:10" x14ac:dyDescent="0.3">
      <c r="H8147" s="3"/>
      <c r="I8147" s="3"/>
      <c r="J8147" s="3"/>
    </row>
    <row r="8148" spans="8:10" x14ac:dyDescent="0.3">
      <c r="H8148" s="3"/>
      <c r="I8148" s="3"/>
      <c r="J8148" s="3"/>
    </row>
    <row r="8149" spans="8:10" x14ac:dyDescent="0.3">
      <c r="H8149" s="3"/>
      <c r="I8149" s="3"/>
      <c r="J8149" s="3"/>
    </row>
    <row r="8150" spans="8:10" x14ac:dyDescent="0.3">
      <c r="H8150" s="3"/>
      <c r="I8150" s="3"/>
      <c r="J8150" s="3"/>
    </row>
    <row r="8151" spans="8:10" x14ac:dyDescent="0.3">
      <c r="H8151" s="3"/>
      <c r="I8151" s="3"/>
      <c r="J8151" s="3"/>
    </row>
    <row r="8152" spans="8:10" x14ac:dyDescent="0.3">
      <c r="H8152" s="3"/>
      <c r="I8152" s="3"/>
      <c r="J8152" s="3"/>
    </row>
    <row r="8153" spans="8:10" x14ac:dyDescent="0.3">
      <c r="H8153" s="3"/>
      <c r="I8153" s="3"/>
      <c r="J8153" s="3"/>
    </row>
    <row r="8154" spans="8:10" x14ac:dyDescent="0.3">
      <c r="H8154" s="3"/>
      <c r="I8154" s="3"/>
      <c r="J8154" s="3"/>
    </row>
    <row r="8155" spans="8:10" x14ac:dyDescent="0.3">
      <c r="H8155" s="3"/>
      <c r="I8155" s="3"/>
      <c r="J8155" s="3"/>
    </row>
    <row r="8156" spans="8:10" x14ac:dyDescent="0.3">
      <c r="H8156" s="3"/>
      <c r="I8156" s="3"/>
      <c r="J8156" s="3"/>
    </row>
    <row r="8157" spans="8:10" x14ac:dyDescent="0.3">
      <c r="H8157" s="3"/>
      <c r="I8157" s="3"/>
      <c r="J8157" s="3"/>
    </row>
    <row r="8158" spans="8:10" x14ac:dyDescent="0.3">
      <c r="H8158" s="3"/>
      <c r="I8158" s="3"/>
      <c r="J8158" s="3"/>
    </row>
    <row r="8159" spans="8:10" x14ac:dyDescent="0.3">
      <c r="H8159" s="3"/>
      <c r="I8159" s="3"/>
      <c r="J8159" s="3"/>
    </row>
    <row r="8160" spans="8:10" x14ac:dyDescent="0.3">
      <c r="H8160" s="3"/>
      <c r="I8160" s="3"/>
      <c r="J8160" s="3"/>
    </row>
    <row r="8161" spans="8:10" x14ac:dyDescent="0.3">
      <c r="H8161" s="3"/>
      <c r="I8161" s="3"/>
      <c r="J8161" s="3"/>
    </row>
    <row r="8162" spans="8:10" x14ac:dyDescent="0.3">
      <c r="H8162" s="3"/>
      <c r="I8162" s="3"/>
      <c r="J8162" s="3"/>
    </row>
    <row r="8163" spans="8:10" x14ac:dyDescent="0.3">
      <c r="H8163" s="3"/>
      <c r="I8163" s="3"/>
      <c r="J8163" s="3"/>
    </row>
    <row r="8164" spans="8:10" x14ac:dyDescent="0.3">
      <c r="H8164" s="3"/>
      <c r="I8164" s="3"/>
      <c r="J8164" s="3"/>
    </row>
    <row r="8165" spans="8:10" x14ac:dyDescent="0.3">
      <c r="H8165" s="3"/>
      <c r="I8165" s="3"/>
      <c r="J8165" s="3"/>
    </row>
    <row r="8166" spans="8:10" x14ac:dyDescent="0.3">
      <c r="H8166" s="3"/>
      <c r="I8166" s="3"/>
      <c r="J8166" s="3"/>
    </row>
    <row r="8167" spans="8:10" x14ac:dyDescent="0.3">
      <c r="H8167" s="3"/>
      <c r="I8167" s="3"/>
      <c r="J8167" s="3"/>
    </row>
    <row r="8168" spans="8:10" x14ac:dyDescent="0.3">
      <c r="H8168" s="3"/>
      <c r="I8168" s="3"/>
      <c r="J8168" s="3"/>
    </row>
    <row r="8169" spans="8:10" x14ac:dyDescent="0.3">
      <c r="H8169" s="3"/>
      <c r="I8169" s="3"/>
      <c r="J8169" s="3"/>
    </row>
    <row r="8170" spans="8:10" x14ac:dyDescent="0.3">
      <c r="H8170" s="3"/>
      <c r="I8170" s="3"/>
      <c r="J8170" s="3"/>
    </row>
    <row r="8171" spans="8:10" x14ac:dyDescent="0.3">
      <c r="H8171" s="3"/>
      <c r="I8171" s="3"/>
      <c r="J8171" s="3"/>
    </row>
    <row r="8172" spans="8:10" x14ac:dyDescent="0.3">
      <c r="H8172" s="3"/>
      <c r="I8172" s="3"/>
      <c r="J8172" s="3"/>
    </row>
    <row r="8173" spans="8:10" x14ac:dyDescent="0.3">
      <c r="H8173" s="3"/>
      <c r="I8173" s="3"/>
      <c r="J8173" s="3"/>
    </row>
    <row r="8174" spans="8:10" x14ac:dyDescent="0.3">
      <c r="H8174" s="3"/>
      <c r="I8174" s="3"/>
      <c r="J8174" s="3"/>
    </row>
    <row r="8175" spans="8:10" x14ac:dyDescent="0.3">
      <c r="H8175" s="3"/>
      <c r="I8175" s="3"/>
      <c r="J8175" s="3"/>
    </row>
    <row r="8176" spans="8:10" x14ac:dyDescent="0.3">
      <c r="H8176" s="3"/>
      <c r="I8176" s="3"/>
      <c r="J8176" s="3"/>
    </row>
    <row r="8177" spans="8:10" x14ac:dyDescent="0.3">
      <c r="H8177" s="3"/>
      <c r="I8177" s="3"/>
      <c r="J8177" s="3"/>
    </row>
    <row r="8178" spans="8:10" x14ac:dyDescent="0.3">
      <c r="H8178" s="3"/>
      <c r="I8178" s="3"/>
      <c r="J8178" s="3"/>
    </row>
    <row r="8179" spans="8:10" x14ac:dyDescent="0.3">
      <c r="H8179" s="3"/>
      <c r="I8179" s="3"/>
      <c r="J8179" s="3"/>
    </row>
    <row r="8180" spans="8:10" x14ac:dyDescent="0.3">
      <c r="H8180" s="3"/>
      <c r="I8180" s="3"/>
      <c r="J8180" s="3"/>
    </row>
    <row r="8181" spans="8:10" x14ac:dyDescent="0.3">
      <c r="H8181" s="3"/>
      <c r="I8181" s="3"/>
      <c r="J8181" s="3"/>
    </row>
    <row r="8182" spans="8:10" x14ac:dyDescent="0.3">
      <c r="H8182" s="3"/>
      <c r="I8182" s="3"/>
      <c r="J8182" s="3"/>
    </row>
    <row r="8183" spans="8:10" x14ac:dyDescent="0.3">
      <c r="H8183" s="3"/>
      <c r="I8183" s="3"/>
      <c r="J8183" s="3"/>
    </row>
    <row r="8184" spans="8:10" x14ac:dyDescent="0.3">
      <c r="H8184" s="3"/>
      <c r="I8184" s="3"/>
      <c r="J8184" s="3"/>
    </row>
    <row r="8185" spans="8:10" x14ac:dyDescent="0.3">
      <c r="H8185" s="3"/>
      <c r="I8185" s="3"/>
      <c r="J8185" s="3"/>
    </row>
    <row r="8186" spans="8:10" x14ac:dyDescent="0.3">
      <c r="H8186" s="3"/>
      <c r="I8186" s="3"/>
      <c r="J8186" s="3"/>
    </row>
    <row r="8187" spans="8:10" x14ac:dyDescent="0.3">
      <c r="H8187" s="3"/>
      <c r="I8187" s="3"/>
      <c r="J8187" s="3"/>
    </row>
    <row r="8188" spans="8:10" x14ac:dyDescent="0.3">
      <c r="H8188" s="3"/>
      <c r="I8188" s="3"/>
      <c r="J8188" s="3"/>
    </row>
    <row r="8189" spans="8:10" x14ac:dyDescent="0.3">
      <c r="H8189" s="3"/>
      <c r="I8189" s="3"/>
      <c r="J8189" s="3"/>
    </row>
    <row r="8190" spans="8:10" x14ac:dyDescent="0.3">
      <c r="H8190" s="3"/>
      <c r="I8190" s="3"/>
      <c r="J8190" s="3"/>
    </row>
    <row r="8191" spans="8:10" x14ac:dyDescent="0.3">
      <c r="H8191" s="3"/>
      <c r="I8191" s="3"/>
      <c r="J8191" s="3"/>
    </row>
    <row r="8192" spans="8:10" x14ac:dyDescent="0.3">
      <c r="H8192" s="3"/>
      <c r="I8192" s="3"/>
      <c r="J8192" s="3"/>
    </row>
    <row r="8193" spans="8:10" x14ac:dyDescent="0.3">
      <c r="H8193" s="3"/>
      <c r="I8193" s="3"/>
      <c r="J8193" s="3"/>
    </row>
    <row r="8194" spans="8:10" x14ac:dyDescent="0.3">
      <c r="H8194" s="3"/>
      <c r="I8194" s="3"/>
      <c r="J8194" s="3"/>
    </row>
    <row r="8195" spans="8:10" x14ac:dyDescent="0.3">
      <c r="H8195" s="3"/>
      <c r="I8195" s="3"/>
      <c r="J8195" s="3"/>
    </row>
    <row r="8196" spans="8:10" x14ac:dyDescent="0.3">
      <c r="H8196" s="3"/>
      <c r="I8196" s="3"/>
      <c r="J8196" s="3"/>
    </row>
    <row r="8197" spans="8:10" x14ac:dyDescent="0.3">
      <c r="H8197" s="3"/>
      <c r="I8197" s="3"/>
      <c r="J8197" s="3"/>
    </row>
    <row r="8198" spans="8:10" x14ac:dyDescent="0.3">
      <c r="H8198" s="3"/>
      <c r="I8198" s="3"/>
      <c r="J8198" s="3"/>
    </row>
    <row r="8199" spans="8:10" x14ac:dyDescent="0.3">
      <c r="H8199" s="3"/>
      <c r="I8199" s="3"/>
      <c r="J8199" s="3"/>
    </row>
    <row r="8200" spans="8:10" x14ac:dyDescent="0.3">
      <c r="H8200" s="3"/>
      <c r="I8200" s="3"/>
      <c r="J8200" s="3"/>
    </row>
    <row r="8201" spans="8:10" x14ac:dyDescent="0.3">
      <c r="H8201" s="3"/>
      <c r="I8201" s="3"/>
      <c r="J8201" s="3"/>
    </row>
    <row r="8202" spans="8:10" x14ac:dyDescent="0.3">
      <c r="H8202" s="3"/>
      <c r="I8202" s="3"/>
      <c r="J8202" s="3"/>
    </row>
    <row r="8203" spans="8:10" x14ac:dyDescent="0.3">
      <c r="H8203" s="3"/>
      <c r="I8203" s="3"/>
      <c r="J8203" s="3"/>
    </row>
    <row r="8204" spans="8:10" x14ac:dyDescent="0.3">
      <c r="H8204" s="3"/>
      <c r="I8204" s="3"/>
      <c r="J8204" s="3"/>
    </row>
    <row r="8205" spans="8:10" x14ac:dyDescent="0.3">
      <c r="H8205" s="3"/>
      <c r="I8205" s="3"/>
      <c r="J8205" s="3"/>
    </row>
    <row r="8206" spans="8:10" x14ac:dyDescent="0.3">
      <c r="H8206" s="3"/>
      <c r="I8206" s="3"/>
      <c r="J8206" s="3"/>
    </row>
    <row r="8207" spans="8:10" x14ac:dyDescent="0.3">
      <c r="H8207" s="3"/>
      <c r="I8207" s="3"/>
      <c r="J8207" s="3"/>
    </row>
    <row r="8208" spans="8:10" x14ac:dyDescent="0.3">
      <c r="H8208" s="3"/>
      <c r="I8208" s="3"/>
      <c r="J8208" s="3"/>
    </row>
    <row r="8209" spans="8:10" x14ac:dyDescent="0.3">
      <c r="H8209" s="3"/>
      <c r="I8209" s="3"/>
      <c r="J8209" s="3"/>
    </row>
    <row r="8210" spans="8:10" x14ac:dyDescent="0.3">
      <c r="H8210" s="3"/>
      <c r="I8210" s="3"/>
      <c r="J8210" s="3"/>
    </row>
    <row r="8211" spans="8:10" x14ac:dyDescent="0.3">
      <c r="H8211" s="3"/>
      <c r="I8211" s="3"/>
      <c r="J8211" s="3"/>
    </row>
    <row r="8212" spans="8:10" x14ac:dyDescent="0.3">
      <c r="H8212" s="3"/>
      <c r="I8212" s="3"/>
      <c r="J8212" s="3"/>
    </row>
    <row r="8213" spans="8:10" x14ac:dyDescent="0.3">
      <c r="H8213" s="3"/>
      <c r="I8213" s="3"/>
      <c r="J8213" s="3"/>
    </row>
    <row r="8214" spans="8:10" x14ac:dyDescent="0.3">
      <c r="H8214" s="3"/>
      <c r="I8214" s="3"/>
      <c r="J8214" s="3"/>
    </row>
    <row r="8215" spans="8:10" x14ac:dyDescent="0.3">
      <c r="H8215" s="3"/>
      <c r="I8215" s="3"/>
      <c r="J8215" s="3"/>
    </row>
    <row r="8216" spans="8:10" x14ac:dyDescent="0.3">
      <c r="H8216" s="3"/>
      <c r="I8216" s="3"/>
      <c r="J8216" s="3"/>
    </row>
    <row r="8217" spans="8:10" x14ac:dyDescent="0.3">
      <c r="H8217" s="3"/>
      <c r="I8217" s="3"/>
      <c r="J8217" s="3"/>
    </row>
    <row r="8218" spans="8:10" x14ac:dyDescent="0.3">
      <c r="H8218" s="3"/>
      <c r="I8218" s="3"/>
      <c r="J8218" s="3"/>
    </row>
    <row r="8219" spans="8:10" x14ac:dyDescent="0.3">
      <c r="H8219" s="3"/>
      <c r="I8219" s="3"/>
      <c r="J8219" s="3"/>
    </row>
    <row r="8220" spans="8:10" x14ac:dyDescent="0.3">
      <c r="H8220" s="3"/>
      <c r="I8220" s="3"/>
      <c r="J8220" s="3"/>
    </row>
    <row r="8221" spans="8:10" x14ac:dyDescent="0.3">
      <c r="H8221" s="3"/>
      <c r="I8221" s="3"/>
      <c r="J8221" s="3"/>
    </row>
    <row r="8222" spans="8:10" x14ac:dyDescent="0.3">
      <c r="H8222" s="3"/>
      <c r="I8222" s="3"/>
      <c r="J8222" s="3"/>
    </row>
    <row r="8223" spans="8:10" x14ac:dyDescent="0.3">
      <c r="H8223" s="3"/>
      <c r="I8223" s="3"/>
      <c r="J8223" s="3"/>
    </row>
    <row r="8224" spans="8:10" x14ac:dyDescent="0.3">
      <c r="H8224" s="3"/>
      <c r="I8224" s="3"/>
      <c r="J8224" s="3"/>
    </row>
    <row r="8225" spans="8:10" x14ac:dyDescent="0.3">
      <c r="H8225" s="3"/>
      <c r="I8225" s="3"/>
      <c r="J8225" s="3"/>
    </row>
    <row r="8226" spans="8:10" x14ac:dyDescent="0.3">
      <c r="H8226" s="3"/>
      <c r="I8226" s="3"/>
      <c r="J8226" s="3"/>
    </row>
    <row r="8227" spans="8:10" x14ac:dyDescent="0.3">
      <c r="H8227" s="3"/>
      <c r="I8227" s="3"/>
      <c r="J8227" s="3"/>
    </row>
    <row r="8228" spans="8:10" x14ac:dyDescent="0.3">
      <c r="H8228" s="3"/>
      <c r="I8228" s="3"/>
      <c r="J8228" s="3"/>
    </row>
    <row r="8229" spans="8:10" x14ac:dyDescent="0.3">
      <c r="H8229" s="3"/>
      <c r="I8229" s="3"/>
      <c r="J8229" s="3"/>
    </row>
    <row r="8230" spans="8:10" x14ac:dyDescent="0.3">
      <c r="H8230" s="3"/>
      <c r="I8230" s="3"/>
      <c r="J8230" s="3"/>
    </row>
    <row r="8231" spans="8:10" x14ac:dyDescent="0.3">
      <c r="H8231" s="3"/>
      <c r="I8231" s="3"/>
      <c r="J8231" s="3"/>
    </row>
    <row r="8232" spans="8:10" x14ac:dyDescent="0.3">
      <c r="H8232" s="3"/>
      <c r="I8232" s="3"/>
      <c r="J8232" s="3"/>
    </row>
    <row r="8233" spans="8:10" x14ac:dyDescent="0.3">
      <c r="H8233" s="3"/>
      <c r="I8233" s="3"/>
      <c r="J8233" s="3"/>
    </row>
    <row r="8234" spans="8:10" x14ac:dyDescent="0.3">
      <c r="H8234" s="3"/>
      <c r="I8234" s="3"/>
      <c r="J8234" s="3"/>
    </row>
    <row r="8235" spans="8:10" x14ac:dyDescent="0.3">
      <c r="H8235" s="3"/>
      <c r="I8235" s="3"/>
      <c r="J8235" s="3"/>
    </row>
    <row r="8236" spans="8:10" x14ac:dyDescent="0.3">
      <c r="H8236" s="3"/>
      <c r="I8236" s="3"/>
      <c r="J8236" s="3"/>
    </row>
    <row r="8237" spans="8:10" x14ac:dyDescent="0.3">
      <c r="H8237" s="3"/>
      <c r="I8237" s="3"/>
      <c r="J8237" s="3"/>
    </row>
    <row r="8238" spans="8:10" x14ac:dyDescent="0.3">
      <c r="H8238" s="3"/>
      <c r="I8238" s="3"/>
      <c r="J8238" s="3"/>
    </row>
    <row r="8239" spans="8:10" x14ac:dyDescent="0.3">
      <c r="H8239" s="3"/>
      <c r="I8239" s="3"/>
      <c r="J8239" s="3"/>
    </row>
    <row r="8240" spans="8:10" x14ac:dyDescent="0.3">
      <c r="H8240" s="3"/>
      <c r="I8240" s="3"/>
      <c r="J8240" s="3"/>
    </row>
    <row r="8241" spans="8:10" x14ac:dyDescent="0.3">
      <c r="H8241" s="3"/>
      <c r="I8241" s="3"/>
      <c r="J8241" s="3"/>
    </row>
    <row r="8242" spans="8:10" x14ac:dyDescent="0.3">
      <c r="H8242" s="3"/>
      <c r="I8242" s="3"/>
      <c r="J8242" s="3"/>
    </row>
    <row r="8243" spans="8:10" x14ac:dyDescent="0.3">
      <c r="H8243" s="3"/>
      <c r="I8243" s="3"/>
      <c r="J8243" s="3"/>
    </row>
    <row r="8244" spans="8:10" x14ac:dyDescent="0.3">
      <c r="H8244" s="3"/>
      <c r="I8244" s="3"/>
      <c r="J8244" s="3"/>
    </row>
    <row r="8245" spans="8:10" x14ac:dyDescent="0.3">
      <c r="H8245" s="3"/>
      <c r="I8245" s="3"/>
      <c r="J8245" s="3"/>
    </row>
    <row r="8246" spans="8:10" x14ac:dyDescent="0.3">
      <c r="H8246" s="3"/>
      <c r="I8246" s="3"/>
      <c r="J8246" s="3"/>
    </row>
    <row r="8247" spans="8:10" x14ac:dyDescent="0.3">
      <c r="H8247" s="3"/>
      <c r="I8247" s="3"/>
      <c r="J8247" s="3"/>
    </row>
    <row r="8248" spans="8:10" x14ac:dyDescent="0.3">
      <c r="H8248" s="3"/>
      <c r="I8248" s="3"/>
      <c r="J8248" s="3"/>
    </row>
    <row r="8249" spans="8:10" x14ac:dyDescent="0.3">
      <c r="H8249" s="3"/>
      <c r="I8249" s="3"/>
      <c r="J8249" s="3"/>
    </row>
    <row r="8250" spans="8:10" x14ac:dyDescent="0.3">
      <c r="H8250" s="3"/>
      <c r="I8250" s="3"/>
      <c r="J8250" s="3"/>
    </row>
    <row r="8251" spans="8:10" x14ac:dyDescent="0.3">
      <c r="H8251" s="3"/>
      <c r="I8251" s="3"/>
      <c r="J8251" s="3"/>
    </row>
    <row r="8252" spans="8:10" x14ac:dyDescent="0.3">
      <c r="H8252" s="3"/>
      <c r="I8252" s="3"/>
      <c r="J8252" s="3"/>
    </row>
    <row r="8253" spans="8:10" x14ac:dyDescent="0.3">
      <c r="H8253" s="3"/>
      <c r="I8253" s="3"/>
      <c r="J8253" s="3"/>
    </row>
    <row r="8254" spans="8:10" x14ac:dyDescent="0.3">
      <c r="H8254" s="3"/>
      <c r="I8254" s="3"/>
      <c r="J8254" s="3"/>
    </row>
    <row r="8255" spans="8:10" x14ac:dyDescent="0.3">
      <c r="H8255" s="3"/>
      <c r="I8255" s="3"/>
      <c r="J8255" s="3"/>
    </row>
    <row r="8256" spans="8:10" x14ac:dyDescent="0.3">
      <c r="H8256" s="3"/>
      <c r="I8256" s="3"/>
      <c r="J8256" s="3"/>
    </row>
    <row r="8257" spans="8:10" x14ac:dyDescent="0.3">
      <c r="H8257" s="3"/>
      <c r="I8257" s="3"/>
      <c r="J8257" s="3"/>
    </row>
    <row r="8258" spans="8:10" x14ac:dyDescent="0.3">
      <c r="H8258" s="3"/>
      <c r="I8258" s="3"/>
      <c r="J8258" s="3"/>
    </row>
    <row r="8259" spans="8:10" x14ac:dyDescent="0.3">
      <c r="H8259" s="3"/>
      <c r="I8259" s="3"/>
      <c r="J8259" s="3"/>
    </row>
    <row r="8260" spans="8:10" x14ac:dyDescent="0.3">
      <c r="H8260" s="3"/>
      <c r="I8260" s="3"/>
      <c r="J8260" s="3"/>
    </row>
    <row r="8261" spans="8:10" x14ac:dyDescent="0.3">
      <c r="H8261" s="3"/>
      <c r="I8261" s="3"/>
      <c r="J8261" s="3"/>
    </row>
    <row r="8262" spans="8:10" x14ac:dyDescent="0.3">
      <c r="H8262" s="3"/>
      <c r="I8262" s="3"/>
      <c r="J8262" s="3"/>
    </row>
    <row r="8263" spans="8:10" x14ac:dyDescent="0.3">
      <c r="H8263" s="3"/>
      <c r="I8263" s="3"/>
      <c r="J8263" s="3"/>
    </row>
    <row r="8264" spans="8:10" x14ac:dyDescent="0.3">
      <c r="H8264" s="3"/>
      <c r="I8264" s="3"/>
      <c r="J8264" s="3"/>
    </row>
    <row r="8265" spans="8:10" x14ac:dyDescent="0.3">
      <c r="H8265" s="3"/>
      <c r="I8265" s="3"/>
      <c r="J8265" s="3"/>
    </row>
    <row r="8266" spans="8:10" x14ac:dyDescent="0.3">
      <c r="H8266" s="3"/>
      <c r="I8266" s="3"/>
      <c r="J8266" s="3"/>
    </row>
    <row r="8267" spans="8:10" x14ac:dyDescent="0.3">
      <c r="H8267" s="3"/>
      <c r="I8267" s="3"/>
      <c r="J8267" s="3"/>
    </row>
    <row r="8268" spans="8:10" x14ac:dyDescent="0.3">
      <c r="H8268" s="3"/>
      <c r="I8268" s="3"/>
      <c r="J8268" s="3"/>
    </row>
    <row r="8269" spans="8:10" x14ac:dyDescent="0.3">
      <c r="H8269" s="3"/>
      <c r="I8269" s="3"/>
      <c r="J8269" s="3"/>
    </row>
    <row r="8270" spans="8:10" x14ac:dyDescent="0.3">
      <c r="H8270" s="3"/>
      <c r="I8270" s="3"/>
      <c r="J8270" s="3"/>
    </row>
    <row r="8271" spans="8:10" x14ac:dyDescent="0.3">
      <c r="H8271" s="3"/>
      <c r="I8271" s="3"/>
      <c r="J8271" s="3"/>
    </row>
    <row r="8272" spans="8:10" x14ac:dyDescent="0.3">
      <c r="H8272" s="3"/>
      <c r="I8272" s="3"/>
      <c r="J8272" s="3"/>
    </row>
    <row r="8273" spans="8:10" x14ac:dyDescent="0.3">
      <c r="H8273" s="3"/>
      <c r="I8273" s="3"/>
      <c r="J8273" s="3"/>
    </row>
    <row r="8274" spans="8:10" x14ac:dyDescent="0.3">
      <c r="H8274" s="3"/>
      <c r="I8274" s="3"/>
      <c r="J8274" s="3"/>
    </row>
    <row r="8275" spans="8:10" x14ac:dyDescent="0.3">
      <c r="H8275" s="3"/>
      <c r="I8275" s="3"/>
      <c r="J8275" s="3"/>
    </row>
    <row r="8276" spans="8:10" x14ac:dyDescent="0.3">
      <c r="H8276" s="3"/>
      <c r="I8276" s="3"/>
      <c r="J8276" s="3"/>
    </row>
    <row r="8277" spans="8:10" x14ac:dyDescent="0.3">
      <c r="H8277" s="3"/>
      <c r="I8277" s="3"/>
      <c r="J8277" s="3"/>
    </row>
    <row r="8278" spans="8:10" x14ac:dyDescent="0.3">
      <c r="H8278" s="3"/>
      <c r="I8278" s="3"/>
      <c r="J8278" s="3"/>
    </row>
    <row r="8279" spans="8:10" x14ac:dyDescent="0.3">
      <c r="H8279" s="3"/>
      <c r="I8279" s="3"/>
      <c r="J8279" s="3"/>
    </row>
    <row r="8280" spans="8:10" x14ac:dyDescent="0.3">
      <c r="H8280" s="3"/>
      <c r="I8280" s="3"/>
      <c r="J8280" s="3"/>
    </row>
    <row r="8281" spans="8:10" x14ac:dyDescent="0.3">
      <c r="H8281" s="3"/>
      <c r="I8281" s="3"/>
      <c r="J8281" s="3"/>
    </row>
    <row r="8282" spans="8:10" x14ac:dyDescent="0.3">
      <c r="H8282" s="3"/>
      <c r="I8282" s="3"/>
      <c r="J8282" s="3"/>
    </row>
    <row r="8283" spans="8:10" x14ac:dyDescent="0.3">
      <c r="H8283" s="3"/>
      <c r="I8283" s="3"/>
      <c r="J8283" s="3"/>
    </row>
    <row r="8284" spans="8:10" x14ac:dyDescent="0.3">
      <c r="H8284" s="3"/>
      <c r="I8284" s="3"/>
      <c r="J8284" s="3"/>
    </row>
    <row r="8285" spans="8:10" x14ac:dyDescent="0.3">
      <c r="H8285" s="3"/>
      <c r="I8285" s="3"/>
      <c r="J8285" s="3"/>
    </row>
    <row r="8286" spans="8:10" x14ac:dyDescent="0.3">
      <c r="H8286" s="3"/>
      <c r="I8286" s="3"/>
      <c r="J8286" s="3"/>
    </row>
    <row r="8287" spans="8:10" x14ac:dyDescent="0.3">
      <c r="H8287" s="3"/>
      <c r="I8287" s="3"/>
      <c r="J8287" s="3"/>
    </row>
    <row r="8288" spans="8:10" x14ac:dyDescent="0.3">
      <c r="H8288" s="3"/>
      <c r="I8288" s="3"/>
      <c r="J8288" s="3"/>
    </row>
    <row r="8289" spans="8:10" x14ac:dyDescent="0.3">
      <c r="H8289" s="3"/>
      <c r="I8289" s="3"/>
      <c r="J8289" s="3"/>
    </row>
    <row r="8290" spans="8:10" x14ac:dyDescent="0.3">
      <c r="H8290" s="3"/>
      <c r="I8290" s="3"/>
      <c r="J8290" s="3"/>
    </row>
    <row r="8291" spans="8:10" x14ac:dyDescent="0.3">
      <c r="H8291" s="3"/>
      <c r="I8291" s="3"/>
      <c r="J8291" s="3"/>
    </row>
    <row r="8292" spans="8:10" x14ac:dyDescent="0.3">
      <c r="H8292" s="3"/>
      <c r="I8292" s="3"/>
      <c r="J8292" s="3"/>
    </row>
    <row r="8293" spans="8:10" x14ac:dyDescent="0.3">
      <c r="H8293" s="3"/>
      <c r="I8293" s="3"/>
      <c r="J8293" s="3"/>
    </row>
    <row r="8294" spans="8:10" x14ac:dyDescent="0.3">
      <c r="H8294" s="3"/>
      <c r="I8294" s="3"/>
      <c r="J8294" s="3"/>
    </row>
    <row r="8295" spans="8:10" x14ac:dyDescent="0.3">
      <c r="H8295" s="3"/>
      <c r="I8295" s="3"/>
      <c r="J8295" s="3"/>
    </row>
    <row r="8296" spans="8:10" x14ac:dyDescent="0.3">
      <c r="H8296" s="3"/>
      <c r="I8296" s="3"/>
      <c r="J8296" s="3"/>
    </row>
    <row r="8297" spans="8:10" x14ac:dyDescent="0.3">
      <c r="H8297" s="3"/>
      <c r="I8297" s="3"/>
      <c r="J8297" s="3"/>
    </row>
    <row r="8298" spans="8:10" x14ac:dyDescent="0.3">
      <c r="H8298" s="3"/>
      <c r="I8298" s="3"/>
      <c r="J8298" s="3"/>
    </row>
    <row r="8299" spans="8:10" x14ac:dyDescent="0.3">
      <c r="H8299" s="3"/>
      <c r="I8299" s="3"/>
      <c r="J8299" s="3"/>
    </row>
    <row r="8300" spans="8:10" x14ac:dyDescent="0.3">
      <c r="H8300" s="3"/>
      <c r="I8300" s="3"/>
      <c r="J8300" s="3"/>
    </row>
    <row r="8301" spans="8:10" x14ac:dyDescent="0.3">
      <c r="H8301" s="3"/>
      <c r="I8301" s="3"/>
      <c r="J8301" s="3"/>
    </row>
    <row r="8302" spans="8:10" x14ac:dyDescent="0.3">
      <c r="H8302" s="3"/>
      <c r="I8302" s="3"/>
      <c r="J8302" s="3"/>
    </row>
    <row r="8303" spans="8:10" x14ac:dyDescent="0.3">
      <c r="H8303" s="3"/>
      <c r="I8303" s="3"/>
      <c r="J8303" s="3"/>
    </row>
    <row r="8304" spans="8:10" x14ac:dyDescent="0.3">
      <c r="H8304" s="3"/>
      <c r="I8304" s="3"/>
      <c r="J8304" s="3"/>
    </row>
    <row r="8305" spans="8:10" x14ac:dyDescent="0.3">
      <c r="H8305" s="3"/>
      <c r="I8305" s="3"/>
      <c r="J8305" s="3"/>
    </row>
    <row r="8306" spans="8:10" x14ac:dyDescent="0.3">
      <c r="H8306" s="3"/>
      <c r="I8306" s="3"/>
      <c r="J8306" s="3"/>
    </row>
    <row r="8307" spans="8:10" x14ac:dyDescent="0.3">
      <c r="H8307" s="3"/>
      <c r="I8307" s="3"/>
      <c r="J8307" s="3"/>
    </row>
    <row r="8308" spans="8:10" x14ac:dyDescent="0.3">
      <c r="H8308" s="3"/>
      <c r="I8308" s="3"/>
      <c r="J8308" s="3"/>
    </row>
    <row r="8309" spans="8:10" x14ac:dyDescent="0.3">
      <c r="H8309" s="3"/>
      <c r="I8309" s="3"/>
      <c r="J8309" s="3"/>
    </row>
    <row r="8310" spans="8:10" x14ac:dyDescent="0.3">
      <c r="H8310" s="3"/>
      <c r="I8310" s="3"/>
      <c r="J8310" s="3"/>
    </row>
    <row r="8311" spans="8:10" x14ac:dyDescent="0.3">
      <c r="H8311" s="3"/>
      <c r="I8311" s="3"/>
      <c r="J8311" s="3"/>
    </row>
    <row r="8312" spans="8:10" x14ac:dyDescent="0.3">
      <c r="H8312" s="3"/>
      <c r="I8312" s="3"/>
      <c r="J8312" s="3"/>
    </row>
    <row r="8313" spans="8:10" x14ac:dyDescent="0.3">
      <c r="H8313" s="3"/>
      <c r="I8313" s="3"/>
      <c r="J8313" s="3"/>
    </row>
    <row r="8314" spans="8:10" x14ac:dyDescent="0.3">
      <c r="H8314" s="3"/>
      <c r="I8314" s="3"/>
      <c r="J8314" s="3"/>
    </row>
    <row r="8315" spans="8:10" x14ac:dyDescent="0.3">
      <c r="H8315" s="3"/>
      <c r="I8315" s="3"/>
      <c r="J8315" s="3"/>
    </row>
    <row r="8316" spans="8:10" x14ac:dyDescent="0.3">
      <c r="H8316" s="3"/>
      <c r="I8316" s="3"/>
      <c r="J8316" s="3"/>
    </row>
    <row r="8317" spans="8:10" x14ac:dyDescent="0.3">
      <c r="H8317" s="3"/>
      <c r="I8317" s="3"/>
      <c r="J8317" s="3"/>
    </row>
    <row r="8318" spans="8:10" x14ac:dyDescent="0.3">
      <c r="H8318" s="3"/>
      <c r="I8318" s="3"/>
      <c r="J8318" s="3"/>
    </row>
    <row r="8319" spans="8:10" x14ac:dyDescent="0.3">
      <c r="H8319" s="3"/>
      <c r="I8319" s="3"/>
      <c r="J8319" s="3"/>
    </row>
    <row r="8320" spans="8:10" x14ac:dyDescent="0.3">
      <c r="H8320" s="3"/>
      <c r="I8320" s="3"/>
      <c r="J8320" s="3"/>
    </row>
    <row r="8321" spans="8:10" x14ac:dyDescent="0.3">
      <c r="H8321" s="3"/>
      <c r="I8321" s="3"/>
      <c r="J8321" s="3"/>
    </row>
    <row r="8322" spans="8:10" x14ac:dyDescent="0.3">
      <c r="H8322" s="3"/>
      <c r="I8322" s="3"/>
      <c r="J8322" s="3"/>
    </row>
    <row r="8323" spans="8:10" x14ac:dyDescent="0.3">
      <c r="H8323" s="3"/>
      <c r="I8323" s="3"/>
      <c r="J8323" s="3"/>
    </row>
    <row r="8324" spans="8:10" x14ac:dyDescent="0.3">
      <c r="H8324" s="3"/>
      <c r="I8324" s="3"/>
      <c r="J8324" s="3"/>
    </row>
    <row r="8325" spans="8:10" x14ac:dyDescent="0.3">
      <c r="H8325" s="3"/>
      <c r="I8325" s="3"/>
      <c r="J8325" s="3"/>
    </row>
    <row r="8326" spans="8:10" x14ac:dyDescent="0.3">
      <c r="H8326" s="3"/>
      <c r="I8326" s="3"/>
      <c r="J8326" s="3"/>
    </row>
    <row r="8327" spans="8:10" x14ac:dyDescent="0.3">
      <c r="H8327" s="3"/>
      <c r="I8327" s="3"/>
      <c r="J8327" s="3"/>
    </row>
    <row r="8328" spans="8:10" x14ac:dyDescent="0.3">
      <c r="H8328" s="3"/>
      <c r="I8328" s="3"/>
      <c r="J8328" s="3"/>
    </row>
    <row r="8329" spans="8:10" x14ac:dyDescent="0.3">
      <c r="H8329" s="3"/>
      <c r="I8329" s="3"/>
      <c r="J8329" s="3"/>
    </row>
    <row r="8330" spans="8:10" x14ac:dyDescent="0.3">
      <c r="H8330" s="3"/>
      <c r="I8330" s="3"/>
      <c r="J8330" s="3"/>
    </row>
    <row r="8331" spans="8:10" x14ac:dyDescent="0.3">
      <c r="H8331" s="3"/>
      <c r="I8331" s="3"/>
      <c r="J8331" s="3"/>
    </row>
    <row r="8332" spans="8:10" x14ac:dyDescent="0.3">
      <c r="H8332" s="3"/>
      <c r="I8332" s="3"/>
      <c r="J8332" s="3"/>
    </row>
    <row r="8333" spans="8:10" x14ac:dyDescent="0.3">
      <c r="H8333" s="3"/>
      <c r="I8333" s="3"/>
      <c r="J8333" s="3"/>
    </row>
    <row r="8334" spans="8:10" x14ac:dyDescent="0.3">
      <c r="H8334" s="3"/>
      <c r="I8334" s="3"/>
      <c r="J8334" s="3"/>
    </row>
    <row r="8335" spans="8:10" x14ac:dyDescent="0.3">
      <c r="H8335" s="3"/>
      <c r="I8335" s="3"/>
      <c r="J8335" s="3"/>
    </row>
    <row r="8336" spans="8:10" x14ac:dyDescent="0.3">
      <c r="H8336" s="3"/>
      <c r="I8336" s="3"/>
      <c r="J8336" s="3"/>
    </row>
    <row r="8337" spans="8:10" x14ac:dyDescent="0.3">
      <c r="H8337" s="3"/>
      <c r="I8337" s="3"/>
      <c r="J8337" s="3"/>
    </row>
    <row r="8338" spans="8:10" x14ac:dyDescent="0.3">
      <c r="H8338" s="3"/>
      <c r="I8338" s="3"/>
      <c r="J8338" s="3"/>
    </row>
    <row r="8339" spans="8:10" x14ac:dyDescent="0.3">
      <c r="H8339" s="3"/>
      <c r="I8339" s="3"/>
      <c r="J8339" s="3"/>
    </row>
    <row r="8340" spans="8:10" x14ac:dyDescent="0.3">
      <c r="H8340" s="3"/>
      <c r="I8340" s="3"/>
      <c r="J8340" s="3"/>
    </row>
    <row r="8341" spans="8:10" x14ac:dyDescent="0.3">
      <c r="H8341" s="3"/>
      <c r="I8341" s="3"/>
      <c r="J8341" s="3"/>
    </row>
    <row r="8342" spans="8:10" x14ac:dyDescent="0.3">
      <c r="H8342" s="3"/>
      <c r="I8342" s="3"/>
      <c r="J8342" s="3"/>
    </row>
    <row r="8343" spans="8:10" x14ac:dyDescent="0.3">
      <c r="H8343" s="3"/>
      <c r="I8343" s="3"/>
      <c r="J8343" s="3"/>
    </row>
    <row r="8344" spans="8:10" x14ac:dyDescent="0.3">
      <c r="H8344" s="3"/>
      <c r="I8344" s="3"/>
      <c r="J8344" s="3"/>
    </row>
    <row r="8345" spans="8:10" x14ac:dyDescent="0.3">
      <c r="H8345" s="3"/>
      <c r="I8345" s="3"/>
      <c r="J8345" s="3"/>
    </row>
    <row r="8346" spans="8:10" x14ac:dyDescent="0.3">
      <c r="H8346" s="3"/>
      <c r="I8346" s="3"/>
      <c r="J8346" s="3"/>
    </row>
    <row r="8347" spans="8:10" x14ac:dyDescent="0.3">
      <c r="H8347" s="3"/>
      <c r="I8347" s="3"/>
      <c r="J8347" s="3"/>
    </row>
    <row r="8348" spans="8:10" x14ac:dyDescent="0.3">
      <c r="H8348" s="3"/>
      <c r="I8348" s="3"/>
      <c r="J8348" s="3"/>
    </row>
    <row r="8349" spans="8:10" x14ac:dyDescent="0.3">
      <c r="H8349" s="3"/>
      <c r="I8349" s="3"/>
      <c r="J8349" s="3"/>
    </row>
    <row r="8350" spans="8:10" x14ac:dyDescent="0.3">
      <c r="H8350" s="3"/>
      <c r="I8350" s="3"/>
      <c r="J8350" s="3"/>
    </row>
    <row r="8351" spans="8:10" x14ac:dyDescent="0.3">
      <c r="H8351" s="3"/>
      <c r="I8351" s="3"/>
      <c r="J8351" s="3"/>
    </row>
    <row r="8352" spans="8:10" x14ac:dyDescent="0.3">
      <c r="H8352" s="3"/>
      <c r="I8352" s="3"/>
      <c r="J8352" s="3"/>
    </row>
    <row r="8353" spans="8:10" x14ac:dyDescent="0.3">
      <c r="H8353" s="3"/>
      <c r="I8353" s="3"/>
      <c r="J8353" s="3"/>
    </row>
    <row r="8354" spans="8:10" x14ac:dyDescent="0.3">
      <c r="H8354" s="3"/>
      <c r="I8354" s="3"/>
      <c r="J8354" s="3"/>
    </row>
    <row r="8355" spans="8:10" x14ac:dyDescent="0.3">
      <c r="H8355" s="3"/>
      <c r="I8355" s="3"/>
      <c r="J8355" s="3"/>
    </row>
    <row r="8356" spans="8:10" x14ac:dyDescent="0.3">
      <c r="H8356" s="3"/>
      <c r="I8356" s="3"/>
      <c r="J8356" s="3"/>
    </row>
    <row r="8357" spans="8:10" x14ac:dyDescent="0.3">
      <c r="H8357" s="3"/>
      <c r="I8357" s="3"/>
      <c r="J8357" s="3"/>
    </row>
    <row r="8358" spans="8:10" x14ac:dyDescent="0.3">
      <c r="H8358" s="3"/>
      <c r="I8358" s="3"/>
      <c r="J8358" s="3"/>
    </row>
    <row r="8359" spans="8:10" x14ac:dyDescent="0.3">
      <c r="H8359" s="3"/>
      <c r="I8359" s="3"/>
      <c r="J8359" s="3"/>
    </row>
    <row r="8360" spans="8:10" x14ac:dyDescent="0.3">
      <c r="H8360" s="3"/>
      <c r="I8360" s="3"/>
      <c r="J8360" s="3"/>
    </row>
    <row r="8361" spans="8:10" x14ac:dyDescent="0.3">
      <c r="H8361" s="3"/>
      <c r="I8361" s="3"/>
      <c r="J8361" s="3"/>
    </row>
    <row r="8362" spans="8:10" x14ac:dyDescent="0.3">
      <c r="H8362" s="3"/>
      <c r="I8362" s="3"/>
      <c r="J8362" s="3"/>
    </row>
    <row r="8363" spans="8:10" x14ac:dyDescent="0.3">
      <c r="H8363" s="3"/>
      <c r="I8363" s="3"/>
      <c r="J8363" s="3"/>
    </row>
    <row r="8364" spans="8:10" x14ac:dyDescent="0.3">
      <c r="H8364" s="3"/>
      <c r="I8364" s="3"/>
      <c r="J8364" s="3"/>
    </row>
    <row r="8365" spans="8:10" x14ac:dyDescent="0.3">
      <c r="H8365" s="3"/>
      <c r="I8365" s="3"/>
      <c r="J8365" s="3"/>
    </row>
    <row r="8366" spans="8:10" x14ac:dyDescent="0.3">
      <c r="H8366" s="3"/>
      <c r="I8366" s="3"/>
      <c r="J8366" s="3"/>
    </row>
    <row r="8367" spans="8:10" x14ac:dyDescent="0.3">
      <c r="H8367" s="3"/>
      <c r="I8367" s="3"/>
      <c r="J8367" s="3"/>
    </row>
    <row r="8368" spans="8:10" x14ac:dyDescent="0.3">
      <c r="H8368" s="3"/>
      <c r="I8368" s="3"/>
      <c r="J8368" s="3"/>
    </row>
    <row r="8369" spans="8:10" x14ac:dyDescent="0.3">
      <c r="H8369" s="3"/>
      <c r="I8369" s="3"/>
      <c r="J8369" s="3"/>
    </row>
    <row r="8370" spans="8:10" x14ac:dyDescent="0.3">
      <c r="H8370" s="3"/>
      <c r="I8370" s="3"/>
      <c r="J8370" s="3"/>
    </row>
    <row r="8371" spans="8:10" x14ac:dyDescent="0.3">
      <c r="H8371" s="3"/>
      <c r="I8371" s="3"/>
      <c r="J8371" s="3"/>
    </row>
    <row r="8372" spans="8:10" x14ac:dyDescent="0.3">
      <c r="H8372" s="3"/>
      <c r="I8372" s="3"/>
      <c r="J8372" s="3"/>
    </row>
    <row r="8373" spans="8:10" x14ac:dyDescent="0.3">
      <c r="H8373" s="3"/>
      <c r="I8373" s="3"/>
      <c r="J8373" s="3"/>
    </row>
    <row r="8374" spans="8:10" x14ac:dyDescent="0.3">
      <c r="H8374" s="3"/>
      <c r="I8374" s="3"/>
      <c r="J8374" s="3"/>
    </row>
    <row r="8375" spans="8:10" x14ac:dyDescent="0.3">
      <c r="H8375" s="3"/>
      <c r="I8375" s="3"/>
      <c r="J8375" s="3"/>
    </row>
    <row r="8376" spans="8:10" x14ac:dyDescent="0.3">
      <c r="H8376" s="3"/>
      <c r="I8376" s="3"/>
      <c r="J8376" s="3"/>
    </row>
    <row r="8377" spans="8:10" x14ac:dyDescent="0.3">
      <c r="H8377" s="3"/>
      <c r="I8377" s="3"/>
      <c r="J8377" s="3"/>
    </row>
    <row r="8378" spans="8:10" x14ac:dyDescent="0.3">
      <c r="H8378" s="3"/>
      <c r="I8378" s="3"/>
      <c r="J8378" s="3"/>
    </row>
    <row r="8379" spans="8:10" x14ac:dyDescent="0.3">
      <c r="H8379" s="3"/>
      <c r="I8379" s="3"/>
      <c r="J8379" s="3"/>
    </row>
    <row r="8380" spans="8:10" x14ac:dyDescent="0.3">
      <c r="H8380" s="3"/>
      <c r="I8380" s="3"/>
      <c r="J8380" s="3"/>
    </row>
    <row r="8381" spans="8:10" x14ac:dyDescent="0.3">
      <c r="H8381" s="3"/>
      <c r="I8381" s="3"/>
      <c r="J8381" s="3"/>
    </row>
    <row r="8382" spans="8:10" x14ac:dyDescent="0.3">
      <c r="H8382" s="3"/>
      <c r="I8382" s="3"/>
      <c r="J8382" s="3"/>
    </row>
    <row r="8383" spans="8:10" x14ac:dyDescent="0.3">
      <c r="H8383" s="3"/>
      <c r="I8383" s="3"/>
      <c r="J8383" s="3"/>
    </row>
    <row r="8384" spans="8:10" x14ac:dyDescent="0.3">
      <c r="H8384" s="3"/>
      <c r="I8384" s="3"/>
      <c r="J8384" s="3"/>
    </row>
    <row r="8385" spans="8:10" x14ac:dyDescent="0.3">
      <c r="H8385" s="3"/>
      <c r="I8385" s="3"/>
      <c r="J8385" s="3"/>
    </row>
    <row r="8386" spans="8:10" x14ac:dyDescent="0.3">
      <c r="H8386" s="3"/>
      <c r="I8386" s="3"/>
      <c r="J8386" s="3"/>
    </row>
    <row r="8387" spans="8:10" x14ac:dyDescent="0.3">
      <c r="H8387" s="3"/>
      <c r="I8387" s="3"/>
      <c r="J8387" s="3"/>
    </row>
    <row r="8388" spans="8:10" x14ac:dyDescent="0.3">
      <c r="H8388" s="3"/>
      <c r="I8388" s="3"/>
      <c r="J8388" s="3"/>
    </row>
    <row r="8389" spans="8:10" x14ac:dyDescent="0.3">
      <c r="H8389" s="3"/>
      <c r="I8389" s="3"/>
      <c r="J8389" s="3"/>
    </row>
    <row r="8390" spans="8:10" x14ac:dyDescent="0.3">
      <c r="H8390" s="3"/>
      <c r="I8390" s="3"/>
      <c r="J8390" s="3"/>
    </row>
    <row r="8391" spans="8:10" x14ac:dyDescent="0.3">
      <c r="H8391" s="3"/>
      <c r="I8391" s="3"/>
      <c r="J8391" s="3"/>
    </row>
    <row r="8392" spans="8:10" x14ac:dyDescent="0.3">
      <c r="H8392" s="3"/>
      <c r="I8392" s="3"/>
      <c r="J8392" s="3"/>
    </row>
    <row r="8393" spans="8:10" x14ac:dyDescent="0.3">
      <c r="H8393" s="3"/>
      <c r="I8393" s="3"/>
      <c r="J8393" s="3"/>
    </row>
    <row r="8394" spans="8:10" x14ac:dyDescent="0.3">
      <c r="H8394" s="3"/>
      <c r="I8394" s="3"/>
      <c r="J8394" s="3"/>
    </row>
    <row r="8395" spans="8:10" x14ac:dyDescent="0.3">
      <c r="H8395" s="3"/>
      <c r="I8395" s="3"/>
      <c r="J8395" s="3"/>
    </row>
    <row r="8396" spans="8:10" x14ac:dyDescent="0.3">
      <c r="H8396" s="3"/>
      <c r="I8396" s="3"/>
      <c r="J8396" s="3"/>
    </row>
    <row r="8397" spans="8:10" x14ac:dyDescent="0.3">
      <c r="H8397" s="3"/>
      <c r="I8397" s="3"/>
      <c r="J8397" s="3"/>
    </row>
    <row r="8398" spans="8:10" x14ac:dyDescent="0.3">
      <c r="H8398" s="3"/>
      <c r="I8398" s="3"/>
      <c r="J8398" s="3"/>
    </row>
    <row r="8399" spans="8:10" x14ac:dyDescent="0.3">
      <c r="H8399" s="3"/>
      <c r="I8399" s="3"/>
      <c r="J8399" s="3"/>
    </row>
    <row r="8400" spans="8:10" x14ac:dyDescent="0.3">
      <c r="H8400" s="3"/>
      <c r="I8400" s="3"/>
      <c r="J8400" s="3"/>
    </row>
    <row r="8401" spans="8:10" x14ac:dyDescent="0.3">
      <c r="H8401" s="3"/>
      <c r="I8401" s="3"/>
      <c r="J8401" s="3"/>
    </row>
    <row r="8402" spans="8:10" x14ac:dyDescent="0.3">
      <c r="H8402" s="3"/>
      <c r="I8402" s="3"/>
      <c r="J8402" s="3"/>
    </row>
    <row r="8403" spans="8:10" x14ac:dyDescent="0.3">
      <c r="H8403" s="3"/>
      <c r="I8403" s="3"/>
      <c r="J8403" s="3"/>
    </row>
    <row r="8404" spans="8:10" x14ac:dyDescent="0.3">
      <c r="H8404" s="3"/>
      <c r="I8404" s="3"/>
      <c r="J8404" s="3"/>
    </row>
    <row r="8405" spans="8:10" x14ac:dyDescent="0.3">
      <c r="H8405" s="3"/>
      <c r="I8405" s="3"/>
      <c r="J8405" s="3"/>
    </row>
    <row r="8406" spans="8:10" x14ac:dyDescent="0.3">
      <c r="H8406" s="3"/>
      <c r="I8406" s="3"/>
      <c r="J8406" s="3"/>
    </row>
    <row r="8407" spans="8:10" x14ac:dyDescent="0.3">
      <c r="H8407" s="3"/>
      <c r="I8407" s="3"/>
      <c r="J8407" s="3"/>
    </row>
    <row r="8408" spans="8:10" x14ac:dyDescent="0.3">
      <c r="H8408" s="3"/>
      <c r="I8408" s="3"/>
      <c r="J8408" s="3"/>
    </row>
    <row r="8409" spans="8:10" x14ac:dyDescent="0.3">
      <c r="H8409" s="3"/>
      <c r="I8409" s="3"/>
      <c r="J8409" s="3"/>
    </row>
    <row r="8410" spans="8:10" x14ac:dyDescent="0.3">
      <c r="H8410" s="3"/>
      <c r="I8410" s="3"/>
      <c r="J8410" s="3"/>
    </row>
    <row r="8411" spans="8:10" x14ac:dyDescent="0.3">
      <c r="H8411" s="3"/>
      <c r="I8411" s="3"/>
      <c r="J8411" s="3"/>
    </row>
    <row r="8412" spans="8:10" x14ac:dyDescent="0.3">
      <c r="H8412" s="3"/>
      <c r="I8412" s="3"/>
      <c r="J8412" s="3"/>
    </row>
    <row r="8413" spans="8:10" x14ac:dyDescent="0.3">
      <c r="H8413" s="3"/>
      <c r="I8413" s="3"/>
      <c r="J8413" s="3"/>
    </row>
    <row r="8414" spans="8:10" x14ac:dyDescent="0.3">
      <c r="H8414" s="3"/>
      <c r="I8414" s="3"/>
      <c r="J8414" s="3"/>
    </row>
    <row r="8415" spans="8:10" x14ac:dyDescent="0.3">
      <c r="H8415" s="3"/>
      <c r="I8415" s="3"/>
      <c r="J8415" s="3"/>
    </row>
    <row r="8416" spans="8:10" x14ac:dyDescent="0.3">
      <c r="H8416" s="3"/>
      <c r="I8416" s="3"/>
      <c r="J8416" s="3"/>
    </row>
    <row r="8417" spans="8:10" x14ac:dyDescent="0.3">
      <c r="H8417" s="3"/>
      <c r="I8417" s="3"/>
      <c r="J8417" s="3"/>
    </row>
    <row r="8418" spans="8:10" x14ac:dyDescent="0.3">
      <c r="H8418" s="3"/>
      <c r="I8418" s="3"/>
      <c r="J8418" s="3"/>
    </row>
    <row r="8419" spans="8:10" x14ac:dyDescent="0.3">
      <c r="H8419" s="3"/>
      <c r="I8419" s="3"/>
      <c r="J8419" s="3"/>
    </row>
    <row r="8420" spans="8:10" x14ac:dyDescent="0.3">
      <c r="H8420" s="3"/>
      <c r="I8420" s="3"/>
      <c r="J8420" s="3"/>
    </row>
    <row r="8421" spans="8:10" x14ac:dyDescent="0.3">
      <c r="H8421" s="3"/>
      <c r="I8421" s="3"/>
      <c r="J8421" s="3"/>
    </row>
    <row r="8422" spans="8:10" x14ac:dyDescent="0.3">
      <c r="H8422" s="3"/>
      <c r="I8422" s="3"/>
      <c r="J8422" s="3"/>
    </row>
    <row r="8423" spans="8:10" x14ac:dyDescent="0.3">
      <c r="H8423" s="3"/>
      <c r="I8423" s="3"/>
      <c r="J8423" s="3"/>
    </row>
    <row r="8424" spans="8:10" x14ac:dyDescent="0.3">
      <c r="H8424" s="3"/>
      <c r="I8424" s="3"/>
      <c r="J8424" s="3"/>
    </row>
    <row r="8425" spans="8:10" x14ac:dyDescent="0.3">
      <c r="H8425" s="3"/>
      <c r="I8425" s="3"/>
      <c r="J8425" s="3"/>
    </row>
    <row r="8426" spans="8:10" x14ac:dyDescent="0.3">
      <c r="H8426" s="3"/>
      <c r="I8426" s="3"/>
      <c r="J8426" s="3"/>
    </row>
    <row r="8427" spans="8:10" x14ac:dyDescent="0.3">
      <c r="H8427" s="3"/>
      <c r="I8427" s="3"/>
      <c r="J8427" s="3"/>
    </row>
    <row r="8428" spans="8:10" x14ac:dyDescent="0.3">
      <c r="H8428" s="3"/>
      <c r="I8428" s="3"/>
      <c r="J8428" s="3"/>
    </row>
    <row r="8429" spans="8:10" x14ac:dyDescent="0.3">
      <c r="H8429" s="3"/>
      <c r="I8429" s="3"/>
      <c r="J8429" s="3"/>
    </row>
    <row r="8430" spans="8:10" x14ac:dyDescent="0.3">
      <c r="H8430" s="3"/>
      <c r="I8430" s="3"/>
      <c r="J8430" s="3"/>
    </row>
    <row r="8431" spans="8:10" x14ac:dyDescent="0.3">
      <c r="H8431" s="3"/>
      <c r="I8431" s="3"/>
      <c r="J8431" s="3"/>
    </row>
    <row r="8432" spans="8:10" x14ac:dyDescent="0.3">
      <c r="H8432" s="3"/>
      <c r="I8432" s="3"/>
      <c r="J8432" s="3"/>
    </row>
    <row r="8433" spans="8:10" x14ac:dyDescent="0.3">
      <c r="H8433" s="3"/>
      <c r="I8433" s="3"/>
      <c r="J8433" s="3"/>
    </row>
    <row r="8434" spans="8:10" x14ac:dyDescent="0.3">
      <c r="H8434" s="3"/>
      <c r="I8434" s="3"/>
      <c r="J8434" s="3"/>
    </row>
    <row r="8435" spans="8:10" x14ac:dyDescent="0.3">
      <c r="H8435" s="3"/>
      <c r="I8435" s="3"/>
      <c r="J8435" s="3"/>
    </row>
    <row r="8436" spans="8:10" x14ac:dyDescent="0.3">
      <c r="H8436" s="3"/>
      <c r="I8436" s="3"/>
      <c r="J8436" s="3"/>
    </row>
    <row r="8437" spans="8:10" x14ac:dyDescent="0.3">
      <c r="H8437" s="3"/>
      <c r="I8437" s="3"/>
      <c r="J8437" s="3"/>
    </row>
    <row r="8438" spans="8:10" x14ac:dyDescent="0.3">
      <c r="H8438" s="3"/>
      <c r="I8438" s="3"/>
      <c r="J8438" s="3"/>
    </row>
    <row r="8439" spans="8:10" x14ac:dyDescent="0.3">
      <c r="H8439" s="3"/>
      <c r="I8439" s="3"/>
      <c r="J8439" s="3"/>
    </row>
    <row r="8440" spans="8:10" x14ac:dyDescent="0.3">
      <c r="H8440" s="3"/>
      <c r="I8440" s="3"/>
      <c r="J8440" s="3"/>
    </row>
    <row r="8441" spans="8:10" x14ac:dyDescent="0.3">
      <c r="H8441" s="3"/>
      <c r="I8441" s="3"/>
      <c r="J8441" s="3"/>
    </row>
    <row r="8442" spans="8:10" x14ac:dyDescent="0.3">
      <c r="H8442" s="3"/>
      <c r="I8442" s="3"/>
      <c r="J8442" s="3"/>
    </row>
    <row r="8443" spans="8:10" x14ac:dyDescent="0.3">
      <c r="H8443" s="3"/>
      <c r="I8443" s="3"/>
      <c r="J8443" s="3"/>
    </row>
    <row r="8444" spans="8:10" x14ac:dyDescent="0.3">
      <c r="H8444" s="3"/>
      <c r="I8444" s="3"/>
      <c r="J8444" s="3"/>
    </row>
    <row r="8445" spans="8:10" x14ac:dyDescent="0.3">
      <c r="H8445" s="3"/>
      <c r="I8445" s="3"/>
      <c r="J8445" s="3"/>
    </row>
    <row r="8446" spans="8:10" x14ac:dyDescent="0.3">
      <c r="H8446" s="3"/>
      <c r="I8446" s="3"/>
      <c r="J8446" s="3"/>
    </row>
    <row r="8447" spans="8:10" x14ac:dyDescent="0.3">
      <c r="H8447" s="3"/>
      <c r="I8447" s="3"/>
      <c r="J8447" s="3"/>
    </row>
    <row r="8448" spans="8:10" x14ac:dyDescent="0.3">
      <c r="H8448" s="3"/>
      <c r="I8448" s="3"/>
      <c r="J8448" s="3"/>
    </row>
    <row r="8449" spans="8:10" x14ac:dyDescent="0.3">
      <c r="H8449" s="3"/>
      <c r="I8449" s="3"/>
      <c r="J8449" s="3"/>
    </row>
    <row r="8450" spans="8:10" x14ac:dyDescent="0.3">
      <c r="H8450" s="3"/>
      <c r="I8450" s="3"/>
      <c r="J8450" s="3"/>
    </row>
    <row r="8451" spans="8:10" x14ac:dyDescent="0.3">
      <c r="H8451" s="3"/>
      <c r="I8451" s="3"/>
      <c r="J8451" s="3"/>
    </row>
    <row r="8452" spans="8:10" x14ac:dyDescent="0.3">
      <c r="H8452" s="3"/>
      <c r="I8452" s="3"/>
      <c r="J8452" s="3"/>
    </row>
    <row r="8453" spans="8:10" x14ac:dyDescent="0.3">
      <c r="H8453" s="3"/>
      <c r="I8453" s="3"/>
      <c r="J8453" s="3"/>
    </row>
    <row r="8454" spans="8:10" x14ac:dyDescent="0.3">
      <c r="H8454" s="3"/>
      <c r="I8454" s="3"/>
      <c r="J8454" s="3"/>
    </row>
    <row r="8455" spans="8:10" x14ac:dyDescent="0.3">
      <c r="H8455" s="3"/>
      <c r="I8455" s="3"/>
      <c r="J8455" s="3"/>
    </row>
    <row r="8456" spans="8:10" x14ac:dyDescent="0.3">
      <c r="H8456" s="3"/>
      <c r="I8456" s="3"/>
      <c r="J8456" s="3"/>
    </row>
    <row r="8457" spans="8:10" x14ac:dyDescent="0.3">
      <c r="H8457" s="3"/>
      <c r="I8457" s="3"/>
      <c r="J8457" s="3"/>
    </row>
    <row r="8458" spans="8:10" x14ac:dyDescent="0.3">
      <c r="H8458" s="3"/>
      <c r="I8458" s="3"/>
      <c r="J8458" s="3"/>
    </row>
    <row r="8459" spans="8:10" x14ac:dyDescent="0.3">
      <c r="H8459" s="3"/>
      <c r="I8459" s="3"/>
      <c r="J8459" s="3"/>
    </row>
    <row r="8460" spans="8:10" x14ac:dyDescent="0.3">
      <c r="H8460" s="3"/>
      <c r="I8460" s="3"/>
      <c r="J8460" s="3"/>
    </row>
    <row r="8461" spans="8:10" x14ac:dyDescent="0.3">
      <c r="H8461" s="3"/>
      <c r="I8461" s="3"/>
      <c r="J8461" s="3"/>
    </row>
    <row r="8462" spans="8:10" x14ac:dyDescent="0.3">
      <c r="H8462" s="3"/>
      <c r="I8462" s="3"/>
      <c r="J8462" s="3"/>
    </row>
    <row r="8463" spans="8:10" x14ac:dyDescent="0.3">
      <c r="H8463" s="3"/>
      <c r="I8463" s="3"/>
      <c r="J8463" s="3"/>
    </row>
    <row r="8464" spans="8:10" x14ac:dyDescent="0.3">
      <c r="H8464" s="3"/>
      <c r="I8464" s="3"/>
      <c r="J8464" s="3"/>
    </row>
    <row r="8465" spans="8:10" x14ac:dyDescent="0.3">
      <c r="H8465" s="3"/>
      <c r="I8465" s="3"/>
      <c r="J8465" s="3"/>
    </row>
    <row r="8466" spans="8:10" x14ac:dyDescent="0.3">
      <c r="H8466" s="3"/>
      <c r="I8466" s="3"/>
      <c r="J8466" s="3"/>
    </row>
    <row r="8467" spans="8:10" x14ac:dyDescent="0.3">
      <c r="H8467" s="3"/>
      <c r="I8467" s="3"/>
      <c r="J8467" s="3"/>
    </row>
    <row r="8468" spans="8:10" x14ac:dyDescent="0.3">
      <c r="H8468" s="3"/>
      <c r="I8468" s="3"/>
      <c r="J8468" s="3"/>
    </row>
    <row r="8469" spans="8:10" x14ac:dyDescent="0.3">
      <c r="H8469" s="3"/>
      <c r="I8469" s="3"/>
      <c r="J8469" s="3"/>
    </row>
    <row r="8470" spans="8:10" x14ac:dyDescent="0.3">
      <c r="H8470" s="3"/>
      <c r="I8470" s="3"/>
      <c r="J8470" s="3"/>
    </row>
    <row r="8471" spans="8:10" x14ac:dyDescent="0.3">
      <c r="H8471" s="3"/>
      <c r="I8471" s="3"/>
      <c r="J8471" s="3"/>
    </row>
    <row r="8472" spans="8:10" x14ac:dyDescent="0.3">
      <c r="H8472" s="3"/>
      <c r="I8472" s="3"/>
      <c r="J8472" s="3"/>
    </row>
    <row r="8473" spans="8:10" x14ac:dyDescent="0.3">
      <c r="H8473" s="3"/>
      <c r="I8473" s="3"/>
      <c r="J8473" s="3"/>
    </row>
    <row r="8474" spans="8:10" x14ac:dyDescent="0.3">
      <c r="H8474" s="3"/>
      <c r="I8474" s="3"/>
      <c r="J8474" s="3"/>
    </row>
    <row r="8475" spans="8:10" x14ac:dyDescent="0.3">
      <c r="H8475" s="3"/>
      <c r="I8475" s="3"/>
      <c r="J8475" s="3"/>
    </row>
    <row r="8476" spans="8:10" x14ac:dyDescent="0.3">
      <c r="H8476" s="3"/>
      <c r="I8476" s="3"/>
      <c r="J8476" s="3"/>
    </row>
    <row r="8477" spans="8:10" x14ac:dyDescent="0.3">
      <c r="H8477" s="3"/>
      <c r="I8477" s="3"/>
      <c r="J8477" s="3"/>
    </row>
    <row r="8478" spans="8:10" x14ac:dyDescent="0.3">
      <c r="H8478" s="3"/>
      <c r="I8478" s="3"/>
      <c r="J8478" s="3"/>
    </row>
    <row r="8479" spans="8:10" x14ac:dyDescent="0.3">
      <c r="H8479" s="3"/>
      <c r="I8479" s="3"/>
      <c r="J8479" s="3"/>
    </row>
    <row r="8480" spans="8:10" x14ac:dyDescent="0.3">
      <c r="H8480" s="3"/>
      <c r="I8480" s="3"/>
      <c r="J8480" s="3"/>
    </row>
    <row r="8481" spans="8:10" x14ac:dyDescent="0.3">
      <c r="H8481" s="3"/>
      <c r="I8481" s="3"/>
      <c r="J8481" s="3"/>
    </row>
    <row r="8482" spans="8:10" x14ac:dyDescent="0.3">
      <c r="H8482" s="3"/>
      <c r="I8482" s="3"/>
      <c r="J8482" s="3"/>
    </row>
    <row r="8483" spans="8:10" x14ac:dyDescent="0.3">
      <c r="H8483" s="3"/>
      <c r="I8483" s="3"/>
      <c r="J8483" s="3"/>
    </row>
    <row r="8484" spans="8:10" x14ac:dyDescent="0.3">
      <c r="H8484" s="3"/>
      <c r="I8484" s="3"/>
      <c r="J8484" s="3"/>
    </row>
    <row r="8485" spans="8:10" x14ac:dyDescent="0.3">
      <c r="H8485" s="3"/>
      <c r="I8485" s="3"/>
      <c r="J8485" s="3"/>
    </row>
    <row r="8486" spans="8:10" x14ac:dyDescent="0.3">
      <c r="H8486" s="3"/>
      <c r="I8486" s="3"/>
      <c r="J8486" s="3"/>
    </row>
    <row r="8487" spans="8:10" x14ac:dyDescent="0.3">
      <c r="H8487" s="3"/>
      <c r="I8487" s="3"/>
      <c r="J8487" s="3"/>
    </row>
    <row r="8488" spans="8:10" x14ac:dyDescent="0.3">
      <c r="H8488" s="3"/>
      <c r="I8488" s="3"/>
      <c r="J8488" s="3"/>
    </row>
    <row r="8489" spans="8:10" x14ac:dyDescent="0.3">
      <c r="H8489" s="3"/>
      <c r="I8489" s="3"/>
      <c r="J8489" s="3"/>
    </row>
    <row r="8490" spans="8:10" x14ac:dyDescent="0.3">
      <c r="H8490" s="3"/>
      <c r="I8490" s="3"/>
      <c r="J8490" s="3"/>
    </row>
    <row r="8491" spans="8:10" x14ac:dyDescent="0.3">
      <c r="H8491" s="3"/>
      <c r="I8491" s="3"/>
      <c r="J8491" s="3"/>
    </row>
    <row r="8492" spans="8:10" x14ac:dyDescent="0.3">
      <c r="H8492" s="3"/>
      <c r="I8492" s="3"/>
      <c r="J8492" s="3"/>
    </row>
    <row r="8493" spans="8:10" x14ac:dyDescent="0.3">
      <c r="H8493" s="3"/>
      <c r="I8493" s="3"/>
      <c r="J8493" s="3"/>
    </row>
    <row r="8494" spans="8:10" x14ac:dyDescent="0.3">
      <c r="H8494" s="3"/>
      <c r="I8494" s="3"/>
      <c r="J8494" s="3"/>
    </row>
    <row r="8495" spans="8:10" x14ac:dyDescent="0.3">
      <c r="H8495" s="3"/>
      <c r="I8495" s="3"/>
      <c r="J8495" s="3"/>
    </row>
    <row r="8496" spans="8:10" x14ac:dyDescent="0.3">
      <c r="H8496" s="3"/>
      <c r="I8496" s="3"/>
      <c r="J8496" s="3"/>
    </row>
    <row r="8497" spans="8:10" x14ac:dyDescent="0.3">
      <c r="H8497" s="3"/>
      <c r="I8497" s="3"/>
      <c r="J8497" s="3"/>
    </row>
    <row r="8498" spans="8:10" x14ac:dyDescent="0.3">
      <c r="H8498" s="3"/>
      <c r="I8498" s="3"/>
      <c r="J8498" s="3"/>
    </row>
    <row r="8499" spans="8:10" x14ac:dyDescent="0.3">
      <c r="H8499" s="3"/>
      <c r="I8499" s="3"/>
      <c r="J8499" s="3"/>
    </row>
    <row r="8500" spans="8:10" x14ac:dyDescent="0.3">
      <c r="H8500" s="3"/>
      <c r="I8500" s="3"/>
      <c r="J8500" s="3"/>
    </row>
    <row r="8501" spans="8:10" x14ac:dyDescent="0.3">
      <c r="H8501" s="3"/>
      <c r="I8501" s="3"/>
      <c r="J8501" s="3"/>
    </row>
    <row r="8502" spans="8:10" x14ac:dyDescent="0.3">
      <c r="H8502" s="3"/>
      <c r="I8502" s="3"/>
      <c r="J8502" s="3"/>
    </row>
    <row r="8503" spans="8:10" x14ac:dyDescent="0.3">
      <c r="H8503" s="3"/>
      <c r="I8503" s="3"/>
      <c r="J8503" s="3"/>
    </row>
    <row r="8504" spans="8:10" x14ac:dyDescent="0.3">
      <c r="H8504" s="3"/>
      <c r="I8504" s="3"/>
      <c r="J8504" s="3"/>
    </row>
    <row r="8505" spans="8:10" x14ac:dyDescent="0.3">
      <c r="H8505" s="3"/>
      <c r="I8505" s="3"/>
      <c r="J8505" s="3"/>
    </row>
    <row r="8506" spans="8:10" x14ac:dyDescent="0.3">
      <c r="H8506" s="3"/>
      <c r="I8506" s="3"/>
      <c r="J8506" s="3"/>
    </row>
    <row r="8507" spans="8:10" x14ac:dyDescent="0.3">
      <c r="H8507" s="3"/>
      <c r="I8507" s="3"/>
      <c r="J8507" s="3"/>
    </row>
    <row r="8508" spans="8:10" x14ac:dyDescent="0.3">
      <c r="H8508" s="3"/>
      <c r="I8508" s="3"/>
      <c r="J8508" s="3"/>
    </row>
    <row r="8509" spans="8:10" x14ac:dyDescent="0.3">
      <c r="H8509" s="3"/>
      <c r="I8509" s="3"/>
      <c r="J8509" s="3"/>
    </row>
    <row r="8510" spans="8:10" x14ac:dyDescent="0.3">
      <c r="H8510" s="3"/>
      <c r="I8510" s="3"/>
      <c r="J8510" s="3"/>
    </row>
    <row r="8511" spans="8:10" x14ac:dyDescent="0.3">
      <c r="H8511" s="3"/>
      <c r="I8511" s="3"/>
      <c r="J8511" s="3"/>
    </row>
    <row r="8512" spans="8:10" x14ac:dyDescent="0.3">
      <c r="H8512" s="3"/>
      <c r="I8512" s="3"/>
      <c r="J8512" s="3"/>
    </row>
    <row r="8513" spans="8:10" x14ac:dyDescent="0.3">
      <c r="H8513" s="3"/>
      <c r="I8513" s="3"/>
      <c r="J8513" s="3"/>
    </row>
    <row r="8514" spans="8:10" x14ac:dyDescent="0.3">
      <c r="H8514" s="3"/>
      <c r="I8514" s="3"/>
      <c r="J8514" s="3"/>
    </row>
    <row r="8515" spans="8:10" x14ac:dyDescent="0.3">
      <c r="H8515" s="3"/>
      <c r="I8515" s="3"/>
      <c r="J8515" s="3"/>
    </row>
    <row r="8516" spans="8:10" x14ac:dyDescent="0.3">
      <c r="H8516" s="3"/>
      <c r="I8516" s="3"/>
      <c r="J8516" s="3"/>
    </row>
    <row r="8517" spans="8:10" x14ac:dyDescent="0.3">
      <c r="H8517" s="3"/>
      <c r="I8517" s="3"/>
      <c r="J8517" s="3"/>
    </row>
    <row r="8518" spans="8:10" x14ac:dyDescent="0.3">
      <c r="H8518" s="3"/>
      <c r="I8518" s="3"/>
      <c r="J8518" s="3"/>
    </row>
    <row r="8519" spans="8:10" x14ac:dyDescent="0.3">
      <c r="H8519" s="3"/>
      <c r="I8519" s="3"/>
      <c r="J8519" s="3"/>
    </row>
    <row r="8520" spans="8:10" x14ac:dyDescent="0.3">
      <c r="H8520" s="3"/>
      <c r="I8520" s="3"/>
      <c r="J8520" s="3"/>
    </row>
    <row r="8521" spans="8:10" x14ac:dyDescent="0.3">
      <c r="H8521" s="3"/>
      <c r="I8521" s="3"/>
      <c r="J8521" s="3"/>
    </row>
    <row r="8522" spans="8:10" x14ac:dyDescent="0.3">
      <c r="H8522" s="3"/>
      <c r="I8522" s="3"/>
      <c r="J8522" s="3"/>
    </row>
    <row r="8523" spans="8:10" x14ac:dyDescent="0.3">
      <c r="H8523" s="3"/>
      <c r="I8523" s="3"/>
      <c r="J8523" s="3"/>
    </row>
    <row r="8524" spans="8:10" x14ac:dyDescent="0.3">
      <c r="H8524" s="3"/>
      <c r="I8524" s="3"/>
      <c r="J8524" s="3"/>
    </row>
    <row r="8525" spans="8:10" x14ac:dyDescent="0.3">
      <c r="H8525" s="3"/>
      <c r="I8525" s="3"/>
      <c r="J8525" s="3"/>
    </row>
    <row r="8526" spans="8:10" x14ac:dyDescent="0.3">
      <c r="H8526" s="3"/>
      <c r="I8526" s="3"/>
      <c r="J8526" s="3"/>
    </row>
    <row r="8527" spans="8:10" x14ac:dyDescent="0.3">
      <c r="H8527" s="3"/>
      <c r="I8527" s="3"/>
      <c r="J8527" s="3"/>
    </row>
    <row r="8528" spans="8:10" x14ac:dyDescent="0.3">
      <c r="H8528" s="3"/>
      <c r="I8528" s="3"/>
      <c r="J8528" s="3"/>
    </row>
    <row r="8529" spans="8:10" x14ac:dyDescent="0.3">
      <c r="H8529" s="3"/>
      <c r="I8529" s="3"/>
      <c r="J8529" s="3"/>
    </row>
    <row r="8530" spans="8:10" x14ac:dyDescent="0.3">
      <c r="H8530" s="3"/>
      <c r="I8530" s="3"/>
      <c r="J8530" s="3"/>
    </row>
    <row r="8531" spans="8:10" x14ac:dyDescent="0.3">
      <c r="H8531" s="3"/>
      <c r="I8531" s="3"/>
      <c r="J8531" s="3"/>
    </row>
    <row r="8532" spans="8:10" x14ac:dyDescent="0.3">
      <c r="H8532" s="3"/>
      <c r="I8532" s="3"/>
      <c r="J8532" s="3"/>
    </row>
    <row r="8533" spans="8:10" x14ac:dyDescent="0.3">
      <c r="H8533" s="3"/>
      <c r="I8533" s="3"/>
      <c r="J8533" s="3"/>
    </row>
    <row r="8534" spans="8:10" x14ac:dyDescent="0.3">
      <c r="H8534" s="3"/>
      <c r="I8534" s="3"/>
      <c r="J8534" s="3"/>
    </row>
    <row r="8535" spans="8:10" x14ac:dyDescent="0.3">
      <c r="H8535" s="3"/>
      <c r="I8535" s="3"/>
      <c r="J8535" s="3"/>
    </row>
    <row r="8536" spans="8:10" x14ac:dyDescent="0.3">
      <c r="H8536" s="3"/>
      <c r="I8536" s="3"/>
      <c r="J8536" s="3"/>
    </row>
    <row r="8537" spans="8:10" x14ac:dyDescent="0.3">
      <c r="H8537" s="3"/>
      <c r="I8537" s="3"/>
      <c r="J8537" s="3"/>
    </row>
    <row r="8538" spans="8:10" x14ac:dyDescent="0.3">
      <c r="H8538" s="3"/>
      <c r="I8538" s="3"/>
      <c r="J8538" s="3"/>
    </row>
    <row r="8539" spans="8:10" x14ac:dyDescent="0.3">
      <c r="H8539" s="3"/>
      <c r="I8539" s="3"/>
      <c r="J8539" s="3"/>
    </row>
    <row r="8540" spans="8:10" x14ac:dyDescent="0.3">
      <c r="H8540" s="3"/>
      <c r="I8540" s="3"/>
      <c r="J8540" s="3"/>
    </row>
    <row r="8541" spans="8:10" x14ac:dyDescent="0.3">
      <c r="H8541" s="3"/>
      <c r="I8541" s="3"/>
      <c r="J8541" s="3"/>
    </row>
    <row r="8542" spans="8:10" x14ac:dyDescent="0.3">
      <c r="H8542" s="3"/>
      <c r="I8542" s="3"/>
      <c r="J8542" s="3"/>
    </row>
    <row r="8543" spans="8:10" x14ac:dyDescent="0.3">
      <c r="H8543" s="3"/>
      <c r="I8543" s="3"/>
      <c r="J8543" s="3"/>
    </row>
    <row r="8544" spans="8:10" x14ac:dyDescent="0.3">
      <c r="H8544" s="3"/>
      <c r="I8544" s="3"/>
      <c r="J8544" s="3"/>
    </row>
    <row r="8545" spans="8:10" x14ac:dyDescent="0.3">
      <c r="H8545" s="3"/>
      <c r="I8545" s="3"/>
      <c r="J8545" s="3"/>
    </row>
    <row r="8546" spans="8:10" x14ac:dyDescent="0.3">
      <c r="H8546" s="3"/>
      <c r="I8546" s="3"/>
      <c r="J8546" s="3"/>
    </row>
    <row r="8547" spans="8:10" x14ac:dyDescent="0.3">
      <c r="H8547" s="3"/>
      <c r="I8547" s="3"/>
      <c r="J8547" s="3"/>
    </row>
    <row r="8548" spans="8:10" x14ac:dyDescent="0.3">
      <c r="H8548" s="3"/>
      <c r="I8548" s="3"/>
      <c r="J8548" s="3"/>
    </row>
    <row r="8549" spans="8:10" x14ac:dyDescent="0.3">
      <c r="H8549" s="3"/>
      <c r="I8549" s="3"/>
      <c r="J8549" s="3"/>
    </row>
    <row r="8550" spans="8:10" x14ac:dyDescent="0.3">
      <c r="H8550" s="3"/>
      <c r="I8550" s="3"/>
      <c r="J8550" s="3"/>
    </row>
    <row r="8551" spans="8:10" x14ac:dyDescent="0.3">
      <c r="H8551" s="3"/>
      <c r="I8551" s="3"/>
      <c r="J8551" s="3"/>
    </row>
    <row r="8552" spans="8:10" x14ac:dyDescent="0.3">
      <c r="H8552" s="3"/>
      <c r="I8552" s="3"/>
      <c r="J8552" s="3"/>
    </row>
    <row r="8553" spans="8:10" x14ac:dyDescent="0.3">
      <c r="H8553" s="3"/>
      <c r="I8553" s="3"/>
      <c r="J8553" s="3"/>
    </row>
    <row r="8554" spans="8:10" x14ac:dyDescent="0.3">
      <c r="H8554" s="3"/>
      <c r="I8554" s="3"/>
      <c r="J8554" s="3"/>
    </row>
    <row r="8555" spans="8:10" x14ac:dyDescent="0.3">
      <c r="H8555" s="3"/>
      <c r="I8555" s="3"/>
      <c r="J8555" s="3"/>
    </row>
    <row r="8556" spans="8:10" x14ac:dyDescent="0.3">
      <c r="H8556" s="3"/>
      <c r="I8556" s="3"/>
      <c r="J8556" s="3"/>
    </row>
    <row r="8557" spans="8:10" x14ac:dyDescent="0.3">
      <c r="H8557" s="3"/>
      <c r="I8557" s="3"/>
      <c r="J8557" s="3"/>
    </row>
    <row r="8558" spans="8:10" x14ac:dyDescent="0.3">
      <c r="H8558" s="3"/>
      <c r="I8558" s="3"/>
      <c r="J8558" s="3"/>
    </row>
    <row r="8559" spans="8:10" x14ac:dyDescent="0.3">
      <c r="H8559" s="3"/>
      <c r="I8559" s="3"/>
      <c r="J8559" s="3"/>
    </row>
    <row r="8560" spans="8:10" x14ac:dyDescent="0.3">
      <c r="H8560" s="3"/>
      <c r="I8560" s="3"/>
      <c r="J8560" s="3"/>
    </row>
    <row r="8561" spans="8:10" x14ac:dyDescent="0.3">
      <c r="H8561" s="3"/>
      <c r="I8561" s="3"/>
      <c r="J8561" s="3"/>
    </row>
    <row r="8562" spans="8:10" x14ac:dyDescent="0.3">
      <c r="H8562" s="3"/>
      <c r="I8562" s="3"/>
      <c r="J8562" s="3"/>
    </row>
    <row r="8563" spans="8:10" x14ac:dyDescent="0.3">
      <c r="H8563" s="3"/>
      <c r="I8563" s="3"/>
      <c r="J8563" s="3"/>
    </row>
    <row r="8564" spans="8:10" x14ac:dyDescent="0.3">
      <c r="H8564" s="3"/>
      <c r="I8564" s="3"/>
      <c r="J8564" s="3"/>
    </row>
    <row r="8565" spans="8:10" x14ac:dyDescent="0.3">
      <c r="H8565" s="3"/>
      <c r="I8565" s="3"/>
      <c r="J8565" s="3"/>
    </row>
    <row r="8566" spans="8:10" x14ac:dyDescent="0.3">
      <c r="H8566" s="3"/>
      <c r="I8566" s="3"/>
      <c r="J8566" s="3"/>
    </row>
    <row r="8567" spans="8:10" x14ac:dyDescent="0.3">
      <c r="H8567" s="3"/>
      <c r="I8567" s="3"/>
      <c r="J8567" s="3"/>
    </row>
    <row r="8568" spans="8:10" x14ac:dyDescent="0.3">
      <c r="H8568" s="3"/>
      <c r="I8568" s="3"/>
      <c r="J8568" s="3"/>
    </row>
    <row r="8569" spans="8:10" x14ac:dyDescent="0.3">
      <c r="H8569" s="3"/>
      <c r="I8569" s="3"/>
      <c r="J8569" s="3"/>
    </row>
    <row r="8570" spans="8:10" x14ac:dyDescent="0.3">
      <c r="H8570" s="3"/>
      <c r="I8570" s="3"/>
      <c r="J8570" s="3"/>
    </row>
    <row r="8571" spans="8:10" x14ac:dyDescent="0.3">
      <c r="H8571" s="3"/>
      <c r="I8571" s="3"/>
      <c r="J8571" s="3"/>
    </row>
    <row r="8572" spans="8:10" x14ac:dyDescent="0.3">
      <c r="H8572" s="3"/>
      <c r="I8572" s="3"/>
      <c r="J8572" s="3"/>
    </row>
    <row r="8573" spans="8:10" x14ac:dyDescent="0.3">
      <c r="H8573" s="3"/>
      <c r="I8573" s="3"/>
      <c r="J8573" s="3"/>
    </row>
    <row r="8574" spans="8:10" x14ac:dyDescent="0.3">
      <c r="H8574" s="3"/>
      <c r="I8574" s="3"/>
      <c r="J8574" s="3"/>
    </row>
    <row r="8575" spans="8:10" x14ac:dyDescent="0.3">
      <c r="H8575" s="3"/>
      <c r="I8575" s="3"/>
      <c r="J8575" s="3"/>
    </row>
    <row r="8576" spans="8:10" x14ac:dyDescent="0.3">
      <c r="H8576" s="3"/>
      <c r="I8576" s="3"/>
      <c r="J8576" s="3"/>
    </row>
    <row r="8577" spans="8:10" x14ac:dyDescent="0.3">
      <c r="H8577" s="3"/>
      <c r="I8577" s="3"/>
      <c r="J8577" s="3"/>
    </row>
    <row r="8578" spans="8:10" x14ac:dyDescent="0.3">
      <c r="H8578" s="3"/>
      <c r="I8578" s="3"/>
      <c r="J8578" s="3"/>
    </row>
    <row r="8579" spans="8:10" x14ac:dyDescent="0.3">
      <c r="H8579" s="3"/>
      <c r="I8579" s="3"/>
      <c r="J8579" s="3"/>
    </row>
    <row r="8580" spans="8:10" x14ac:dyDescent="0.3">
      <c r="H8580" s="3"/>
      <c r="I8580" s="3"/>
      <c r="J8580" s="3"/>
    </row>
    <row r="8581" spans="8:10" x14ac:dyDescent="0.3">
      <c r="H8581" s="3"/>
      <c r="I8581" s="3"/>
      <c r="J8581" s="3"/>
    </row>
    <row r="8582" spans="8:10" x14ac:dyDescent="0.3">
      <c r="H8582" s="3"/>
      <c r="I8582" s="3"/>
      <c r="J8582" s="3"/>
    </row>
    <row r="8583" spans="8:10" x14ac:dyDescent="0.3">
      <c r="H8583" s="3"/>
      <c r="I8583" s="3"/>
      <c r="J8583" s="3"/>
    </row>
    <row r="8584" spans="8:10" x14ac:dyDescent="0.3">
      <c r="H8584" s="3"/>
      <c r="I8584" s="3"/>
      <c r="J8584" s="3"/>
    </row>
    <row r="8585" spans="8:10" x14ac:dyDescent="0.3">
      <c r="H8585" s="3"/>
      <c r="I8585" s="3"/>
      <c r="J8585" s="3"/>
    </row>
    <row r="8586" spans="8:10" x14ac:dyDescent="0.3">
      <c r="H8586" s="3"/>
      <c r="I8586" s="3"/>
      <c r="J8586" s="3"/>
    </row>
    <row r="8587" spans="8:10" x14ac:dyDescent="0.3">
      <c r="H8587" s="3"/>
      <c r="I8587" s="3"/>
      <c r="J8587" s="3"/>
    </row>
    <row r="8588" spans="8:10" x14ac:dyDescent="0.3">
      <c r="H8588" s="3"/>
      <c r="I8588" s="3"/>
      <c r="J8588" s="3"/>
    </row>
    <row r="8589" spans="8:10" x14ac:dyDescent="0.3">
      <c r="H8589" s="3"/>
      <c r="I8589" s="3"/>
      <c r="J8589" s="3"/>
    </row>
    <row r="8590" spans="8:10" x14ac:dyDescent="0.3">
      <c r="H8590" s="3"/>
      <c r="I8590" s="3"/>
      <c r="J8590" s="3"/>
    </row>
    <row r="8591" spans="8:10" x14ac:dyDescent="0.3">
      <c r="H8591" s="3"/>
      <c r="I8591" s="3"/>
      <c r="J8591" s="3"/>
    </row>
    <row r="8592" spans="8:10" x14ac:dyDescent="0.3">
      <c r="H8592" s="3"/>
      <c r="I8592" s="3"/>
      <c r="J8592" s="3"/>
    </row>
    <row r="8593" spans="8:10" x14ac:dyDescent="0.3">
      <c r="H8593" s="3"/>
      <c r="I8593" s="3"/>
      <c r="J8593" s="3"/>
    </row>
    <row r="8594" spans="8:10" x14ac:dyDescent="0.3">
      <c r="H8594" s="3"/>
      <c r="I8594" s="3"/>
      <c r="J8594" s="3"/>
    </row>
    <row r="8595" spans="8:10" x14ac:dyDescent="0.3">
      <c r="H8595" s="3"/>
      <c r="I8595" s="3"/>
      <c r="J8595" s="3"/>
    </row>
    <row r="8596" spans="8:10" x14ac:dyDescent="0.3">
      <c r="H8596" s="3"/>
      <c r="I8596" s="3"/>
      <c r="J8596" s="3"/>
    </row>
    <row r="8597" spans="8:10" x14ac:dyDescent="0.3">
      <c r="H8597" s="3"/>
      <c r="I8597" s="3"/>
      <c r="J8597" s="3"/>
    </row>
    <row r="8598" spans="8:10" x14ac:dyDescent="0.3">
      <c r="H8598" s="3"/>
      <c r="I8598" s="3"/>
      <c r="J8598" s="3"/>
    </row>
    <row r="8599" spans="8:10" x14ac:dyDescent="0.3">
      <c r="H8599" s="3"/>
      <c r="I8599" s="3"/>
      <c r="J8599" s="3"/>
    </row>
    <row r="8600" spans="8:10" x14ac:dyDescent="0.3">
      <c r="H8600" s="3"/>
      <c r="I8600" s="3"/>
      <c r="J8600" s="3"/>
    </row>
    <row r="8601" spans="8:10" x14ac:dyDescent="0.3">
      <c r="H8601" s="3"/>
      <c r="I8601" s="3"/>
      <c r="J8601" s="3"/>
    </row>
    <row r="8602" spans="8:10" x14ac:dyDescent="0.3">
      <c r="H8602" s="3"/>
      <c r="I8602" s="3"/>
      <c r="J8602" s="3"/>
    </row>
    <row r="8603" spans="8:10" x14ac:dyDescent="0.3">
      <c r="H8603" s="3"/>
      <c r="I8603" s="3"/>
      <c r="J8603" s="3"/>
    </row>
    <row r="8604" spans="8:10" x14ac:dyDescent="0.3">
      <c r="H8604" s="3"/>
      <c r="I8604" s="3"/>
      <c r="J8604" s="3"/>
    </row>
    <row r="8605" spans="8:10" x14ac:dyDescent="0.3">
      <c r="H8605" s="3"/>
      <c r="I8605" s="3"/>
      <c r="J8605" s="3"/>
    </row>
    <row r="8606" spans="8:10" x14ac:dyDescent="0.3">
      <c r="H8606" s="3"/>
      <c r="I8606" s="3"/>
      <c r="J8606" s="3"/>
    </row>
    <row r="8607" spans="8:10" x14ac:dyDescent="0.3">
      <c r="H8607" s="3"/>
      <c r="I8607" s="3"/>
      <c r="J8607" s="3"/>
    </row>
    <row r="8608" spans="8:10" x14ac:dyDescent="0.3">
      <c r="H8608" s="3"/>
      <c r="I8608" s="3"/>
      <c r="J8608" s="3"/>
    </row>
    <row r="8609" spans="8:10" x14ac:dyDescent="0.3">
      <c r="H8609" s="3"/>
      <c r="I8609" s="3"/>
      <c r="J8609" s="3"/>
    </row>
    <row r="8610" spans="8:10" x14ac:dyDescent="0.3">
      <c r="H8610" s="3"/>
      <c r="I8610" s="3"/>
      <c r="J8610" s="3"/>
    </row>
    <row r="8611" spans="8:10" x14ac:dyDescent="0.3">
      <c r="H8611" s="3"/>
      <c r="I8611" s="3"/>
      <c r="J8611" s="3"/>
    </row>
    <row r="8612" spans="8:10" x14ac:dyDescent="0.3">
      <c r="H8612" s="3"/>
      <c r="I8612" s="3"/>
      <c r="J8612" s="3"/>
    </row>
    <row r="8613" spans="8:10" x14ac:dyDescent="0.3">
      <c r="H8613" s="3"/>
      <c r="I8613" s="3"/>
      <c r="J8613" s="3"/>
    </row>
    <row r="8614" spans="8:10" x14ac:dyDescent="0.3">
      <c r="H8614" s="3"/>
      <c r="I8614" s="3"/>
      <c r="J8614" s="3"/>
    </row>
    <row r="8615" spans="8:10" x14ac:dyDescent="0.3">
      <c r="H8615" s="3"/>
      <c r="I8615" s="3"/>
      <c r="J8615" s="3"/>
    </row>
    <row r="8616" spans="8:10" x14ac:dyDescent="0.3">
      <c r="H8616" s="3"/>
      <c r="I8616" s="3"/>
      <c r="J8616" s="3"/>
    </row>
    <row r="8617" spans="8:10" x14ac:dyDescent="0.3">
      <c r="H8617" s="3"/>
      <c r="I8617" s="3"/>
      <c r="J8617" s="3"/>
    </row>
    <row r="8618" spans="8:10" x14ac:dyDescent="0.3">
      <c r="H8618" s="3"/>
      <c r="I8618" s="3"/>
      <c r="J8618" s="3"/>
    </row>
    <row r="8619" spans="8:10" x14ac:dyDescent="0.3">
      <c r="H8619" s="3"/>
      <c r="I8619" s="3"/>
      <c r="J8619" s="3"/>
    </row>
    <row r="8620" spans="8:10" x14ac:dyDescent="0.3">
      <c r="H8620" s="3"/>
      <c r="I8620" s="3"/>
      <c r="J8620" s="3"/>
    </row>
    <row r="8621" spans="8:10" x14ac:dyDescent="0.3">
      <c r="H8621" s="3"/>
      <c r="I8621" s="3"/>
      <c r="J8621" s="3"/>
    </row>
    <row r="8622" spans="8:10" x14ac:dyDescent="0.3">
      <c r="H8622" s="3"/>
      <c r="I8622" s="3"/>
      <c r="J8622" s="3"/>
    </row>
    <row r="8623" spans="8:10" x14ac:dyDescent="0.3">
      <c r="H8623" s="3"/>
      <c r="I8623" s="3"/>
      <c r="J8623" s="3"/>
    </row>
    <row r="8624" spans="8:10" x14ac:dyDescent="0.3">
      <c r="H8624" s="3"/>
      <c r="I8624" s="3"/>
      <c r="J8624" s="3"/>
    </row>
    <row r="8625" spans="8:10" x14ac:dyDescent="0.3">
      <c r="H8625" s="3"/>
      <c r="I8625" s="3"/>
      <c r="J8625" s="3"/>
    </row>
    <row r="8626" spans="8:10" x14ac:dyDescent="0.3">
      <c r="H8626" s="3"/>
      <c r="I8626" s="3"/>
      <c r="J8626" s="3"/>
    </row>
    <row r="8627" spans="8:10" x14ac:dyDescent="0.3">
      <c r="H8627" s="3"/>
      <c r="I8627" s="3"/>
      <c r="J8627" s="3"/>
    </row>
    <row r="8628" spans="8:10" x14ac:dyDescent="0.3">
      <c r="H8628" s="3"/>
      <c r="I8628" s="3"/>
      <c r="J8628" s="3"/>
    </row>
    <row r="8629" spans="8:10" x14ac:dyDescent="0.3">
      <c r="H8629" s="3"/>
      <c r="I8629" s="3"/>
      <c r="J8629" s="3"/>
    </row>
    <row r="8630" spans="8:10" x14ac:dyDescent="0.3">
      <c r="H8630" s="3"/>
      <c r="I8630" s="3"/>
      <c r="J8630" s="3"/>
    </row>
    <row r="8631" spans="8:10" x14ac:dyDescent="0.3">
      <c r="H8631" s="3"/>
      <c r="I8631" s="3"/>
      <c r="J8631" s="3"/>
    </row>
    <row r="8632" spans="8:10" x14ac:dyDescent="0.3">
      <c r="H8632" s="3"/>
      <c r="I8632" s="3"/>
      <c r="J8632" s="3"/>
    </row>
    <row r="8633" spans="8:10" x14ac:dyDescent="0.3">
      <c r="H8633" s="3"/>
      <c r="I8633" s="3"/>
      <c r="J8633" s="3"/>
    </row>
    <row r="8634" spans="8:10" x14ac:dyDescent="0.3">
      <c r="H8634" s="3"/>
      <c r="I8634" s="3"/>
      <c r="J8634" s="3"/>
    </row>
    <row r="8635" spans="8:10" x14ac:dyDescent="0.3">
      <c r="H8635" s="3"/>
      <c r="I8635" s="3"/>
      <c r="J8635" s="3"/>
    </row>
    <row r="8636" spans="8:10" x14ac:dyDescent="0.3">
      <c r="H8636" s="3"/>
      <c r="I8636" s="3"/>
      <c r="J8636" s="3"/>
    </row>
    <row r="8637" spans="8:10" x14ac:dyDescent="0.3">
      <c r="H8637" s="3"/>
      <c r="I8637" s="3"/>
      <c r="J8637" s="3"/>
    </row>
    <row r="8638" spans="8:10" x14ac:dyDescent="0.3">
      <c r="H8638" s="3"/>
      <c r="I8638" s="3"/>
      <c r="J8638" s="3"/>
    </row>
    <row r="8639" spans="8:10" x14ac:dyDescent="0.3">
      <c r="H8639" s="3"/>
      <c r="I8639" s="3"/>
      <c r="J8639" s="3"/>
    </row>
    <row r="8640" spans="8:10" x14ac:dyDescent="0.3">
      <c r="H8640" s="3"/>
      <c r="I8640" s="3"/>
      <c r="J8640" s="3"/>
    </row>
    <row r="8641" spans="8:10" x14ac:dyDescent="0.3">
      <c r="H8641" s="3"/>
      <c r="I8641" s="3"/>
      <c r="J8641" s="3"/>
    </row>
    <row r="8642" spans="8:10" x14ac:dyDescent="0.3">
      <c r="H8642" s="3"/>
      <c r="I8642" s="3"/>
      <c r="J8642" s="3"/>
    </row>
    <row r="8643" spans="8:10" x14ac:dyDescent="0.3">
      <c r="H8643" s="3"/>
      <c r="I8643" s="3"/>
      <c r="J8643" s="3"/>
    </row>
    <row r="8644" spans="8:10" x14ac:dyDescent="0.3">
      <c r="H8644" s="3"/>
      <c r="I8644" s="3"/>
      <c r="J8644" s="3"/>
    </row>
    <row r="8645" spans="8:10" x14ac:dyDescent="0.3">
      <c r="H8645" s="3"/>
      <c r="I8645" s="3"/>
      <c r="J8645" s="3"/>
    </row>
    <row r="8646" spans="8:10" x14ac:dyDescent="0.3">
      <c r="H8646" s="3"/>
      <c r="I8646" s="3"/>
      <c r="J8646" s="3"/>
    </row>
    <row r="8647" spans="8:10" x14ac:dyDescent="0.3">
      <c r="H8647" s="3"/>
      <c r="I8647" s="3"/>
      <c r="J8647" s="3"/>
    </row>
    <row r="8648" spans="8:10" x14ac:dyDescent="0.3">
      <c r="H8648" s="3"/>
      <c r="I8648" s="3"/>
      <c r="J8648" s="3"/>
    </row>
    <row r="8649" spans="8:10" x14ac:dyDescent="0.3">
      <c r="H8649" s="3"/>
      <c r="I8649" s="3"/>
      <c r="J8649" s="3"/>
    </row>
    <row r="8650" spans="8:10" x14ac:dyDescent="0.3">
      <c r="H8650" s="3"/>
      <c r="I8650" s="3"/>
      <c r="J8650" s="3"/>
    </row>
    <row r="8651" spans="8:10" x14ac:dyDescent="0.3">
      <c r="H8651" s="3"/>
      <c r="I8651" s="3"/>
      <c r="J8651" s="3"/>
    </row>
    <row r="8652" spans="8:10" x14ac:dyDescent="0.3">
      <c r="H8652" s="3"/>
      <c r="I8652" s="3"/>
      <c r="J8652" s="3"/>
    </row>
    <row r="8653" spans="8:10" x14ac:dyDescent="0.3">
      <c r="H8653" s="3"/>
      <c r="I8653" s="3"/>
      <c r="J8653" s="3"/>
    </row>
    <row r="8654" spans="8:10" x14ac:dyDescent="0.3">
      <c r="H8654" s="3"/>
      <c r="I8654" s="3"/>
      <c r="J8654" s="3"/>
    </row>
    <row r="8655" spans="8:10" x14ac:dyDescent="0.3">
      <c r="H8655" s="3"/>
      <c r="I8655" s="3"/>
      <c r="J8655" s="3"/>
    </row>
    <row r="8656" spans="8:10" x14ac:dyDescent="0.3">
      <c r="H8656" s="3"/>
      <c r="I8656" s="3"/>
      <c r="J8656" s="3"/>
    </row>
    <row r="8657" spans="8:10" x14ac:dyDescent="0.3">
      <c r="H8657" s="3"/>
      <c r="I8657" s="3"/>
      <c r="J8657" s="3"/>
    </row>
    <row r="8658" spans="8:10" x14ac:dyDescent="0.3">
      <c r="H8658" s="3"/>
      <c r="I8658" s="3"/>
      <c r="J8658" s="3"/>
    </row>
    <row r="8659" spans="8:10" x14ac:dyDescent="0.3">
      <c r="H8659" s="3"/>
      <c r="I8659" s="3"/>
      <c r="J8659" s="3"/>
    </row>
    <row r="8660" spans="8:10" x14ac:dyDescent="0.3">
      <c r="H8660" s="3"/>
      <c r="I8660" s="3"/>
      <c r="J8660" s="3"/>
    </row>
    <row r="8661" spans="8:10" x14ac:dyDescent="0.3">
      <c r="H8661" s="3"/>
      <c r="I8661" s="3"/>
      <c r="J8661" s="3"/>
    </row>
    <row r="8662" spans="8:10" x14ac:dyDescent="0.3">
      <c r="H8662" s="3"/>
      <c r="I8662" s="3"/>
      <c r="J8662" s="3"/>
    </row>
    <row r="8663" spans="8:10" x14ac:dyDescent="0.3">
      <c r="H8663" s="3"/>
      <c r="I8663" s="3"/>
      <c r="J8663" s="3"/>
    </row>
    <row r="8664" spans="8:10" x14ac:dyDescent="0.3">
      <c r="H8664" s="3"/>
      <c r="I8664" s="3"/>
      <c r="J8664" s="3"/>
    </row>
    <row r="8665" spans="8:10" x14ac:dyDescent="0.3">
      <c r="H8665" s="3"/>
      <c r="I8665" s="3"/>
      <c r="J8665" s="3"/>
    </row>
    <row r="8666" spans="8:10" x14ac:dyDescent="0.3">
      <c r="H8666" s="3"/>
      <c r="I8666" s="3"/>
      <c r="J8666" s="3"/>
    </row>
    <row r="8667" spans="8:10" x14ac:dyDescent="0.3">
      <c r="H8667" s="3"/>
      <c r="I8667" s="3"/>
      <c r="J8667" s="3"/>
    </row>
    <row r="8668" spans="8:10" x14ac:dyDescent="0.3">
      <c r="H8668" s="3"/>
      <c r="I8668" s="3"/>
      <c r="J8668" s="3"/>
    </row>
    <row r="8669" spans="8:10" x14ac:dyDescent="0.3">
      <c r="H8669" s="3"/>
      <c r="I8669" s="3"/>
      <c r="J8669" s="3"/>
    </row>
    <row r="8670" spans="8:10" x14ac:dyDescent="0.3">
      <c r="H8670" s="3"/>
      <c r="I8670" s="3"/>
      <c r="J8670" s="3"/>
    </row>
    <row r="8671" spans="8:10" x14ac:dyDescent="0.3">
      <c r="H8671" s="3"/>
      <c r="I8671" s="3"/>
      <c r="J8671" s="3"/>
    </row>
    <row r="8672" spans="8:10" x14ac:dyDescent="0.3">
      <c r="H8672" s="3"/>
      <c r="I8672" s="3"/>
      <c r="J8672" s="3"/>
    </row>
    <row r="8673" spans="8:10" x14ac:dyDescent="0.3">
      <c r="H8673" s="3"/>
      <c r="I8673" s="3"/>
      <c r="J8673" s="3"/>
    </row>
    <row r="8674" spans="8:10" x14ac:dyDescent="0.3">
      <c r="H8674" s="3"/>
      <c r="I8674" s="3"/>
      <c r="J8674" s="3"/>
    </row>
    <row r="8675" spans="8:10" x14ac:dyDescent="0.3">
      <c r="H8675" s="3"/>
      <c r="I8675" s="3"/>
      <c r="J8675" s="3"/>
    </row>
    <row r="8676" spans="8:10" x14ac:dyDescent="0.3">
      <c r="H8676" s="3"/>
      <c r="I8676" s="3"/>
      <c r="J8676" s="3"/>
    </row>
    <row r="8677" spans="8:10" x14ac:dyDescent="0.3">
      <c r="H8677" s="3"/>
      <c r="I8677" s="3"/>
      <c r="J8677" s="3"/>
    </row>
    <row r="8678" spans="8:10" x14ac:dyDescent="0.3">
      <c r="H8678" s="3"/>
      <c r="I8678" s="3"/>
      <c r="J8678" s="3"/>
    </row>
    <row r="8679" spans="8:10" x14ac:dyDescent="0.3">
      <c r="H8679" s="3"/>
      <c r="I8679" s="3"/>
      <c r="J8679" s="3"/>
    </row>
    <row r="8680" spans="8:10" x14ac:dyDescent="0.3">
      <c r="H8680" s="3"/>
      <c r="I8680" s="3"/>
      <c r="J8680" s="3"/>
    </row>
    <row r="8681" spans="8:10" x14ac:dyDescent="0.3">
      <c r="H8681" s="3"/>
      <c r="I8681" s="3"/>
      <c r="J8681" s="3"/>
    </row>
    <row r="8682" spans="8:10" x14ac:dyDescent="0.3">
      <c r="H8682" s="3"/>
      <c r="I8682" s="3"/>
      <c r="J8682" s="3"/>
    </row>
    <row r="8683" spans="8:10" x14ac:dyDescent="0.3">
      <c r="H8683" s="3"/>
      <c r="I8683" s="3"/>
      <c r="J8683" s="3"/>
    </row>
    <row r="8684" spans="8:10" x14ac:dyDescent="0.3">
      <c r="H8684" s="3"/>
      <c r="I8684" s="3"/>
      <c r="J8684" s="3"/>
    </row>
    <row r="8685" spans="8:10" x14ac:dyDescent="0.3">
      <c r="H8685" s="3"/>
      <c r="I8685" s="3"/>
      <c r="J8685" s="3"/>
    </row>
    <row r="8686" spans="8:10" x14ac:dyDescent="0.3">
      <c r="H8686" s="3"/>
      <c r="I8686" s="3"/>
      <c r="J8686" s="3"/>
    </row>
    <row r="8687" spans="8:10" x14ac:dyDescent="0.3">
      <c r="H8687" s="3"/>
      <c r="I8687" s="3"/>
      <c r="J8687" s="3"/>
    </row>
    <row r="8688" spans="8:10" x14ac:dyDescent="0.3">
      <c r="H8688" s="3"/>
      <c r="I8688" s="3"/>
      <c r="J8688" s="3"/>
    </row>
    <row r="8689" spans="8:10" x14ac:dyDescent="0.3">
      <c r="H8689" s="3"/>
      <c r="I8689" s="3"/>
      <c r="J8689" s="3"/>
    </row>
    <row r="8690" spans="8:10" x14ac:dyDescent="0.3">
      <c r="H8690" s="3"/>
      <c r="I8690" s="3"/>
      <c r="J8690" s="3"/>
    </row>
    <row r="8691" spans="8:10" x14ac:dyDescent="0.3">
      <c r="H8691" s="3"/>
      <c r="I8691" s="3"/>
      <c r="J8691" s="3"/>
    </row>
    <row r="8692" spans="8:10" x14ac:dyDescent="0.3">
      <c r="H8692" s="3"/>
      <c r="I8692" s="3"/>
      <c r="J8692" s="3"/>
    </row>
    <row r="8693" spans="8:10" x14ac:dyDescent="0.3">
      <c r="H8693" s="3"/>
      <c r="I8693" s="3"/>
      <c r="J8693" s="3"/>
    </row>
    <row r="8694" spans="8:10" x14ac:dyDescent="0.3">
      <c r="H8694" s="3"/>
      <c r="I8694" s="3"/>
      <c r="J8694" s="3"/>
    </row>
    <row r="8695" spans="8:10" x14ac:dyDescent="0.3">
      <c r="H8695" s="3"/>
      <c r="I8695" s="3"/>
      <c r="J8695" s="3"/>
    </row>
    <row r="8696" spans="8:10" x14ac:dyDescent="0.3">
      <c r="H8696" s="3"/>
      <c r="I8696" s="3"/>
      <c r="J8696" s="3"/>
    </row>
    <row r="8697" spans="8:10" x14ac:dyDescent="0.3">
      <c r="H8697" s="3"/>
      <c r="I8697" s="3"/>
      <c r="J8697" s="3"/>
    </row>
    <row r="8698" spans="8:10" x14ac:dyDescent="0.3">
      <c r="H8698" s="3"/>
      <c r="I8698" s="3"/>
      <c r="J8698" s="3"/>
    </row>
    <row r="8699" spans="8:10" x14ac:dyDescent="0.3">
      <c r="H8699" s="3"/>
      <c r="I8699" s="3"/>
      <c r="J8699" s="3"/>
    </row>
    <row r="8700" spans="8:10" x14ac:dyDescent="0.3">
      <c r="H8700" s="3"/>
      <c r="I8700" s="3"/>
      <c r="J8700" s="3"/>
    </row>
    <row r="8701" spans="8:10" x14ac:dyDescent="0.3">
      <c r="H8701" s="3"/>
      <c r="I8701" s="3"/>
      <c r="J8701" s="3"/>
    </row>
    <row r="8702" spans="8:10" x14ac:dyDescent="0.3">
      <c r="H8702" s="3"/>
      <c r="I8702" s="3"/>
      <c r="J8702" s="3"/>
    </row>
    <row r="8703" spans="8:10" x14ac:dyDescent="0.3">
      <c r="H8703" s="3"/>
      <c r="I8703" s="3"/>
      <c r="J8703" s="3"/>
    </row>
    <row r="8704" spans="8:10" x14ac:dyDescent="0.3">
      <c r="H8704" s="3"/>
      <c r="I8704" s="3"/>
      <c r="J8704" s="3"/>
    </row>
    <row r="8705" spans="8:10" x14ac:dyDescent="0.3">
      <c r="H8705" s="3"/>
      <c r="I8705" s="3"/>
      <c r="J8705" s="3"/>
    </row>
    <row r="8706" spans="8:10" x14ac:dyDescent="0.3">
      <c r="H8706" s="3"/>
      <c r="I8706" s="3"/>
      <c r="J8706" s="3"/>
    </row>
    <row r="8707" spans="8:10" x14ac:dyDescent="0.3">
      <c r="H8707" s="3"/>
      <c r="I8707" s="3"/>
      <c r="J8707" s="3"/>
    </row>
    <row r="8708" spans="8:10" x14ac:dyDescent="0.3">
      <c r="H8708" s="3"/>
      <c r="I8708" s="3"/>
      <c r="J8708" s="3"/>
    </row>
    <row r="8709" spans="8:10" x14ac:dyDescent="0.3">
      <c r="H8709" s="3"/>
      <c r="I8709" s="3"/>
      <c r="J8709" s="3"/>
    </row>
    <row r="8710" spans="8:10" x14ac:dyDescent="0.3">
      <c r="H8710" s="3"/>
      <c r="I8710" s="3"/>
      <c r="J8710" s="3"/>
    </row>
    <row r="8711" spans="8:10" x14ac:dyDescent="0.3">
      <c r="H8711" s="3"/>
      <c r="I8711" s="3"/>
      <c r="J8711" s="3"/>
    </row>
    <row r="8712" spans="8:10" x14ac:dyDescent="0.3">
      <c r="H8712" s="3"/>
      <c r="I8712" s="3"/>
      <c r="J8712" s="3"/>
    </row>
    <row r="8713" spans="8:10" x14ac:dyDescent="0.3">
      <c r="H8713" s="3"/>
      <c r="I8713" s="3"/>
      <c r="J8713" s="3"/>
    </row>
    <row r="8714" spans="8:10" x14ac:dyDescent="0.3">
      <c r="H8714" s="3"/>
      <c r="I8714" s="3"/>
      <c r="J8714" s="3"/>
    </row>
    <row r="8715" spans="8:10" x14ac:dyDescent="0.3">
      <c r="H8715" s="3"/>
      <c r="I8715" s="3"/>
      <c r="J8715" s="3"/>
    </row>
    <row r="8716" spans="8:10" x14ac:dyDescent="0.3">
      <c r="H8716" s="3"/>
      <c r="I8716" s="3"/>
      <c r="J8716" s="3"/>
    </row>
    <row r="8717" spans="8:10" x14ac:dyDescent="0.3">
      <c r="H8717" s="3"/>
      <c r="I8717" s="3"/>
      <c r="J8717" s="3"/>
    </row>
    <row r="8718" spans="8:10" x14ac:dyDescent="0.3">
      <c r="H8718" s="3"/>
      <c r="I8718" s="3"/>
      <c r="J8718" s="3"/>
    </row>
    <row r="8719" spans="8:10" x14ac:dyDescent="0.3">
      <c r="H8719" s="3"/>
      <c r="I8719" s="3"/>
      <c r="J8719" s="3"/>
    </row>
    <row r="8720" spans="8:10" x14ac:dyDescent="0.3">
      <c r="H8720" s="3"/>
      <c r="I8720" s="3"/>
      <c r="J8720" s="3"/>
    </row>
    <row r="8721" spans="8:10" x14ac:dyDescent="0.3">
      <c r="H8721" s="3"/>
      <c r="I8721" s="3"/>
      <c r="J8721" s="3"/>
    </row>
    <row r="8722" spans="8:10" x14ac:dyDescent="0.3">
      <c r="H8722" s="3"/>
      <c r="I8722" s="3"/>
      <c r="J8722" s="3"/>
    </row>
    <row r="8723" spans="8:10" x14ac:dyDescent="0.3">
      <c r="H8723" s="3"/>
      <c r="I8723" s="3"/>
      <c r="J8723" s="3"/>
    </row>
    <row r="8724" spans="8:10" x14ac:dyDescent="0.3">
      <c r="H8724" s="3"/>
      <c r="I8724" s="3"/>
      <c r="J8724" s="3"/>
    </row>
    <row r="8725" spans="8:10" x14ac:dyDescent="0.3">
      <c r="H8725" s="3"/>
      <c r="I8725" s="3"/>
      <c r="J8725" s="3"/>
    </row>
    <row r="8726" spans="8:10" x14ac:dyDescent="0.3">
      <c r="H8726" s="3"/>
      <c r="I8726" s="3"/>
      <c r="J8726" s="3"/>
    </row>
    <row r="8727" spans="8:10" x14ac:dyDescent="0.3">
      <c r="H8727" s="3"/>
      <c r="I8727" s="3"/>
      <c r="J8727" s="3"/>
    </row>
    <row r="8728" spans="8:10" x14ac:dyDescent="0.3">
      <c r="H8728" s="3"/>
      <c r="I8728" s="3"/>
      <c r="J8728" s="3"/>
    </row>
    <row r="8729" spans="8:10" x14ac:dyDescent="0.3">
      <c r="H8729" s="3"/>
      <c r="I8729" s="3"/>
      <c r="J8729" s="3"/>
    </row>
    <row r="8730" spans="8:10" x14ac:dyDescent="0.3">
      <c r="H8730" s="3"/>
      <c r="I8730" s="3"/>
      <c r="J8730" s="3"/>
    </row>
    <row r="8731" spans="8:10" x14ac:dyDescent="0.3">
      <c r="H8731" s="3"/>
      <c r="I8731" s="3"/>
      <c r="J8731" s="3"/>
    </row>
    <row r="8732" spans="8:10" x14ac:dyDescent="0.3">
      <c r="H8732" s="3"/>
      <c r="I8732" s="3"/>
      <c r="J8732" s="3"/>
    </row>
    <row r="8733" spans="8:10" x14ac:dyDescent="0.3">
      <c r="H8733" s="3"/>
      <c r="I8733" s="3"/>
      <c r="J8733" s="3"/>
    </row>
    <row r="8734" spans="8:10" x14ac:dyDescent="0.3">
      <c r="H8734" s="3"/>
      <c r="I8734" s="3"/>
      <c r="J8734" s="3"/>
    </row>
    <row r="8735" spans="8:10" x14ac:dyDescent="0.3">
      <c r="H8735" s="3"/>
      <c r="I8735" s="3"/>
      <c r="J8735" s="3"/>
    </row>
    <row r="8736" spans="8:10" x14ac:dyDescent="0.3">
      <c r="H8736" s="3"/>
      <c r="I8736" s="3"/>
      <c r="J8736" s="3"/>
    </row>
    <row r="8737" spans="8:10" x14ac:dyDescent="0.3">
      <c r="H8737" s="3"/>
      <c r="I8737" s="3"/>
      <c r="J8737" s="3"/>
    </row>
    <row r="8738" spans="8:10" x14ac:dyDescent="0.3">
      <c r="H8738" s="3"/>
      <c r="I8738" s="3"/>
      <c r="J8738" s="3"/>
    </row>
    <row r="8739" spans="8:10" x14ac:dyDescent="0.3">
      <c r="H8739" s="3"/>
      <c r="I8739" s="3"/>
      <c r="J8739" s="3"/>
    </row>
    <row r="8740" spans="8:10" x14ac:dyDescent="0.3">
      <c r="H8740" s="3"/>
      <c r="I8740" s="3"/>
      <c r="J8740" s="3"/>
    </row>
    <row r="8741" spans="8:10" x14ac:dyDescent="0.3">
      <c r="H8741" s="3"/>
      <c r="I8741" s="3"/>
      <c r="J8741" s="3"/>
    </row>
    <row r="8742" spans="8:10" x14ac:dyDescent="0.3">
      <c r="H8742" s="3"/>
      <c r="I8742" s="3"/>
      <c r="J8742" s="3"/>
    </row>
    <row r="8743" spans="8:10" x14ac:dyDescent="0.3">
      <c r="H8743" s="3"/>
      <c r="I8743" s="3"/>
      <c r="J8743" s="3"/>
    </row>
    <row r="8744" spans="8:10" x14ac:dyDescent="0.3">
      <c r="H8744" s="3"/>
      <c r="I8744" s="3"/>
      <c r="J8744" s="3"/>
    </row>
    <row r="8745" spans="8:10" x14ac:dyDescent="0.3">
      <c r="H8745" s="3"/>
      <c r="I8745" s="3"/>
      <c r="J8745" s="3"/>
    </row>
    <row r="8746" spans="8:10" x14ac:dyDescent="0.3">
      <c r="H8746" s="3"/>
      <c r="I8746" s="3"/>
      <c r="J8746" s="3"/>
    </row>
    <row r="8747" spans="8:10" x14ac:dyDescent="0.3">
      <c r="H8747" s="3"/>
      <c r="I8747" s="3"/>
      <c r="J8747" s="3"/>
    </row>
    <row r="8748" spans="8:10" x14ac:dyDescent="0.3">
      <c r="H8748" s="3"/>
      <c r="I8748" s="3"/>
      <c r="J8748" s="3"/>
    </row>
    <row r="8749" spans="8:10" x14ac:dyDescent="0.3">
      <c r="H8749" s="3"/>
      <c r="I8749" s="3"/>
      <c r="J8749" s="3"/>
    </row>
    <row r="8750" spans="8:10" x14ac:dyDescent="0.3">
      <c r="H8750" s="3"/>
      <c r="I8750" s="3"/>
      <c r="J8750" s="3"/>
    </row>
    <row r="8751" spans="8:10" x14ac:dyDescent="0.3">
      <c r="H8751" s="3"/>
      <c r="I8751" s="3"/>
      <c r="J8751" s="3"/>
    </row>
    <row r="8752" spans="8:10" x14ac:dyDescent="0.3">
      <c r="H8752" s="3"/>
      <c r="I8752" s="3"/>
      <c r="J8752" s="3"/>
    </row>
    <row r="8753" spans="8:10" x14ac:dyDescent="0.3">
      <c r="H8753" s="3"/>
      <c r="I8753" s="3"/>
      <c r="J8753" s="3"/>
    </row>
    <row r="8754" spans="8:10" x14ac:dyDescent="0.3">
      <c r="H8754" s="3"/>
      <c r="I8754" s="3"/>
      <c r="J8754" s="3"/>
    </row>
    <row r="8755" spans="8:10" x14ac:dyDescent="0.3">
      <c r="H8755" s="3"/>
      <c r="I8755" s="3"/>
      <c r="J8755" s="3"/>
    </row>
    <row r="8756" spans="8:10" x14ac:dyDescent="0.3">
      <c r="H8756" s="3"/>
      <c r="I8756" s="3"/>
      <c r="J8756" s="3"/>
    </row>
    <row r="8757" spans="8:10" x14ac:dyDescent="0.3">
      <c r="H8757" s="3"/>
      <c r="I8757" s="3"/>
      <c r="J8757" s="3"/>
    </row>
    <row r="8758" spans="8:10" x14ac:dyDescent="0.3">
      <c r="H8758" s="3"/>
      <c r="I8758" s="3"/>
      <c r="J8758" s="3"/>
    </row>
    <row r="8759" spans="8:10" x14ac:dyDescent="0.3">
      <c r="H8759" s="3"/>
      <c r="I8759" s="3"/>
      <c r="J8759" s="3"/>
    </row>
    <row r="8760" spans="8:10" x14ac:dyDescent="0.3">
      <c r="H8760" s="3"/>
      <c r="I8760" s="3"/>
      <c r="J8760" s="3"/>
    </row>
    <row r="8761" spans="8:10" x14ac:dyDescent="0.3">
      <c r="H8761" s="3"/>
      <c r="I8761" s="3"/>
      <c r="J8761" s="3"/>
    </row>
    <row r="8762" spans="8:10" x14ac:dyDescent="0.3">
      <c r="H8762" s="3"/>
      <c r="I8762" s="3"/>
      <c r="J8762" s="3"/>
    </row>
    <row r="8763" spans="8:10" x14ac:dyDescent="0.3">
      <c r="H8763" s="3"/>
      <c r="I8763" s="3"/>
      <c r="J8763" s="3"/>
    </row>
    <row r="8764" spans="8:10" x14ac:dyDescent="0.3">
      <c r="H8764" s="3"/>
      <c r="I8764" s="3"/>
      <c r="J8764" s="3"/>
    </row>
    <row r="8765" spans="8:10" x14ac:dyDescent="0.3">
      <c r="H8765" s="3"/>
      <c r="I8765" s="3"/>
      <c r="J8765" s="3"/>
    </row>
    <row r="8766" spans="8:10" x14ac:dyDescent="0.3">
      <c r="H8766" s="3"/>
      <c r="I8766" s="3"/>
      <c r="J8766" s="3"/>
    </row>
    <row r="8767" spans="8:10" x14ac:dyDescent="0.3">
      <c r="H8767" s="3"/>
      <c r="I8767" s="3"/>
      <c r="J8767" s="3"/>
    </row>
    <row r="8768" spans="8:10" x14ac:dyDescent="0.3">
      <c r="H8768" s="3"/>
      <c r="I8768" s="3"/>
      <c r="J8768" s="3"/>
    </row>
    <row r="8769" spans="8:10" x14ac:dyDescent="0.3">
      <c r="H8769" s="3"/>
      <c r="I8769" s="3"/>
      <c r="J8769" s="3"/>
    </row>
    <row r="8770" spans="8:10" x14ac:dyDescent="0.3">
      <c r="H8770" s="3"/>
      <c r="I8770" s="3"/>
      <c r="J8770" s="3"/>
    </row>
    <row r="8771" spans="8:10" x14ac:dyDescent="0.3">
      <c r="H8771" s="3"/>
      <c r="I8771" s="3"/>
      <c r="J8771" s="3"/>
    </row>
    <row r="8772" spans="8:10" x14ac:dyDescent="0.3">
      <c r="H8772" s="3"/>
      <c r="I8772" s="3"/>
      <c r="J8772" s="3"/>
    </row>
    <row r="8773" spans="8:10" x14ac:dyDescent="0.3">
      <c r="H8773" s="3"/>
      <c r="I8773" s="3"/>
      <c r="J8773" s="3"/>
    </row>
    <row r="8774" spans="8:10" x14ac:dyDescent="0.3">
      <c r="H8774" s="3"/>
      <c r="I8774" s="3"/>
      <c r="J8774" s="3"/>
    </row>
    <row r="8775" spans="8:10" x14ac:dyDescent="0.3">
      <c r="H8775" s="3"/>
      <c r="I8775" s="3"/>
      <c r="J8775" s="3"/>
    </row>
    <row r="8776" spans="8:10" x14ac:dyDescent="0.3">
      <c r="H8776" s="3"/>
      <c r="I8776" s="3"/>
      <c r="J8776" s="3"/>
    </row>
    <row r="8777" spans="8:10" x14ac:dyDescent="0.3">
      <c r="H8777" s="3"/>
      <c r="I8777" s="3"/>
      <c r="J8777" s="3"/>
    </row>
    <row r="8778" spans="8:10" x14ac:dyDescent="0.3">
      <c r="H8778" s="3"/>
      <c r="I8778" s="3"/>
      <c r="J8778" s="3"/>
    </row>
    <row r="8779" spans="8:10" x14ac:dyDescent="0.3">
      <c r="H8779" s="3"/>
      <c r="I8779" s="3"/>
      <c r="J8779" s="3"/>
    </row>
    <row r="8780" spans="8:10" x14ac:dyDescent="0.3">
      <c r="H8780" s="3"/>
      <c r="I8780" s="3"/>
      <c r="J8780" s="3"/>
    </row>
    <row r="8781" spans="8:10" x14ac:dyDescent="0.3">
      <c r="H8781" s="3"/>
      <c r="I8781" s="3"/>
      <c r="J8781" s="3"/>
    </row>
    <row r="8782" spans="8:10" x14ac:dyDescent="0.3">
      <c r="H8782" s="3"/>
      <c r="I8782" s="3"/>
      <c r="J8782" s="3"/>
    </row>
    <row r="8783" spans="8:10" x14ac:dyDescent="0.3">
      <c r="H8783" s="3"/>
      <c r="I8783" s="3"/>
      <c r="J8783" s="3"/>
    </row>
    <row r="8784" spans="8:10" x14ac:dyDescent="0.3">
      <c r="H8784" s="3"/>
      <c r="I8784" s="3"/>
      <c r="J8784" s="3"/>
    </row>
    <row r="8785" spans="8:10" x14ac:dyDescent="0.3">
      <c r="H8785" s="3"/>
      <c r="I8785" s="3"/>
      <c r="J8785" s="3"/>
    </row>
    <row r="8786" spans="8:10" x14ac:dyDescent="0.3">
      <c r="H8786" s="3"/>
      <c r="I8786" s="3"/>
      <c r="J8786" s="3"/>
    </row>
    <row r="8787" spans="8:10" x14ac:dyDescent="0.3">
      <c r="H8787" s="3"/>
      <c r="I8787" s="3"/>
      <c r="J8787" s="3"/>
    </row>
    <row r="8788" spans="8:10" x14ac:dyDescent="0.3">
      <c r="H8788" s="3"/>
      <c r="I8788" s="3"/>
      <c r="J8788" s="3"/>
    </row>
    <row r="8789" spans="8:10" x14ac:dyDescent="0.3">
      <c r="H8789" s="3"/>
      <c r="I8789" s="3"/>
      <c r="J8789" s="3"/>
    </row>
    <row r="8790" spans="8:10" x14ac:dyDescent="0.3">
      <c r="H8790" s="3"/>
      <c r="I8790" s="3"/>
      <c r="J8790" s="3"/>
    </row>
    <row r="8791" spans="8:10" x14ac:dyDescent="0.3">
      <c r="H8791" s="3"/>
      <c r="I8791" s="3"/>
      <c r="J8791" s="3"/>
    </row>
    <row r="8792" spans="8:10" x14ac:dyDescent="0.3">
      <c r="H8792" s="3"/>
      <c r="I8792" s="3"/>
      <c r="J8792" s="3"/>
    </row>
    <row r="8793" spans="8:10" x14ac:dyDescent="0.3">
      <c r="H8793" s="3"/>
      <c r="I8793" s="3"/>
      <c r="J8793" s="3"/>
    </row>
    <row r="8794" spans="8:10" x14ac:dyDescent="0.3">
      <c r="H8794" s="3"/>
      <c r="I8794" s="3"/>
      <c r="J8794" s="3"/>
    </row>
    <row r="8795" spans="8:10" x14ac:dyDescent="0.3">
      <c r="H8795" s="2"/>
      <c r="I8795" s="2"/>
      <c r="J8795" s="2"/>
    </row>
  </sheetData>
  <sheetProtection autoFilter="0"/>
  <mergeCells count="11">
    <mergeCell ref="C18:D18"/>
    <mergeCell ref="G43:I43"/>
    <mergeCell ref="C43:E43"/>
    <mergeCell ref="C54:AI54"/>
    <mergeCell ref="D19:E19"/>
    <mergeCell ref="C20:D20"/>
    <mergeCell ref="C24:D24"/>
    <mergeCell ref="C26:D26"/>
    <mergeCell ref="C30:D30"/>
    <mergeCell ref="C32:D32"/>
    <mergeCell ref="C36:D36"/>
  </mergeCells>
  <conditionalFormatting sqref="D29">
    <cfRule type="colorScale" priority="8">
      <colorScale>
        <cfvo type="formula" val="($D$21=&quot;ARB average&quot;)"/>
        <cfvo type="formula" val="($D$21=&quot;User-specified&quot;)"/>
        <color theme="0" tint="-0.14999847407452621"/>
        <color theme="5" tint="0.79998168889431442"/>
      </colorScale>
    </cfRule>
  </conditionalFormatting>
  <conditionalFormatting sqref="D22">
    <cfRule type="expression" dxfId="5" priority="7">
      <formula>$D$21="ARB average"</formula>
    </cfRule>
  </conditionalFormatting>
  <conditionalFormatting sqref="D28">
    <cfRule type="expression" dxfId="4" priority="6">
      <formula>$D$27="ARB average"</formula>
    </cfRule>
  </conditionalFormatting>
  <conditionalFormatting sqref="C28">
    <cfRule type="expression" dxfId="3" priority="5">
      <formula>$D$27="ARB average"</formula>
    </cfRule>
  </conditionalFormatting>
  <conditionalFormatting sqref="C22">
    <cfRule type="expression" dxfId="2" priority="4">
      <formula>$D$21="ARB average"</formula>
    </cfRule>
  </conditionalFormatting>
  <conditionalFormatting sqref="D34">
    <cfRule type="expression" dxfId="1" priority="3">
      <formula>$D$33&lt;&gt;"User-specified"</formula>
    </cfRule>
  </conditionalFormatting>
  <conditionalFormatting sqref="D35">
    <cfRule type="colorScale" priority="2">
      <colorScale>
        <cfvo type="formula" val="($D$21=&quot;ARB average&quot;)"/>
        <cfvo type="formula" val="($D$21=&quot;User-specified&quot;)"/>
        <color theme="0" tint="-0.14999847407452621"/>
        <color theme="5" tint="0.79998168889431442"/>
      </colorScale>
    </cfRule>
  </conditionalFormatting>
  <conditionalFormatting sqref="C34">
    <cfRule type="expression" dxfId="0" priority="1">
      <formula>$D$33&lt;&gt;"User-specified"</formula>
    </cfRule>
  </conditionalFormatting>
  <dataValidations count="5">
    <dataValidation type="list" allowBlank="1" showInputMessage="1" showErrorMessage="1" sqref="D37" xr:uid="{73F115A4-794A-C947-A711-932CBDEB4B45}">
      <formula1>"20-yr, 100-yr"</formula1>
    </dataValidation>
    <dataValidation type="list" allowBlank="1" showInputMessage="1" showErrorMessage="1" sqref="D21 D27" xr:uid="{F2BBA429-5917-424B-8C35-1AB83EEA3C26}">
      <formula1>$K$19:$K$20</formula1>
    </dataValidation>
    <dataValidation type="list" allowBlank="1" showInputMessage="1" showErrorMessage="1" sqref="D33" xr:uid="{D923A026-A4B4-B54D-A64F-75B2FE69C0A8}">
      <formula1>$L$29:$L$32</formula1>
    </dataValidation>
    <dataValidation type="list" allowBlank="1" showInputMessage="1" showErrorMessage="1" sqref="D31" xr:uid="{FFF1414A-359B-1346-8CFF-D47CB12A1A97}">
      <formula1>RefrigDropdownList</formula1>
    </dataValidation>
    <dataValidation type="list" allowBlank="1" showInputMessage="1" showErrorMessage="1" sqref="D19:E19" xr:uid="{33FEC961-115D-41BB-9CDD-9096E0D2324A}">
      <formula1>Dropdown_Leakage_Device_Type</formula1>
    </dataValidation>
  </dataValidations>
  <hyperlinks>
    <hyperlink ref="B72" r:id="rId1" xr:uid="{EC45C040-CE00-4AB3-8C8C-177231FFDD98}"/>
  </hyperlinks>
  <pageMargins left="0.7" right="0.7" top="0.75" bottom="0.75" header="0.3" footer="0.3"/>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22442-6A52-4346-8C34-DA99EE1ABA6A}">
  <sheetPr codeName="Sheet5">
    <tabColor theme="8" tint="-0.249977111117893"/>
  </sheetPr>
  <dimension ref="A1:AG37"/>
  <sheetViews>
    <sheetView workbookViewId="0">
      <selection activeCell="B17" sqref="B17"/>
    </sheetView>
  </sheetViews>
  <sheetFormatPr defaultColWidth="10.6640625" defaultRowHeight="14.4" x14ac:dyDescent="0.3"/>
  <cols>
    <col min="1" max="1" width="59.5546875" style="1" customWidth="1"/>
    <col min="2" max="2" width="12.33203125" style="1" customWidth="1"/>
    <col min="3" max="3" width="13.6640625" style="1" customWidth="1"/>
    <col min="4" max="16384" width="10.6640625" style="1"/>
  </cols>
  <sheetData>
    <row r="1" spans="1:33" x14ac:dyDescent="0.3">
      <c r="A1" s="228" t="s">
        <v>648</v>
      </c>
      <c r="B1" s="362" t="s">
        <v>715</v>
      </c>
      <c r="C1" s="363"/>
      <c r="D1" s="364"/>
    </row>
    <row r="2" spans="1:33" x14ac:dyDescent="0.3">
      <c r="B2" s="71" t="s">
        <v>388</v>
      </c>
    </row>
    <row r="3" spans="1:33" x14ac:dyDescent="0.3">
      <c r="B3" s="53">
        <v>2019</v>
      </c>
      <c r="C3" s="54">
        <v>2020</v>
      </c>
      <c r="D3" s="54">
        <v>2021</v>
      </c>
      <c r="E3" s="54">
        <v>2022</v>
      </c>
      <c r="F3" s="54">
        <v>2023</v>
      </c>
      <c r="G3" s="54">
        <v>2024</v>
      </c>
      <c r="H3" s="54">
        <v>2025</v>
      </c>
      <c r="I3" s="54">
        <v>2026</v>
      </c>
      <c r="J3" s="54">
        <v>2027</v>
      </c>
      <c r="K3" s="54">
        <v>2028</v>
      </c>
      <c r="L3" s="54">
        <v>2029</v>
      </c>
      <c r="M3" s="54">
        <v>2030</v>
      </c>
      <c r="N3" s="54">
        <v>2031</v>
      </c>
      <c r="O3" s="54">
        <v>2032</v>
      </c>
      <c r="P3" s="54">
        <v>2033</v>
      </c>
      <c r="Q3" s="54">
        <v>2034</v>
      </c>
      <c r="R3" s="54">
        <v>2035</v>
      </c>
      <c r="S3" s="54">
        <v>2036</v>
      </c>
      <c r="T3" s="54">
        <v>2037</v>
      </c>
      <c r="U3" s="54">
        <v>2038</v>
      </c>
      <c r="V3" s="54">
        <v>2039</v>
      </c>
      <c r="W3" s="54">
        <v>2040</v>
      </c>
      <c r="X3" s="54">
        <v>2041</v>
      </c>
      <c r="Y3" s="54">
        <v>2042</v>
      </c>
      <c r="Z3" s="54">
        <v>2043</v>
      </c>
      <c r="AA3" s="54">
        <v>2044</v>
      </c>
      <c r="AB3" s="54">
        <v>2045</v>
      </c>
      <c r="AC3" s="54">
        <v>2046</v>
      </c>
      <c r="AD3" s="54">
        <v>2047</v>
      </c>
      <c r="AE3" s="54">
        <v>2048</v>
      </c>
      <c r="AF3" s="54">
        <v>2049</v>
      </c>
      <c r="AG3" s="55">
        <v>2050</v>
      </c>
    </row>
    <row r="4" spans="1:33" ht="18" customHeight="1" x14ac:dyDescent="0.3">
      <c r="A4" s="56" t="s">
        <v>386</v>
      </c>
      <c r="B4" s="60" cm="1">
        <f t="array" aca="1" ref="B4:AG4" ca="1">OFFSET(B17:AG17,_xlfn.XMATCH(B1,A17:A19)-1,0)</f>
        <v>31.771542012809103</v>
      </c>
      <c r="C4" s="61">
        <f ca="1"/>
        <v>35.531047948539211</v>
      </c>
      <c r="D4" s="61">
        <f ca="1"/>
        <v>38.288863440296694</v>
      </c>
      <c r="E4" s="61">
        <f ca="1"/>
        <v>41.278529159346533</v>
      </c>
      <c r="F4" s="61">
        <f ca="1"/>
        <v>44.474268286800218</v>
      </c>
      <c r="G4" s="61">
        <f ca="1"/>
        <v>47.928860165159207</v>
      </c>
      <c r="H4" s="61">
        <f ca="1"/>
        <v>51.639509301454098</v>
      </c>
      <c r="I4" s="61">
        <f ca="1"/>
        <v>55.62669359579823</v>
      </c>
      <c r="J4" s="61">
        <f ca="1"/>
        <v>59.913148018371714</v>
      </c>
      <c r="K4" s="61">
        <f ca="1"/>
        <v>64.525089808277073</v>
      </c>
      <c r="L4" s="61">
        <f ca="1"/>
        <v>69.503969730008734</v>
      </c>
      <c r="M4" s="61">
        <f ca="1"/>
        <v>74.872411498825869</v>
      </c>
      <c r="N4" s="61">
        <f ca="1"/>
        <v>79.762369837116665</v>
      </c>
      <c r="O4" s="61">
        <f ca="1"/>
        <v>85.160461551923504</v>
      </c>
      <c r="P4" s="61">
        <f ca="1"/>
        <v>91.111961365459251</v>
      </c>
      <c r="Q4" s="61">
        <f ca="1"/>
        <v>97.665831931139508</v>
      </c>
      <c r="R4" s="61">
        <f ca="1"/>
        <v>104.87501331829199</v>
      </c>
      <c r="S4" s="61">
        <f ca="1"/>
        <v>112.79673490231966</v>
      </c>
      <c r="T4" s="61">
        <f ca="1"/>
        <v>121.49285138564194</v>
      </c>
      <c r="U4" s="61">
        <f ca="1"/>
        <v>131.03020480736538</v>
      </c>
      <c r="V4" s="61">
        <f ca="1"/>
        <v>141.48101454244278</v>
      </c>
      <c r="W4" s="61">
        <f ca="1"/>
        <v>152.92329744486591</v>
      </c>
      <c r="X4" s="61">
        <f ca="1"/>
        <v>165.44132045503056</v>
      </c>
      <c r="Y4" s="61">
        <f ca="1"/>
        <v>179.1260881697311</v>
      </c>
      <c r="Z4" s="61">
        <f ca="1"/>
        <v>194.07586806525649</v>
      </c>
      <c r="AA4" s="61">
        <f ca="1"/>
        <v>210.39675627082585</v>
      </c>
      <c r="AB4" s="61">
        <f ca="1"/>
        <v>228.20328701224855</v>
      </c>
      <c r="AC4" s="61">
        <f ca="1"/>
        <v>247.61908908544876</v>
      </c>
      <c r="AD4" s="61">
        <f ca="1"/>
        <v>268.77759297764732</v>
      </c>
      <c r="AE4" s="62">
        <f ca="1"/>
        <v>291.82279253203666</v>
      </c>
      <c r="AF4" s="62">
        <f ca="1"/>
        <v>316.91006535105544</v>
      </c>
      <c r="AG4" s="63">
        <f ca="1"/>
        <v>344.20705645581643</v>
      </c>
    </row>
    <row r="5" spans="1:33" ht="23.1" customHeight="1" x14ac:dyDescent="0.3"/>
    <row r="6" spans="1:33" ht="43.2" x14ac:dyDescent="0.3">
      <c r="C6" s="64" t="s">
        <v>389</v>
      </c>
      <c r="P6" s="1">
        <f ca="1">P4/O4</f>
        <v>1.0698857158014232</v>
      </c>
      <c r="Q6" s="1">
        <f t="shared" ref="Q6:V6" ca="1" si="0">Q4/P4</f>
        <v>1.0719320544466386</v>
      </c>
      <c r="R6" s="1">
        <f t="shared" ca="1" si="0"/>
        <v>1.0738147747744105</v>
      </c>
      <c r="S6" s="1">
        <f t="shared" ca="1" si="0"/>
        <v>1.0755348803626419</v>
      </c>
      <c r="T6" s="1">
        <f t="shared" ca="1" si="0"/>
        <v>1.0770954628327938</v>
      </c>
      <c r="U6" s="1">
        <f t="shared" ca="1" si="0"/>
        <v>1.0785013547130442</v>
      </c>
      <c r="V6" s="1">
        <f t="shared" ca="1" si="0"/>
        <v>1.0797587834838669</v>
      </c>
    </row>
    <row r="7" spans="1:33" x14ac:dyDescent="0.3">
      <c r="B7" s="1" t="s">
        <v>427</v>
      </c>
      <c r="C7" s="57">
        <v>7.8100000000000003E-2</v>
      </c>
    </row>
    <row r="8" spans="1:33" x14ac:dyDescent="0.3">
      <c r="B8" s="1" t="s">
        <v>425</v>
      </c>
      <c r="C8" s="57">
        <v>7.6799999999999993E-2</v>
      </c>
      <c r="P8" s="219">
        <f>1/(1+C8)</f>
        <v>0.92867756315007433</v>
      </c>
    </row>
    <row r="9" spans="1:33" x14ac:dyDescent="0.3">
      <c r="B9" s="1" t="s">
        <v>426</v>
      </c>
      <c r="C9" s="57">
        <v>7.5499999999999998E-2</v>
      </c>
    </row>
    <row r="14" spans="1:33" x14ac:dyDescent="0.3">
      <c r="A14" s="256" t="s">
        <v>731</v>
      </c>
    </row>
    <row r="15" spans="1:33" x14ac:dyDescent="0.3">
      <c r="A15" s="71" t="s">
        <v>718</v>
      </c>
      <c r="B15" s="71" t="s">
        <v>388</v>
      </c>
      <c r="D15" s="223" t="s">
        <v>386</v>
      </c>
    </row>
    <row r="16" spans="1:33" x14ac:dyDescent="0.3">
      <c r="B16" s="53">
        <v>2019</v>
      </c>
      <c r="C16" s="54">
        <v>2020</v>
      </c>
      <c r="D16" s="54">
        <v>2021</v>
      </c>
      <c r="E16" s="54">
        <v>2022</v>
      </c>
      <c r="F16" s="54">
        <v>2023</v>
      </c>
      <c r="G16" s="54">
        <v>2024</v>
      </c>
      <c r="H16" s="54">
        <v>2025</v>
      </c>
      <c r="I16" s="54">
        <v>2026</v>
      </c>
      <c r="J16" s="54">
        <v>2027</v>
      </c>
      <c r="K16" s="54">
        <v>2028</v>
      </c>
      <c r="L16" s="54">
        <v>2029</v>
      </c>
      <c r="M16" s="54">
        <v>2030</v>
      </c>
      <c r="N16" s="54">
        <v>2031</v>
      </c>
      <c r="O16" s="54">
        <v>2032</v>
      </c>
      <c r="P16" s="54">
        <v>2033</v>
      </c>
      <c r="Q16" s="54">
        <v>2034</v>
      </c>
      <c r="R16" s="54">
        <v>2035</v>
      </c>
      <c r="S16" s="54">
        <v>2036</v>
      </c>
      <c r="T16" s="54">
        <v>2037</v>
      </c>
      <c r="U16" s="54">
        <v>2038</v>
      </c>
      <c r="V16" s="54">
        <v>2039</v>
      </c>
      <c r="W16" s="54">
        <v>2040</v>
      </c>
      <c r="X16" s="54">
        <v>2041</v>
      </c>
      <c r="Y16" s="54">
        <v>2042</v>
      </c>
      <c r="Z16" s="54">
        <v>2043</v>
      </c>
      <c r="AA16" s="54">
        <v>2044</v>
      </c>
      <c r="AB16" s="54">
        <v>2045</v>
      </c>
      <c r="AC16" s="54">
        <v>2046</v>
      </c>
      <c r="AD16" s="54">
        <v>2047</v>
      </c>
      <c r="AE16" s="54">
        <v>2048</v>
      </c>
      <c r="AF16" s="54">
        <v>2049</v>
      </c>
      <c r="AG16" s="55">
        <v>2050</v>
      </c>
    </row>
    <row r="17" spans="1:33" ht="18" customHeight="1" x14ac:dyDescent="0.3">
      <c r="A17" s="1" t="s">
        <v>698</v>
      </c>
      <c r="B17" s="60">
        <v>72.66776223955118</v>
      </c>
      <c r="C17" s="61">
        <v>76.933454682204868</v>
      </c>
      <c r="D17" s="61">
        <v>81.375257850381232</v>
      </c>
      <c r="E17" s="61">
        <v>85.948655971818852</v>
      </c>
      <c r="F17" s="61">
        <v>90.589267806398823</v>
      </c>
      <c r="G17" s="61">
        <v>95.280815048665659</v>
      </c>
      <c r="H17" s="61">
        <v>99.965041353607944</v>
      </c>
      <c r="I17" s="61">
        <v>104.6103564307425</v>
      </c>
      <c r="J17" s="61">
        <v>109.16480824090827</v>
      </c>
      <c r="K17" s="61">
        <v>113.53934215232934</v>
      </c>
      <c r="L17" s="61">
        <v>117.65484759418061</v>
      </c>
      <c r="M17" s="61">
        <v>121.36682086778703</v>
      </c>
      <c r="N17" s="61">
        <v>128.58830916655648</v>
      </c>
      <c r="O17" s="61">
        <v>136.675621465662</v>
      </c>
      <c r="P17" s="61">
        <v>145.70996260112014</v>
      </c>
      <c r="Q17" s="61">
        <v>155.77927053324618</v>
      </c>
      <c r="R17" s="61">
        <v>166.97874818126371</v>
      </c>
      <c r="S17" s="61">
        <v>179.4114365106108</v>
      </c>
      <c r="T17" s="61">
        <v>193.18883205196309</v>
      </c>
      <c r="U17" s="61">
        <v>208.43155227542135</v>
      </c>
      <c r="V17" s="61">
        <v>225.27005250651743</v>
      </c>
      <c r="W17" s="61">
        <v>243.84539835412062</v>
      </c>
      <c r="X17" s="61">
        <v>264.31009792552817</v>
      </c>
      <c r="Y17" s="61">
        <v>286.82899843267296</v>
      </c>
      <c r="Z17" s="61">
        <v>311.580252147279</v>
      </c>
      <c r="AA17" s="61">
        <v>338.75635704388071</v>
      </c>
      <c r="AB17" s="61">
        <v>368.56527787997862</v>
      </c>
      <c r="AC17" s="61">
        <v>401.2316539044964</v>
      </c>
      <c r="AD17" s="61">
        <v>436.9980998615186</v>
      </c>
      <c r="AE17" s="62">
        <v>476.12660746869273</v>
      </c>
      <c r="AF17" s="62">
        <v>518.90005510139315</v>
      </c>
      <c r="AG17" s="63">
        <v>565.6238340078778</v>
      </c>
    </row>
    <row r="18" spans="1:33" x14ac:dyDescent="0.3">
      <c r="A18" s="202" t="s">
        <v>699</v>
      </c>
      <c r="B18" s="224">
        <v>31.771542012809103</v>
      </c>
      <c r="C18" s="225">
        <v>35.531047948539211</v>
      </c>
      <c r="D18" s="225">
        <v>38.288863440296694</v>
      </c>
      <c r="E18" s="225">
        <v>41.278529159346533</v>
      </c>
      <c r="F18" s="225">
        <v>44.474268286800218</v>
      </c>
      <c r="G18" s="225">
        <v>47.928860165159207</v>
      </c>
      <c r="H18" s="225">
        <v>51.639509301454098</v>
      </c>
      <c r="I18" s="225">
        <v>55.62669359579823</v>
      </c>
      <c r="J18" s="225">
        <v>59.913148018371714</v>
      </c>
      <c r="K18" s="225">
        <v>64.525089808277073</v>
      </c>
      <c r="L18" s="225">
        <v>69.503969730008734</v>
      </c>
      <c r="M18" s="225">
        <v>74.872411498825869</v>
      </c>
      <c r="N18" s="225">
        <v>79.762369837116665</v>
      </c>
      <c r="O18" s="225">
        <v>85.160461551923504</v>
      </c>
      <c r="P18" s="225">
        <v>91.111961365459251</v>
      </c>
      <c r="Q18" s="225">
        <v>97.665831931139508</v>
      </c>
      <c r="R18" s="225">
        <v>104.87501331829199</v>
      </c>
      <c r="S18" s="225">
        <v>112.79673490231966</v>
      </c>
      <c r="T18" s="225">
        <v>121.49285138564194</v>
      </c>
      <c r="U18" s="225">
        <v>131.03020480736538</v>
      </c>
      <c r="V18" s="225">
        <v>141.48101454244278</v>
      </c>
      <c r="W18" s="225">
        <v>152.92329744486591</v>
      </c>
      <c r="X18" s="225">
        <v>165.44132045503056</v>
      </c>
      <c r="Y18" s="225">
        <v>179.1260881697311</v>
      </c>
      <c r="Z18" s="225">
        <v>194.07586806525649</v>
      </c>
      <c r="AA18" s="225">
        <v>210.39675627082585</v>
      </c>
      <c r="AB18" s="225">
        <v>228.20328701224855</v>
      </c>
      <c r="AC18" s="225">
        <v>247.61908908544876</v>
      </c>
      <c r="AD18" s="225">
        <v>268.77759297764732</v>
      </c>
      <c r="AE18" s="226">
        <v>291.82279253203666</v>
      </c>
      <c r="AF18" s="226">
        <v>316.91006535105544</v>
      </c>
      <c r="AG18" s="227">
        <v>344.20705645581643</v>
      </c>
    </row>
    <row r="19" spans="1:33" x14ac:dyDescent="0.3">
      <c r="A19" s="1" t="s">
        <v>715</v>
      </c>
      <c r="B19" s="224">
        <v>31.771542012809103</v>
      </c>
      <c r="C19" s="225">
        <v>35.531047948539211</v>
      </c>
      <c r="D19" s="225">
        <v>38.288863440296694</v>
      </c>
      <c r="E19" s="225">
        <v>41.278529159346533</v>
      </c>
      <c r="F19" s="225">
        <v>44.474268286800218</v>
      </c>
      <c r="G19" s="225">
        <v>47.928860165159207</v>
      </c>
      <c r="H19" s="225">
        <v>51.639509301454098</v>
      </c>
      <c r="I19" s="225">
        <v>55.62669359579823</v>
      </c>
      <c r="J19" s="225">
        <v>59.913148018371714</v>
      </c>
      <c r="K19" s="225">
        <v>64.525089808277073</v>
      </c>
      <c r="L19" s="225">
        <v>69.503969730008734</v>
      </c>
      <c r="M19" s="225">
        <v>74.872411498825869</v>
      </c>
      <c r="N19" s="225">
        <v>79.762369837116665</v>
      </c>
      <c r="O19" s="225">
        <v>85.160461551923504</v>
      </c>
      <c r="P19" s="225">
        <v>91.111961365459251</v>
      </c>
      <c r="Q19" s="225">
        <v>97.665831931139508</v>
      </c>
      <c r="R19" s="225">
        <v>104.87501331829199</v>
      </c>
      <c r="S19" s="225">
        <v>112.79673490231966</v>
      </c>
      <c r="T19" s="225">
        <v>121.49285138564194</v>
      </c>
      <c r="U19" s="225">
        <v>131.03020480736538</v>
      </c>
      <c r="V19" s="225">
        <v>141.48101454244278</v>
      </c>
      <c r="W19" s="225">
        <v>152.92329744486591</v>
      </c>
      <c r="X19" s="225">
        <v>165.44132045503056</v>
      </c>
      <c r="Y19" s="225">
        <v>179.1260881697311</v>
      </c>
      <c r="Z19" s="225">
        <v>194.07586806525649</v>
      </c>
      <c r="AA19" s="225">
        <v>210.39675627082585</v>
      </c>
      <c r="AB19" s="225">
        <v>228.20328701224855</v>
      </c>
      <c r="AC19" s="225">
        <v>247.61908908544876</v>
      </c>
      <c r="AD19" s="225">
        <v>268.77759297764732</v>
      </c>
      <c r="AE19" s="226">
        <v>291.82279253203666</v>
      </c>
      <c r="AF19" s="226">
        <v>316.91006535105544</v>
      </c>
      <c r="AG19" s="227">
        <v>344.20705645581643</v>
      </c>
    </row>
    <row r="21" spans="1:33" x14ac:dyDescent="0.3">
      <c r="A21" s="71" t="s">
        <v>377</v>
      </c>
    </row>
    <row r="22" spans="1:33" x14ac:dyDescent="0.3">
      <c r="A22" s="229" t="s">
        <v>696</v>
      </c>
    </row>
    <row r="23" spans="1:33" x14ac:dyDescent="0.3">
      <c r="A23" t="s">
        <v>723</v>
      </c>
    </row>
    <row r="24" spans="1:33" x14ac:dyDescent="0.3">
      <c r="A24" s="1" t="s">
        <v>724</v>
      </c>
    </row>
    <row r="25" spans="1:33" x14ac:dyDescent="0.3">
      <c r="A25" s="229" t="s">
        <v>697</v>
      </c>
    </row>
    <row r="26" spans="1:33" x14ac:dyDescent="0.3">
      <c r="A26" t="s">
        <v>721</v>
      </c>
    </row>
    <row r="27" spans="1:33" s="3" customFormat="1" x14ac:dyDescent="0.3">
      <c r="A27" s="3" t="s">
        <v>722</v>
      </c>
    </row>
    <row r="28" spans="1:33" x14ac:dyDescent="0.3">
      <c r="A28" s="229" t="s">
        <v>716</v>
      </c>
    </row>
    <row r="29" spans="1:33" x14ac:dyDescent="0.3">
      <c r="A29" s="1" t="s">
        <v>719</v>
      </c>
    </row>
    <row r="30" spans="1:33" x14ac:dyDescent="0.3">
      <c r="A30" s="1" t="s">
        <v>720</v>
      </c>
    </row>
    <row r="31" spans="1:33" x14ac:dyDescent="0.3">
      <c r="A31" s="1" t="s">
        <v>725</v>
      </c>
    </row>
    <row r="33" spans="1:1" x14ac:dyDescent="0.3">
      <c r="A33" s="71" t="s">
        <v>730</v>
      </c>
    </row>
    <row r="34" spans="1:1" x14ac:dyDescent="0.3">
      <c r="A34" s="1" t="s">
        <v>729</v>
      </c>
    </row>
    <row r="35" spans="1:1" x14ac:dyDescent="0.3">
      <c r="A35" s="1" t="s">
        <v>727</v>
      </c>
    </row>
    <row r="36" spans="1:1" x14ac:dyDescent="0.3">
      <c r="A36" s="1" t="s">
        <v>728</v>
      </c>
    </row>
    <row r="37" spans="1:1" x14ac:dyDescent="0.3">
      <c r="A37" s="1" t="s">
        <v>732</v>
      </c>
    </row>
  </sheetData>
  <sheetProtection algorithmName="SHA-512" hashValue="Lwhnb04slTigTzaYqo3w+ty664uzzgQuxcUv9rLp/g5XG4ATuvDIWTW0GATLizEnh6AqDpOOVPi8e0c40Fy/Eg==" saltValue="IygTw9ERX68nx7eAwyuHdg==" spinCount="100000" sheet="1" objects="1" scenarios="1"/>
  <mergeCells count="1">
    <mergeCell ref="B1:D1"/>
  </mergeCells>
  <dataValidations count="1">
    <dataValidation type="list" allowBlank="1" showInputMessage="1" showErrorMessage="1" sqref="B1:D1" xr:uid="{64D01708-AC89-4912-9A06-E025E312B838}">
      <formula1>$A$17:$A$19</formula1>
    </dataValidation>
  </dataValidations>
  <hyperlinks>
    <hyperlink ref="A25" r:id="rId1" display="ftp://ftp.cpuc.ca.gov/gopher-data/energy_division/EnergyEfficiency/CostEffectiveness" xr:uid="{A155843B-CE79-4F75-826F-B7077C12A417}"/>
    <hyperlink ref="A22" r:id="rId2" display="https://www.cpuc.ca.gov/industries-and-topics/electrical-energy/demand-side-management/energy-efficiency/idsm" xr:uid="{806A640E-4018-423E-83DD-47FDCDAF9D69}"/>
    <hyperlink ref="A28" r:id="rId3" display="https://willdan.app.box.com/v/2021CPUCAvoidedCosts/folder/136593940728" xr:uid="{05B8F682-BC55-40F4-B549-1D156E4FF43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2b8bedc-0fcb-47cf-97d0-3e95d67c491f">
      <UserInfo>
        <DisplayName/>
        <AccountId xsi:nil="true"/>
        <AccountType/>
      </UserInfo>
    </SharedWithUsers>
    <test xmlns="b48abb86-6b75-4cc9-8ac7-293f3cb026c9" xsi:nil="true"/>
    <Workingon xmlns="b48abb86-6b75-4cc9-8ac7-293f3cb026c9">
      <UserInfo>
        <DisplayName/>
        <AccountId xsi:nil="true"/>
        <AccountType/>
      </UserInfo>
    </Workingo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85B365957C7CB40992C2FD98AC36155" ma:contentTypeVersion="12" ma:contentTypeDescription="Create a new document." ma:contentTypeScope="" ma:versionID="b2816d0ef92202c65df612e814dd258a">
  <xsd:schema xmlns:xsd="http://www.w3.org/2001/XMLSchema" xmlns:xs="http://www.w3.org/2001/XMLSchema" xmlns:p="http://schemas.microsoft.com/office/2006/metadata/properties" xmlns:ns2="b48abb86-6b75-4cc9-8ac7-293f3cb026c9" xmlns:ns3="b2b8bedc-0fcb-47cf-97d0-3e95d67c491f" targetNamespace="http://schemas.microsoft.com/office/2006/metadata/properties" ma:root="true" ma:fieldsID="c75008b61cef3e70b590bf96d7308de9" ns2:_="" ns3:_="">
    <xsd:import namespace="b48abb86-6b75-4cc9-8ac7-293f3cb026c9"/>
    <xsd:import namespace="b2b8bedc-0fcb-47cf-97d0-3e95d67c491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Workingon" minOccurs="0"/>
                <xsd:element ref="ns2:te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8abb86-6b75-4cc9-8ac7-293f3cb026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Workingon" ma:index="18" nillable="true" ma:displayName="Working on" ma:description="Who is working on the document" ma:format="Dropdown" ma:list="UserInfo" ma:SharePointGroup="0" ma:internalName="Working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est" ma:index="19" nillable="true" ma:displayName="test" ma:format="Dropdown" ma:internalName="tes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b8bedc-0fcb-47cf-97d0-3e95d67c491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D806A4-61D9-4E70-89CD-65DE816242A7}">
  <ds:schemaRefs>
    <ds:schemaRef ds:uri="http://purl.org/dc/elements/1.1/"/>
    <ds:schemaRef ds:uri="http://schemas.microsoft.com/office/2006/metadata/properties"/>
    <ds:schemaRef ds:uri="http://purl.org/dc/terms/"/>
    <ds:schemaRef ds:uri="b48abb86-6b75-4cc9-8ac7-293f3cb026c9"/>
    <ds:schemaRef ds:uri="http://schemas.openxmlformats.org/package/2006/metadata/core-properties"/>
    <ds:schemaRef ds:uri="http://schemas.microsoft.com/office/2006/documentManagement/types"/>
    <ds:schemaRef ds:uri="http://schemas.microsoft.com/office/infopath/2007/PartnerControls"/>
    <ds:schemaRef ds:uri="b2b8bedc-0fcb-47cf-97d0-3e95d67c491f"/>
    <ds:schemaRef ds:uri="http://www.w3.org/XML/1998/namespace"/>
    <ds:schemaRef ds:uri="http://purl.org/dc/dcmitype/"/>
  </ds:schemaRefs>
</ds:datastoreItem>
</file>

<file path=customXml/itemProps2.xml><?xml version="1.0" encoding="utf-8"?>
<ds:datastoreItem xmlns:ds="http://schemas.openxmlformats.org/officeDocument/2006/customXml" ds:itemID="{74B53656-8AE5-489F-85B5-D742E090A7AB}">
  <ds:schemaRefs>
    <ds:schemaRef ds:uri="http://schemas.microsoft.com/sharepoint/v3/contenttype/forms"/>
  </ds:schemaRefs>
</ds:datastoreItem>
</file>

<file path=customXml/itemProps3.xml><?xml version="1.0" encoding="utf-8"?>
<ds:datastoreItem xmlns:ds="http://schemas.openxmlformats.org/officeDocument/2006/customXml" ds:itemID="{83179152-8F0C-4E2F-86D9-1FBF6B0D7E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8abb86-6b75-4cc9-8ac7-293f3cb026c9"/>
    <ds:schemaRef ds:uri="b2b8bedc-0fcb-47cf-97d0-3e95d67c49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20</vt:i4>
      </vt:variant>
    </vt:vector>
  </HeadingPairs>
  <TitlesOfParts>
    <vt:vector size="31" baseType="lpstr">
      <vt:lpstr>Cover Sheet</vt:lpstr>
      <vt:lpstr>eTRM export</vt:lpstr>
      <vt:lpstr>Deemed Dashboard</vt:lpstr>
      <vt:lpstr>Refrig Type Research</vt:lpstr>
      <vt:lpstr>Refrig Type Defaults</vt:lpstr>
      <vt:lpstr>Constants</vt:lpstr>
      <vt:lpstr>WACC</vt:lpstr>
      <vt:lpstr>E3 Dashboard</vt:lpstr>
      <vt:lpstr>ACC Inputs</vt:lpstr>
      <vt:lpstr>Refrigerant Leakage</vt:lpstr>
      <vt:lpstr>Refrigerant GWPs</vt:lpstr>
      <vt:lpstr>const_later</vt:lpstr>
      <vt:lpstr>const_once</vt:lpstr>
      <vt:lpstr>const_ones</vt:lpstr>
      <vt:lpstr>const_repeat_after</vt:lpstr>
      <vt:lpstr>Dropdown_Claim_Year</vt:lpstr>
      <vt:lpstr>Dropdown_Leakage_Device_Type</vt:lpstr>
      <vt:lpstr>Dropdown_MAT</vt:lpstr>
      <vt:lpstr>DropdownRefrigTech</vt:lpstr>
      <vt:lpstr>DY</vt:lpstr>
      <vt:lpstr>GHG_Adder_dollar_per_tonne</vt:lpstr>
      <vt:lpstr>GHG_Adder_Yr1</vt:lpstr>
      <vt:lpstr>GWP_Values_100_year_AR4</vt:lpstr>
      <vt:lpstr>GWP_Values_20_year_AR4</vt:lpstr>
      <vt:lpstr>pounds_per_metric_ton</vt:lpstr>
      <vt:lpstr>'Refrigerant GWPs'!Print_Area</vt:lpstr>
      <vt:lpstr>q_ann</vt:lpstr>
      <vt:lpstr>q_EOL</vt:lpstr>
      <vt:lpstr>RefrigDropdownList</vt:lpstr>
      <vt:lpstr>t_EOL</vt:lpstr>
      <vt:lpstr>WACC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Cutter</dc:creator>
  <cp:keywords/>
  <dc:description/>
  <cp:lastModifiedBy>Biermayer, Peter</cp:lastModifiedBy>
  <cp:revision/>
  <dcterms:created xsi:type="dcterms:W3CDTF">2020-04-23T22:41:59Z</dcterms:created>
  <dcterms:modified xsi:type="dcterms:W3CDTF">2021-11-22T02:58:39Z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0x010100685B365957C7CB40992C2FD98AC36155</vt:lpwstr>
  </property>
  <property fmtid="{D5CDD505-2E9C-101B-9397-08002B2CF9AE}" pid="3" name="{A44787D4-0540-4523-9961-78E4036D8C6D}">
    <vt:lpwstr>{29011BCD-9810-4FE4-BF91-FFD64CECF023}</vt:lpwstr>
  </property>
  <property fmtid="{D5CDD505-2E9C-101B-9397-08002B2CF9AE}" pid="4" name="Order">
    <vt:r8>76500</vt:r8>
  </property>
  <property fmtid="{D5CDD505-2E9C-101B-9397-08002B2CF9AE}" pid="5" name="ComplianceAssetId">
    <vt:lpwstr/>
  </property>
</Properties>
</file>