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Projects\DEER2015\Web\"/>
    </mc:Choice>
  </mc:AlternateContent>
  <bookViews>
    <workbookView xWindow="0" yWindow="0" windowWidth="18960" windowHeight="10305"/>
  </bookViews>
  <sheets>
    <sheet name="Summary" sheetId="1" r:id="rId1"/>
    <sheet name="Measure Summary" sheetId="9" r:id="rId2"/>
    <sheet name="Measure Definitions" sheetId="11" r:id="rId3"/>
    <sheet name="Technologies" sheetId="14" r:id="rId4"/>
    <sheet name="430.32 Code Update" sheetId="2" r:id="rId5"/>
    <sheet name="exante.Technology" sheetId="15" r:id="rId6"/>
    <sheet name="exante.TechParams" sheetId="16" r:id="rId7"/>
    <sheet name="key" sheetId="13" state="hidden" r:id="rId8"/>
  </sheets>
  <definedNames>
    <definedName name="_xlnm._FilterDatabase" localSheetId="3" hidden="1">Technologies!$B$6:$G$67</definedName>
    <definedName name="_MailAutoSig" localSheetId="4">'430.32 Code Update'!$E$15</definedName>
    <definedName name="_MailAutoSig" localSheetId="1">'Measure Summary'!#REF!</definedName>
  </definedNames>
  <calcPr calcId="152511"/>
</workbook>
</file>

<file path=xl/calcChain.xml><?xml version="1.0" encoding="utf-8"?>
<calcChain xmlns="http://schemas.openxmlformats.org/spreadsheetml/2006/main">
  <c r="V67" i="14" l="1"/>
  <c r="V66" i="14"/>
  <c r="R67" i="14"/>
  <c r="R66" i="14"/>
  <c r="U66" i="14"/>
  <c r="U67" i="14"/>
  <c r="V65" i="14" l="1"/>
  <c r="U65" i="14"/>
  <c r="V64" i="14"/>
  <c r="U64" i="14"/>
  <c r="V63" i="14"/>
  <c r="U63" i="14"/>
  <c r="V62" i="14"/>
  <c r="U62" i="14"/>
  <c r="V61" i="14"/>
  <c r="U61" i="14"/>
  <c r="V60" i="14"/>
  <c r="U60" i="14"/>
  <c r="V59" i="14"/>
  <c r="U59" i="14"/>
  <c r="V58" i="14"/>
  <c r="U58" i="14"/>
  <c r="V57" i="14"/>
  <c r="U57" i="14"/>
  <c r="V56" i="14"/>
  <c r="U56" i="14"/>
  <c r="V55" i="14"/>
  <c r="U55" i="14"/>
  <c r="V54" i="14"/>
  <c r="U54" i="14"/>
  <c r="V53" i="14"/>
  <c r="U53" i="14"/>
  <c r="V52" i="14"/>
  <c r="U52" i="14"/>
  <c r="V51" i="14"/>
  <c r="U51" i="14"/>
  <c r="V50" i="14"/>
  <c r="U50" i="14"/>
  <c r="V49" i="14"/>
  <c r="U49" i="14"/>
  <c r="V48" i="14"/>
  <c r="U48" i="14"/>
  <c r="V47" i="14"/>
  <c r="U47" i="14"/>
  <c r="V46" i="14"/>
  <c r="U46" i="14"/>
  <c r="V45" i="14"/>
  <c r="U45" i="14"/>
  <c r="V44" i="14"/>
  <c r="U44" i="14"/>
  <c r="V43" i="14"/>
  <c r="U43" i="14"/>
  <c r="V42" i="14"/>
  <c r="U42" i="14"/>
  <c r="V41" i="14"/>
  <c r="U41" i="14"/>
  <c r="V40" i="14"/>
  <c r="U40" i="14"/>
  <c r="V39" i="14"/>
  <c r="U39" i="14"/>
  <c r="V38" i="14"/>
  <c r="U38" i="14"/>
  <c r="V37" i="14"/>
  <c r="U37" i="14"/>
  <c r="V36" i="14"/>
  <c r="U36" i="14"/>
  <c r="V35" i="14"/>
  <c r="U35" i="14"/>
  <c r="V34" i="14"/>
  <c r="U34" i="14"/>
  <c r="V33" i="14"/>
  <c r="U33" i="14"/>
  <c r="V32" i="14"/>
  <c r="U32" i="14"/>
  <c r="V31" i="14"/>
  <c r="U31" i="14"/>
  <c r="V30" i="14"/>
  <c r="U30" i="14"/>
  <c r="V29" i="14"/>
  <c r="U29" i="14"/>
  <c r="V28" i="14"/>
  <c r="U28" i="14"/>
  <c r="V27" i="14"/>
  <c r="U27" i="14"/>
  <c r="V26" i="14"/>
  <c r="U26" i="14"/>
  <c r="V25" i="14"/>
  <c r="U25" i="14"/>
  <c r="V24" i="14"/>
  <c r="U24" i="14"/>
  <c r="V23" i="14"/>
  <c r="U23" i="14"/>
  <c r="V22" i="14"/>
  <c r="U22" i="14"/>
  <c r="V21" i="14"/>
  <c r="U21" i="14"/>
  <c r="V20" i="14"/>
  <c r="U20" i="14"/>
  <c r="V19" i="14"/>
  <c r="U19" i="14"/>
  <c r="V18" i="14"/>
  <c r="U18" i="14"/>
  <c r="V17" i="14"/>
  <c r="U17" i="14"/>
  <c r="V16" i="14"/>
  <c r="U16" i="14"/>
  <c r="V15" i="14"/>
  <c r="U15" i="14"/>
  <c r="V14" i="14"/>
  <c r="U14" i="14"/>
  <c r="V13" i="14"/>
  <c r="U13" i="14"/>
  <c r="V12" i="14"/>
  <c r="U12" i="14"/>
  <c r="V11" i="14"/>
  <c r="U11" i="14"/>
  <c r="V10" i="14"/>
  <c r="U10" i="14"/>
  <c r="V9" i="14"/>
  <c r="U9" i="14"/>
  <c r="V8" i="14"/>
  <c r="U8" i="14"/>
  <c r="V7" i="14"/>
  <c r="U7" i="14"/>
  <c r="B901" i="16" l="1"/>
  <c r="B900" i="16"/>
  <c r="B899" i="16"/>
  <c r="B898" i="16"/>
  <c r="B897" i="16"/>
  <c r="B896" i="16"/>
  <c r="B895" i="16"/>
  <c r="B894" i="16"/>
  <c r="B893" i="16"/>
  <c r="B892" i="16"/>
  <c r="B891" i="16"/>
  <c r="B890" i="16"/>
  <c r="B889" i="16"/>
  <c r="B888" i="16"/>
  <c r="B887" i="16"/>
  <c r="B886" i="16"/>
  <c r="B885" i="16"/>
  <c r="B884" i="16"/>
  <c r="B883" i="16"/>
  <c r="B882" i="16"/>
  <c r="B881" i="16"/>
  <c r="B880" i="16"/>
  <c r="B879" i="16"/>
  <c r="B878" i="16"/>
  <c r="B877" i="16"/>
  <c r="B876" i="16"/>
  <c r="B875" i="16"/>
  <c r="B874" i="16"/>
  <c r="B873" i="16"/>
  <c r="B872" i="16"/>
  <c r="B871" i="16"/>
  <c r="B870" i="16"/>
  <c r="B869" i="16"/>
  <c r="B868" i="16"/>
  <c r="B867" i="16"/>
  <c r="B866" i="16"/>
  <c r="B865" i="16"/>
  <c r="B864" i="16"/>
  <c r="B863" i="16"/>
  <c r="B862" i="16"/>
  <c r="B861" i="16"/>
  <c r="B860" i="16"/>
  <c r="B859" i="16"/>
  <c r="B858" i="16"/>
  <c r="B857" i="16"/>
  <c r="B856" i="16"/>
  <c r="B855" i="16"/>
  <c r="B854" i="16"/>
  <c r="B853" i="16"/>
  <c r="B852" i="16"/>
  <c r="B851" i="16"/>
  <c r="B850" i="16"/>
  <c r="B849" i="16"/>
  <c r="B848" i="16"/>
  <c r="B847" i="16"/>
  <c r="B846" i="16"/>
  <c r="B845" i="16"/>
  <c r="B844" i="16"/>
  <c r="B843" i="16"/>
  <c r="B842" i="16"/>
  <c r="B841" i="16"/>
  <c r="B840" i="16"/>
  <c r="B839" i="16"/>
  <c r="B838" i="16"/>
  <c r="B837" i="16"/>
  <c r="B836" i="16"/>
  <c r="B835" i="16"/>
  <c r="B834" i="16"/>
  <c r="B833" i="16"/>
  <c r="B832" i="16"/>
  <c r="B831" i="16"/>
  <c r="B830" i="16"/>
  <c r="B829" i="16"/>
  <c r="B828" i="16"/>
  <c r="B827" i="16"/>
  <c r="B826" i="16"/>
  <c r="B825" i="16"/>
  <c r="B824" i="16"/>
  <c r="B823" i="16"/>
  <c r="B822" i="16"/>
  <c r="B821" i="16"/>
  <c r="B820" i="16"/>
  <c r="B819" i="16"/>
  <c r="B818" i="16"/>
  <c r="B817" i="16"/>
  <c r="B816" i="16"/>
  <c r="B815" i="16"/>
  <c r="B814" i="16"/>
  <c r="B813" i="16"/>
  <c r="B812" i="16"/>
  <c r="B811" i="16"/>
  <c r="B810" i="16"/>
  <c r="B809" i="16"/>
  <c r="B808" i="16"/>
  <c r="B807" i="16"/>
  <c r="B806" i="16"/>
  <c r="B805" i="16"/>
  <c r="B804" i="16"/>
  <c r="B803" i="16"/>
  <c r="B802" i="16"/>
  <c r="B801" i="16"/>
  <c r="B800" i="16"/>
  <c r="B799" i="16"/>
  <c r="B798" i="16"/>
  <c r="B797" i="16"/>
  <c r="B796" i="16"/>
  <c r="B795" i="16"/>
  <c r="B794" i="16"/>
  <c r="B793" i="16"/>
  <c r="B792" i="16"/>
  <c r="B791" i="16"/>
  <c r="B790" i="16"/>
  <c r="B789" i="16"/>
  <c r="B788" i="16"/>
  <c r="B787" i="16"/>
  <c r="B786" i="16"/>
  <c r="B785" i="16"/>
  <c r="B784" i="16"/>
  <c r="B783" i="16"/>
  <c r="B782" i="16"/>
  <c r="B781" i="16"/>
  <c r="B780" i="16"/>
  <c r="B779" i="16"/>
  <c r="B778" i="16"/>
  <c r="B777" i="16"/>
  <c r="B776" i="16"/>
  <c r="B775" i="16"/>
  <c r="B774" i="16"/>
  <c r="B773" i="16"/>
  <c r="B772" i="16"/>
  <c r="B771" i="16"/>
  <c r="B770" i="16"/>
  <c r="B769" i="16"/>
  <c r="B768" i="16"/>
  <c r="B767" i="16"/>
  <c r="B766" i="16"/>
  <c r="B765" i="16"/>
  <c r="B764" i="16"/>
  <c r="B763" i="16"/>
  <c r="B762" i="16"/>
  <c r="B761" i="16"/>
  <c r="B760" i="16"/>
  <c r="B759" i="16"/>
  <c r="B758" i="16"/>
  <c r="B757" i="16"/>
  <c r="B756" i="16"/>
  <c r="B755" i="16"/>
  <c r="B754" i="16"/>
  <c r="B753" i="16"/>
  <c r="B752" i="16"/>
  <c r="B751" i="16"/>
  <c r="B750" i="16"/>
  <c r="B749" i="16"/>
  <c r="B748" i="16"/>
  <c r="B747" i="16"/>
  <c r="B746" i="16"/>
  <c r="B745" i="16"/>
  <c r="B744" i="16"/>
  <c r="B743" i="16"/>
  <c r="B742" i="16"/>
  <c r="B741" i="16"/>
  <c r="B740" i="16"/>
  <c r="B739" i="16"/>
  <c r="B738" i="16"/>
  <c r="B737" i="16"/>
  <c r="B736" i="16"/>
  <c r="B735" i="16"/>
  <c r="B734" i="16"/>
  <c r="B733" i="16"/>
  <c r="B732" i="16"/>
  <c r="B731" i="16"/>
  <c r="B730" i="16"/>
  <c r="B729" i="16"/>
  <c r="B728" i="16"/>
  <c r="B727" i="16"/>
  <c r="B726" i="16"/>
  <c r="B725" i="16"/>
  <c r="B724" i="16"/>
  <c r="B723" i="16"/>
  <c r="B722" i="16"/>
  <c r="B721" i="16"/>
  <c r="B720" i="16"/>
  <c r="B719" i="16"/>
  <c r="B718" i="16"/>
  <c r="B717" i="16"/>
  <c r="B716" i="16"/>
  <c r="B715" i="16"/>
  <c r="B714" i="16"/>
  <c r="B713" i="16"/>
  <c r="B712" i="16"/>
  <c r="B711" i="16"/>
  <c r="B710" i="16"/>
  <c r="B709" i="16"/>
  <c r="B708" i="16"/>
  <c r="B707" i="16"/>
  <c r="B706" i="16"/>
  <c r="B705" i="16"/>
  <c r="B704" i="16"/>
  <c r="B703" i="16"/>
  <c r="B702" i="16"/>
  <c r="B701" i="16"/>
  <c r="B700" i="16"/>
  <c r="B699" i="16"/>
  <c r="B698" i="16"/>
  <c r="B697" i="16"/>
  <c r="B696" i="16"/>
  <c r="B695" i="16"/>
  <c r="B694" i="16"/>
  <c r="B693" i="16"/>
  <c r="B692" i="16"/>
  <c r="B691" i="16"/>
  <c r="B690" i="16"/>
  <c r="B689" i="16"/>
  <c r="B688" i="16"/>
  <c r="B687" i="16"/>
  <c r="B686" i="16"/>
  <c r="B685" i="16"/>
  <c r="B684" i="16"/>
  <c r="B683" i="16"/>
  <c r="B682" i="16"/>
  <c r="B681" i="16"/>
  <c r="B680" i="16"/>
  <c r="B679" i="16"/>
  <c r="B678" i="16"/>
  <c r="B677" i="16"/>
  <c r="B676" i="16"/>
  <c r="B675" i="16"/>
  <c r="B674" i="16"/>
  <c r="B673" i="16"/>
  <c r="B672" i="16"/>
  <c r="B671" i="16"/>
  <c r="B670" i="16"/>
  <c r="B669" i="16"/>
  <c r="B668" i="16"/>
  <c r="B667" i="16"/>
  <c r="B666" i="16"/>
  <c r="B665" i="16"/>
  <c r="B664" i="16"/>
  <c r="B663" i="16"/>
  <c r="B662" i="16"/>
  <c r="B661" i="16"/>
  <c r="B660" i="16"/>
  <c r="B659" i="16"/>
  <c r="B658" i="16"/>
  <c r="B657" i="16"/>
  <c r="B656" i="16"/>
  <c r="B655" i="16"/>
  <c r="B654" i="16"/>
  <c r="B653" i="16"/>
  <c r="B652" i="16"/>
  <c r="B651" i="16"/>
  <c r="B650" i="16"/>
  <c r="B649" i="16"/>
  <c r="B648" i="16"/>
  <c r="B647" i="16"/>
  <c r="B646" i="16"/>
  <c r="B645" i="16"/>
  <c r="B644" i="16"/>
  <c r="B643" i="16"/>
  <c r="B642" i="16"/>
  <c r="B641" i="16"/>
  <c r="B640" i="16"/>
  <c r="B639" i="16"/>
  <c r="B638" i="16"/>
  <c r="B637" i="16"/>
  <c r="B636" i="16"/>
  <c r="B635" i="16"/>
  <c r="B634" i="16"/>
  <c r="B633" i="16"/>
  <c r="B632" i="16"/>
  <c r="B631" i="16"/>
  <c r="B630" i="16"/>
  <c r="B629" i="16"/>
  <c r="B628" i="16"/>
  <c r="B627" i="16"/>
  <c r="B626" i="16"/>
  <c r="B625" i="16"/>
  <c r="B624" i="16"/>
  <c r="B623" i="16"/>
  <c r="B622" i="16"/>
  <c r="B621" i="16"/>
  <c r="B620" i="16"/>
  <c r="B619" i="16"/>
  <c r="B618" i="16"/>
  <c r="B617" i="16"/>
  <c r="B616" i="16"/>
  <c r="B615" i="16"/>
  <c r="B614" i="16"/>
  <c r="B613" i="16"/>
  <c r="B612" i="16"/>
  <c r="B611" i="16"/>
  <c r="B610" i="16"/>
  <c r="B609" i="16"/>
  <c r="B608" i="16"/>
  <c r="B607" i="16"/>
  <c r="B606" i="16"/>
  <c r="B605" i="16"/>
  <c r="B604" i="16"/>
  <c r="B603" i="16"/>
  <c r="B602" i="16"/>
  <c r="B601" i="16"/>
  <c r="B600" i="16"/>
  <c r="B599" i="16"/>
  <c r="B598" i="16"/>
  <c r="B597" i="16"/>
  <c r="B596" i="16"/>
  <c r="B595" i="16"/>
  <c r="B594" i="16"/>
  <c r="B593" i="16"/>
  <c r="B592" i="16"/>
  <c r="B591" i="16"/>
  <c r="B590" i="16"/>
  <c r="B589" i="16"/>
  <c r="B588" i="16"/>
  <c r="B587" i="16"/>
  <c r="B586" i="16"/>
  <c r="B585" i="16"/>
  <c r="B584" i="16"/>
  <c r="B583" i="16"/>
  <c r="B582" i="16"/>
  <c r="B581" i="16"/>
  <c r="B580" i="16"/>
  <c r="B579" i="16"/>
  <c r="B578" i="16"/>
  <c r="B577" i="16"/>
  <c r="B576" i="16"/>
  <c r="B575" i="16"/>
  <c r="B574" i="16"/>
  <c r="B573" i="16"/>
  <c r="B572" i="16"/>
  <c r="B571" i="16"/>
  <c r="B570" i="16"/>
  <c r="B569" i="16"/>
  <c r="B568" i="16"/>
  <c r="B567" i="16"/>
  <c r="B566" i="16"/>
  <c r="B565" i="16"/>
  <c r="B564" i="16"/>
  <c r="B563" i="16"/>
  <c r="B562" i="16"/>
  <c r="B561" i="16"/>
  <c r="B560" i="16"/>
  <c r="B559" i="16"/>
  <c r="B558" i="16"/>
  <c r="B557" i="16"/>
  <c r="B556" i="16"/>
  <c r="B555" i="16"/>
  <c r="B554" i="16"/>
  <c r="B553" i="16"/>
  <c r="B552" i="16"/>
  <c r="B551" i="16"/>
  <c r="B550" i="16"/>
  <c r="B549" i="16"/>
  <c r="B548" i="16"/>
  <c r="B547" i="16"/>
  <c r="B546" i="16"/>
  <c r="B545" i="16"/>
  <c r="B544" i="16"/>
  <c r="B543" i="16"/>
  <c r="B542" i="16"/>
  <c r="B541" i="16"/>
  <c r="B540" i="16"/>
  <c r="B539" i="16"/>
  <c r="B538" i="16"/>
  <c r="B537" i="16"/>
  <c r="B536" i="16"/>
  <c r="B535" i="16"/>
  <c r="B534" i="16"/>
  <c r="B533" i="16"/>
  <c r="B532" i="16"/>
  <c r="B531" i="16"/>
  <c r="B530" i="16"/>
  <c r="B529" i="16"/>
  <c r="B528" i="16"/>
  <c r="B527" i="16"/>
  <c r="B526" i="16"/>
  <c r="B525" i="16"/>
  <c r="B524" i="16"/>
  <c r="B523" i="16"/>
  <c r="B522" i="16"/>
  <c r="B521" i="16"/>
  <c r="B520" i="16"/>
  <c r="B519" i="16"/>
  <c r="B518" i="16"/>
  <c r="B517" i="16"/>
  <c r="B516" i="16"/>
  <c r="B515" i="16"/>
  <c r="B514" i="16"/>
  <c r="B513" i="16"/>
  <c r="B512" i="16"/>
  <c r="B511" i="16"/>
  <c r="B510" i="16"/>
  <c r="B509" i="16"/>
  <c r="B508" i="16"/>
  <c r="B507" i="16"/>
  <c r="B506" i="16"/>
  <c r="B505" i="16"/>
  <c r="B504" i="16"/>
  <c r="B503" i="16"/>
  <c r="B502" i="16"/>
  <c r="B501" i="16"/>
  <c r="B500" i="16"/>
  <c r="B499" i="16"/>
  <c r="B498" i="16"/>
  <c r="B497" i="16"/>
  <c r="B496" i="16"/>
  <c r="B495" i="16"/>
  <c r="B494" i="16"/>
  <c r="B493" i="16"/>
  <c r="B492" i="16"/>
  <c r="B491" i="16"/>
  <c r="B490" i="16"/>
  <c r="B489" i="16"/>
  <c r="B488" i="16"/>
  <c r="B487" i="16"/>
  <c r="B486" i="16"/>
  <c r="B485" i="16"/>
  <c r="B484" i="16"/>
  <c r="B483" i="16"/>
  <c r="B482" i="16"/>
  <c r="B481" i="16"/>
  <c r="B480" i="16"/>
  <c r="B479" i="16"/>
  <c r="B478" i="16"/>
  <c r="B477" i="16"/>
  <c r="B476" i="16"/>
  <c r="B475" i="16"/>
  <c r="B474" i="16"/>
  <c r="B473" i="16"/>
  <c r="B472" i="16"/>
  <c r="B471" i="16"/>
  <c r="B470" i="16"/>
  <c r="B469" i="16"/>
  <c r="B468" i="16"/>
  <c r="B467" i="16"/>
  <c r="B466" i="16"/>
  <c r="B465" i="16"/>
  <c r="B464" i="16"/>
  <c r="B463" i="16"/>
  <c r="B462" i="16"/>
  <c r="B461" i="16"/>
  <c r="B460" i="16"/>
  <c r="B459" i="16"/>
  <c r="B458" i="16"/>
  <c r="B457" i="16"/>
  <c r="B456" i="16"/>
  <c r="B455" i="16"/>
  <c r="B454" i="16"/>
  <c r="B453" i="16"/>
  <c r="B452" i="16"/>
  <c r="B451" i="16"/>
  <c r="B450" i="16"/>
  <c r="B449" i="16"/>
  <c r="B448" i="16"/>
  <c r="B447" i="16"/>
  <c r="B446" i="16"/>
  <c r="B445" i="16"/>
  <c r="B444" i="16"/>
  <c r="B443" i="16"/>
  <c r="B442" i="16"/>
  <c r="B441" i="16"/>
  <c r="B440" i="16"/>
  <c r="B439" i="16"/>
  <c r="B438" i="16"/>
  <c r="B437" i="16"/>
  <c r="B436" i="16"/>
  <c r="B435" i="16"/>
  <c r="B434" i="16"/>
  <c r="B433" i="16"/>
  <c r="B432" i="16"/>
  <c r="B431" i="16"/>
  <c r="B430" i="16"/>
  <c r="B429" i="16"/>
  <c r="B428" i="16"/>
  <c r="B427" i="16"/>
  <c r="B426" i="16"/>
  <c r="B425" i="16"/>
  <c r="B424" i="16"/>
  <c r="B423" i="16"/>
  <c r="B422" i="16"/>
  <c r="B421" i="16"/>
  <c r="B420" i="16"/>
  <c r="B419" i="16"/>
  <c r="B418" i="16"/>
  <c r="B417" i="16"/>
  <c r="B416" i="16"/>
  <c r="B415" i="16"/>
  <c r="B414" i="16"/>
  <c r="B413" i="16"/>
  <c r="B412" i="16"/>
  <c r="B411" i="16"/>
  <c r="B410" i="16"/>
  <c r="B409" i="16"/>
  <c r="B408" i="16"/>
  <c r="B407" i="16"/>
  <c r="B406" i="16"/>
  <c r="B405" i="16"/>
  <c r="B404" i="16"/>
  <c r="B403" i="16"/>
  <c r="B402" i="16"/>
  <c r="B401" i="16"/>
  <c r="B400" i="16"/>
  <c r="B399" i="16"/>
  <c r="B398" i="16"/>
  <c r="B397" i="16"/>
  <c r="B396" i="16"/>
  <c r="B395" i="16"/>
  <c r="B394" i="16"/>
  <c r="B393" i="16"/>
  <c r="B392" i="16"/>
  <c r="B391" i="16"/>
  <c r="B390" i="16"/>
  <c r="B389" i="16"/>
  <c r="B388" i="16"/>
  <c r="B387" i="16"/>
  <c r="B386" i="16"/>
  <c r="B385" i="16"/>
  <c r="B384" i="16"/>
  <c r="B383" i="16"/>
  <c r="B382" i="16"/>
  <c r="B381" i="16"/>
  <c r="B380" i="16"/>
  <c r="B379" i="16"/>
  <c r="B378" i="16"/>
  <c r="B377" i="16"/>
  <c r="B376" i="16"/>
  <c r="B375" i="16"/>
  <c r="B374" i="16"/>
  <c r="B373" i="16"/>
  <c r="B372" i="16"/>
  <c r="B371" i="16"/>
  <c r="B370" i="16"/>
  <c r="B369" i="16"/>
  <c r="B368" i="16"/>
  <c r="B367" i="16"/>
  <c r="B366" i="16"/>
  <c r="B365" i="16"/>
  <c r="B364" i="16"/>
  <c r="B363" i="16"/>
  <c r="B362" i="16"/>
  <c r="B361" i="16"/>
  <c r="B360" i="16"/>
  <c r="B359" i="16"/>
  <c r="B358" i="16"/>
  <c r="B357" i="16"/>
  <c r="B356" i="16"/>
  <c r="B355" i="16"/>
  <c r="B354" i="16"/>
  <c r="B353" i="16"/>
  <c r="B352" i="16"/>
  <c r="B351" i="16"/>
  <c r="B350" i="16"/>
  <c r="B349" i="16"/>
  <c r="B348" i="16"/>
  <c r="B347" i="16"/>
  <c r="B346" i="16"/>
  <c r="B345" i="16"/>
  <c r="B344" i="16"/>
  <c r="B343" i="16"/>
  <c r="B342" i="16"/>
  <c r="B341" i="16"/>
  <c r="B340" i="16"/>
  <c r="B339" i="16"/>
  <c r="B338" i="16"/>
  <c r="B337" i="16"/>
  <c r="B336" i="16"/>
  <c r="B335" i="16"/>
  <c r="B334" i="16"/>
  <c r="B333" i="16"/>
  <c r="B332" i="16"/>
  <c r="B331" i="16"/>
  <c r="B330" i="16"/>
  <c r="B329" i="16"/>
  <c r="B328" i="16"/>
  <c r="B327" i="16"/>
  <c r="B326" i="16"/>
  <c r="B325" i="16"/>
  <c r="B324" i="16"/>
  <c r="B323" i="16"/>
  <c r="B322" i="16"/>
  <c r="B321" i="16"/>
  <c r="B320" i="16"/>
  <c r="B319" i="16"/>
  <c r="B318" i="16"/>
  <c r="B317" i="16"/>
  <c r="B316" i="16"/>
  <c r="B315" i="16"/>
  <c r="B314" i="16"/>
  <c r="B313" i="16"/>
  <c r="B312" i="16"/>
  <c r="B311" i="16"/>
  <c r="B310" i="16"/>
  <c r="B309" i="16"/>
  <c r="B308" i="16"/>
  <c r="B307" i="16"/>
  <c r="B306" i="16"/>
  <c r="B305" i="16"/>
  <c r="B304" i="16"/>
  <c r="B303" i="16"/>
  <c r="B302" i="16"/>
  <c r="B301" i="16"/>
  <c r="B300" i="16"/>
  <c r="B299" i="16"/>
  <c r="B298" i="16"/>
  <c r="B297" i="16"/>
  <c r="B296" i="16"/>
  <c r="B295" i="16"/>
  <c r="B294" i="16"/>
  <c r="B293" i="16"/>
  <c r="B292" i="16"/>
  <c r="B291" i="16"/>
  <c r="B290" i="16"/>
  <c r="B289" i="16"/>
  <c r="B288" i="16"/>
  <c r="B287" i="16"/>
  <c r="B286" i="16"/>
  <c r="B285" i="16"/>
  <c r="B284" i="16"/>
  <c r="B283" i="16"/>
  <c r="B282" i="16"/>
  <c r="B281" i="16"/>
  <c r="B280" i="16"/>
  <c r="B279" i="16"/>
  <c r="B278" i="16"/>
  <c r="B277" i="16"/>
  <c r="B276" i="16"/>
  <c r="B275" i="16"/>
  <c r="B274" i="16"/>
  <c r="B273" i="16"/>
  <c r="B272" i="16"/>
  <c r="B271" i="16"/>
  <c r="B270" i="16"/>
  <c r="B269" i="16"/>
  <c r="B268" i="16"/>
  <c r="B267" i="16"/>
  <c r="B266" i="16"/>
  <c r="B265" i="16"/>
  <c r="B264" i="16"/>
  <c r="B263" i="16"/>
  <c r="B262" i="16"/>
  <c r="B261" i="16"/>
  <c r="B260" i="16"/>
  <c r="B259" i="16"/>
  <c r="B258" i="16"/>
  <c r="B257" i="16"/>
  <c r="B256" i="16"/>
  <c r="B255" i="16"/>
  <c r="B254" i="16"/>
  <c r="B253" i="16"/>
  <c r="B252" i="16"/>
  <c r="B251" i="16"/>
  <c r="B250" i="16"/>
  <c r="B249" i="16"/>
  <c r="B248" i="16"/>
  <c r="B247" i="16"/>
  <c r="B246" i="16"/>
  <c r="B245" i="16"/>
  <c r="B244" i="16"/>
  <c r="B243" i="16"/>
  <c r="B242" i="16"/>
  <c r="B241" i="16"/>
  <c r="B240" i="16"/>
  <c r="B239" i="16"/>
  <c r="B238" i="16"/>
  <c r="B237" i="16"/>
  <c r="B236" i="16"/>
  <c r="B235" i="16"/>
  <c r="B234" i="16"/>
  <c r="B233" i="16"/>
  <c r="B232" i="16"/>
  <c r="B231" i="16"/>
  <c r="B230" i="16"/>
  <c r="B229" i="16"/>
  <c r="B228" i="16"/>
  <c r="B227" i="16"/>
  <c r="B226" i="16"/>
  <c r="B225" i="16"/>
  <c r="B224" i="16"/>
  <c r="B223" i="16"/>
  <c r="B222" i="16"/>
  <c r="B221" i="16"/>
  <c r="B220" i="16"/>
  <c r="B219" i="16"/>
  <c r="B218" i="16"/>
  <c r="B217" i="16"/>
  <c r="B216" i="16"/>
  <c r="B215" i="16"/>
  <c r="B214" i="16"/>
  <c r="B213" i="16"/>
  <c r="B212" i="16"/>
  <c r="B211" i="16"/>
  <c r="B210" i="16"/>
  <c r="B209" i="16"/>
  <c r="B208" i="16"/>
  <c r="B207" i="16"/>
  <c r="B206" i="16"/>
  <c r="B205" i="16"/>
  <c r="B204" i="16"/>
  <c r="B203" i="16"/>
  <c r="B202" i="16"/>
  <c r="B201" i="16"/>
  <c r="B200" i="16"/>
  <c r="B199" i="16"/>
  <c r="B198" i="16"/>
  <c r="B197" i="16"/>
  <c r="B196" i="16"/>
  <c r="B195" i="16"/>
  <c r="B194" i="16"/>
  <c r="B193" i="16"/>
  <c r="B192" i="16"/>
  <c r="B191" i="16"/>
  <c r="B190" i="16"/>
  <c r="B189" i="16"/>
  <c r="B188" i="16"/>
  <c r="B187" i="16"/>
  <c r="B186" i="16"/>
  <c r="B185" i="16"/>
  <c r="B184" i="16"/>
  <c r="B183" i="16"/>
  <c r="B182" i="16"/>
  <c r="B181" i="16"/>
  <c r="B180" i="16"/>
  <c r="B179" i="16"/>
  <c r="B178" i="16"/>
  <c r="B177" i="16"/>
  <c r="B176" i="16"/>
  <c r="B175" i="16"/>
  <c r="B174" i="16"/>
  <c r="B173" i="16"/>
  <c r="B172" i="16"/>
  <c r="B171" i="16"/>
  <c r="B170" i="16"/>
  <c r="B169" i="16"/>
  <c r="B168" i="16"/>
  <c r="B167" i="16"/>
  <c r="B166" i="16"/>
  <c r="B165" i="16"/>
  <c r="B164" i="16"/>
  <c r="B163" i="16"/>
  <c r="B162" i="16"/>
  <c r="B161"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D893" i="16" l="1"/>
  <c r="D892" i="16"/>
  <c r="D891" i="16"/>
  <c r="D882" i="16"/>
  <c r="D881" i="16"/>
  <c r="D880" i="16"/>
  <c r="D871" i="16"/>
  <c r="D870" i="16"/>
  <c r="D869" i="16"/>
  <c r="D860" i="16"/>
  <c r="D859" i="16"/>
  <c r="D858" i="16"/>
  <c r="D849" i="16"/>
  <c r="D848" i="16"/>
  <c r="D847" i="16"/>
  <c r="D838" i="16"/>
  <c r="D837" i="16"/>
  <c r="D836" i="16"/>
  <c r="D827" i="16"/>
  <c r="D826" i="16"/>
  <c r="D825" i="16"/>
  <c r="D816" i="16"/>
  <c r="D815" i="16"/>
  <c r="D814" i="16"/>
  <c r="D805" i="16"/>
  <c r="D804" i="16"/>
  <c r="D803" i="16"/>
  <c r="D794" i="16"/>
  <c r="D793" i="16"/>
  <c r="D792" i="16"/>
  <c r="D783" i="16"/>
  <c r="D782" i="16"/>
  <c r="D781" i="16"/>
  <c r="D772" i="16"/>
  <c r="D771" i="16"/>
  <c r="D770" i="16"/>
  <c r="D761" i="16"/>
  <c r="D760" i="16"/>
  <c r="D759" i="16"/>
  <c r="D750" i="16"/>
  <c r="D749" i="16"/>
  <c r="D748" i="16"/>
  <c r="D739" i="16"/>
  <c r="D738" i="16"/>
  <c r="D737" i="16"/>
  <c r="D728" i="16"/>
  <c r="D727" i="16"/>
  <c r="D726" i="16"/>
  <c r="D717" i="16"/>
  <c r="D716" i="16"/>
  <c r="D715" i="16"/>
  <c r="G901" i="16"/>
  <c r="E901" i="16"/>
  <c r="G900" i="16"/>
  <c r="E900" i="16"/>
  <c r="G899" i="16"/>
  <c r="E899" i="16"/>
  <c r="G898" i="16"/>
  <c r="E898" i="16"/>
  <c r="G897" i="16"/>
  <c r="E897" i="16"/>
  <c r="G896" i="16"/>
  <c r="E896" i="16"/>
  <c r="G895" i="16"/>
  <c r="E895" i="16"/>
  <c r="G894" i="16"/>
  <c r="E894" i="16"/>
  <c r="G893" i="16"/>
  <c r="E893" i="16"/>
  <c r="G892" i="16"/>
  <c r="E892" i="16"/>
  <c r="G891" i="16"/>
  <c r="E891" i="16"/>
  <c r="G890" i="16"/>
  <c r="E890" i="16"/>
  <c r="G889" i="16"/>
  <c r="E889" i="16"/>
  <c r="G888" i="16"/>
  <c r="E888" i="16"/>
  <c r="G887" i="16"/>
  <c r="E887" i="16"/>
  <c r="G886" i="16"/>
  <c r="E886" i="16"/>
  <c r="G885" i="16"/>
  <c r="E885" i="16"/>
  <c r="G884" i="16"/>
  <c r="E884" i="16"/>
  <c r="G883" i="16"/>
  <c r="E883" i="16"/>
  <c r="G882" i="16"/>
  <c r="E882" i="16"/>
  <c r="G881" i="16"/>
  <c r="E881" i="16"/>
  <c r="G880" i="16"/>
  <c r="E880" i="16"/>
  <c r="G879" i="16"/>
  <c r="E879" i="16"/>
  <c r="G878" i="16"/>
  <c r="E878" i="16"/>
  <c r="G877" i="16"/>
  <c r="E877" i="16"/>
  <c r="G876" i="16"/>
  <c r="E876" i="16"/>
  <c r="G875" i="16"/>
  <c r="E875" i="16"/>
  <c r="G874" i="16"/>
  <c r="E874" i="16"/>
  <c r="G873" i="16"/>
  <c r="E873" i="16"/>
  <c r="G872" i="16"/>
  <c r="E872" i="16"/>
  <c r="G871" i="16"/>
  <c r="E871" i="16"/>
  <c r="G870" i="16"/>
  <c r="E870" i="16"/>
  <c r="G869" i="16"/>
  <c r="E869" i="16"/>
  <c r="G868" i="16"/>
  <c r="E868" i="16"/>
  <c r="G867" i="16"/>
  <c r="E867" i="16"/>
  <c r="G866" i="16"/>
  <c r="E866" i="16"/>
  <c r="G865" i="16"/>
  <c r="E865" i="16"/>
  <c r="G864" i="16"/>
  <c r="E864" i="16"/>
  <c r="G863" i="16"/>
  <c r="E863" i="16"/>
  <c r="G862" i="16"/>
  <c r="E862" i="16"/>
  <c r="G861" i="16"/>
  <c r="E861" i="16"/>
  <c r="G860" i="16"/>
  <c r="E860" i="16"/>
  <c r="G859" i="16"/>
  <c r="E859" i="16"/>
  <c r="G858" i="16"/>
  <c r="E858" i="16"/>
  <c r="G857" i="16"/>
  <c r="E857" i="16"/>
  <c r="G856" i="16"/>
  <c r="E856" i="16"/>
  <c r="G855" i="16"/>
  <c r="E855" i="16"/>
  <c r="G854" i="16"/>
  <c r="E854" i="16"/>
  <c r="G853" i="16"/>
  <c r="E853" i="16"/>
  <c r="G852" i="16"/>
  <c r="E852" i="16"/>
  <c r="G851" i="16"/>
  <c r="E851" i="16"/>
  <c r="G850" i="16"/>
  <c r="E850" i="16"/>
  <c r="G849" i="16"/>
  <c r="E849" i="16"/>
  <c r="G848" i="16"/>
  <c r="E848" i="16"/>
  <c r="G847" i="16"/>
  <c r="E847" i="16"/>
  <c r="G846" i="16"/>
  <c r="E846" i="16"/>
  <c r="G845" i="16"/>
  <c r="E845" i="16"/>
  <c r="G844" i="16"/>
  <c r="E844" i="16"/>
  <c r="G843" i="16"/>
  <c r="E843" i="16"/>
  <c r="G842" i="16"/>
  <c r="E842" i="16"/>
  <c r="G841" i="16"/>
  <c r="E841" i="16"/>
  <c r="G840" i="16"/>
  <c r="E840" i="16"/>
  <c r="G839" i="16"/>
  <c r="E839" i="16"/>
  <c r="G838" i="16"/>
  <c r="E838" i="16"/>
  <c r="G837" i="16"/>
  <c r="E837" i="16"/>
  <c r="G836" i="16"/>
  <c r="E836" i="16"/>
  <c r="G835" i="16"/>
  <c r="E835" i="16"/>
  <c r="G834" i="16"/>
  <c r="E834" i="16"/>
  <c r="G833" i="16"/>
  <c r="E833" i="16"/>
  <c r="G832" i="16"/>
  <c r="E832" i="16"/>
  <c r="G831" i="16"/>
  <c r="E831" i="16"/>
  <c r="G830" i="16"/>
  <c r="E830" i="16"/>
  <c r="G829" i="16"/>
  <c r="E829" i="16"/>
  <c r="G828" i="16"/>
  <c r="E828" i="16"/>
  <c r="G827" i="16"/>
  <c r="E827" i="16"/>
  <c r="G826" i="16"/>
  <c r="E826" i="16"/>
  <c r="G825" i="16"/>
  <c r="E825" i="16"/>
  <c r="G824" i="16"/>
  <c r="E824" i="16"/>
  <c r="G823" i="16"/>
  <c r="E823" i="16"/>
  <c r="G822" i="16"/>
  <c r="E822" i="16"/>
  <c r="G821" i="16"/>
  <c r="E821" i="16"/>
  <c r="G820" i="16"/>
  <c r="E820" i="16"/>
  <c r="G819" i="16"/>
  <c r="E819" i="16"/>
  <c r="G818" i="16"/>
  <c r="E818" i="16"/>
  <c r="G817" i="16"/>
  <c r="E817" i="16"/>
  <c r="G816" i="16"/>
  <c r="E816" i="16"/>
  <c r="G815" i="16"/>
  <c r="E815" i="16"/>
  <c r="G814" i="16"/>
  <c r="E814" i="16"/>
  <c r="G813" i="16"/>
  <c r="E813" i="16"/>
  <c r="G812" i="16"/>
  <c r="E812" i="16"/>
  <c r="G811" i="16"/>
  <c r="E811" i="16"/>
  <c r="G810" i="16"/>
  <c r="E810" i="16"/>
  <c r="G809" i="16"/>
  <c r="E809" i="16"/>
  <c r="G808" i="16"/>
  <c r="E808" i="16"/>
  <c r="G807" i="16"/>
  <c r="E807" i="16"/>
  <c r="G806" i="16"/>
  <c r="E806" i="16"/>
  <c r="G805" i="16"/>
  <c r="E805" i="16"/>
  <c r="G804" i="16"/>
  <c r="E804" i="16"/>
  <c r="G803" i="16"/>
  <c r="E803" i="16"/>
  <c r="G802" i="16"/>
  <c r="E802" i="16"/>
  <c r="G801" i="16"/>
  <c r="E801" i="16"/>
  <c r="G800" i="16"/>
  <c r="E800" i="16"/>
  <c r="G799" i="16"/>
  <c r="E799" i="16"/>
  <c r="G798" i="16"/>
  <c r="E798" i="16"/>
  <c r="G797" i="16"/>
  <c r="E797" i="16"/>
  <c r="G796" i="16"/>
  <c r="E796" i="16"/>
  <c r="G795" i="16"/>
  <c r="E795" i="16"/>
  <c r="G794" i="16"/>
  <c r="E794" i="16"/>
  <c r="G793" i="16"/>
  <c r="E793" i="16"/>
  <c r="G792" i="16"/>
  <c r="E792" i="16"/>
  <c r="G791" i="16"/>
  <c r="E791" i="16"/>
  <c r="G790" i="16"/>
  <c r="E790" i="16"/>
  <c r="G789" i="16"/>
  <c r="E789" i="16"/>
  <c r="G788" i="16"/>
  <c r="E788" i="16"/>
  <c r="G787" i="16"/>
  <c r="E787" i="16"/>
  <c r="G786" i="16"/>
  <c r="E786" i="16"/>
  <c r="G785" i="16"/>
  <c r="E785" i="16"/>
  <c r="G784" i="16"/>
  <c r="E784" i="16"/>
  <c r="G783" i="16"/>
  <c r="E783" i="16"/>
  <c r="G782" i="16"/>
  <c r="E782" i="16"/>
  <c r="G781" i="16"/>
  <c r="E781" i="16"/>
  <c r="G780" i="16"/>
  <c r="E780" i="16"/>
  <c r="G779" i="16"/>
  <c r="E779" i="16"/>
  <c r="G778" i="16"/>
  <c r="E778" i="16"/>
  <c r="G777" i="16"/>
  <c r="E777" i="16"/>
  <c r="G776" i="16"/>
  <c r="E776" i="16"/>
  <c r="G775" i="16"/>
  <c r="E775" i="16"/>
  <c r="G774" i="16"/>
  <c r="E774" i="16"/>
  <c r="G773" i="16"/>
  <c r="E773" i="16"/>
  <c r="G772" i="16"/>
  <c r="E772" i="16"/>
  <c r="G771" i="16"/>
  <c r="E771" i="16"/>
  <c r="G770" i="16"/>
  <c r="E770" i="16"/>
  <c r="G769" i="16"/>
  <c r="E769" i="16"/>
  <c r="G768" i="16"/>
  <c r="E768" i="16"/>
  <c r="G767" i="16"/>
  <c r="E767" i="16"/>
  <c r="G766" i="16"/>
  <c r="E766" i="16"/>
  <c r="G765" i="16"/>
  <c r="E765" i="16"/>
  <c r="G764" i="16"/>
  <c r="E764" i="16"/>
  <c r="G763" i="16"/>
  <c r="E763" i="16"/>
  <c r="G762" i="16"/>
  <c r="E762" i="16"/>
  <c r="G761" i="16"/>
  <c r="E761" i="16"/>
  <c r="G760" i="16"/>
  <c r="E760" i="16"/>
  <c r="G759" i="16"/>
  <c r="E759" i="16"/>
  <c r="G758" i="16"/>
  <c r="E758" i="16"/>
  <c r="G757" i="16"/>
  <c r="E757" i="16"/>
  <c r="G756" i="16"/>
  <c r="E756" i="16"/>
  <c r="G755" i="16"/>
  <c r="E755" i="16"/>
  <c r="G754" i="16"/>
  <c r="E754" i="16"/>
  <c r="G753" i="16"/>
  <c r="E753" i="16"/>
  <c r="G752" i="16"/>
  <c r="E752" i="16"/>
  <c r="G751" i="16"/>
  <c r="E751" i="16"/>
  <c r="G750" i="16"/>
  <c r="E750" i="16"/>
  <c r="G749" i="16"/>
  <c r="E749" i="16"/>
  <c r="G748" i="16"/>
  <c r="E748" i="16"/>
  <c r="G747" i="16"/>
  <c r="E747" i="16"/>
  <c r="G746" i="16"/>
  <c r="E746" i="16"/>
  <c r="G745" i="16"/>
  <c r="E745" i="16"/>
  <c r="G744" i="16"/>
  <c r="E744" i="16"/>
  <c r="G743" i="16"/>
  <c r="E743" i="16"/>
  <c r="G742" i="16"/>
  <c r="E742" i="16"/>
  <c r="G741" i="16"/>
  <c r="E741" i="16"/>
  <c r="G740" i="16"/>
  <c r="E740" i="16"/>
  <c r="G739" i="16"/>
  <c r="E739" i="16"/>
  <c r="G738" i="16"/>
  <c r="E738" i="16"/>
  <c r="G737" i="16"/>
  <c r="E737" i="16"/>
  <c r="G736" i="16"/>
  <c r="E736" i="16"/>
  <c r="G735" i="16"/>
  <c r="E735" i="16"/>
  <c r="G734" i="16"/>
  <c r="E734" i="16"/>
  <c r="G733" i="16"/>
  <c r="E733" i="16"/>
  <c r="G732" i="16"/>
  <c r="E732" i="16"/>
  <c r="G731" i="16"/>
  <c r="E731" i="16"/>
  <c r="G730" i="16"/>
  <c r="E730" i="16"/>
  <c r="G729" i="16"/>
  <c r="E729" i="16"/>
  <c r="G728" i="16"/>
  <c r="E728" i="16"/>
  <c r="G727" i="16"/>
  <c r="E727" i="16"/>
  <c r="G726" i="16"/>
  <c r="E726" i="16"/>
  <c r="G725" i="16"/>
  <c r="E725" i="16"/>
  <c r="G724" i="16"/>
  <c r="E724" i="16"/>
  <c r="G723" i="16"/>
  <c r="E723" i="16"/>
  <c r="G722" i="16"/>
  <c r="E722" i="16"/>
  <c r="G721" i="16"/>
  <c r="E721" i="16"/>
  <c r="G720" i="16"/>
  <c r="E720" i="16"/>
  <c r="G719" i="16"/>
  <c r="E719" i="16"/>
  <c r="G718" i="16"/>
  <c r="E718" i="16"/>
  <c r="G717" i="16"/>
  <c r="E717" i="16"/>
  <c r="G716" i="16"/>
  <c r="E716" i="16"/>
  <c r="C901" i="16"/>
  <c r="A901" i="16"/>
  <c r="C900" i="16"/>
  <c r="A900" i="16"/>
  <c r="C899" i="16"/>
  <c r="A899" i="16"/>
  <c r="C898" i="16"/>
  <c r="A898" i="16"/>
  <c r="C881" i="16"/>
  <c r="C892" i="16" s="1"/>
  <c r="C868" i="16"/>
  <c r="C879" i="16" s="1"/>
  <c r="C890" i="16" s="1"/>
  <c r="C860" i="16"/>
  <c r="C871" i="16" s="1"/>
  <c r="C882" i="16" s="1"/>
  <c r="C893" i="16" s="1"/>
  <c r="C855" i="16"/>
  <c r="C866" i="16" s="1"/>
  <c r="C877" i="16" s="1"/>
  <c r="C888" i="16" s="1"/>
  <c r="C849" i="16"/>
  <c r="A835" i="16"/>
  <c r="A846" i="16" s="1"/>
  <c r="C825" i="16"/>
  <c r="C836" i="16" s="1"/>
  <c r="C847" i="16" s="1"/>
  <c r="C858" i="16" s="1"/>
  <c r="C869" i="16" s="1"/>
  <c r="C880" i="16" s="1"/>
  <c r="C891" i="16" s="1"/>
  <c r="C824" i="16"/>
  <c r="C835" i="16" s="1"/>
  <c r="C846" i="16" s="1"/>
  <c r="C857" i="16" s="1"/>
  <c r="A824" i="16"/>
  <c r="A823" i="16"/>
  <c r="A834" i="16" s="1"/>
  <c r="A822" i="16"/>
  <c r="C821" i="16"/>
  <c r="C832" i="16" s="1"/>
  <c r="C843" i="16" s="1"/>
  <c r="C854" i="16" s="1"/>
  <c r="C865" i="16" s="1"/>
  <c r="C876" i="16" s="1"/>
  <c r="C887" i="16" s="1"/>
  <c r="A821" i="16"/>
  <c r="A832" i="16" s="1"/>
  <c r="C820" i="16"/>
  <c r="C831" i="16" s="1"/>
  <c r="C842" i="16" s="1"/>
  <c r="C853" i="16" s="1"/>
  <c r="C864" i="16" s="1"/>
  <c r="C875" i="16" s="1"/>
  <c r="C886" i="16" s="1"/>
  <c r="C897" i="16" s="1"/>
  <c r="A819" i="16"/>
  <c r="A830" i="16" s="1"/>
  <c r="C818" i="16"/>
  <c r="C829" i="16" s="1"/>
  <c r="C840" i="16" s="1"/>
  <c r="C851" i="16" s="1"/>
  <c r="C862" i="16" s="1"/>
  <c r="C873" i="16" s="1"/>
  <c r="C884" i="16" s="1"/>
  <c r="C895" i="16" s="1"/>
  <c r="A818" i="16"/>
  <c r="C817" i="16"/>
  <c r="C828" i="16" s="1"/>
  <c r="C839" i="16" s="1"/>
  <c r="C850" i="16" s="1"/>
  <c r="C861" i="16" s="1"/>
  <c r="C872" i="16" s="1"/>
  <c r="C883" i="16" s="1"/>
  <c r="C894" i="16" s="1"/>
  <c r="A817" i="16"/>
  <c r="A828" i="16" s="1"/>
  <c r="A839" i="16" s="1"/>
  <c r="C816" i="16"/>
  <c r="C827" i="16" s="1"/>
  <c r="C838" i="16" s="1"/>
  <c r="A816" i="16"/>
  <c r="A827" i="16" s="1"/>
  <c r="C815" i="16"/>
  <c r="C826" i="16" s="1"/>
  <c r="C837" i="16" s="1"/>
  <c r="C848" i="16" s="1"/>
  <c r="C859" i="16" s="1"/>
  <c r="C870" i="16" s="1"/>
  <c r="A815" i="16"/>
  <c r="C814" i="16"/>
  <c r="A814" i="16"/>
  <c r="C813" i="16"/>
  <c r="A813" i="16"/>
  <c r="C812" i="16"/>
  <c r="C823" i="16" s="1"/>
  <c r="C834" i="16" s="1"/>
  <c r="C845" i="16" s="1"/>
  <c r="C856" i="16" s="1"/>
  <c r="C867" i="16" s="1"/>
  <c r="C878" i="16" s="1"/>
  <c r="C889" i="16" s="1"/>
  <c r="A812" i="16"/>
  <c r="C811" i="16"/>
  <c r="C822" i="16" s="1"/>
  <c r="C833" i="16" s="1"/>
  <c r="C844" i="16" s="1"/>
  <c r="A811" i="16"/>
  <c r="C810" i="16"/>
  <c r="A810" i="16"/>
  <c r="C809" i="16"/>
  <c r="A809" i="16"/>
  <c r="A820" i="16" s="1"/>
  <c r="C808" i="16"/>
  <c r="C819" i="16" s="1"/>
  <c r="C830" i="16" s="1"/>
  <c r="C841" i="16" s="1"/>
  <c r="C852" i="16" s="1"/>
  <c r="C863" i="16" s="1"/>
  <c r="C874" i="16" s="1"/>
  <c r="C885" i="16" s="1"/>
  <c r="C896" i="16" s="1"/>
  <c r="A808" i="16"/>
  <c r="C807" i="16"/>
  <c r="A807" i="16"/>
  <c r="C801" i="16"/>
  <c r="C790" i="16"/>
  <c r="C756" i="16"/>
  <c r="C767" i="16" s="1"/>
  <c r="C778" i="16" s="1"/>
  <c r="C789" i="16" s="1"/>
  <c r="C800" i="16" s="1"/>
  <c r="C750" i="16"/>
  <c r="C761" i="16" s="1"/>
  <c r="C772" i="16" s="1"/>
  <c r="C783" i="16" s="1"/>
  <c r="C794" i="16" s="1"/>
  <c r="C805" i="16" s="1"/>
  <c r="C745" i="16"/>
  <c r="A743" i="16"/>
  <c r="A754" i="16" s="1"/>
  <c r="C736" i="16"/>
  <c r="C747" i="16" s="1"/>
  <c r="C758" i="16" s="1"/>
  <c r="C769" i="16" s="1"/>
  <c r="C780" i="16" s="1"/>
  <c r="C791" i="16" s="1"/>
  <c r="C802" i="16" s="1"/>
  <c r="C734" i="16"/>
  <c r="A734" i="16"/>
  <c r="A745" i="16" s="1"/>
  <c r="A756" i="16" s="1"/>
  <c r="C732" i="16"/>
  <c r="C743" i="16" s="1"/>
  <c r="C754" i="16" s="1"/>
  <c r="C765" i="16" s="1"/>
  <c r="C776" i="16" s="1"/>
  <c r="C787" i="16" s="1"/>
  <c r="C798" i="16" s="1"/>
  <c r="A732" i="16"/>
  <c r="A730" i="16"/>
  <c r="C728" i="16"/>
  <c r="C739" i="16" s="1"/>
  <c r="A727" i="16"/>
  <c r="A738" i="16" s="1"/>
  <c r="C726" i="16"/>
  <c r="C737" i="16" s="1"/>
  <c r="C748" i="16" s="1"/>
  <c r="C759" i="16" s="1"/>
  <c r="C770" i="16" s="1"/>
  <c r="C781" i="16" s="1"/>
  <c r="C792" i="16" s="1"/>
  <c r="C803" i="16" s="1"/>
  <c r="A726" i="16"/>
  <c r="A737" i="16" s="1"/>
  <c r="A748" i="16" s="1"/>
  <c r="C725" i="16"/>
  <c r="A725" i="16"/>
  <c r="A736" i="16" s="1"/>
  <c r="C724" i="16"/>
  <c r="C735" i="16" s="1"/>
  <c r="C746" i="16" s="1"/>
  <c r="C757" i="16" s="1"/>
  <c r="C768" i="16" s="1"/>
  <c r="C779" i="16" s="1"/>
  <c r="A724" i="16"/>
  <c r="A735" i="16" s="1"/>
  <c r="C723" i="16"/>
  <c r="A723" i="16"/>
  <c r="C722" i="16"/>
  <c r="C733" i="16" s="1"/>
  <c r="C744" i="16" s="1"/>
  <c r="C755" i="16" s="1"/>
  <c r="C766" i="16" s="1"/>
  <c r="C777" i="16" s="1"/>
  <c r="C788" i="16" s="1"/>
  <c r="C799" i="16" s="1"/>
  <c r="A722" i="16"/>
  <c r="A733" i="16" s="1"/>
  <c r="C721" i="16"/>
  <c r="A721" i="16"/>
  <c r="C720" i="16"/>
  <c r="C731" i="16" s="1"/>
  <c r="C742" i="16" s="1"/>
  <c r="C753" i="16" s="1"/>
  <c r="C764" i="16" s="1"/>
  <c r="C775" i="16" s="1"/>
  <c r="C786" i="16" s="1"/>
  <c r="C797" i="16" s="1"/>
  <c r="A720" i="16"/>
  <c r="A731" i="16" s="1"/>
  <c r="C719" i="16"/>
  <c r="C730" i="16" s="1"/>
  <c r="C741" i="16" s="1"/>
  <c r="C752" i="16" s="1"/>
  <c r="C763" i="16" s="1"/>
  <c r="C774" i="16" s="1"/>
  <c r="C785" i="16" s="1"/>
  <c r="C796" i="16" s="1"/>
  <c r="A719" i="16"/>
  <c r="C718" i="16"/>
  <c r="C729" i="16" s="1"/>
  <c r="C740" i="16" s="1"/>
  <c r="C751" i="16" s="1"/>
  <c r="C762" i="16" s="1"/>
  <c r="C773" i="16" s="1"/>
  <c r="C784" i="16" s="1"/>
  <c r="C795" i="16" s="1"/>
  <c r="C806" i="16" s="1"/>
  <c r="A718" i="16"/>
  <c r="A729" i="16" s="1"/>
  <c r="C717" i="16"/>
  <c r="A717" i="16"/>
  <c r="C716" i="16"/>
  <c r="C727" i="16" s="1"/>
  <c r="C738" i="16" s="1"/>
  <c r="C749" i="16" s="1"/>
  <c r="C760" i="16" s="1"/>
  <c r="C771" i="16" s="1"/>
  <c r="C782" i="16" s="1"/>
  <c r="C793" i="16" s="1"/>
  <c r="C804" i="16" s="1"/>
  <c r="A716" i="16"/>
  <c r="D706" i="16"/>
  <c r="D705" i="16"/>
  <c r="E715" i="16"/>
  <c r="E714" i="16"/>
  <c r="E713" i="16"/>
  <c r="E712" i="16"/>
  <c r="E711" i="16"/>
  <c r="E710" i="16"/>
  <c r="E709" i="16"/>
  <c r="E708" i="16"/>
  <c r="E707" i="16"/>
  <c r="E706" i="16"/>
  <c r="E705" i="16"/>
  <c r="E704" i="16"/>
  <c r="D704" i="16"/>
  <c r="C715" i="16"/>
  <c r="G715" i="16" s="1"/>
  <c r="A715" i="16"/>
  <c r="G714" i="16"/>
  <c r="G713" i="16"/>
  <c r="G712" i="16"/>
  <c r="G711" i="16"/>
  <c r="G710" i="16"/>
  <c r="G709" i="16"/>
  <c r="G708" i="16"/>
  <c r="G707" i="16"/>
  <c r="G706" i="16"/>
  <c r="G705" i="16"/>
  <c r="G704" i="16"/>
  <c r="J78" i="16"/>
  <c r="J89" i="16" s="1"/>
  <c r="J100" i="16" s="1"/>
  <c r="J111" i="16" s="1"/>
  <c r="J122" i="16" s="1"/>
  <c r="J133" i="16" s="1"/>
  <c r="J144" i="16" s="1"/>
  <c r="J155" i="16" s="1"/>
  <c r="J166" i="16" s="1"/>
  <c r="J177" i="16" s="1"/>
  <c r="J188" i="16" s="1"/>
  <c r="J199" i="16" s="1"/>
  <c r="J210" i="16" s="1"/>
  <c r="J221" i="16" s="1"/>
  <c r="J232" i="16" s="1"/>
  <c r="J243" i="16" s="1"/>
  <c r="J254" i="16" s="1"/>
  <c r="J265" i="16" s="1"/>
  <c r="J276" i="16" s="1"/>
  <c r="J287" i="16" s="1"/>
  <c r="J298" i="16" s="1"/>
  <c r="J309" i="16" s="1"/>
  <c r="J320" i="16" s="1"/>
  <c r="J331" i="16" s="1"/>
  <c r="J342" i="16" s="1"/>
  <c r="J353" i="16" s="1"/>
  <c r="J364" i="16" s="1"/>
  <c r="J375" i="16" s="1"/>
  <c r="J386" i="16" s="1"/>
  <c r="J397" i="16" s="1"/>
  <c r="J408" i="16" s="1"/>
  <c r="J419" i="16" s="1"/>
  <c r="J430" i="16" s="1"/>
  <c r="J441" i="16" s="1"/>
  <c r="J452" i="16" s="1"/>
  <c r="J463" i="16" s="1"/>
  <c r="J474" i="16" s="1"/>
  <c r="J485" i="16" s="1"/>
  <c r="J496" i="16" s="1"/>
  <c r="J507" i="16" s="1"/>
  <c r="J518" i="16" s="1"/>
  <c r="J69" i="16"/>
  <c r="J80" i="16" s="1"/>
  <c r="J91" i="16" s="1"/>
  <c r="J102" i="16" s="1"/>
  <c r="J113" i="16" s="1"/>
  <c r="J124" i="16" s="1"/>
  <c r="J135" i="16" s="1"/>
  <c r="J146" i="16" s="1"/>
  <c r="J157" i="16" s="1"/>
  <c r="J168" i="16" s="1"/>
  <c r="J179" i="16" s="1"/>
  <c r="J190" i="16" s="1"/>
  <c r="J201" i="16" s="1"/>
  <c r="J212" i="16" s="1"/>
  <c r="J223" i="16" s="1"/>
  <c r="J234" i="16" s="1"/>
  <c r="J245" i="16" s="1"/>
  <c r="J256" i="16" s="1"/>
  <c r="J267" i="16" s="1"/>
  <c r="J278" i="16" s="1"/>
  <c r="J289" i="16" s="1"/>
  <c r="J300" i="16" s="1"/>
  <c r="J311" i="16" s="1"/>
  <c r="J322" i="16" s="1"/>
  <c r="J333" i="16" s="1"/>
  <c r="J344" i="16" s="1"/>
  <c r="J355" i="16" s="1"/>
  <c r="J366" i="16" s="1"/>
  <c r="J377" i="16" s="1"/>
  <c r="J388" i="16" s="1"/>
  <c r="J399" i="16" s="1"/>
  <c r="J410" i="16" s="1"/>
  <c r="J421" i="16" s="1"/>
  <c r="J432" i="16" s="1"/>
  <c r="J443" i="16" s="1"/>
  <c r="J454" i="16" s="1"/>
  <c r="J465" i="16" s="1"/>
  <c r="J476" i="16" s="1"/>
  <c r="J487" i="16" s="1"/>
  <c r="J498" i="16" s="1"/>
  <c r="J509" i="16" s="1"/>
  <c r="J520" i="16" s="1"/>
  <c r="J68" i="16"/>
  <c r="J79" i="16" s="1"/>
  <c r="J90" i="16" s="1"/>
  <c r="J101" i="16" s="1"/>
  <c r="J112" i="16" s="1"/>
  <c r="J123" i="16" s="1"/>
  <c r="J134" i="16" s="1"/>
  <c r="J145" i="16" s="1"/>
  <c r="J156" i="16" s="1"/>
  <c r="J167" i="16" s="1"/>
  <c r="J178" i="16" s="1"/>
  <c r="J189" i="16" s="1"/>
  <c r="J200" i="16" s="1"/>
  <c r="J211" i="16" s="1"/>
  <c r="J222" i="16" s="1"/>
  <c r="J233" i="16" s="1"/>
  <c r="J244" i="16" s="1"/>
  <c r="J255" i="16" s="1"/>
  <c r="J266" i="16" s="1"/>
  <c r="J277" i="16" s="1"/>
  <c r="J288" i="16" s="1"/>
  <c r="J299" i="16" s="1"/>
  <c r="J310" i="16" s="1"/>
  <c r="J321" i="16" s="1"/>
  <c r="J332" i="16" s="1"/>
  <c r="J343" i="16" s="1"/>
  <c r="J354" i="16" s="1"/>
  <c r="J365" i="16" s="1"/>
  <c r="J376" i="16" s="1"/>
  <c r="J387" i="16" s="1"/>
  <c r="J398" i="16" s="1"/>
  <c r="J409" i="16" s="1"/>
  <c r="J420" i="16" s="1"/>
  <c r="J431" i="16" s="1"/>
  <c r="J442" i="16" s="1"/>
  <c r="J453" i="16" s="1"/>
  <c r="J464" i="16" s="1"/>
  <c r="J475" i="16" s="1"/>
  <c r="J486" i="16" s="1"/>
  <c r="J497" i="16" s="1"/>
  <c r="J508" i="16" s="1"/>
  <c r="J519" i="16" s="1"/>
  <c r="J62" i="16"/>
  <c r="J73" i="16" s="1"/>
  <c r="J84" i="16" s="1"/>
  <c r="J95" i="16" s="1"/>
  <c r="J106" i="16" s="1"/>
  <c r="J117" i="16" s="1"/>
  <c r="J128" i="16" s="1"/>
  <c r="J139" i="16" s="1"/>
  <c r="J150" i="16" s="1"/>
  <c r="J161" i="16" s="1"/>
  <c r="J172" i="16" s="1"/>
  <c r="J183" i="16" s="1"/>
  <c r="J194" i="16" s="1"/>
  <c r="J205" i="16" s="1"/>
  <c r="J216" i="16" s="1"/>
  <c r="J227" i="16" s="1"/>
  <c r="J238" i="16" s="1"/>
  <c r="J249" i="16" s="1"/>
  <c r="J260" i="16" s="1"/>
  <c r="J271" i="16" s="1"/>
  <c r="J282" i="16" s="1"/>
  <c r="J293" i="16" s="1"/>
  <c r="J304" i="16" s="1"/>
  <c r="J315" i="16" s="1"/>
  <c r="J326" i="16" s="1"/>
  <c r="J337" i="16" s="1"/>
  <c r="J348" i="16" s="1"/>
  <c r="J359" i="16" s="1"/>
  <c r="J370" i="16" s="1"/>
  <c r="J381" i="16" s="1"/>
  <c r="J392" i="16" s="1"/>
  <c r="J403" i="16" s="1"/>
  <c r="J414" i="16" s="1"/>
  <c r="J425" i="16" s="1"/>
  <c r="J436" i="16" s="1"/>
  <c r="J447" i="16" s="1"/>
  <c r="J458" i="16" s="1"/>
  <c r="J469" i="16" s="1"/>
  <c r="J480" i="16" s="1"/>
  <c r="J491" i="16" s="1"/>
  <c r="J502" i="16" s="1"/>
  <c r="J513" i="16" s="1"/>
  <c r="J61" i="16"/>
  <c r="J72" i="16" s="1"/>
  <c r="J83" i="16" s="1"/>
  <c r="J94" i="16" s="1"/>
  <c r="J105" i="16" s="1"/>
  <c r="J116" i="16" s="1"/>
  <c r="J127" i="16" s="1"/>
  <c r="J138" i="16" s="1"/>
  <c r="J149" i="16" s="1"/>
  <c r="J160" i="16" s="1"/>
  <c r="J171" i="16" s="1"/>
  <c r="J182" i="16" s="1"/>
  <c r="J193" i="16" s="1"/>
  <c r="J204" i="16" s="1"/>
  <c r="J215" i="16" s="1"/>
  <c r="J226" i="16" s="1"/>
  <c r="J237" i="16" s="1"/>
  <c r="J248" i="16" s="1"/>
  <c r="J259" i="16" s="1"/>
  <c r="J270" i="16" s="1"/>
  <c r="J281" i="16" s="1"/>
  <c r="J292" i="16" s="1"/>
  <c r="J303" i="16" s="1"/>
  <c r="J314" i="16" s="1"/>
  <c r="J325" i="16" s="1"/>
  <c r="J336" i="16" s="1"/>
  <c r="J347" i="16" s="1"/>
  <c r="J358" i="16" s="1"/>
  <c r="J369" i="16" s="1"/>
  <c r="J380" i="16" s="1"/>
  <c r="J391" i="16" s="1"/>
  <c r="J402" i="16" s="1"/>
  <c r="J413" i="16" s="1"/>
  <c r="J424" i="16" s="1"/>
  <c r="J435" i="16" s="1"/>
  <c r="J446" i="16" s="1"/>
  <c r="J457" i="16" s="1"/>
  <c r="J468" i="16" s="1"/>
  <c r="J479" i="16" s="1"/>
  <c r="J490" i="16" s="1"/>
  <c r="J501" i="16" s="1"/>
  <c r="J512" i="16" s="1"/>
  <c r="J523" i="16" s="1"/>
  <c r="J60" i="16"/>
  <c r="J71" i="16" s="1"/>
  <c r="J82" i="16" s="1"/>
  <c r="J93" i="16" s="1"/>
  <c r="J104" i="16" s="1"/>
  <c r="J115" i="16" s="1"/>
  <c r="J126" i="16" s="1"/>
  <c r="J137" i="16" s="1"/>
  <c r="J148" i="16" s="1"/>
  <c r="J159" i="16" s="1"/>
  <c r="J170" i="16" s="1"/>
  <c r="J181" i="16" s="1"/>
  <c r="J192" i="16" s="1"/>
  <c r="J203" i="16" s="1"/>
  <c r="J214" i="16" s="1"/>
  <c r="J225" i="16" s="1"/>
  <c r="J236" i="16" s="1"/>
  <c r="J247" i="16" s="1"/>
  <c r="J258" i="16" s="1"/>
  <c r="J269" i="16" s="1"/>
  <c r="J280" i="16" s="1"/>
  <c r="J291" i="16" s="1"/>
  <c r="J302" i="16" s="1"/>
  <c r="J313" i="16" s="1"/>
  <c r="J324" i="16" s="1"/>
  <c r="J335" i="16" s="1"/>
  <c r="J346" i="16" s="1"/>
  <c r="J357" i="16" s="1"/>
  <c r="J368" i="16" s="1"/>
  <c r="J379" i="16" s="1"/>
  <c r="J390" i="16" s="1"/>
  <c r="J401" i="16" s="1"/>
  <c r="J412" i="16" s="1"/>
  <c r="J423" i="16" s="1"/>
  <c r="J434" i="16" s="1"/>
  <c r="J445" i="16" s="1"/>
  <c r="J456" i="16" s="1"/>
  <c r="J467" i="16" s="1"/>
  <c r="J478" i="16" s="1"/>
  <c r="J489" i="16" s="1"/>
  <c r="J500" i="16" s="1"/>
  <c r="J511" i="16" s="1"/>
  <c r="J522" i="16" s="1"/>
  <c r="J59" i="16"/>
  <c r="J70" i="16" s="1"/>
  <c r="J81" i="16" s="1"/>
  <c r="J92" i="16" s="1"/>
  <c r="J103" i="16" s="1"/>
  <c r="J114" i="16" s="1"/>
  <c r="J125" i="16" s="1"/>
  <c r="J136" i="16" s="1"/>
  <c r="J147" i="16" s="1"/>
  <c r="J158" i="16" s="1"/>
  <c r="J169" i="16" s="1"/>
  <c r="J180" i="16" s="1"/>
  <c r="J191" i="16" s="1"/>
  <c r="J202" i="16" s="1"/>
  <c r="J213" i="16" s="1"/>
  <c r="J224" i="16" s="1"/>
  <c r="J235" i="16" s="1"/>
  <c r="J246" i="16" s="1"/>
  <c r="J257" i="16" s="1"/>
  <c r="J268" i="16" s="1"/>
  <c r="J279" i="16" s="1"/>
  <c r="J290" i="16" s="1"/>
  <c r="J301" i="16" s="1"/>
  <c r="J312" i="16" s="1"/>
  <c r="J323" i="16" s="1"/>
  <c r="J334" i="16" s="1"/>
  <c r="J345" i="16" s="1"/>
  <c r="J356" i="16" s="1"/>
  <c r="J367" i="16" s="1"/>
  <c r="J378" i="16" s="1"/>
  <c r="J389" i="16" s="1"/>
  <c r="J400" i="16" s="1"/>
  <c r="J411" i="16" s="1"/>
  <c r="J422" i="16" s="1"/>
  <c r="J433" i="16" s="1"/>
  <c r="J444" i="16" s="1"/>
  <c r="J455" i="16" s="1"/>
  <c r="J466" i="16" s="1"/>
  <c r="J477" i="16" s="1"/>
  <c r="J488" i="16" s="1"/>
  <c r="J499" i="16" s="1"/>
  <c r="J510" i="16" s="1"/>
  <c r="J521" i="16" s="1"/>
  <c r="J58" i="16"/>
  <c r="J57" i="16"/>
  <c r="J56" i="16"/>
  <c r="J67" i="16" s="1"/>
  <c r="J55" i="16"/>
  <c r="J66" i="16" s="1"/>
  <c r="J77" i="16" s="1"/>
  <c r="J88" i="16" s="1"/>
  <c r="J99" i="16" s="1"/>
  <c r="J110" i="16" s="1"/>
  <c r="J121" i="16" s="1"/>
  <c r="J132" i="16" s="1"/>
  <c r="J143" i="16" s="1"/>
  <c r="J154" i="16" s="1"/>
  <c r="J165" i="16" s="1"/>
  <c r="J176" i="16" s="1"/>
  <c r="J187" i="16" s="1"/>
  <c r="J198" i="16" s="1"/>
  <c r="J209" i="16" s="1"/>
  <c r="J220" i="16" s="1"/>
  <c r="J231" i="16" s="1"/>
  <c r="J242" i="16" s="1"/>
  <c r="J253" i="16" s="1"/>
  <c r="J264" i="16" s="1"/>
  <c r="J275" i="16" s="1"/>
  <c r="J286" i="16" s="1"/>
  <c r="J297" i="16" s="1"/>
  <c r="J308" i="16" s="1"/>
  <c r="J319" i="16" s="1"/>
  <c r="J330" i="16" s="1"/>
  <c r="J341" i="16" s="1"/>
  <c r="J352" i="16" s="1"/>
  <c r="J363" i="16" s="1"/>
  <c r="J374" i="16" s="1"/>
  <c r="J385" i="16" s="1"/>
  <c r="J396" i="16" s="1"/>
  <c r="J407" i="16" s="1"/>
  <c r="J418" i="16" s="1"/>
  <c r="J429" i="16" s="1"/>
  <c r="J440" i="16" s="1"/>
  <c r="J451" i="16" s="1"/>
  <c r="J462" i="16" s="1"/>
  <c r="J473" i="16" s="1"/>
  <c r="J484" i="16" s="1"/>
  <c r="J495" i="16" s="1"/>
  <c r="J506" i="16" s="1"/>
  <c r="J517" i="16" s="1"/>
  <c r="J54" i="16"/>
  <c r="J65" i="16" s="1"/>
  <c r="J76" i="16" s="1"/>
  <c r="J87" i="16" s="1"/>
  <c r="J98" i="16" s="1"/>
  <c r="J109" i="16" s="1"/>
  <c r="J120" i="16" s="1"/>
  <c r="J131" i="16" s="1"/>
  <c r="J142" i="16" s="1"/>
  <c r="J153" i="16" s="1"/>
  <c r="J164" i="16" s="1"/>
  <c r="J175" i="16" s="1"/>
  <c r="J186" i="16" s="1"/>
  <c r="J197" i="16" s="1"/>
  <c r="J208" i="16" s="1"/>
  <c r="J219" i="16" s="1"/>
  <c r="J230" i="16" s="1"/>
  <c r="J241" i="16" s="1"/>
  <c r="J252" i="16" s="1"/>
  <c r="J263" i="16" s="1"/>
  <c r="J274" i="16" s="1"/>
  <c r="J285" i="16" s="1"/>
  <c r="J296" i="16" s="1"/>
  <c r="J307" i="16" s="1"/>
  <c r="J318" i="16" s="1"/>
  <c r="J329" i="16" s="1"/>
  <c r="J340" i="16" s="1"/>
  <c r="J351" i="16" s="1"/>
  <c r="J362" i="16" s="1"/>
  <c r="J373" i="16" s="1"/>
  <c r="J384" i="16" s="1"/>
  <c r="J395" i="16" s="1"/>
  <c r="J406" i="16" s="1"/>
  <c r="J417" i="16" s="1"/>
  <c r="J428" i="16" s="1"/>
  <c r="J439" i="16" s="1"/>
  <c r="J450" i="16" s="1"/>
  <c r="J461" i="16" s="1"/>
  <c r="J472" i="16" s="1"/>
  <c r="J483" i="16" s="1"/>
  <c r="J494" i="16" s="1"/>
  <c r="J505" i="16" s="1"/>
  <c r="J516" i="16" s="1"/>
  <c r="J53" i="16"/>
  <c r="J64" i="16" s="1"/>
  <c r="J75" i="16" s="1"/>
  <c r="J86" i="16" s="1"/>
  <c r="J97" i="16" s="1"/>
  <c r="J108" i="16" s="1"/>
  <c r="J119" i="16" s="1"/>
  <c r="J130" i="16" s="1"/>
  <c r="J141" i="16" s="1"/>
  <c r="J152" i="16" s="1"/>
  <c r="J163" i="16" s="1"/>
  <c r="J174" i="16" s="1"/>
  <c r="J185" i="16" s="1"/>
  <c r="J196" i="16" s="1"/>
  <c r="J207" i="16" s="1"/>
  <c r="J218" i="16" s="1"/>
  <c r="J229" i="16" s="1"/>
  <c r="J240" i="16" s="1"/>
  <c r="J251" i="16" s="1"/>
  <c r="J262" i="16" s="1"/>
  <c r="J273" i="16" s="1"/>
  <c r="J284" i="16" s="1"/>
  <c r="J295" i="16" s="1"/>
  <c r="J306" i="16" s="1"/>
  <c r="J317" i="16" s="1"/>
  <c r="J328" i="16" s="1"/>
  <c r="J339" i="16" s="1"/>
  <c r="J350" i="16" s="1"/>
  <c r="J361" i="16" s="1"/>
  <c r="J372" i="16" s="1"/>
  <c r="J383" i="16" s="1"/>
  <c r="J394" i="16" s="1"/>
  <c r="J405" i="16" s="1"/>
  <c r="J416" i="16" s="1"/>
  <c r="J427" i="16" s="1"/>
  <c r="J438" i="16" s="1"/>
  <c r="J449" i="16" s="1"/>
  <c r="J460" i="16" s="1"/>
  <c r="J471" i="16" s="1"/>
  <c r="J482" i="16" s="1"/>
  <c r="J493" i="16" s="1"/>
  <c r="J504" i="16" s="1"/>
  <c r="J515" i="16" s="1"/>
  <c r="J52" i="16"/>
  <c r="J63" i="16" s="1"/>
  <c r="J74" i="16" s="1"/>
  <c r="J85" i="16" s="1"/>
  <c r="J96" i="16" s="1"/>
  <c r="J107" i="16" s="1"/>
  <c r="J118" i="16" s="1"/>
  <c r="J129" i="16" s="1"/>
  <c r="J140" i="16" s="1"/>
  <c r="J151" i="16" s="1"/>
  <c r="J162" i="16" s="1"/>
  <c r="J173" i="16" s="1"/>
  <c r="J184" i="16" s="1"/>
  <c r="J195" i="16" s="1"/>
  <c r="J206" i="16" s="1"/>
  <c r="J217" i="16" s="1"/>
  <c r="J228" i="16" s="1"/>
  <c r="J239" i="16" s="1"/>
  <c r="J250" i="16" s="1"/>
  <c r="J261" i="16" s="1"/>
  <c r="J272" i="16" s="1"/>
  <c r="J283" i="16" s="1"/>
  <c r="J294" i="16" s="1"/>
  <c r="J305" i="16" s="1"/>
  <c r="J316" i="16" s="1"/>
  <c r="J327" i="16" s="1"/>
  <c r="J338" i="16" s="1"/>
  <c r="J349" i="16" s="1"/>
  <c r="J360" i="16" s="1"/>
  <c r="J371" i="16" s="1"/>
  <c r="J382" i="16" s="1"/>
  <c r="J393" i="16" s="1"/>
  <c r="J404" i="16" s="1"/>
  <c r="J415" i="16" s="1"/>
  <c r="J426" i="16" s="1"/>
  <c r="J437" i="16" s="1"/>
  <c r="J448" i="16" s="1"/>
  <c r="J459" i="16" s="1"/>
  <c r="J470" i="16" s="1"/>
  <c r="J481" i="16" s="1"/>
  <c r="J492" i="16" s="1"/>
  <c r="J503" i="16" s="1"/>
  <c r="J514" i="16" s="1"/>
  <c r="J51" i="16"/>
  <c r="C554" i="16"/>
  <c r="C566" i="16" s="1"/>
  <c r="G566" i="16" s="1"/>
  <c r="I566" i="16" s="1"/>
  <c r="C548" i="16"/>
  <c r="C547" i="16"/>
  <c r="C559" i="16" s="1"/>
  <c r="C546" i="16"/>
  <c r="C558" i="16" s="1"/>
  <c r="C570" i="16" s="1"/>
  <c r="C545" i="16"/>
  <c r="C544" i="16"/>
  <c r="C543" i="16"/>
  <c r="G543" i="16" s="1"/>
  <c r="I543" i="16" s="1"/>
  <c r="C542" i="16"/>
  <c r="C541" i="16"/>
  <c r="C553" i="16" s="1"/>
  <c r="C540" i="16"/>
  <c r="C539" i="16"/>
  <c r="C551" i="16" s="1"/>
  <c r="C538" i="16"/>
  <c r="C550" i="16" s="1"/>
  <c r="C562" i="16" s="1"/>
  <c r="C574" i="16" s="1"/>
  <c r="G574" i="16" s="1"/>
  <c r="I574" i="16" s="1"/>
  <c r="D574" i="16" s="1"/>
  <c r="C537" i="16"/>
  <c r="C536" i="16"/>
  <c r="E654" i="16"/>
  <c r="E653" i="16"/>
  <c r="E646" i="16"/>
  <c r="E630" i="16"/>
  <c r="E629" i="16"/>
  <c r="E622" i="16"/>
  <c r="E621" i="16"/>
  <c r="E598" i="16"/>
  <c r="E597" i="16"/>
  <c r="E583" i="16"/>
  <c r="E582" i="16"/>
  <c r="E581" i="16"/>
  <c r="E573" i="16"/>
  <c r="E569" i="16"/>
  <c r="E562" i="16"/>
  <c r="E561" i="16"/>
  <c r="E559" i="16"/>
  <c r="G558" i="16"/>
  <c r="I558" i="16" s="1"/>
  <c r="G550" i="16"/>
  <c r="I550" i="16" s="1"/>
  <c r="E549" i="16"/>
  <c r="G546" i="16"/>
  <c r="I546" i="16" s="1"/>
  <c r="D546" i="16" s="1"/>
  <c r="E546" i="16"/>
  <c r="E543" i="16"/>
  <c r="G542" i="16"/>
  <c r="I542" i="16" s="1"/>
  <c r="G541" i="16"/>
  <c r="I541" i="16" s="1"/>
  <c r="G539" i="16"/>
  <c r="I539" i="16" s="1"/>
  <c r="G538" i="16"/>
  <c r="I538" i="16" s="1"/>
  <c r="D538" i="16" s="1"/>
  <c r="E538" i="16"/>
  <c r="E537" i="16"/>
  <c r="G536" i="16"/>
  <c r="I536" i="16" s="1"/>
  <c r="D536" i="16" s="1"/>
  <c r="E536" i="16"/>
  <c r="H681" i="16"/>
  <c r="H678" i="16"/>
  <c r="H690" i="16" s="1"/>
  <c r="H677" i="16"/>
  <c r="H689" i="16" s="1"/>
  <c r="H548" i="16"/>
  <c r="H547" i="16"/>
  <c r="H559" i="16" s="1"/>
  <c r="H571" i="16" s="1"/>
  <c r="H583" i="16" s="1"/>
  <c r="H595" i="16" s="1"/>
  <c r="H607" i="16" s="1"/>
  <c r="H619" i="16" s="1"/>
  <c r="H631" i="16" s="1"/>
  <c r="H546" i="16"/>
  <c r="H558" i="16" s="1"/>
  <c r="H570" i="16" s="1"/>
  <c r="H582" i="16" s="1"/>
  <c r="H594" i="16" s="1"/>
  <c r="H606" i="16" s="1"/>
  <c r="H618" i="16" s="1"/>
  <c r="H630" i="16" s="1"/>
  <c r="H642" i="16" s="1"/>
  <c r="H654" i="16" s="1"/>
  <c r="H666" i="16" s="1"/>
  <c r="E666" i="16" s="1"/>
  <c r="H545" i="16"/>
  <c r="H557" i="16" s="1"/>
  <c r="H569" i="16" s="1"/>
  <c r="H581" i="16" s="1"/>
  <c r="H593" i="16" s="1"/>
  <c r="H605" i="16" s="1"/>
  <c r="H617" i="16" s="1"/>
  <c r="H629" i="16" s="1"/>
  <c r="H641" i="16" s="1"/>
  <c r="H653" i="16" s="1"/>
  <c r="H665" i="16" s="1"/>
  <c r="E665" i="16" s="1"/>
  <c r="H544" i="16"/>
  <c r="H543" i="16"/>
  <c r="H555" i="16" s="1"/>
  <c r="H542" i="16"/>
  <c r="H554" i="16" s="1"/>
  <c r="H541" i="16"/>
  <c r="E541" i="16" s="1"/>
  <c r="H540" i="16"/>
  <c r="H539" i="16"/>
  <c r="H551" i="16" s="1"/>
  <c r="H563" i="16" s="1"/>
  <c r="H575" i="16" s="1"/>
  <c r="H538" i="16"/>
  <c r="H550" i="16" s="1"/>
  <c r="H562" i="16" s="1"/>
  <c r="H574" i="16" s="1"/>
  <c r="H586" i="16" s="1"/>
  <c r="H598" i="16" s="1"/>
  <c r="H610" i="16" s="1"/>
  <c r="H622" i="16" s="1"/>
  <c r="H634" i="16" s="1"/>
  <c r="H646" i="16" s="1"/>
  <c r="H658" i="16" s="1"/>
  <c r="H670" i="16" s="1"/>
  <c r="H682" i="16" s="1"/>
  <c r="H537" i="16"/>
  <c r="H549" i="16" s="1"/>
  <c r="H561" i="16" s="1"/>
  <c r="H573" i="16" s="1"/>
  <c r="H585" i="16" s="1"/>
  <c r="H597" i="16" s="1"/>
  <c r="H609" i="16" s="1"/>
  <c r="H621" i="16" s="1"/>
  <c r="H633" i="16" s="1"/>
  <c r="H645" i="16" s="1"/>
  <c r="H657" i="16" s="1"/>
  <c r="H669" i="16" s="1"/>
  <c r="E669" i="16" s="1"/>
  <c r="H536" i="16"/>
  <c r="G535" i="16"/>
  <c r="I535" i="16" s="1"/>
  <c r="D535" i="16" s="1"/>
  <c r="E535" i="16"/>
  <c r="G534" i="16"/>
  <c r="I534" i="16" s="1"/>
  <c r="D534" i="16" s="1"/>
  <c r="E534" i="16"/>
  <c r="G533" i="16"/>
  <c r="I533" i="16" s="1"/>
  <c r="D533" i="16" s="1"/>
  <c r="E533" i="16"/>
  <c r="G532" i="16"/>
  <c r="I532" i="16" s="1"/>
  <c r="D532" i="16" s="1"/>
  <c r="E532" i="16"/>
  <c r="G531" i="16"/>
  <c r="I531" i="16" s="1"/>
  <c r="D531" i="16" s="1"/>
  <c r="E531" i="16"/>
  <c r="G530" i="16"/>
  <c r="I530" i="16" s="1"/>
  <c r="D530" i="16" s="1"/>
  <c r="E530" i="16"/>
  <c r="G529" i="16"/>
  <c r="I529" i="16" s="1"/>
  <c r="D529" i="16" s="1"/>
  <c r="E529" i="16"/>
  <c r="G528" i="16"/>
  <c r="I528" i="16" s="1"/>
  <c r="D528" i="16" s="1"/>
  <c r="E528" i="16"/>
  <c r="G527" i="16"/>
  <c r="I527" i="16" s="1"/>
  <c r="D527" i="16" s="1"/>
  <c r="E527" i="16"/>
  <c r="G526" i="16"/>
  <c r="I526" i="16" s="1"/>
  <c r="D526" i="16" s="1"/>
  <c r="E526" i="16"/>
  <c r="G525" i="16"/>
  <c r="I525" i="16" s="1"/>
  <c r="D525" i="16" s="1"/>
  <c r="E525" i="16"/>
  <c r="E524" i="16"/>
  <c r="G524" i="16"/>
  <c r="I524" i="16" s="1"/>
  <c r="D524" i="16" s="1"/>
  <c r="H204" i="16"/>
  <c r="H215" i="16" s="1"/>
  <c r="H203" i="16"/>
  <c r="E203" i="16" s="1"/>
  <c r="H202" i="16"/>
  <c r="H201" i="16"/>
  <c r="H212" i="16" s="1"/>
  <c r="H200" i="16"/>
  <c r="H211" i="16" s="1"/>
  <c r="H222" i="16" s="1"/>
  <c r="H199" i="16"/>
  <c r="H210" i="16" s="1"/>
  <c r="H221" i="16" s="1"/>
  <c r="H198" i="16"/>
  <c r="H209" i="16" s="1"/>
  <c r="H220" i="16" s="1"/>
  <c r="H197" i="16"/>
  <c r="H196" i="16"/>
  <c r="H207" i="16" s="1"/>
  <c r="H195" i="16"/>
  <c r="H206" i="16" s="1"/>
  <c r="H217" i="16" s="1"/>
  <c r="H228" i="16" s="1"/>
  <c r="H194" i="16"/>
  <c r="H205" i="16" s="1"/>
  <c r="E204" i="16"/>
  <c r="E201" i="16"/>
  <c r="E194" i="16"/>
  <c r="E193" i="16"/>
  <c r="E192" i="16"/>
  <c r="E191" i="16"/>
  <c r="E190" i="16"/>
  <c r="E189" i="16"/>
  <c r="E188" i="16"/>
  <c r="C65" i="16"/>
  <c r="C76" i="16" s="1"/>
  <c r="H61" i="16"/>
  <c r="H72" i="16" s="1"/>
  <c r="E61" i="16"/>
  <c r="C61" i="16"/>
  <c r="H60" i="16"/>
  <c r="C60" i="16"/>
  <c r="C71" i="16" s="1"/>
  <c r="C82" i="16" s="1"/>
  <c r="H59" i="16"/>
  <c r="C59" i="16"/>
  <c r="C70" i="16" s="1"/>
  <c r="H58" i="16"/>
  <c r="C58" i="16"/>
  <c r="C69" i="16" s="1"/>
  <c r="H57" i="16"/>
  <c r="H68" i="16" s="1"/>
  <c r="C57" i="16"/>
  <c r="C68" i="16" s="1"/>
  <c r="H56" i="16"/>
  <c r="E56" i="16" s="1"/>
  <c r="C56" i="16"/>
  <c r="C67" i="16" s="1"/>
  <c r="G67" i="16" s="1"/>
  <c r="I67" i="16" s="1"/>
  <c r="H55" i="16"/>
  <c r="C55" i="16"/>
  <c r="C66" i="16" s="1"/>
  <c r="H54" i="16"/>
  <c r="C54" i="16"/>
  <c r="G54" i="16" s="1"/>
  <c r="I54" i="16" s="1"/>
  <c r="H53" i="16"/>
  <c r="C53" i="16"/>
  <c r="H52" i="16"/>
  <c r="E52" i="16" s="1"/>
  <c r="C52" i="16"/>
  <c r="C63" i="16" s="1"/>
  <c r="G63" i="16" s="1"/>
  <c r="I63" i="16" s="1"/>
  <c r="H51" i="16"/>
  <c r="C51" i="16"/>
  <c r="G50" i="16"/>
  <c r="E50" i="16"/>
  <c r="G49" i="16"/>
  <c r="I49" i="16" s="1"/>
  <c r="D49" i="16" s="1"/>
  <c r="E49" i="16"/>
  <c r="G48" i="16"/>
  <c r="I48" i="16" s="1"/>
  <c r="D48" i="16" s="1"/>
  <c r="E48" i="16"/>
  <c r="G47" i="16"/>
  <c r="I47" i="16" s="1"/>
  <c r="D47" i="16" s="1"/>
  <c r="E47" i="16"/>
  <c r="G46" i="16"/>
  <c r="I46" i="16" s="1"/>
  <c r="D46" i="16" s="1"/>
  <c r="E46" i="16"/>
  <c r="G45" i="16"/>
  <c r="I45" i="16" s="1"/>
  <c r="D45" i="16" s="1"/>
  <c r="E45" i="16"/>
  <c r="G44" i="16"/>
  <c r="I44" i="16" s="1"/>
  <c r="D44" i="16" s="1"/>
  <c r="E44" i="16"/>
  <c r="G43" i="16"/>
  <c r="I43" i="16" s="1"/>
  <c r="D43" i="16" s="1"/>
  <c r="E43" i="16"/>
  <c r="G42" i="16"/>
  <c r="I42" i="16" s="1"/>
  <c r="D42" i="16" s="1"/>
  <c r="E42" i="16"/>
  <c r="G41" i="16"/>
  <c r="I41" i="16" s="1"/>
  <c r="D41" i="16" s="1"/>
  <c r="E41" i="16"/>
  <c r="I50" i="16"/>
  <c r="D50" i="16" s="1"/>
  <c r="G40" i="16"/>
  <c r="I40" i="16" s="1"/>
  <c r="E40" i="16"/>
  <c r="D40" i="16"/>
  <c r="I39" i="16"/>
  <c r="D39" i="16" s="1"/>
  <c r="G38" i="16"/>
  <c r="G37" i="16"/>
  <c r="I37" i="16" s="1"/>
  <c r="D37" i="16" s="1"/>
  <c r="G36" i="16"/>
  <c r="I36" i="16" s="1"/>
  <c r="D36" i="16" s="1"/>
  <c r="G35" i="16"/>
  <c r="I35" i="16" s="1"/>
  <c r="D35" i="16" s="1"/>
  <c r="G34" i="16"/>
  <c r="I34" i="16" s="1"/>
  <c r="D34" i="16" s="1"/>
  <c r="G33" i="16"/>
  <c r="I33" i="16" s="1"/>
  <c r="D33" i="16" s="1"/>
  <c r="G32" i="16"/>
  <c r="I32" i="16" s="1"/>
  <c r="D32" i="16" s="1"/>
  <c r="G31" i="16"/>
  <c r="G30" i="16"/>
  <c r="I30" i="16" s="1"/>
  <c r="D30" i="16" s="1"/>
  <c r="G28" i="16"/>
  <c r="G27" i="16"/>
  <c r="I27" i="16" s="1"/>
  <c r="D27" i="16" s="1"/>
  <c r="G26" i="16"/>
  <c r="I26" i="16" s="1"/>
  <c r="D26" i="16" s="1"/>
  <c r="G25" i="16"/>
  <c r="I25" i="16" s="1"/>
  <c r="D25" i="16" s="1"/>
  <c r="G24" i="16"/>
  <c r="I24" i="16" s="1"/>
  <c r="D24" i="16" s="1"/>
  <c r="G23" i="16"/>
  <c r="I23" i="16" s="1"/>
  <c r="D23" i="16" s="1"/>
  <c r="G22" i="16"/>
  <c r="G21" i="16"/>
  <c r="E39" i="16"/>
  <c r="E38" i="16"/>
  <c r="E37" i="16"/>
  <c r="E36" i="16"/>
  <c r="E35" i="16"/>
  <c r="E34" i="16"/>
  <c r="E33" i="16"/>
  <c r="E32" i="16"/>
  <c r="E31" i="16"/>
  <c r="E30" i="16"/>
  <c r="E29" i="16"/>
  <c r="E28" i="16"/>
  <c r="E27" i="16"/>
  <c r="E26" i="16"/>
  <c r="E25" i="16"/>
  <c r="E24" i="16"/>
  <c r="E23" i="16"/>
  <c r="E22" i="16"/>
  <c r="E21" i="16"/>
  <c r="E20" i="16"/>
  <c r="I38" i="16"/>
  <c r="D38" i="16" s="1"/>
  <c r="I31" i="16"/>
  <c r="D31" i="16" s="1"/>
  <c r="I29" i="16"/>
  <c r="D29" i="16" s="1"/>
  <c r="I28" i="16"/>
  <c r="D28" i="16" s="1"/>
  <c r="I22" i="16"/>
  <c r="D22" i="16" s="1"/>
  <c r="I21" i="16"/>
  <c r="D21" i="16" s="1"/>
  <c r="G20" i="16"/>
  <c r="I20" i="16" s="1"/>
  <c r="D20" i="16" s="1"/>
  <c r="F62" i="15"/>
  <c r="F61" i="15"/>
  <c r="R65" i="14"/>
  <c r="F60" i="15" s="1"/>
  <c r="R64" i="14"/>
  <c r="R63" i="14"/>
  <c r="R62" i="14"/>
  <c r="F57" i="15" s="1"/>
  <c r="R61" i="14"/>
  <c r="R60" i="14"/>
  <c r="F55" i="15" s="1"/>
  <c r="R59" i="14"/>
  <c r="F54" i="15" s="1"/>
  <c r="R58" i="14"/>
  <c r="F53" i="15" s="1"/>
  <c r="R57" i="14"/>
  <c r="F52" i="15" s="1"/>
  <c r="R56" i="14"/>
  <c r="F51" i="15" s="1"/>
  <c r="R55" i="14"/>
  <c r="F50" i="15" s="1"/>
  <c r="R54" i="14"/>
  <c r="F49" i="15" s="1"/>
  <c r="R53" i="14"/>
  <c r="F48" i="15" s="1"/>
  <c r="R52" i="14"/>
  <c r="F47" i="15" s="1"/>
  <c r="R51" i="14"/>
  <c r="F46" i="15" s="1"/>
  <c r="R50" i="14"/>
  <c r="F45" i="15" s="1"/>
  <c r="R49" i="14"/>
  <c r="F44" i="15" s="1"/>
  <c r="R48" i="14"/>
  <c r="R47" i="14"/>
  <c r="F42" i="15" s="1"/>
  <c r="R46" i="14"/>
  <c r="F41" i="15" s="1"/>
  <c r="R45" i="14"/>
  <c r="R44" i="14"/>
  <c r="F39" i="15" s="1"/>
  <c r="R43" i="14"/>
  <c r="R42" i="14"/>
  <c r="R41" i="14"/>
  <c r="F36" i="15" s="1"/>
  <c r="R40" i="14"/>
  <c r="F35" i="15" s="1"/>
  <c r="R39" i="14"/>
  <c r="F34" i="15" s="1"/>
  <c r="R38" i="14"/>
  <c r="F33" i="15" s="1"/>
  <c r="R37" i="14"/>
  <c r="F32" i="15" s="1"/>
  <c r="R36" i="14"/>
  <c r="F31" i="15" s="1"/>
  <c r="R35" i="14"/>
  <c r="F30" i="15" s="1"/>
  <c r="R34" i="14"/>
  <c r="R33" i="14"/>
  <c r="R32" i="14"/>
  <c r="R31" i="14"/>
  <c r="R30" i="14"/>
  <c r="R29" i="14"/>
  <c r="R28" i="14"/>
  <c r="R27" i="14"/>
  <c r="R26" i="14"/>
  <c r="R25" i="14"/>
  <c r="R24" i="14"/>
  <c r="R23" i="14"/>
  <c r="R22" i="14"/>
  <c r="R21" i="14"/>
  <c r="R20" i="14"/>
  <c r="R19" i="14"/>
  <c r="R18" i="14"/>
  <c r="R17" i="14"/>
  <c r="R16" i="14"/>
  <c r="R15" i="14"/>
  <c r="R14" i="14"/>
  <c r="R13" i="14"/>
  <c r="R12" i="14"/>
  <c r="R11" i="14"/>
  <c r="R10" i="14"/>
  <c r="R9" i="14"/>
  <c r="R8" i="14"/>
  <c r="R7" i="14"/>
  <c r="F58" i="15"/>
  <c r="F56" i="15"/>
  <c r="F40" i="15"/>
  <c r="J5" i="14"/>
  <c r="N5" i="14" s="1"/>
  <c r="O5" i="14" s="1"/>
  <c r="P5" i="14" s="1"/>
  <c r="Q5" i="14" s="1"/>
  <c r="K5" i="14" s="1"/>
  <c r="L5" i="14" s="1"/>
  <c r="M5" i="14" s="1"/>
  <c r="I5" i="14"/>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F59" i="15"/>
  <c r="F43" i="15"/>
  <c r="F38" i="15"/>
  <c r="F37"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 r="C3" i="15"/>
  <c r="C2" i="15"/>
  <c r="A3" i="15"/>
  <c r="A4" i="15" s="1"/>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G52" i="16" l="1"/>
  <c r="I52" i="16" s="1"/>
  <c r="G59" i="16"/>
  <c r="I59" i="16" s="1"/>
  <c r="G57" i="16"/>
  <c r="I57" i="16" s="1"/>
  <c r="D57" i="16" s="1"/>
  <c r="G60" i="16"/>
  <c r="I60" i="16" s="1"/>
  <c r="D60" i="16" s="1"/>
  <c r="G65" i="16"/>
  <c r="I65" i="16" s="1"/>
  <c r="A843" i="16"/>
  <c r="A850" i="16"/>
  <c r="A831" i="16"/>
  <c r="A857" i="16"/>
  <c r="A838" i="16"/>
  <c r="A825" i="16"/>
  <c r="A829" i="16"/>
  <c r="A845" i="16"/>
  <c r="A826" i="16"/>
  <c r="A841" i="16"/>
  <c r="A833" i="16"/>
  <c r="A765" i="16"/>
  <c r="A746" i="16"/>
  <c r="A749" i="16"/>
  <c r="A767" i="16"/>
  <c r="A759" i="16"/>
  <c r="A747" i="16"/>
  <c r="A741" i="16"/>
  <c r="A742" i="16"/>
  <c r="A728" i="16"/>
  <c r="A740" i="16"/>
  <c r="A744" i="16"/>
  <c r="H218" i="16"/>
  <c r="E207" i="16"/>
  <c r="E607" i="16"/>
  <c r="H64" i="16"/>
  <c r="E53" i="16"/>
  <c r="E57" i="16"/>
  <c r="E195" i="16"/>
  <c r="E547" i="16"/>
  <c r="E571" i="16"/>
  <c r="H70" i="16"/>
  <c r="E59" i="16"/>
  <c r="H587" i="16"/>
  <c r="H599" i="16" s="1"/>
  <c r="E575" i="16"/>
  <c r="H643" i="16"/>
  <c r="H655" i="16" s="1"/>
  <c r="E631" i="16"/>
  <c r="E196" i="16"/>
  <c r="H214" i="16"/>
  <c r="E678" i="16"/>
  <c r="D539" i="16"/>
  <c r="D541" i="16"/>
  <c r="E557" i="16"/>
  <c r="E574" i="16"/>
  <c r="E605" i="16"/>
  <c r="E670" i="16"/>
  <c r="D558" i="16"/>
  <c r="E606" i="16"/>
  <c r="E645" i="16"/>
  <c r="H62" i="16"/>
  <c r="E51" i="16"/>
  <c r="G55" i="16"/>
  <c r="I55" i="16" s="1"/>
  <c r="D55" i="16" s="1"/>
  <c r="H213" i="16"/>
  <c r="H224" i="16" s="1"/>
  <c r="E202" i="16"/>
  <c r="C77" i="16"/>
  <c r="G77" i="16" s="1"/>
  <c r="I77" i="16" s="1"/>
  <c r="G66" i="16"/>
  <c r="I66" i="16" s="1"/>
  <c r="C72" i="16"/>
  <c r="C83" i="16" s="1"/>
  <c r="G61" i="16"/>
  <c r="I61" i="16" s="1"/>
  <c r="D61" i="16" s="1"/>
  <c r="C62" i="16"/>
  <c r="G51" i="16"/>
  <c r="I51" i="16" s="1"/>
  <c r="D51" i="16" s="1"/>
  <c r="H566" i="16"/>
  <c r="D566" i="16" s="1"/>
  <c r="E554" i="16"/>
  <c r="H702" i="16"/>
  <c r="E702" i="16" s="1"/>
  <c r="E690" i="16"/>
  <c r="H552" i="16"/>
  <c r="E540" i="16"/>
  <c r="H560" i="16"/>
  <c r="E548" i="16"/>
  <c r="H553" i="16"/>
  <c r="E542" i="16"/>
  <c r="H693" i="16"/>
  <c r="E693" i="16" s="1"/>
  <c r="E681" i="16"/>
  <c r="E60" i="16"/>
  <c r="H71" i="16"/>
  <c r="D542" i="16"/>
  <c r="G540" i="16"/>
  <c r="I540" i="16" s="1"/>
  <c r="D540" i="16" s="1"/>
  <c r="C552" i="16"/>
  <c r="G552" i="16" s="1"/>
  <c r="I552" i="16" s="1"/>
  <c r="D552" i="16" s="1"/>
  <c r="G548" i="16"/>
  <c r="I548" i="16" s="1"/>
  <c r="D548" i="16" s="1"/>
  <c r="C560" i="16"/>
  <c r="G560" i="16" s="1"/>
  <c r="I560" i="16" s="1"/>
  <c r="H65" i="16"/>
  <c r="E54" i="16"/>
  <c r="C79" i="16"/>
  <c r="G79" i="16" s="1"/>
  <c r="I79" i="16" s="1"/>
  <c r="G68" i="16"/>
  <c r="I68" i="16" s="1"/>
  <c r="D68" i="16" s="1"/>
  <c r="H567" i="16"/>
  <c r="E555" i="16"/>
  <c r="H701" i="16"/>
  <c r="E701" i="16" s="1"/>
  <c r="E689" i="16"/>
  <c r="C565" i="16"/>
  <c r="G553" i="16"/>
  <c r="I553" i="16" s="1"/>
  <c r="H63" i="16"/>
  <c r="H74" i="16" s="1"/>
  <c r="H85" i="16" s="1"/>
  <c r="E85" i="16" s="1"/>
  <c r="H556" i="16"/>
  <c r="E544" i="16"/>
  <c r="E677" i="16"/>
  <c r="H225" i="16"/>
  <c r="E214" i="16"/>
  <c r="D543" i="16"/>
  <c r="E218" i="16"/>
  <c r="H229" i="16"/>
  <c r="G58" i="16"/>
  <c r="I58" i="16" s="1"/>
  <c r="D58" i="16" s="1"/>
  <c r="E200" i="16"/>
  <c r="H226" i="16"/>
  <c r="E215" i="16"/>
  <c r="H694" i="16"/>
  <c r="E694" i="16" s="1"/>
  <c r="E682" i="16"/>
  <c r="C555" i="16"/>
  <c r="C567" i="16" s="1"/>
  <c r="G567" i="16" s="1"/>
  <c r="I567" i="16" s="1"/>
  <c r="E539" i="16"/>
  <c r="E550" i="16"/>
  <c r="E563" i="16"/>
  <c r="E570" i="16"/>
  <c r="E585" i="16"/>
  <c r="E593" i="16"/>
  <c r="E609" i="16"/>
  <c r="E617" i="16"/>
  <c r="E633" i="16"/>
  <c r="E641" i="16"/>
  <c r="E657" i="16"/>
  <c r="D550" i="16"/>
  <c r="E586" i="16"/>
  <c r="E594" i="16"/>
  <c r="E610" i="16"/>
  <c r="E618" i="16"/>
  <c r="E634" i="16"/>
  <c r="E642" i="16"/>
  <c r="E658" i="16"/>
  <c r="E545" i="16"/>
  <c r="E551" i="16"/>
  <c r="E558" i="16"/>
  <c r="E587" i="16"/>
  <c r="E595" i="16"/>
  <c r="E619" i="16"/>
  <c r="C582" i="16"/>
  <c r="G570" i="16"/>
  <c r="I570" i="16" s="1"/>
  <c r="D570" i="16" s="1"/>
  <c r="G562" i="16"/>
  <c r="I562" i="16" s="1"/>
  <c r="D562" i="16" s="1"/>
  <c r="C556" i="16"/>
  <c r="G544" i="16"/>
  <c r="I544" i="16" s="1"/>
  <c r="D544" i="16" s="1"/>
  <c r="G537" i="16"/>
  <c r="I537" i="16" s="1"/>
  <c r="D537" i="16" s="1"/>
  <c r="C549" i="16"/>
  <c r="G545" i="16"/>
  <c r="I545" i="16" s="1"/>
  <c r="D545" i="16" s="1"/>
  <c r="C557" i="16"/>
  <c r="C578" i="16"/>
  <c r="C564" i="16"/>
  <c r="G554" i="16"/>
  <c r="I554" i="16" s="1"/>
  <c r="D554" i="16" s="1"/>
  <c r="C563" i="16"/>
  <c r="G551" i="16"/>
  <c r="I551" i="16" s="1"/>
  <c r="D551" i="16" s="1"/>
  <c r="C571" i="16"/>
  <c r="G559" i="16"/>
  <c r="I559" i="16" s="1"/>
  <c r="D559" i="16" s="1"/>
  <c r="C586" i="16"/>
  <c r="G547" i="16"/>
  <c r="I547" i="16" s="1"/>
  <c r="D547" i="16" s="1"/>
  <c r="H233" i="16"/>
  <c r="E222" i="16"/>
  <c r="H232" i="16"/>
  <c r="E221" i="16"/>
  <c r="E205" i="16"/>
  <c r="H216" i="16"/>
  <c r="E220" i="16"/>
  <c r="H231" i="16"/>
  <c r="E210" i="16"/>
  <c r="E212" i="16"/>
  <c r="H223" i="16"/>
  <c r="E217" i="16"/>
  <c r="E228" i="16"/>
  <c r="H239" i="16"/>
  <c r="E198" i="16"/>
  <c r="E209" i="16"/>
  <c r="E211" i="16"/>
  <c r="E197" i="16"/>
  <c r="H208" i="16"/>
  <c r="E206" i="16"/>
  <c r="E199" i="16"/>
  <c r="C93" i="16"/>
  <c r="G82" i="16"/>
  <c r="I82" i="16" s="1"/>
  <c r="G71" i="16"/>
  <c r="I71" i="16" s="1"/>
  <c r="D71" i="16" s="1"/>
  <c r="C90" i="16"/>
  <c r="H69" i="16"/>
  <c r="E58" i="16"/>
  <c r="E64" i="16"/>
  <c r="H75" i="16"/>
  <c r="E71" i="16"/>
  <c r="H82" i="16"/>
  <c r="G76" i="16"/>
  <c r="I76" i="16" s="1"/>
  <c r="C87" i="16"/>
  <c r="C80" i="16"/>
  <c r="G69" i="16"/>
  <c r="I69" i="16" s="1"/>
  <c r="C64" i="16"/>
  <c r="G53" i="16"/>
  <c r="I53" i="16" s="1"/>
  <c r="D53" i="16" s="1"/>
  <c r="C81" i="16"/>
  <c r="G70" i="16"/>
  <c r="I70" i="16" s="1"/>
  <c r="D70" i="16" s="1"/>
  <c r="H66" i="16"/>
  <c r="E55" i="16"/>
  <c r="C88" i="16"/>
  <c r="H76" i="16"/>
  <c r="E65" i="16"/>
  <c r="E63" i="16"/>
  <c r="H79" i="16"/>
  <c r="E68" i="16"/>
  <c r="C74" i="16"/>
  <c r="C78" i="16"/>
  <c r="D52" i="16"/>
  <c r="G56" i="16"/>
  <c r="I56" i="16" s="1"/>
  <c r="D56" i="16" s="1"/>
  <c r="D59" i="16"/>
  <c r="D65" i="16"/>
  <c r="H83" i="16"/>
  <c r="E72" i="16"/>
  <c r="D54" i="16"/>
  <c r="H67" i="16"/>
  <c r="E52" i="9"/>
  <c r="H67" i="9"/>
  <c r="H66" i="9"/>
  <c r="H65" i="9"/>
  <c r="H64" i="9"/>
  <c r="H63" i="9"/>
  <c r="H62" i="9"/>
  <c r="H61" i="9"/>
  <c r="H60" i="9"/>
  <c r="H59" i="9"/>
  <c r="H58" i="9"/>
  <c r="H57" i="9"/>
  <c r="H56" i="9"/>
  <c r="H55" i="9"/>
  <c r="H54" i="9"/>
  <c r="H53" i="9"/>
  <c r="H52" i="9"/>
  <c r="H50" i="9"/>
  <c r="H49" i="9"/>
  <c r="H48" i="9"/>
  <c r="H47" i="9"/>
  <c r="H46" i="9"/>
  <c r="H45" i="9"/>
  <c r="H44" i="9"/>
  <c r="H43" i="9"/>
  <c r="H42" i="9"/>
  <c r="H41" i="9"/>
  <c r="H40" i="9"/>
  <c r="H39" i="9"/>
  <c r="H38" i="9"/>
  <c r="H37" i="9"/>
  <c r="H36" i="9"/>
  <c r="H35" i="9"/>
  <c r="E35" i="9"/>
  <c r="C35" i="9"/>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E33" i="9"/>
  <c r="H32" i="9"/>
  <c r="H33" i="9" s="1"/>
  <c r="E31" i="9"/>
  <c r="H30" i="9"/>
  <c r="H31" i="9" s="1"/>
  <c r="E28" i="9"/>
  <c r="E29" i="9" s="1"/>
  <c r="H27" i="9"/>
  <c r="H28" i="9" s="1"/>
  <c r="E25" i="9"/>
  <c r="E26" i="9" s="1"/>
  <c r="H24" i="9"/>
  <c r="H26" i="9" s="1"/>
  <c r="H23" i="9"/>
  <c r="H22" i="9"/>
  <c r="E22" i="9"/>
  <c r="E23" i="9" s="1"/>
  <c r="H21" i="9"/>
  <c r="E20" i="9"/>
  <c r="H19" i="9"/>
  <c r="H20" i="9" s="1"/>
  <c r="E18" i="9"/>
  <c r="H17" i="9"/>
  <c r="H18" i="9" s="1"/>
  <c r="E15" i="9"/>
  <c r="E16" i="9" s="1"/>
  <c r="H14" i="9"/>
  <c r="H15" i="9" s="1"/>
  <c r="H16" i="9" s="1"/>
  <c r="E12" i="9"/>
  <c r="E13" i="9" s="1"/>
  <c r="H11" i="9"/>
  <c r="H12" i="9" s="1"/>
  <c r="H13" i="9" s="1"/>
  <c r="E9" i="9"/>
  <c r="E10" i="9" s="1"/>
  <c r="H8" i="9"/>
  <c r="H9" i="9" s="1"/>
  <c r="H10" i="9" s="1"/>
  <c r="G72" i="16" l="1"/>
  <c r="I72" i="16" s="1"/>
  <c r="D72" i="16" s="1"/>
  <c r="A844" i="16"/>
  <c r="A852" i="16"/>
  <c r="A836" i="16"/>
  <c r="A842" i="16"/>
  <c r="A849" i="16"/>
  <c r="A837" i="16"/>
  <c r="A861" i="16"/>
  <c r="A856" i="16"/>
  <c r="A854" i="16"/>
  <c r="A840" i="16"/>
  <c r="A868" i="16"/>
  <c r="A755" i="16"/>
  <c r="A752" i="16"/>
  <c r="A778" i="16"/>
  <c r="A751" i="16"/>
  <c r="A760" i="16"/>
  <c r="A739" i="16"/>
  <c r="A757" i="16"/>
  <c r="A770" i="16"/>
  <c r="A758" i="16"/>
  <c r="A753" i="16"/>
  <c r="A776" i="16"/>
  <c r="E213" i="16"/>
  <c r="D567" i="16"/>
  <c r="H667" i="16"/>
  <c r="E655" i="16"/>
  <c r="H611" i="16"/>
  <c r="E599" i="16"/>
  <c r="E643" i="16"/>
  <c r="H81" i="16"/>
  <c r="E70" i="16"/>
  <c r="D560" i="16"/>
  <c r="H568" i="16"/>
  <c r="E556" i="16"/>
  <c r="H578" i="16"/>
  <c r="E566" i="16"/>
  <c r="C579" i="16"/>
  <c r="C591" i="16" s="1"/>
  <c r="D553" i="16"/>
  <c r="H96" i="16"/>
  <c r="E96" i="16" s="1"/>
  <c r="C572" i="16"/>
  <c r="E74" i="16"/>
  <c r="G83" i="16"/>
  <c r="I83" i="16" s="1"/>
  <c r="D83" i="16" s="1"/>
  <c r="C94" i="16"/>
  <c r="H579" i="16"/>
  <c r="E567" i="16"/>
  <c r="H565" i="16"/>
  <c r="E553" i="16"/>
  <c r="H572" i="16"/>
  <c r="E560" i="16"/>
  <c r="E226" i="16"/>
  <c r="H237" i="16"/>
  <c r="C577" i="16"/>
  <c r="G565" i="16"/>
  <c r="I565" i="16" s="1"/>
  <c r="D565" i="16" s="1"/>
  <c r="C73" i="16"/>
  <c r="G62" i="16"/>
  <c r="I62" i="16" s="1"/>
  <c r="D62" i="16" s="1"/>
  <c r="G555" i="16"/>
  <c r="I555" i="16" s="1"/>
  <c r="D555" i="16" s="1"/>
  <c r="D63" i="16"/>
  <c r="H240" i="16"/>
  <c r="E229" i="16"/>
  <c r="H236" i="16"/>
  <c r="E225" i="16"/>
  <c r="H564" i="16"/>
  <c r="E552" i="16"/>
  <c r="H73" i="16"/>
  <c r="E62" i="16"/>
  <c r="C575" i="16"/>
  <c r="G563" i="16"/>
  <c r="I563" i="16" s="1"/>
  <c r="D563" i="16" s="1"/>
  <c r="C569" i="16"/>
  <c r="G557" i="16"/>
  <c r="I557" i="16" s="1"/>
  <c r="D557" i="16" s="1"/>
  <c r="C590" i="16"/>
  <c r="G578" i="16"/>
  <c r="I578" i="16" s="1"/>
  <c r="C598" i="16"/>
  <c r="G586" i="16"/>
  <c r="I586" i="16" s="1"/>
  <c r="D586" i="16" s="1"/>
  <c r="C583" i="16"/>
  <c r="G571" i="16"/>
  <c r="I571" i="16" s="1"/>
  <c r="D571" i="16" s="1"/>
  <c r="G572" i="16"/>
  <c r="I572" i="16" s="1"/>
  <c r="D572" i="16" s="1"/>
  <c r="C584" i="16"/>
  <c r="G556" i="16"/>
  <c r="I556" i="16" s="1"/>
  <c r="D556" i="16" s="1"/>
  <c r="C568" i="16"/>
  <c r="G564" i="16"/>
  <c r="I564" i="16" s="1"/>
  <c r="D564" i="16" s="1"/>
  <c r="C576" i="16"/>
  <c r="G549" i="16"/>
  <c r="I549" i="16" s="1"/>
  <c r="D549" i="16" s="1"/>
  <c r="C561" i="16"/>
  <c r="G582" i="16"/>
  <c r="I582" i="16" s="1"/>
  <c r="D582" i="16" s="1"/>
  <c r="C594" i="16"/>
  <c r="H243" i="16"/>
  <c r="E232" i="16"/>
  <c r="H227" i="16"/>
  <c r="E216" i="16"/>
  <c r="E231" i="16"/>
  <c r="H242" i="16"/>
  <c r="E208" i="16"/>
  <c r="H219" i="16"/>
  <c r="H234" i="16"/>
  <c r="E223" i="16"/>
  <c r="H250" i="16"/>
  <c r="E239" i="16"/>
  <c r="E224" i="16"/>
  <c r="H235" i="16"/>
  <c r="H244" i="16"/>
  <c r="E233" i="16"/>
  <c r="E82" i="16"/>
  <c r="H93" i="16"/>
  <c r="D82" i="16"/>
  <c r="E69" i="16"/>
  <c r="D69" i="16"/>
  <c r="H80" i="16"/>
  <c r="C104" i="16"/>
  <c r="G93" i="16"/>
  <c r="I93" i="16" s="1"/>
  <c r="C101" i="16"/>
  <c r="G90" i="16"/>
  <c r="I90" i="16" s="1"/>
  <c r="E83" i="16"/>
  <c r="H94" i="16"/>
  <c r="H87" i="16"/>
  <c r="D76" i="16"/>
  <c r="E76" i="16"/>
  <c r="H77" i="16"/>
  <c r="D66" i="16"/>
  <c r="E66" i="16"/>
  <c r="C75" i="16"/>
  <c r="G64" i="16"/>
  <c r="I64" i="16" s="1"/>
  <c r="D64" i="16" s="1"/>
  <c r="C89" i="16"/>
  <c r="G78" i="16"/>
  <c r="I78" i="16" s="1"/>
  <c r="H86" i="16"/>
  <c r="E75" i="16"/>
  <c r="C85" i="16"/>
  <c r="G74" i="16"/>
  <c r="I74" i="16" s="1"/>
  <c r="D74" i="16" s="1"/>
  <c r="G80" i="16"/>
  <c r="I80" i="16" s="1"/>
  <c r="C91" i="16"/>
  <c r="G88" i="16"/>
  <c r="I88" i="16" s="1"/>
  <c r="C99" i="16"/>
  <c r="D79" i="16"/>
  <c r="H90" i="16"/>
  <c r="E79" i="16"/>
  <c r="C92" i="16"/>
  <c r="G81" i="16"/>
  <c r="I81" i="16" s="1"/>
  <c r="C98" i="16"/>
  <c r="G87" i="16"/>
  <c r="I87" i="16" s="1"/>
  <c r="H78" i="16"/>
  <c r="E67" i="16"/>
  <c r="D67" i="16"/>
  <c r="H29" i="9"/>
  <c r="H25" i="9"/>
  <c r="A867" i="16" l="1"/>
  <c r="A853" i="16"/>
  <c r="A872" i="16"/>
  <c r="A879" i="16"/>
  <c r="A847" i="16"/>
  <c r="A851" i="16"/>
  <c r="A848" i="16"/>
  <c r="A863" i="16"/>
  <c r="A865" i="16"/>
  <c r="A860" i="16"/>
  <c r="A855" i="16"/>
  <c r="A762" i="16"/>
  <c r="A768" i="16"/>
  <c r="A764" i="16"/>
  <c r="A763" i="16"/>
  <c r="A781" i="16"/>
  <c r="A789" i="16"/>
  <c r="A787" i="16"/>
  <c r="A750" i="16"/>
  <c r="A769" i="16"/>
  <c r="A771" i="16"/>
  <c r="A766" i="16"/>
  <c r="H623" i="16"/>
  <c r="E611" i="16"/>
  <c r="D578" i="16"/>
  <c r="E667" i="16"/>
  <c r="H679" i="16"/>
  <c r="D81" i="16"/>
  <c r="E81" i="16"/>
  <c r="H92" i="16"/>
  <c r="C589" i="16"/>
  <c r="G577" i="16"/>
  <c r="I577" i="16" s="1"/>
  <c r="G94" i="16"/>
  <c r="I94" i="16" s="1"/>
  <c r="D94" i="16" s="1"/>
  <c r="C105" i="16"/>
  <c r="H84" i="16"/>
  <c r="E73" i="16"/>
  <c r="E240" i="16"/>
  <c r="H584" i="16"/>
  <c r="E572" i="16"/>
  <c r="H590" i="16"/>
  <c r="E578" i="16"/>
  <c r="H107" i="16"/>
  <c r="H118" i="16" s="1"/>
  <c r="H251" i="16"/>
  <c r="E251" i="16" s="1"/>
  <c r="H576" i="16"/>
  <c r="E564" i="16"/>
  <c r="H247" i="16"/>
  <c r="E236" i="16"/>
  <c r="H591" i="16"/>
  <c r="E579" i="16"/>
  <c r="E237" i="16"/>
  <c r="H248" i="16"/>
  <c r="G579" i="16"/>
  <c r="I579" i="16" s="1"/>
  <c r="D579" i="16" s="1"/>
  <c r="C84" i="16"/>
  <c r="G73" i="16"/>
  <c r="I73" i="16" s="1"/>
  <c r="D73" i="16" s="1"/>
  <c r="H577" i="16"/>
  <c r="E565" i="16"/>
  <c r="H580" i="16"/>
  <c r="E568" i="16"/>
  <c r="G590" i="16"/>
  <c r="I590" i="16" s="1"/>
  <c r="D590" i="16" s="1"/>
  <c r="C602" i="16"/>
  <c r="G594" i="16"/>
  <c r="I594" i="16" s="1"/>
  <c r="D594" i="16" s="1"/>
  <c r="C606" i="16"/>
  <c r="C596" i="16"/>
  <c r="G584" i="16"/>
  <c r="I584" i="16" s="1"/>
  <c r="C581" i="16"/>
  <c r="G569" i="16"/>
  <c r="I569" i="16" s="1"/>
  <c r="D569" i="16" s="1"/>
  <c r="C573" i="16"/>
  <c r="G561" i="16"/>
  <c r="I561" i="16" s="1"/>
  <c r="D561" i="16" s="1"/>
  <c r="G575" i="16"/>
  <c r="I575" i="16" s="1"/>
  <c r="D575" i="16" s="1"/>
  <c r="C587" i="16"/>
  <c r="C588" i="16"/>
  <c r="G576" i="16"/>
  <c r="I576" i="16" s="1"/>
  <c r="C610" i="16"/>
  <c r="G598" i="16"/>
  <c r="I598" i="16" s="1"/>
  <c r="D598" i="16" s="1"/>
  <c r="C603" i="16"/>
  <c r="G591" i="16"/>
  <c r="I591" i="16" s="1"/>
  <c r="C580" i="16"/>
  <c r="G568" i="16"/>
  <c r="I568" i="16" s="1"/>
  <c r="D568" i="16" s="1"/>
  <c r="C595" i="16"/>
  <c r="G583" i="16"/>
  <c r="I583" i="16" s="1"/>
  <c r="D583" i="16" s="1"/>
  <c r="E234" i="16"/>
  <c r="H245" i="16"/>
  <c r="H255" i="16"/>
  <c r="E244" i="16"/>
  <c r="H254" i="16"/>
  <c r="E243" i="16"/>
  <c r="E250" i="16"/>
  <c r="H261" i="16"/>
  <c r="E235" i="16"/>
  <c r="H246" i="16"/>
  <c r="E227" i="16"/>
  <c r="H238" i="16"/>
  <c r="E242" i="16"/>
  <c r="H253" i="16"/>
  <c r="E219" i="16"/>
  <c r="H230" i="16"/>
  <c r="E86" i="16"/>
  <c r="H97" i="16"/>
  <c r="C112" i="16"/>
  <c r="G101" i="16"/>
  <c r="I101" i="16" s="1"/>
  <c r="C109" i="16"/>
  <c r="G98" i="16"/>
  <c r="I98" i="16" s="1"/>
  <c r="G99" i="16"/>
  <c r="I99" i="16" s="1"/>
  <c r="C110" i="16"/>
  <c r="E107" i="16"/>
  <c r="C86" i="16"/>
  <c r="G75" i="16"/>
  <c r="I75" i="16" s="1"/>
  <c r="D75" i="16" s="1"/>
  <c r="H88" i="16"/>
  <c r="E77" i="16"/>
  <c r="D77" i="16"/>
  <c r="G104" i="16"/>
  <c r="I104" i="16" s="1"/>
  <c r="C115" i="16"/>
  <c r="G92" i="16"/>
  <c r="I92" i="16" s="1"/>
  <c r="C103" i="16"/>
  <c r="C96" i="16"/>
  <c r="G85" i="16"/>
  <c r="I85" i="16" s="1"/>
  <c r="D85" i="16" s="1"/>
  <c r="C100" i="16"/>
  <c r="G89" i="16"/>
  <c r="I89" i="16" s="1"/>
  <c r="D87" i="16"/>
  <c r="E87" i="16"/>
  <c r="H98" i="16"/>
  <c r="H91" i="16"/>
  <c r="E80" i="16"/>
  <c r="D80" i="16"/>
  <c r="E94" i="16"/>
  <c r="H105" i="16"/>
  <c r="C102" i="16"/>
  <c r="G91" i="16"/>
  <c r="I91" i="16" s="1"/>
  <c r="E78" i="16"/>
  <c r="D78" i="16"/>
  <c r="H89" i="16"/>
  <c r="E90" i="16"/>
  <c r="D90" i="16"/>
  <c r="H101" i="16"/>
  <c r="H104" i="16"/>
  <c r="E93" i="16"/>
  <c r="D93" i="16"/>
  <c r="BG65" i="11"/>
  <c r="BF65" i="11"/>
  <c r="BE65" i="11"/>
  <c r="BG64" i="11"/>
  <c r="BF64" i="11"/>
  <c r="BE64" i="11"/>
  <c r="BG63" i="11"/>
  <c r="BF63" i="11"/>
  <c r="C63" i="11" s="1"/>
  <c r="BE63" i="11"/>
  <c r="BG62" i="11"/>
  <c r="BF62" i="11"/>
  <c r="BE62" i="11"/>
  <c r="BG61" i="11"/>
  <c r="BF61" i="11"/>
  <c r="BE61" i="11"/>
  <c r="BG60" i="11"/>
  <c r="BF60" i="11"/>
  <c r="BE60" i="11"/>
  <c r="BG59" i="11"/>
  <c r="BF59" i="11"/>
  <c r="BE59" i="11"/>
  <c r="BG58" i="11"/>
  <c r="BF58" i="11"/>
  <c r="BE58" i="11"/>
  <c r="BG57" i="11"/>
  <c r="BF57" i="11"/>
  <c r="BE57" i="11"/>
  <c r="BG56" i="11"/>
  <c r="BF56" i="11"/>
  <c r="BE56" i="11"/>
  <c r="BG55" i="11"/>
  <c r="BF55" i="11"/>
  <c r="C55" i="11" s="1"/>
  <c r="BE55" i="11"/>
  <c r="BG54" i="11"/>
  <c r="BF54" i="11"/>
  <c r="BE54" i="11"/>
  <c r="BG53" i="11"/>
  <c r="BF53" i="11"/>
  <c r="BE53" i="11"/>
  <c r="BG52" i="11"/>
  <c r="BF52" i="11"/>
  <c r="BE52" i="11"/>
  <c r="BG51" i="11"/>
  <c r="BF51" i="11"/>
  <c r="BE51" i="11"/>
  <c r="BG50" i="11"/>
  <c r="BF50" i="11"/>
  <c r="BE50" i="11"/>
  <c r="BG49" i="11"/>
  <c r="BF49" i="11"/>
  <c r="BE49" i="11"/>
  <c r="BG48" i="11"/>
  <c r="BF48" i="11"/>
  <c r="BE48" i="11"/>
  <c r="BG47" i="11"/>
  <c r="BF47" i="11"/>
  <c r="C47" i="11" s="1"/>
  <c r="BE47" i="11"/>
  <c r="BG46" i="11"/>
  <c r="BF46" i="11"/>
  <c r="BE46" i="11"/>
  <c r="BG45" i="11"/>
  <c r="BF45" i="11"/>
  <c r="BE45" i="11"/>
  <c r="BG44" i="11"/>
  <c r="BF44" i="11"/>
  <c r="BE44" i="11"/>
  <c r="BG43" i="11"/>
  <c r="BF43" i="11"/>
  <c r="BE43" i="11"/>
  <c r="BG42" i="11"/>
  <c r="BF42" i="11"/>
  <c r="BE42" i="11"/>
  <c r="BG41" i="11"/>
  <c r="BF41" i="11"/>
  <c r="BE41" i="11"/>
  <c r="BG40" i="11"/>
  <c r="BF40" i="11"/>
  <c r="BE40" i="11"/>
  <c r="BG39" i="11"/>
  <c r="BF39" i="11"/>
  <c r="C39" i="11" s="1"/>
  <c r="BE39" i="11"/>
  <c r="BG38" i="11"/>
  <c r="BF38" i="11"/>
  <c r="BE38" i="11"/>
  <c r="BG37" i="11"/>
  <c r="BF37" i="11"/>
  <c r="BE37" i="11"/>
  <c r="BG36" i="11"/>
  <c r="BF36" i="11"/>
  <c r="BE36" i="11"/>
  <c r="BG35" i="11"/>
  <c r="BF35" i="11"/>
  <c r="BE35" i="11"/>
  <c r="BG34" i="11"/>
  <c r="BF34" i="11"/>
  <c r="BE34" i="11"/>
  <c r="BG33" i="11"/>
  <c r="BF33" i="11"/>
  <c r="BE33" i="11"/>
  <c r="BG32" i="11"/>
  <c r="BF32" i="11"/>
  <c r="BE32" i="11"/>
  <c r="BG31" i="11"/>
  <c r="BF31" i="11"/>
  <c r="C31" i="11" s="1"/>
  <c r="BE31" i="11"/>
  <c r="BG30" i="11"/>
  <c r="BF30" i="11"/>
  <c r="BE30" i="11"/>
  <c r="BG29" i="11"/>
  <c r="BF29" i="11"/>
  <c r="BE29" i="11"/>
  <c r="BG28" i="11"/>
  <c r="BF28" i="11"/>
  <c r="BE28" i="11"/>
  <c r="BG27" i="11"/>
  <c r="BF27" i="11"/>
  <c r="BE27" i="11"/>
  <c r="BG26" i="11"/>
  <c r="BF26" i="11"/>
  <c r="BE26" i="11"/>
  <c r="BG25" i="11"/>
  <c r="BF25" i="11"/>
  <c r="BE25" i="11"/>
  <c r="BG24" i="11"/>
  <c r="BF24" i="11"/>
  <c r="BE24" i="11"/>
  <c r="BG23" i="11"/>
  <c r="BF23" i="11"/>
  <c r="C23" i="11" s="1"/>
  <c r="BE23" i="11"/>
  <c r="BG22" i="11"/>
  <c r="BF22" i="11"/>
  <c r="BE22" i="11"/>
  <c r="BG21" i="11"/>
  <c r="BF21" i="11"/>
  <c r="BE21" i="11"/>
  <c r="BG20" i="11"/>
  <c r="BF20" i="11"/>
  <c r="BE20" i="11"/>
  <c r="BG19" i="11"/>
  <c r="BF19" i="11"/>
  <c r="BE19" i="11"/>
  <c r="BG18" i="11"/>
  <c r="BF18" i="11"/>
  <c r="BE18" i="11"/>
  <c r="BG17" i="11"/>
  <c r="BF17" i="11"/>
  <c r="BE17" i="11"/>
  <c r="BG16" i="11"/>
  <c r="BF16" i="11"/>
  <c r="BE16" i="11"/>
  <c r="BG15" i="11"/>
  <c r="BF15" i="11"/>
  <c r="C15" i="11" s="1"/>
  <c r="BE15" i="11"/>
  <c r="BG14" i="11"/>
  <c r="BF14" i="11"/>
  <c r="BE14" i="11"/>
  <c r="BG13" i="11"/>
  <c r="BF13" i="11"/>
  <c r="BE13" i="11"/>
  <c r="BG12" i="11"/>
  <c r="BF12" i="11"/>
  <c r="BE12" i="11"/>
  <c r="BG11" i="11"/>
  <c r="BF11" i="11"/>
  <c r="BE11" i="11"/>
  <c r="BG10" i="11"/>
  <c r="BF10" i="11"/>
  <c r="BE10" i="11"/>
  <c r="BG9" i="11"/>
  <c r="BF9" i="11"/>
  <c r="BE9" i="11"/>
  <c r="BG8" i="11"/>
  <c r="BF8" i="11"/>
  <c r="BE8" i="11"/>
  <c r="BG7" i="11"/>
  <c r="BF7" i="11"/>
  <c r="C7" i="11" s="1"/>
  <c r="BE7" i="11"/>
  <c r="BG6" i="11"/>
  <c r="BF6" i="11"/>
  <c r="BE6" i="11"/>
  <c r="F23" i="15"/>
  <c r="F14" i="15"/>
  <c r="F13" i="15"/>
  <c r="F12" i="15"/>
  <c r="F11" i="15"/>
  <c r="F9" i="15"/>
  <c r="F8" i="15"/>
  <c r="F6" i="15"/>
  <c r="F5" i="15"/>
  <c r="F3" i="15"/>
  <c r="F2" i="15"/>
  <c r="AE65" i="11"/>
  <c r="AD65" i="11"/>
  <c r="Z65" i="11"/>
  <c r="G65" i="11"/>
  <c r="B65" i="11"/>
  <c r="AE64" i="11"/>
  <c r="AD64" i="11"/>
  <c r="Z64" i="11"/>
  <c r="B64" i="11"/>
  <c r="G64" i="11" s="1"/>
  <c r="AE63" i="11"/>
  <c r="AD63" i="11"/>
  <c r="Z63" i="11"/>
  <c r="G63" i="11"/>
  <c r="B63" i="11"/>
  <c r="AE62" i="11"/>
  <c r="AD62" i="11"/>
  <c r="Z62" i="11"/>
  <c r="B62" i="11"/>
  <c r="G62" i="11" s="1"/>
  <c r="AE61" i="11"/>
  <c r="AD61" i="11"/>
  <c r="Z61" i="11"/>
  <c r="G61" i="11"/>
  <c r="B61" i="11"/>
  <c r="AE60" i="11"/>
  <c r="AD60" i="11"/>
  <c r="Z60" i="11"/>
  <c r="B60" i="11"/>
  <c r="G60" i="11" s="1"/>
  <c r="AE59" i="11"/>
  <c r="AD59" i="11"/>
  <c r="Z59" i="11"/>
  <c r="B59" i="11"/>
  <c r="G59" i="11" s="1"/>
  <c r="AE58" i="11"/>
  <c r="AD58" i="11"/>
  <c r="Z58" i="11"/>
  <c r="G58" i="11"/>
  <c r="B58" i="11"/>
  <c r="AE57" i="11"/>
  <c r="AD57" i="11"/>
  <c r="Z57" i="11"/>
  <c r="B57" i="11"/>
  <c r="G57" i="11" s="1"/>
  <c r="AE56" i="11"/>
  <c r="AD56" i="11"/>
  <c r="Z56" i="11"/>
  <c r="B56" i="11"/>
  <c r="G56" i="11" s="1"/>
  <c r="AE55" i="11"/>
  <c r="AD55" i="11"/>
  <c r="Z55" i="11"/>
  <c r="G55" i="11"/>
  <c r="B55" i="11"/>
  <c r="AE54" i="11"/>
  <c r="AD54" i="11"/>
  <c r="Z54" i="11"/>
  <c r="B54" i="11"/>
  <c r="G54" i="11" s="1"/>
  <c r="AE53" i="11"/>
  <c r="AD53" i="11"/>
  <c r="Z53" i="11"/>
  <c r="G53" i="11"/>
  <c r="B53" i="11"/>
  <c r="AE52" i="11"/>
  <c r="AD52" i="11"/>
  <c r="Z52" i="11"/>
  <c r="G52" i="11"/>
  <c r="B52" i="11"/>
  <c r="AE51" i="11"/>
  <c r="AD51" i="11"/>
  <c r="Z51" i="11"/>
  <c r="B51" i="11"/>
  <c r="G51" i="11" s="1"/>
  <c r="AE50" i="11"/>
  <c r="AD50" i="11"/>
  <c r="Z50" i="11"/>
  <c r="G50" i="11"/>
  <c r="B50" i="11"/>
  <c r="AE49" i="11"/>
  <c r="AD49" i="11"/>
  <c r="Z49" i="11"/>
  <c r="G49" i="11"/>
  <c r="B49" i="11"/>
  <c r="AE48" i="11"/>
  <c r="AD48" i="11"/>
  <c r="Z48" i="11"/>
  <c r="B48" i="11"/>
  <c r="G48" i="11" s="1"/>
  <c r="AE47" i="11"/>
  <c r="AD47" i="11"/>
  <c r="Z47" i="11"/>
  <c r="G47" i="11"/>
  <c r="B47" i="11"/>
  <c r="AE46" i="11"/>
  <c r="AD46" i="11"/>
  <c r="Z46" i="11"/>
  <c r="B46" i="11"/>
  <c r="G46" i="11" s="1"/>
  <c r="AE45" i="11"/>
  <c r="AD45" i="11"/>
  <c r="Z45" i="11"/>
  <c r="G45" i="11"/>
  <c r="B45" i="11"/>
  <c r="AE44" i="11"/>
  <c r="AD44" i="11"/>
  <c r="Z44" i="11"/>
  <c r="B44" i="11"/>
  <c r="G44" i="11" s="1"/>
  <c r="AE43" i="11"/>
  <c r="AD43" i="11"/>
  <c r="Z43" i="11"/>
  <c r="B43" i="11"/>
  <c r="G43" i="11" s="1"/>
  <c r="AE42" i="11"/>
  <c r="AD42" i="11"/>
  <c r="Z42" i="11"/>
  <c r="G42" i="11"/>
  <c r="B42" i="11"/>
  <c r="AE41" i="11"/>
  <c r="AD41" i="11"/>
  <c r="Z41" i="11"/>
  <c r="B41" i="11"/>
  <c r="G41" i="11" s="1"/>
  <c r="AE40" i="11"/>
  <c r="AD40" i="11"/>
  <c r="Z40" i="11"/>
  <c r="B40" i="11"/>
  <c r="G40" i="11" s="1"/>
  <c r="AE39" i="11"/>
  <c r="AD39" i="11"/>
  <c r="Z39" i="11"/>
  <c r="G39" i="11"/>
  <c r="B39" i="11"/>
  <c r="AE38" i="11"/>
  <c r="AD38" i="11"/>
  <c r="Z38" i="11"/>
  <c r="B38" i="11"/>
  <c r="G38" i="11" s="1"/>
  <c r="AE37" i="11"/>
  <c r="AD37" i="11"/>
  <c r="Z37" i="11"/>
  <c r="G37" i="11"/>
  <c r="B37" i="11"/>
  <c r="AE36" i="11"/>
  <c r="AD36" i="11"/>
  <c r="Z36" i="11"/>
  <c r="G36" i="11"/>
  <c r="B36" i="11"/>
  <c r="AE35" i="11"/>
  <c r="AD35" i="11"/>
  <c r="Z35" i="11"/>
  <c r="B35" i="11"/>
  <c r="G35" i="11" s="1"/>
  <c r="AE34" i="11"/>
  <c r="AD34" i="11"/>
  <c r="Z34" i="11"/>
  <c r="G34" i="11"/>
  <c r="B34" i="11"/>
  <c r="AE33" i="11"/>
  <c r="AD33" i="11"/>
  <c r="Z33" i="11"/>
  <c r="G33" i="11"/>
  <c r="B33" i="11"/>
  <c r="AE32" i="11"/>
  <c r="AD32" i="11"/>
  <c r="Z32" i="11"/>
  <c r="B32" i="11"/>
  <c r="G32" i="11" s="1"/>
  <c r="AE31" i="11"/>
  <c r="AD31" i="11"/>
  <c r="Z31" i="11"/>
  <c r="G31" i="11"/>
  <c r="B31" i="11"/>
  <c r="AE30" i="11"/>
  <c r="AD30" i="11"/>
  <c r="Z30" i="11"/>
  <c r="B30" i="11"/>
  <c r="G30" i="11" s="1"/>
  <c r="AE29" i="11"/>
  <c r="AD29" i="11"/>
  <c r="Z29" i="11"/>
  <c r="G29" i="11"/>
  <c r="B29" i="11"/>
  <c r="AE28" i="11"/>
  <c r="AD28" i="11"/>
  <c r="Z28" i="11"/>
  <c r="B28" i="11"/>
  <c r="G28" i="11" s="1"/>
  <c r="AE27" i="11"/>
  <c r="AD27" i="11"/>
  <c r="Z27" i="11"/>
  <c r="B27" i="11"/>
  <c r="G27" i="11" s="1"/>
  <c r="AE26" i="11"/>
  <c r="AD26" i="11"/>
  <c r="Z26" i="11"/>
  <c r="G26" i="11"/>
  <c r="B26" i="11"/>
  <c r="AE25" i="11"/>
  <c r="AD25" i="11"/>
  <c r="Z25" i="11"/>
  <c r="B25" i="11"/>
  <c r="G25" i="11" s="1"/>
  <c r="AE24" i="11"/>
  <c r="AD24" i="11"/>
  <c r="Z24" i="11"/>
  <c r="B24" i="11"/>
  <c r="G24" i="11" s="1"/>
  <c r="AE23" i="11"/>
  <c r="AD23" i="11"/>
  <c r="Z23" i="11"/>
  <c r="G23" i="11"/>
  <c r="B23" i="11"/>
  <c r="AE22" i="11"/>
  <c r="AD22" i="11"/>
  <c r="Z22" i="11"/>
  <c r="B22" i="11"/>
  <c r="G22" i="11" s="1"/>
  <c r="AE21" i="11"/>
  <c r="AD21" i="11"/>
  <c r="Z21" i="11"/>
  <c r="G21" i="11"/>
  <c r="B21" i="11"/>
  <c r="AE20" i="11"/>
  <c r="AD20" i="11"/>
  <c r="Z20" i="11"/>
  <c r="G20" i="11"/>
  <c r="B20" i="11"/>
  <c r="AE19" i="11"/>
  <c r="AD19" i="11"/>
  <c r="Z19" i="11"/>
  <c r="B19" i="11"/>
  <c r="G19" i="11" s="1"/>
  <c r="AE18" i="11"/>
  <c r="AD18" i="11"/>
  <c r="Z18" i="11"/>
  <c r="G18" i="11"/>
  <c r="B18" i="11"/>
  <c r="AE17" i="11"/>
  <c r="AD17" i="11"/>
  <c r="Z17" i="11"/>
  <c r="G17" i="11"/>
  <c r="B17" i="11"/>
  <c r="AE16" i="11"/>
  <c r="AD16" i="11"/>
  <c r="Z16" i="11"/>
  <c r="B16" i="11"/>
  <c r="G16" i="11" s="1"/>
  <c r="AE15" i="11"/>
  <c r="AD15" i="11"/>
  <c r="Z15" i="11"/>
  <c r="G15" i="11"/>
  <c r="B15" i="11"/>
  <c r="AE14" i="11"/>
  <c r="AD14" i="11"/>
  <c r="Z14" i="11"/>
  <c r="B14" i="11"/>
  <c r="G14" i="11" s="1"/>
  <c r="AE13" i="11"/>
  <c r="AD13" i="11"/>
  <c r="Z13" i="11"/>
  <c r="B13" i="11"/>
  <c r="G13" i="11" s="1"/>
  <c r="AE12" i="11"/>
  <c r="AD12" i="11"/>
  <c r="Z12" i="11"/>
  <c r="B12" i="11"/>
  <c r="G12" i="11" s="1"/>
  <c r="AE11" i="11"/>
  <c r="AD11" i="11"/>
  <c r="Z11" i="11"/>
  <c r="B11" i="11"/>
  <c r="G11" i="11" s="1"/>
  <c r="AE10" i="11"/>
  <c r="AD10" i="11"/>
  <c r="Z10" i="11"/>
  <c r="G10" i="11"/>
  <c r="B10" i="11"/>
  <c r="AT9" i="11"/>
  <c r="AT10" i="11" s="1"/>
  <c r="AT11" i="11" s="1"/>
  <c r="AT12" i="11" s="1"/>
  <c r="AT13" i="11" s="1"/>
  <c r="AT14" i="11" s="1"/>
  <c r="AT15" i="11" s="1"/>
  <c r="AT16" i="11" s="1"/>
  <c r="AT17" i="11" s="1"/>
  <c r="AT18" i="11" s="1"/>
  <c r="AT19" i="11" s="1"/>
  <c r="AT20" i="11" s="1"/>
  <c r="AT21" i="11" s="1"/>
  <c r="AT22" i="11" s="1"/>
  <c r="AT23" i="11" s="1"/>
  <c r="AT24" i="11" s="1"/>
  <c r="AT25" i="11" s="1"/>
  <c r="AT26" i="11" s="1"/>
  <c r="AT27" i="11" s="1"/>
  <c r="AT28" i="11" s="1"/>
  <c r="AT29" i="11" s="1"/>
  <c r="AT30" i="11" s="1"/>
  <c r="AT31" i="11" s="1"/>
  <c r="AT32" i="11" s="1"/>
  <c r="AT33" i="11" s="1"/>
  <c r="AT34" i="11" s="1"/>
  <c r="AT35" i="11" s="1"/>
  <c r="AT36" i="11" s="1"/>
  <c r="AT37" i="11" s="1"/>
  <c r="AT38" i="11" s="1"/>
  <c r="AT39" i="11" s="1"/>
  <c r="AT40" i="11" s="1"/>
  <c r="AT41" i="11" s="1"/>
  <c r="AT42" i="11" s="1"/>
  <c r="AT43" i="11" s="1"/>
  <c r="AT44" i="11" s="1"/>
  <c r="AT45" i="11" s="1"/>
  <c r="AT46" i="11" s="1"/>
  <c r="AT47" i="11" s="1"/>
  <c r="AT48" i="11" s="1"/>
  <c r="AT49" i="11" s="1"/>
  <c r="AT50" i="11" s="1"/>
  <c r="AT51" i="11" s="1"/>
  <c r="AT52" i="11" s="1"/>
  <c r="AT53" i="11" s="1"/>
  <c r="AT54" i="11" s="1"/>
  <c r="AT55" i="11" s="1"/>
  <c r="AT56" i="11" s="1"/>
  <c r="AT57" i="11" s="1"/>
  <c r="AT58" i="11" s="1"/>
  <c r="AT59" i="11" s="1"/>
  <c r="AT60" i="11" s="1"/>
  <c r="AT61" i="11" s="1"/>
  <c r="AT62" i="11" s="1"/>
  <c r="AT63" i="11" s="1"/>
  <c r="AT64" i="11" s="1"/>
  <c r="AT65" i="11" s="1"/>
  <c r="AE9" i="11"/>
  <c r="AD9" i="11"/>
  <c r="Z9" i="11"/>
  <c r="B9" i="11"/>
  <c r="G9" i="11" s="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T8" i="11"/>
  <c r="AE8" i="11"/>
  <c r="AD8" i="11"/>
  <c r="Z8" i="11"/>
  <c r="B8" i="11"/>
  <c r="G8" i="11" s="1"/>
  <c r="A8" i="11"/>
  <c r="AT7" i="11"/>
  <c r="AE7" i="11"/>
  <c r="AD7" i="11"/>
  <c r="Z7" i="11"/>
  <c r="G7" i="11"/>
  <c r="B7" i="11"/>
  <c r="A7" i="11"/>
  <c r="AE6" i="11"/>
  <c r="AD6" i="11"/>
  <c r="Z6" i="11"/>
  <c r="B6" i="11"/>
  <c r="G6" i="11" s="1"/>
  <c r="A890" i="16" l="1"/>
  <c r="A859" i="16"/>
  <c r="A862" i="16"/>
  <c r="A871" i="16"/>
  <c r="A864" i="16"/>
  <c r="A858" i="16"/>
  <c r="A874" i="16"/>
  <c r="A883" i="16"/>
  <c r="A866" i="16"/>
  <c r="A876" i="16"/>
  <c r="A878" i="16"/>
  <c r="A780" i="16"/>
  <c r="A792" i="16"/>
  <c r="A761" i="16"/>
  <c r="A773" i="16"/>
  <c r="A774" i="16"/>
  <c r="A777" i="16"/>
  <c r="A798" i="16"/>
  <c r="A775" i="16"/>
  <c r="A782" i="16"/>
  <c r="A800" i="16"/>
  <c r="A779" i="16"/>
  <c r="H103" i="16"/>
  <c r="E92" i="16"/>
  <c r="H691" i="16"/>
  <c r="E679" i="16"/>
  <c r="D92" i="16"/>
  <c r="H635" i="16"/>
  <c r="E623" i="16"/>
  <c r="H588" i="16"/>
  <c r="E576" i="16"/>
  <c r="H259" i="16"/>
  <c r="E248" i="16"/>
  <c r="E84" i="16"/>
  <c r="H95" i="16"/>
  <c r="H592" i="16"/>
  <c r="E580" i="16"/>
  <c r="D576" i="16"/>
  <c r="D584" i="16"/>
  <c r="G105" i="16"/>
  <c r="I105" i="16" s="1"/>
  <c r="D105" i="16" s="1"/>
  <c r="C116" i="16"/>
  <c r="D577" i="16"/>
  <c r="H262" i="16"/>
  <c r="H273" i="16" s="1"/>
  <c r="G84" i="16"/>
  <c r="I84" i="16" s="1"/>
  <c r="D84" i="16" s="1"/>
  <c r="C95" i="16"/>
  <c r="H258" i="16"/>
  <c r="E247" i="16"/>
  <c r="H596" i="16"/>
  <c r="E584" i="16"/>
  <c r="G589" i="16"/>
  <c r="I589" i="16" s="1"/>
  <c r="C601" i="16"/>
  <c r="H589" i="16"/>
  <c r="E577" i="16"/>
  <c r="H603" i="16"/>
  <c r="E591" i="16"/>
  <c r="H602" i="16"/>
  <c r="E590" i="16"/>
  <c r="D591" i="16"/>
  <c r="C622" i="16"/>
  <c r="G610" i="16"/>
  <c r="I610" i="16" s="1"/>
  <c r="D610" i="16" s="1"/>
  <c r="G606" i="16"/>
  <c r="I606" i="16" s="1"/>
  <c r="D606" i="16" s="1"/>
  <c r="C618" i="16"/>
  <c r="G580" i="16"/>
  <c r="I580" i="16" s="1"/>
  <c r="D580" i="16" s="1"/>
  <c r="C592" i="16"/>
  <c r="C615" i="16"/>
  <c r="G603" i="16"/>
  <c r="I603" i="16" s="1"/>
  <c r="C585" i="16"/>
  <c r="G573" i="16"/>
  <c r="I573" i="16" s="1"/>
  <c r="D573" i="16" s="1"/>
  <c r="G581" i="16"/>
  <c r="I581" i="16" s="1"/>
  <c r="D581" i="16" s="1"/>
  <c r="C593" i="16"/>
  <c r="C600" i="16"/>
  <c r="G588" i="16"/>
  <c r="I588" i="16" s="1"/>
  <c r="C599" i="16"/>
  <c r="G587" i="16"/>
  <c r="I587" i="16" s="1"/>
  <c r="D587" i="16" s="1"/>
  <c r="C614" i="16"/>
  <c r="G602" i="16"/>
  <c r="I602" i="16" s="1"/>
  <c r="D602" i="16" s="1"/>
  <c r="C607" i="16"/>
  <c r="G595" i="16"/>
  <c r="I595" i="16" s="1"/>
  <c r="D595" i="16" s="1"/>
  <c r="G596" i="16"/>
  <c r="I596" i="16" s="1"/>
  <c r="D596" i="16" s="1"/>
  <c r="C608" i="16"/>
  <c r="H249" i="16"/>
  <c r="E238" i="16"/>
  <c r="H241" i="16"/>
  <c r="E230" i="16"/>
  <c r="E254" i="16"/>
  <c r="H265" i="16"/>
  <c r="E246" i="16"/>
  <c r="H257" i="16"/>
  <c r="H264" i="16"/>
  <c r="E253" i="16"/>
  <c r="E245" i="16"/>
  <c r="H256" i="16"/>
  <c r="E255" i="16"/>
  <c r="H266" i="16"/>
  <c r="E261" i="16"/>
  <c r="H272" i="16"/>
  <c r="D91" i="16"/>
  <c r="H102" i="16"/>
  <c r="E91" i="16"/>
  <c r="E98" i="16"/>
  <c r="H109" i="16"/>
  <c r="D98" i="16"/>
  <c r="C120" i="16"/>
  <c r="G109" i="16"/>
  <c r="I109" i="16" s="1"/>
  <c r="H115" i="16"/>
  <c r="E104" i="16"/>
  <c r="D104" i="16"/>
  <c r="G115" i="16"/>
  <c r="I115" i="16" s="1"/>
  <c r="C126" i="16"/>
  <c r="C97" i="16"/>
  <c r="G86" i="16"/>
  <c r="I86" i="16" s="1"/>
  <c r="D86" i="16" s="1"/>
  <c r="E101" i="16"/>
  <c r="D101" i="16"/>
  <c r="H112" i="16"/>
  <c r="G112" i="16"/>
  <c r="I112" i="16" s="1"/>
  <c r="C123" i="16"/>
  <c r="G96" i="16"/>
  <c r="I96" i="16" s="1"/>
  <c r="D96" i="16" s="1"/>
  <c r="C107" i="16"/>
  <c r="G103" i="16"/>
  <c r="I103" i="16" s="1"/>
  <c r="D103" i="16" s="1"/>
  <c r="C114" i="16"/>
  <c r="E118" i="16"/>
  <c r="H129" i="16"/>
  <c r="C113" i="16"/>
  <c r="G102" i="16"/>
  <c r="I102" i="16" s="1"/>
  <c r="G100" i="16"/>
  <c r="I100" i="16" s="1"/>
  <c r="C111" i="16"/>
  <c r="E97" i="16"/>
  <c r="H108" i="16"/>
  <c r="H100" i="16"/>
  <c r="E89" i="16"/>
  <c r="D89" i="16"/>
  <c r="H116" i="16"/>
  <c r="E105" i="16"/>
  <c r="H99" i="16"/>
  <c r="E88" i="16"/>
  <c r="D88" i="16"/>
  <c r="C121" i="16"/>
  <c r="G110" i="16"/>
  <c r="I110" i="16" s="1"/>
  <c r="F29" i="15"/>
  <c r="F15" i="15"/>
  <c r="F24" i="15"/>
  <c r="F17" i="15"/>
  <c r="F25" i="15"/>
  <c r="F21" i="15"/>
  <c r="F22" i="15"/>
  <c r="F10" i="15"/>
  <c r="F26" i="15"/>
  <c r="F19" i="15"/>
  <c r="F27" i="15"/>
  <c r="F7" i="15"/>
  <c r="F16" i="15"/>
  <c r="F18" i="15"/>
  <c r="F4" i="15"/>
  <c r="F20" i="15"/>
  <c r="F28" i="15"/>
  <c r="C11" i="11"/>
  <c r="C19" i="11"/>
  <c r="C27" i="11"/>
  <c r="C35" i="11"/>
  <c r="C43" i="11"/>
  <c r="C51" i="11"/>
  <c r="C59" i="11"/>
  <c r="C42" i="11"/>
  <c r="C8" i="11"/>
  <c r="C16" i="11"/>
  <c r="C24" i="11"/>
  <c r="C32" i="11"/>
  <c r="C40" i="11"/>
  <c r="C48" i="11"/>
  <c r="C56" i="11"/>
  <c r="C64" i="11"/>
  <c r="C10" i="11"/>
  <c r="C26" i="11"/>
  <c r="C6" i="11"/>
  <c r="C14" i="11"/>
  <c r="C22" i="11"/>
  <c r="C30" i="11"/>
  <c r="C38" i="11"/>
  <c r="C46" i="11"/>
  <c r="C54" i="11"/>
  <c r="C62" i="11"/>
  <c r="C12" i="11"/>
  <c r="C41" i="11"/>
  <c r="C25" i="11"/>
  <c r="C58" i="11"/>
  <c r="C9" i="11"/>
  <c r="C57" i="11"/>
  <c r="C45" i="11"/>
  <c r="C61" i="11"/>
  <c r="C17" i="11"/>
  <c r="C33" i="11"/>
  <c r="C49" i="11"/>
  <c r="C65" i="11"/>
  <c r="C29" i="11"/>
  <c r="C20" i="11"/>
  <c r="C28" i="11"/>
  <c r="C36" i="11"/>
  <c r="C44" i="11"/>
  <c r="C52" i="11"/>
  <c r="C60" i="11"/>
  <c r="C13" i="11"/>
  <c r="C21" i="11"/>
  <c r="C37" i="11"/>
  <c r="C53" i="11"/>
  <c r="C18" i="11"/>
  <c r="C34" i="11"/>
  <c r="C50" i="11"/>
  <c r="G31" i="2"/>
  <c r="F31" i="2"/>
  <c r="G30" i="2"/>
  <c r="F30" i="2"/>
  <c r="G29" i="2"/>
  <c r="F29" i="2"/>
  <c r="G28" i="2"/>
  <c r="F28" i="2"/>
  <c r="G27" i="2"/>
  <c r="F27" i="2"/>
  <c r="G17" i="2"/>
  <c r="F17" i="2"/>
  <c r="G15" i="2"/>
  <c r="F15" i="2"/>
  <c r="G13" i="2"/>
  <c r="F13" i="2"/>
  <c r="G11" i="2"/>
  <c r="F11" i="2"/>
  <c r="G9" i="2"/>
  <c r="F9" i="2"/>
  <c r="A894" i="16" l="1"/>
  <c r="A887" i="16"/>
  <c r="A875" i="16"/>
  <c r="A882" i="16"/>
  <c r="A885" i="16"/>
  <c r="A889" i="16"/>
  <c r="A873" i="16"/>
  <c r="A870" i="16"/>
  <c r="A869" i="16"/>
  <c r="A877" i="16"/>
  <c r="A786" i="16"/>
  <c r="A784" i="16"/>
  <c r="A790" i="16"/>
  <c r="A772" i="16"/>
  <c r="A788" i="16"/>
  <c r="A791" i="16"/>
  <c r="A803" i="16"/>
  <c r="A793" i="16"/>
  <c r="A785" i="16"/>
  <c r="D589" i="16"/>
  <c r="H647" i="16"/>
  <c r="E635" i="16"/>
  <c r="D588" i="16"/>
  <c r="H703" i="16"/>
  <c r="E703" i="16" s="1"/>
  <c r="E691" i="16"/>
  <c r="H114" i="16"/>
  <c r="E103" i="16"/>
  <c r="H106" i="16"/>
  <c r="E95" i="16"/>
  <c r="H614" i="16"/>
  <c r="E602" i="16"/>
  <c r="H608" i="16"/>
  <c r="E596" i="16"/>
  <c r="G116" i="16"/>
  <c r="I116" i="16" s="1"/>
  <c r="D116" i="16" s="1"/>
  <c r="C127" i="16"/>
  <c r="H615" i="16"/>
  <c r="E603" i="16"/>
  <c r="H269" i="16"/>
  <c r="E258" i="16"/>
  <c r="E259" i="16"/>
  <c r="H270" i="16"/>
  <c r="E262" i="16"/>
  <c r="H601" i="16"/>
  <c r="E589" i="16"/>
  <c r="G95" i="16"/>
  <c r="I95" i="16" s="1"/>
  <c r="D95" i="16" s="1"/>
  <c r="C106" i="16"/>
  <c r="D603" i="16"/>
  <c r="C613" i="16"/>
  <c r="G601" i="16"/>
  <c r="I601" i="16" s="1"/>
  <c r="H604" i="16"/>
  <c r="E592" i="16"/>
  <c r="H600" i="16"/>
  <c r="E588" i="16"/>
  <c r="G608" i="16"/>
  <c r="I608" i="16" s="1"/>
  <c r="C620" i="16"/>
  <c r="C604" i="16"/>
  <c r="G592" i="16"/>
  <c r="I592" i="16" s="1"/>
  <c r="D592" i="16" s="1"/>
  <c r="C612" i="16"/>
  <c r="G600" i="16"/>
  <c r="I600" i="16" s="1"/>
  <c r="D600" i="16" s="1"/>
  <c r="C619" i="16"/>
  <c r="G607" i="16"/>
  <c r="I607" i="16" s="1"/>
  <c r="D607" i="16" s="1"/>
  <c r="C611" i="16"/>
  <c r="G599" i="16"/>
  <c r="I599" i="16" s="1"/>
  <c r="D599" i="16" s="1"/>
  <c r="C630" i="16"/>
  <c r="G618" i="16"/>
  <c r="I618" i="16" s="1"/>
  <c r="D618" i="16" s="1"/>
  <c r="C627" i="16"/>
  <c r="G615" i="16"/>
  <c r="I615" i="16" s="1"/>
  <c r="D615" i="16" s="1"/>
  <c r="C605" i="16"/>
  <c r="G593" i="16"/>
  <c r="I593" i="16" s="1"/>
  <c r="D593" i="16" s="1"/>
  <c r="C626" i="16"/>
  <c r="G614" i="16"/>
  <c r="I614" i="16" s="1"/>
  <c r="G585" i="16"/>
  <c r="I585" i="16" s="1"/>
  <c r="D585" i="16" s="1"/>
  <c r="C597" i="16"/>
  <c r="C634" i="16"/>
  <c r="G622" i="16"/>
  <c r="I622" i="16" s="1"/>
  <c r="D622" i="16" s="1"/>
  <c r="H276" i="16"/>
  <c r="E265" i="16"/>
  <c r="H275" i="16"/>
  <c r="E264" i="16"/>
  <c r="E266" i="16"/>
  <c r="H277" i="16"/>
  <c r="H252" i="16"/>
  <c r="E241" i="16"/>
  <c r="H267" i="16"/>
  <c r="E256" i="16"/>
  <c r="H268" i="16"/>
  <c r="E257" i="16"/>
  <c r="H284" i="16"/>
  <c r="E273" i="16"/>
  <c r="H283" i="16"/>
  <c r="E272" i="16"/>
  <c r="H260" i="16"/>
  <c r="E249" i="16"/>
  <c r="H127" i="16"/>
  <c r="E116" i="16"/>
  <c r="G113" i="16"/>
  <c r="I113" i="16" s="1"/>
  <c r="C124" i="16"/>
  <c r="H111" i="16"/>
  <c r="E100" i="16"/>
  <c r="D100" i="16"/>
  <c r="H120" i="16"/>
  <c r="D109" i="16"/>
  <c r="E109" i="16"/>
  <c r="E129" i="16"/>
  <c r="H140" i="16"/>
  <c r="C125" i="16"/>
  <c r="G114" i="16"/>
  <c r="I114" i="16" s="1"/>
  <c r="H123" i="16"/>
  <c r="D112" i="16"/>
  <c r="E112" i="16"/>
  <c r="G120" i="16"/>
  <c r="I120" i="16" s="1"/>
  <c r="C131" i="16"/>
  <c r="C132" i="16"/>
  <c r="G121" i="16"/>
  <c r="I121" i="16" s="1"/>
  <c r="D99" i="16"/>
  <c r="H110" i="16"/>
  <c r="E99" i="16"/>
  <c r="H119" i="16"/>
  <c r="E108" i="16"/>
  <c r="G107" i="16"/>
  <c r="I107" i="16" s="1"/>
  <c r="D107" i="16" s="1"/>
  <c r="C118" i="16"/>
  <c r="C108" i="16"/>
  <c r="G97" i="16"/>
  <c r="I97" i="16" s="1"/>
  <c r="D97" i="16" s="1"/>
  <c r="C137" i="16"/>
  <c r="G126" i="16"/>
  <c r="I126" i="16" s="1"/>
  <c r="E102" i="16"/>
  <c r="H113" i="16"/>
  <c r="D102" i="16"/>
  <c r="G111" i="16"/>
  <c r="I111" i="16" s="1"/>
  <c r="C122" i="16"/>
  <c r="C134" i="16"/>
  <c r="G123" i="16"/>
  <c r="I123" i="16" s="1"/>
  <c r="D115" i="16"/>
  <c r="E115" i="16"/>
  <c r="H126" i="16"/>
  <c r="A881" i="16" l="1"/>
  <c r="A884" i="16"/>
  <c r="A886" i="16"/>
  <c r="A888" i="16"/>
  <c r="A893" i="16"/>
  <c r="A880" i="16"/>
  <c r="A896" i="16"/>
  <c r="A783" i="16"/>
  <c r="A804" i="16"/>
  <c r="A801" i="16"/>
  <c r="A802" i="16"/>
  <c r="A799" i="16"/>
  <c r="A797" i="16"/>
  <c r="A795" i="16"/>
  <c r="A796" i="16"/>
  <c r="D608" i="16"/>
  <c r="D114" i="16"/>
  <c r="E114" i="16"/>
  <c r="H125" i="16"/>
  <c r="H659" i="16"/>
  <c r="E647" i="16"/>
  <c r="E270" i="16"/>
  <c r="H281" i="16"/>
  <c r="G106" i="16"/>
  <c r="I106" i="16" s="1"/>
  <c r="D106" i="16" s="1"/>
  <c r="C117" i="16"/>
  <c r="H620" i="16"/>
  <c r="E608" i="16"/>
  <c r="H612" i="16"/>
  <c r="E600" i="16"/>
  <c r="E269" i="16"/>
  <c r="H280" i="16"/>
  <c r="H626" i="16"/>
  <c r="E614" i="16"/>
  <c r="H616" i="16"/>
  <c r="E604" i="16"/>
  <c r="H613" i="16"/>
  <c r="E601" i="16"/>
  <c r="D614" i="16"/>
  <c r="D601" i="16"/>
  <c r="H627" i="16"/>
  <c r="E615" i="16"/>
  <c r="E106" i="16"/>
  <c r="H117" i="16"/>
  <c r="C625" i="16"/>
  <c r="G613" i="16"/>
  <c r="I613" i="16" s="1"/>
  <c r="C138" i="16"/>
  <c r="G127" i="16"/>
  <c r="I127" i="16" s="1"/>
  <c r="D127" i="16" s="1"/>
  <c r="C639" i="16"/>
  <c r="G627" i="16"/>
  <c r="I627" i="16" s="1"/>
  <c r="D627" i="16" s="1"/>
  <c r="C646" i="16"/>
  <c r="G634" i="16"/>
  <c r="I634" i="16" s="1"/>
  <c r="D634" i="16" s="1"/>
  <c r="G612" i="16"/>
  <c r="I612" i="16" s="1"/>
  <c r="C624" i="16"/>
  <c r="G597" i="16"/>
  <c r="I597" i="16" s="1"/>
  <c r="D597" i="16" s="1"/>
  <c r="C609" i="16"/>
  <c r="C638" i="16"/>
  <c r="G626" i="16"/>
  <c r="I626" i="16" s="1"/>
  <c r="C623" i="16"/>
  <c r="G611" i="16"/>
  <c r="I611" i="16" s="1"/>
  <c r="D611" i="16" s="1"/>
  <c r="G604" i="16"/>
  <c r="I604" i="16" s="1"/>
  <c r="D604" i="16" s="1"/>
  <c r="C616" i="16"/>
  <c r="G620" i="16"/>
  <c r="I620" i="16" s="1"/>
  <c r="D620" i="16" s="1"/>
  <c r="C632" i="16"/>
  <c r="G630" i="16"/>
  <c r="I630" i="16" s="1"/>
  <c r="D630" i="16" s="1"/>
  <c r="C642" i="16"/>
  <c r="G605" i="16"/>
  <c r="I605" i="16" s="1"/>
  <c r="D605" i="16" s="1"/>
  <c r="C617" i="16"/>
  <c r="C631" i="16"/>
  <c r="G619" i="16"/>
  <c r="I619" i="16" s="1"/>
  <c r="D619" i="16" s="1"/>
  <c r="H279" i="16"/>
  <c r="E268" i="16"/>
  <c r="E275" i="16"/>
  <c r="H286" i="16"/>
  <c r="H288" i="16"/>
  <c r="E277" i="16"/>
  <c r="E267" i="16"/>
  <c r="H278" i="16"/>
  <c r="H263" i="16"/>
  <c r="E252" i="16"/>
  <c r="E260" i="16"/>
  <c r="H271" i="16"/>
  <c r="E283" i="16"/>
  <c r="H294" i="16"/>
  <c r="E284" i="16"/>
  <c r="H295" i="16"/>
  <c r="E276" i="16"/>
  <c r="H287" i="16"/>
  <c r="E110" i="16"/>
  <c r="D110" i="16"/>
  <c r="H121" i="16"/>
  <c r="D111" i="16"/>
  <c r="H122" i="16"/>
  <c r="E111" i="16"/>
  <c r="E126" i="16"/>
  <c r="D126" i="16"/>
  <c r="H137" i="16"/>
  <c r="E113" i="16"/>
  <c r="D113" i="16"/>
  <c r="H124" i="16"/>
  <c r="G108" i="16"/>
  <c r="I108" i="16" s="1"/>
  <c r="D108" i="16" s="1"/>
  <c r="C119" i="16"/>
  <c r="C129" i="16"/>
  <c r="G118" i="16"/>
  <c r="I118" i="16" s="1"/>
  <c r="D118" i="16" s="1"/>
  <c r="C136" i="16"/>
  <c r="G125" i="16"/>
  <c r="I125" i="16" s="1"/>
  <c r="D125" i="16" s="1"/>
  <c r="H131" i="16"/>
  <c r="E120" i="16"/>
  <c r="D120" i="16"/>
  <c r="G132" i="16"/>
  <c r="I132" i="16" s="1"/>
  <c r="C143" i="16"/>
  <c r="C148" i="16"/>
  <c r="G137" i="16"/>
  <c r="I137" i="16" s="1"/>
  <c r="G131" i="16"/>
  <c r="I131" i="16" s="1"/>
  <c r="C142" i="16"/>
  <c r="D123" i="16"/>
  <c r="E123" i="16"/>
  <c r="H134" i="16"/>
  <c r="G124" i="16"/>
  <c r="I124" i="16" s="1"/>
  <c r="C135" i="16"/>
  <c r="C145" i="16"/>
  <c r="G134" i="16"/>
  <c r="I134" i="16" s="1"/>
  <c r="C133" i="16"/>
  <c r="G122" i="16"/>
  <c r="I122" i="16" s="1"/>
  <c r="H130" i="16"/>
  <c r="E119" i="16"/>
  <c r="H151" i="16"/>
  <c r="E140" i="16"/>
  <c r="H138" i="16"/>
  <c r="E127" i="16"/>
  <c r="A897" i="16" l="1"/>
  <c r="A891" i="16"/>
  <c r="A895" i="16"/>
  <c r="A892" i="16"/>
  <c r="A806" i="16"/>
  <c r="A794" i="16"/>
  <c r="H671" i="16"/>
  <c r="E659" i="16"/>
  <c r="E125" i="16"/>
  <c r="H136" i="16"/>
  <c r="H628" i="16"/>
  <c r="E616" i="16"/>
  <c r="H632" i="16"/>
  <c r="E620" i="16"/>
  <c r="H639" i="16"/>
  <c r="E627" i="16"/>
  <c r="H638" i="16"/>
  <c r="E626" i="16"/>
  <c r="C128" i="16"/>
  <c r="G117" i="16"/>
  <c r="I117" i="16" s="1"/>
  <c r="D117" i="16" s="1"/>
  <c r="C149" i="16"/>
  <c r="G138" i="16"/>
  <c r="I138" i="16" s="1"/>
  <c r="D138" i="16" s="1"/>
  <c r="D613" i="16"/>
  <c r="H291" i="16"/>
  <c r="E280" i="16"/>
  <c r="H624" i="16"/>
  <c r="E612" i="16"/>
  <c r="D612" i="16"/>
  <c r="C637" i="16"/>
  <c r="G625" i="16"/>
  <c r="I625" i="16" s="1"/>
  <c r="H292" i="16"/>
  <c r="E281" i="16"/>
  <c r="D626" i="16"/>
  <c r="H128" i="16"/>
  <c r="E117" i="16"/>
  <c r="H625" i="16"/>
  <c r="E613" i="16"/>
  <c r="G631" i="16"/>
  <c r="I631" i="16" s="1"/>
  <c r="D631" i="16" s="1"/>
  <c r="C643" i="16"/>
  <c r="G624" i="16"/>
  <c r="I624" i="16" s="1"/>
  <c r="D624" i="16" s="1"/>
  <c r="C636" i="16"/>
  <c r="C635" i="16"/>
  <c r="G623" i="16"/>
  <c r="I623" i="16" s="1"/>
  <c r="D623" i="16" s="1"/>
  <c r="G616" i="16"/>
  <c r="I616" i="16" s="1"/>
  <c r="D616" i="16" s="1"/>
  <c r="C628" i="16"/>
  <c r="G609" i="16"/>
  <c r="I609" i="16" s="1"/>
  <c r="D609" i="16" s="1"/>
  <c r="C621" i="16"/>
  <c r="C654" i="16"/>
  <c r="G642" i="16"/>
  <c r="I642" i="16" s="1"/>
  <c r="D642" i="16" s="1"/>
  <c r="G638" i="16"/>
  <c r="I638" i="16" s="1"/>
  <c r="C650" i="16"/>
  <c r="G646" i="16"/>
  <c r="I646" i="16" s="1"/>
  <c r="D646" i="16" s="1"/>
  <c r="C658" i="16"/>
  <c r="C644" i="16"/>
  <c r="G632" i="16"/>
  <c r="I632" i="16" s="1"/>
  <c r="C629" i="16"/>
  <c r="G617" i="16"/>
  <c r="I617" i="16" s="1"/>
  <c r="D617" i="16" s="1"/>
  <c r="G639" i="16"/>
  <c r="I639" i="16" s="1"/>
  <c r="D639" i="16" s="1"/>
  <c r="C651" i="16"/>
  <c r="H274" i="16"/>
  <c r="E263" i="16"/>
  <c r="H289" i="16"/>
  <c r="E278" i="16"/>
  <c r="E295" i="16"/>
  <c r="H306" i="16"/>
  <c r="H282" i="16"/>
  <c r="E271" i="16"/>
  <c r="H297" i="16"/>
  <c r="E286" i="16"/>
  <c r="H305" i="16"/>
  <c r="E294" i="16"/>
  <c r="E288" i="16"/>
  <c r="H299" i="16"/>
  <c r="H298" i="16"/>
  <c r="E287" i="16"/>
  <c r="H290" i="16"/>
  <c r="E279" i="16"/>
  <c r="E130" i="16"/>
  <c r="H141" i="16"/>
  <c r="C156" i="16"/>
  <c r="G145" i="16"/>
  <c r="I145" i="16" s="1"/>
  <c r="C153" i="16"/>
  <c r="G142" i="16"/>
  <c r="I142" i="16" s="1"/>
  <c r="G135" i="16"/>
  <c r="I135" i="16" s="1"/>
  <c r="C146" i="16"/>
  <c r="E138" i="16"/>
  <c r="H149" i="16"/>
  <c r="G119" i="16"/>
  <c r="I119" i="16" s="1"/>
  <c r="D119" i="16" s="1"/>
  <c r="C130" i="16"/>
  <c r="H162" i="16"/>
  <c r="E151" i="16"/>
  <c r="G143" i="16"/>
  <c r="I143" i="16" s="1"/>
  <c r="C154" i="16"/>
  <c r="G129" i="16"/>
  <c r="I129" i="16" s="1"/>
  <c r="D129" i="16" s="1"/>
  <c r="C140" i="16"/>
  <c r="G133" i="16"/>
  <c r="I133" i="16" s="1"/>
  <c r="C144" i="16"/>
  <c r="E134" i="16"/>
  <c r="D134" i="16"/>
  <c r="H145" i="16"/>
  <c r="G148" i="16"/>
  <c r="I148" i="16" s="1"/>
  <c r="C159" i="16"/>
  <c r="E122" i="16"/>
  <c r="H133" i="16"/>
  <c r="D122" i="16"/>
  <c r="H135" i="16"/>
  <c r="E124" i="16"/>
  <c r="D124" i="16"/>
  <c r="D131" i="16"/>
  <c r="H142" i="16"/>
  <c r="E131" i="16"/>
  <c r="E121" i="16"/>
  <c r="H132" i="16"/>
  <c r="D121" i="16"/>
  <c r="G136" i="16"/>
  <c r="I136" i="16" s="1"/>
  <c r="D136" i="16" s="1"/>
  <c r="C147" i="16"/>
  <c r="H148" i="16"/>
  <c r="E137" i="16"/>
  <c r="D137" i="16"/>
  <c r="A805" i="16" l="1"/>
  <c r="H147" i="16"/>
  <c r="E136" i="16"/>
  <c r="D632" i="16"/>
  <c r="E671" i="16"/>
  <c r="H683" i="16"/>
  <c r="H636" i="16"/>
  <c r="E624" i="16"/>
  <c r="G128" i="16"/>
  <c r="I128" i="16" s="1"/>
  <c r="D128" i="16" s="1"/>
  <c r="C139" i="16"/>
  <c r="H640" i="16"/>
  <c r="E628" i="16"/>
  <c r="H650" i="16"/>
  <c r="E638" i="16"/>
  <c r="H303" i="16"/>
  <c r="E292" i="16"/>
  <c r="E291" i="16"/>
  <c r="H302" i="16"/>
  <c r="H637" i="16"/>
  <c r="E625" i="16"/>
  <c r="D625" i="16"/>
  <c r="H651" i="16"/>
  <c r="E639" i="16"/>
  <c r="C649" i="16"/>
  <c r="G637" i="16"/>
  <c r="I637" i="16" s="1"/>
  <c r="D638" i="16"/>
  <c r="H139" i="16"/>
  <c r="E128" i="16"/>
  <c r="C160" i="16"/>
  <c r="G149" i="16"/>
  <c r="I149" i="16" s="1"/>
  <c r="D149" i="16" s="1"/>
  <c r="H644" i="16"/>
  <c r="E632" i="16"/>
  <c r="G636" i="16"/>
  <c r="I636" i="16" s="1"/>
  <c r="C648" i="16"/>
  <c r="G629" i="16"/>
  <c r="I629" i="16" s="1"/>
  <c r="D629" i="16" s="1"/>
  <c r="C641" i="16"/>
  <c r="G654" i="16"/>
  <c r="I654" i="16" s="1"/>
  <c r="D654" i="16" s="1"/>
  <c r="C666" i="16"/>
  <c r="C656" i="16"/>
  <c r="G644" i="16"/>
  <c r="I644" i="16" s="1"/>
  <c r="D644" i="16" s="1"/>
  <c r="C663" i="16"/>
  <c r="G651" i="16"/>
  <c r="I651" i="16" s="1"/>
  <c r="G658" i="16"/>
  <c r="I658" i="16" s="1"/>
  <c r="D658" i="16" s="1"/>
  <c r="C670" i="16"/>
  <c r="C640" i="16"/>
  <c r="G628" i="16"/>
  <c r="I628" i="16" s="1"/>
  <c r="D628" i="16" s="1"/>
  <c r="C662" i="16"/>
  <c r="G650" i="16"/>
  <c r="I650" i="16" s="1"/>
  <c r="G621" i="16"/>
  <c r="I621" i="16" s="1"/>
  <c r="D621" i="16" s="1"/>
  <c r="C633" i="16"/>
  <c r="C655" i="16"/>
  <c r="G643" i="16"/>
  <c r="I643" i="16" s="1"/>
  <c r="D643" i="16" s="1"/>
  <c r="C647" i="16"/>
  <c r="G635" i="16"/>
  <c r="I635" i="16" s="1"/>
  <c r="D635" i="16" s="1"/>
  <c r="H300" i="16"/>
  <c r="E289" i="16"/>
  <c r="H316" i="16"/>
  <c r="E305" i="16"/>
  <c r="E298" i="16"/>
  <c r="H309" i="16"/>
  <c r="H308" i="16"/>
  <c r="E297" i="16"/>
  <c r="E306" i="16"/>
  <c r="H317" i="16"/>
  <c r="E299" i="16"/>
  <c r="H310" i="16"/>
  <c r="E290" i="16"/>
  <c r="H301" i="16"/>
  <c r="H293" i="16"/>
  <c r="E282" i="16"/>
  <c r="E274" i="16"/>
  <c r="H285" i="16"/>
  <c r="E149" i="16"/>
  <c r="H160" i="16"/>
  <c r="C164" i="16"/>
  <c r="G153" i="16"/>
  <c r="I153" i="16" s="1"/>
  <c r="H159" i="16"/>
  <c r="E148" i="16"/>
  <c r="D148" i="16"/>
  <c r="D135" i="16"/>
  <c r="H146" i="16"/>
  <c r="E135" i="16"/>
  <c r="E162" i="16"/>
  <c r="H173" i="16"/>
  <c r="G147" i="16"/>
  <c r="I147" i="16" s="1"/>
  <c r="D147" i="16" s="1"/>
  <c r="C158" i="16"/>
  <c r="H143" i="16"/>
  <c r="E132" i="16"/>
  <c r="D132" i="16"/>
  <c r="G144" i="16"/>
  <c r="I144" i="16" s="1"/>
  <c r="C155" i="16"/>
  <c r="C157" i="16"/>
  <c r="G146" i="16"/>
  <c r="I146" i="16" s="1"/>
  <c r="G156" i="16"/>
  <c r="I156" i="16" s="1"/>
  <c r="C167" i="16"/>
  <c r="C165" i="16"/>
  <c r="G154" i="16"/>
  <c r="I154" i="16" s="1"/>
  <c r="E145" i="16"/>
  <c r="D145" i="16"/>
  <c r="H156" i="16"/>
  <c r="H144" i="16"/>
  <c r="E133" i="16"/>
  <c r="D133" i="16"/>
  <c r="H152" i="16"/>
  <c r="E141" i="16"/>
  <c r="G140" i="16"/>
  <c r="I140" i="16" s="1"/>
  <c r="D140" i="16" s="1"/>
  <c r="C151" i="16"/>
  <c r="E142" i="16"/>
  <c r="D142" i="16"/>
  <c r="H153" i="16"/>
  <c r="G159" i="16"/>
  <c r="I159" i="16" s="1"/>
  <c r="C170" i="16"/>
  <c r="C141" i="16"/>
  <c r="G130" i="16"/>
  <c r="I130" i="16" s="1"/>
  <c r="D130" i="16" s="1"/>
  <c r="E683" i="16" l="1"/>
  <c r="H695" i="16"/>
  <c r="E695" i="16" s="1"/>
  <c r="D651" i="16"/>
  <c r="D636" i="16"/>
  <c r="H158" i="16"/>
  <c r="E147" i="16"/>
  <c r="D650" i="16"/>
  <c r="D637" i="16"/>
  <c r="H652" i="16"/>
  <c r="E640" i="16"/>
  <c r="H656" i="16"/>
  <c r="E644" i="16"/>
  <c r="C661" i="16"/>
  <c r="G649" i="16"/>
  <c r="I649" i="16" s="1"/>
  <c r="D649" i="16" s="1"/>
  <c r="G139" i="16"/>
  <c r="I139" i="16" s="1"/>
  <c r="D139" i="16" s="1"/>
  <c r="C150" i="16"/>
  <c r="H150" i="16"/>
  <c r="E139" i="16"/>
  <c r="H649" i="16"/>
  <c r="E637" i="16"/>
  <c r="H662" i="16"/>
  <c r="E650" i="16"/>
  <c r="E302" i="16"/>
  <c r="H313" i="16"/>
  <c r="G160" i="16"/>
  <c r="I160" i="16" s="1"/>
  <c r="C171" i="16"/>
  <c r="H663" i="16"/>
  <c r="E651" i="16"/>
  <c r="E303" i="16"/>
  <c r="H314" i="16"/>
  <c r="H648" i="16"/>
  <c r="E636" i="16"/>
  <c r="C659" i="16"/>
  <c r="G647" i="16"/>
  <c r="I647" i="16" s="1"/>
  <c r="D647" i="16" s="1"/>
  <c r="C668" i="16"/>
  <c r="G656" i="16"/>
  <c r="I656" i="16" s="1"/>
  <c r="D656" i="16" s="1"/>
  <c r="C682" i="16"/>
  <c r="G670" i="16"/>
  <c r="I670" i="16" s="1"/>
  <c r="D670" i="16" s="1"/>
  <c r="C675" i="16"/>
  <c r="G663" i="16"/>
  <c r="I663" i="16" s="1"/>
  <c r="D663" i="16" s="1"/>
  <c r="G662" i="16"/>
  <c r="I662" i="16" s="1"/>
  <c r="C674" i="16"/>
  <c r="C678" i="16"/>
  <c r="G666" i="16"/>
  <c r="I666" i="16" s="1"/>
  <c r="D666" i="16" s="1"/>
  <c r="C652" i="16"/>
  <c r="G640" i="16"/>
  <c r="I640" i="16" s="1"/>
  <c r="D640" i="16" s="1"/>
  <c r="C653" i="16"/>
  <c r="G641" i="16"/>
  <c r="I641" i="16" s="1"/>
  <c r="D641" i="16" s="1"/>
  <c r="C667" i="16"/>
  <c r="G655" i="16"/>
  <c r="I655" i="16" s="1"/>
  <c r="D655" i="16" s="1"/>
  <c r="C645" i="16"/>
  <c r="G633" i="16"/>
  <c r="I633" i="16" s="1"/>
  <c r="D633" i="16" s="1"/>
  <c r="C660" i="16"/>
  <c r="G648" i="16"/>
  <c r="I648" i="16" s="1"/>
  <c r="E300" i="16"/>
  <c r="H311" i="16"/>
  <c r="E309" i="16"/>
  <c r="H320" i="16"/>
  <c r="E310" i="16"/>
  <c r="H321" i="16"/>
  <c r="H328" i="16"/>
  <c r="E317" i="16"/>
  <c r="H312" i="16"/>
  <c r="E301" i="16"/>
  <c r="H327" i="16"/>
  <c r="E316" i="16"/>
  <c r="E285" i="16"/>
  <c r="H296" i="16"/>
  <c r="E308" i="16"/>
  <c r="H319" i="16"/>
  <c r="H304" i="16"/>
  <c r="E293" i="16"/>
  <c r="G155" i="16"/>
  <c r="I155" i="16" s="1"/>
  <c r="C166" i="16"/>
  <c r="G164" i="16"/>
  <c r="I164" i="16" s="1"/>
  <c r="C175" i="16"/>
  <c r="H171" i="16"/>
  <c r="E160" i="16"/>
  <c r="D160" i="16"/>
  <c r="H163" i="16"/>
  <c r="E152" i="16"/>
  <c r="G165" i="16"/>
  <c r="I165" i="16" s="1"/>
  <c r="C176" i="16"/>
  <c r="E146" i="16"/>
  <c r="D146" i="16"/>
  <c r="H157" i="16"/>
  <c r="G167" i="16"/>
  <c r="I167" i="16" s="1"/>
  <c r="C178" i="16"/>
  <c r="D143" i="16"/>
  <c r="H154" i="16"/>
  <c r="E143" i="16"/>
  <c r="E153" i="16"/>
  <c r="D153" i="16"/>
  <c r="H164" i="16"/>
  <c r="C152" i="16"/>
  <c r="G141" i="16"/>
  <c r="I141" i="16" s="1"/>
  <c r="D141" i="16" s="1"/>
  <c r="G151" i="16"/>
  <c r="I151" i="16" s="1"/>
  <c r="D151" i="16" s="1"/>
  <c r="C162" i="16"/>
  <c r="C169" i="16"/>
  <c r="G158" i="16"/>
  <c r="I158" i="16" s="1"/>
  <c r="D158" i="16" s="1"/>
  <c r="C181" i="16"/>
  <c r="G170" i="16"/>
  <c r="I170" i="16" s="1"/>
  <c r="H155" i="16"/>
  <c r="E144" i="16"/>
  <c r="D144" i="16"/>
  <c r="H167" i="16"/>
  <c r="D156" i="16"/>
  <c r="E156" i="16"/>
  <c r="G157" i="16"/>
  <c r="I157" i="16" s="1"/>
  <c r="C168" i="16"/>
  <c r="E173" i="16"/>
  <c r="D159" i="16"/>
  <c r="E159" i="16"/>
  <c r="H170" i="16"/>
  <c r="E158" i="16" l="1"/>
  <c r="H169" i="16"/>
  <c r="D662" i="16"/>
  <c r="D648" i="16"/>
  <c r="H674" i="16"/>
  <c r="E662" i="16"/>
  <c r="H675" i="16"/>
  <c r="E663" i="16"/>
  <c r="G661" i="16"/>
  <c r="I661" i="16" s="1"/>
  <c r="C673" i="16"/>
  <c r="G171" i="16"/>
  <c r="I171" i="16" s="1"/>
  <c r="D171" i="16" s="1"/>
  <c r="C182" i="16"/>
  <c r="H661" i="16"/>
  <c r="E649" i="16"/>
  <c r="H339" i="16"/>
  <c r="E328" i="16"/>
  <c r="H668" i="16"/>
  <c r="E656" i="16"/>
  <c r="H660" i="16"/>
  <c r="E648" i="16"/>
  <c r="E150" i="16"/>
  <c r="H161" i="16"/>
  <c r="H338" i="16"/>
  <c r="E327" i="16"/>
  <c r="H324" i="16"/>
  <c r="E313" i="16"/>
  <c r="H664" i="16"/>
  <c r="E652" i="16"/>
  <c r="G181" i="16"/>
  <c r="I181" i="16" s="1"/>
  <c r="C192" i="16"/>
  <c r="G178" i="16"/>
  <c r="I178" i="16" s="1"/>
  <c r="C189" i="16"/>
  <c r="E314" i="16"/>
  <c r="H325" i="16"/>
  <c r="C161" i="16"/>
  <c r="G150" i="16"/>
  <c r="I150" i="16" s="1"/>
  <c r="D150" i="16" s="1"/>
  <c r="G660" i="16"/>
  <c r="I660" i="16" s="1"/>
  <c r="C672" i="16"/>
  <c r="C694" i="16"/>
  <c r="G694" i="16" s="1"/>
  <c r="I694" i="16" s="1"/>
  <c r="D694" i="16" s="1"/>
  <c r="G682" i="16"/>
  <c r="I682" i="16" s="1"/>
  <c r="D682" i="16" s="1"/>
  <c r="G645" i="16"/>
  <c r="I645" i="16" s="1"/>
  <c r="D645" i="16" s="1"/>
  <c r="C657" i="16"/>
  <c r="C690" i="16"/>
  <c r="G678" i="16"/>
  <c r="I678" i="16" s="1"/>
  <c r="D678" i="16" s="1"/>
  <c r="C686" i="16"/>
  <c r="G674" i="16"/>
  <c r="I674" i="16" s="1"/>
  <c r="D674" i="16" s="1"/>
  <c r="G668" i="16"/>
  <c r="I668" i="16" s="1"/>
  <c r="D668" i="16" s="1"/>
  <c r="C680" i="16"/>
  <c r="G652" i="16"/>
  <c r="I652" i="16" s="1"/>
  <c r="D652" i="16" s="1"/>
  <c r="C664" i="16"/>
  <c r="C679" i="16"/>
  <c r="G667" i="16"/>
  <c r="I667" i="16" s="1"/>
  <c r="D667" i="16" s="1"/>
  <c r="G653" i="16"/>
  <c r="I653" i="16" s="1"/>
  <c r="D653" i="16" s="1"/>
  <c r="C665" i="16"/>
  <c r="C687" i="16"/>
  <c r="G675" i="16"/>
  <c r="I675" i="16" s="1"/>
  <c r="D675" i="16" s="1"/>
  <c r="C671" i="16"/>
  <c r="G659" i="16"/>
  <c r="I659" i="16" s="1"/>
  <c r="D659" i="16" s="1"/>
  <c r="H332" i="16"/>
  <c r="E321" i="16"/>
  <c r="H323" i="16"/>
  <c r="E312" i="16"/>
  <c r="H331" i="16"/>
  <c r="E320" i="16"/>
  <c r="H307" i="16"/>
  <c r="E296" i="16"/>
  <c r="H322" i="16"/>
  <c r="E311" i="16"/>
  <c r="E319" i="16"/>
  <c r="H330" i="16"/>
  <c r="H315" i="16"/>
  <c r="E304" i="16"/>
  <c r="G175" i="16"/>
  <c r="I175" i="16" s="1"/>
  <c r="C186" i="16"/>
  <c r="E170" i="16"/>
  <c r="D170" i="16"/>
  <c r="H181" i="16"/>
  <c r="G152" i="16"/>
  <c r="I152" i="16" s="1"/>
  <c r="D152" i="16" s="1"/>
  <c r="C163" i="16"/>
  <c r="H174" i="16"/>
  <c r="E163" i="16"/>
  <c r="H175" i="16"/>
  <c r="E164" i="16"/>
  <c r="D164" i="16"/>
  <c r="E157" i="16"/>
  <c r="D157" i="16"/>
  <c r="H168" i="16"/>
  <c r="E184" i="16"/>
  <c r="D155" i="16"/>
  <c r="E155" i="16"/>
  <c r="H166" i="16"/>
  <c r="C173" i="16"/>
  <c r="G162" i="16"/>
  <c r="I162" i="16" s="1"/>
  <c r="D162" i="16" s="1"/>
  <c r="E154" i="16"/>
  <c r="D154" i="16"/>
  <c r="H165" i="16"/>
  <c r="H182" i="16"/>
  <c r="E171" i="16"/>
  <c r="G168" i="16"/>
  <c r="I168" i="16" s="1"/>
  <c r="C179" i="16"/>
  <c r="D167" i="16"/>
  <c r="H178" i="16"/>
  <c r="E167" i="16"/>
  <c r="C177" i="16"/>
  <c r="G166" i="16"/>
  <c r="I166" i="16" s="1"/>
  <c r="C180" i="16"/>
  <c r="G169" i="16"/>
  <c r="I169" i="16" s="1"/>
  <c r="D169" i="16" s="1"/>
  <c r="G176" i="16"/>
  <c r="I176" i="16" s="1"/>
  <c r="C187" i="16"/>
  <c r="E169" i="16" l="1"/>
  <c r="H180" i="16"/>
  <c r="E180" i="16" s="1"/>
  <c r="D661" i="16"/>
  <c r="G186" i="16"/>
  <c r="I186" i="16" s="1"/>
  <c r="C197" i="16"/>
  <c r="H343" i="16"/>
  <c r="E332" i="16"/>
  <c r="G182" i="16"/>
  <c r="I182" i="16" s="1"/>
  <c r="C193" i="16"/>
  <c r="H342" i="16"/>
  <c r="E331" i="16"/>
  <c r="H672" i="16"/>
  <c r="E660" i="16"/>
  <c r="C200" i="16"/>
  <c r="G189" i="16"/>
  <c r="I189" i="16" s="1"/>
  <c r="D189" i="16" s="1"/>
  <c r="H335" i="16"/>
  <c r="E324" i="16"/>
  <c r="G673" i="16"/>
  <c r="I673" i="16" s="1"/>
  <c r="C685" i="16"/>
  <c r="D660" i="16"/>
  <c r="G192" i="16"/>
  <c r="I192" i="16" s="1"/>
  <c r="D192" i="16" s="1"/>
  <c r="C203" i="16"/>
  <c r="H349" i="16"/>
  <c r="E338" i="16"/>
  <c r="E161" i="16"/>
  <c r="H172" i="16"/>
  <c r="H350" i="16"/>
  <c r="E339" i="16"/>
  <c r="E675" i="16"/>
  <c r="H687" i="16"/>
  <c r="H341" i="16"/>
  <c r="E330" i="16"/>
  <c r="G180" i="16"/>
  <c r="I180" i="16" s="1"/>
  <c r="D180" i="16" s="1"/>
  <c r="C191" i="16"/>
  <c r="G179" i="16"/>
  <c r="I179" i="16" s="1"/>
  <c r="C190" i="16"/>
  <c r="E668" i="16"/>
  <c r="H680" i="16"/>
  <c r="G177" i="16"/>
  <c r="I177" i="16" s="1"/>
  <c r="C188" i="16"/>
  <c r="G161" i="16"/>
  <c r="I161" i="16" s="1"/>
  <c r="D161" i="16" s="1"/>
  <c r="C172" i="16"/>
  <c r="G187" i="16"/>
  <c r="I187" i="16" s="1"/>
  <c r="C198" i="16"/>
  <c r="H336" i="16"/>
  <c r="E325" i="16"/>
  <c r="H676" i="16"/>
  <c r="E664" i="16"/>
  <c r="H673" i="16"/>
  <c r="E661" i="16"/>
  <c r="H686" i="16"/>
  <c r="E674" i="16"/>
  <c r="C669" i="16"/>
  <c r="G657" i="16"/>
  <c r="I657" i="16" s="1"/>
  <c r="D657" i="16" s="1"/>
  <c r="C683" i="16"/>
  <c r="G671" i="16"/>
  <c r="I671" i="16" s="1"/>
  <c r="D671" i="16" s="1"/>
  <c r="G686" i="16"/>
  <c r="I686" i="16" s="1"/>
  <c r="D686" i="16" s="1"/>
  <c r="C698" i="16"/>
  <c r="G698" i="16" s="1"/>
  <c r="I698" i="16" s="1"/>
  <c r="C702" i="16"/>
  <c r="G702" i="16" s="1"/>
  <c r="I702" i="16" s="1"/>
  <c r="D702" i="16" s="1"/>
  <c r="G690" i="16"/>
  <c r="I690" i="16" s="1"/>
  <c r="D690" i="16" s="1"/>
  <c r="C676" i="16"/>
  <c r="G664" i="16"/>
  <c r="I664" i="16" s="1"/>
  <c r="D664" i="16" s="1"/>
  <c r="G680" i="16"/>
  <c r="I680" i="16" s="1"/>
  <c r="D680" i="16" s="1"/>
  <c r="C692" i="16"/>
  <c r="G692" i="16" s="1"/>
  <c r="I692" i="16" s="1"/>
  <c r="C699" i="16"/>
  <c r="G699" i="16" s="1"/>
  <c r="I699" i="16" s="1"/>
  <c r="G687" i="16"/>
  <c r="I687" i="16" s="1"/>
  <c r="G665" i="16"/>
  <c r="I665" i="16" s="1"/>
  <c r="D665" i="16" s="1"/>
  <c r="C677" i="16"/>
  <c r="C684" i="16"/>
  <c r="G672" i="16"/>
  <c r="I672" i="16" s="1"/>
  <c r="D672" i="16" s="1"/>
  <c r="C691" i="16"/>
  <c r="G679" i="16"/>
  <c r="I679" i="16" s="1"/>
  <c r="D679" i="16" s="1"/>
  <c r="E322" i="16"/>
  <c r="H333" i="16"/>
  <c r="E315" i="16"/>
  <c r="H326" i="16"/>
  <c r="H318" i="16"/>
  <c r="E307" i="16"/>
  <c r="E323" i="16"/>
  <c r="H334" i="16"/>
  <c r="E166" i="16"/>
  <c r="D166" i="16"/>
  <c r="H177" i="16"/>
  <c r="G163" i="16"/>
  <c r="I163" i="16" s="1"/>
  <c r="D163" i="16" s="1"/>
  <c r="C174" i="16"/>
  <c r="D175" i="16"/>
  <c r="E175" i="16"/>
  <c r="H176" i="16"/>
  <c r="E165" i="16"/>
  <c r="D165" i="16"/>
  <c r="D181" i="16"/>
  <c r="E181" i="16"/>
  <c r="E178" i="16"/>
  <c r="D178" i="16"/>
  <c r="E182" i="16"/>
  <c r="D182" i="16"/>
  <c r="H179" i="16"/>
  <c r="D168" i="16"/>
  <c r="E168" i="16"/>
  <c r="E183" i="16"/>
  <c r="C184" i="16"/>
  <c r="G173" i="16"/>
  <c r="I173" i="16" s="1"/>
  <c r="D173" i="16" s="1"/>
  <c r="E174" i="16"/>
  <c r="D687" i="16" l="1"/>
  <c r="H345" i="16"/>
  <c r="E334" i="16"/>
  <c r="H685" i="16"/>
  <c r="E673" i="16"/>
  <c r="C697" i="16"/>
  <c r="G697" i="16" s="1"/>
  <c r="I697" i="16" s="1"/>
  <c r="G685" i="16"/>
  <c r="I685" i="16" s="1"/>
  <c r="H344" i="16"/>
  <c r="E333" i="16"/>
  <c r="G188" i="16"/>
  <c r="I188" i="16" s="1"/>
  <c r="D188" i="16" s="1"/>
  <c r="C199" i="16"/>
  <c r="D673" i="16"/>
  <c r="H353" i="16"/>
  <c r="E342" i="16"/>
  <c r="H688" i="16"/>
  <c r="E676" i="16"/>
  <c r="H352" i="16"/>
  <c r="E341" i="16"/>
  <c r="G193" i="16"/>
  <c r="I193" i="16" s="1"/>
  <c r="D193" i="16" s="1"/>
  <c r="C204" i="16"/>
  <c r="G184" i="16"/>
  <c r="I184" i="16" s="1"/>
  <c r="D184" i="16" s="1"/>
  <c r="C195" i="16"/>
  <c r="H692" i="16"/>
  <c r="E692" i="16" s="1"/>
  <c r="E680" i="16"/>
  <c r="H699" i="16"/>
  <c r="E699" i="16" s="1"/>
  <c r="E687" i="16"/>
  <c r="H346" i="16"/>
  <c r="E335" i="16"/>
  <c r="H347" i="16"/>
  <c r="E336" i="16"/>
  <c r="H360" i="16"/>
  <c r="E349" i="16"/>
  <c r="D699" i="16"/>
  <c r="G198" i="16"/>
  <c r="I198" i="16" s="1"/>
  <c r="D198" i="16" s="1"/>
  <c r="C209" i="16"/>
  <c r="G190" i="16"/>
  <c r="I190" i="16" s="1"/>
  <c r="D190" i="16" s="1"/>
  <c r="C201" i="16"/>
  <c r="G203" i="16"/>
  <c r="I203" i="16" s="1"/>
  <c r="D203" i="16" s="1"/>
  <c r="C214" i="16"/>
  <c r="C211" i="16"/>
  <c r="G200" i="16"/>
  <c r="I200" i="16" s="1"/>
  <c r="D200" i="16" s="1"/>
  <c r="H354" i="16"/>
  <c r="E343" i="16"/>
  <c r="H337" i="16"/>
  <c r="E326" i="16"/>
  <c r="H698" i="16"/>
  <c r="E698" i="16" s="1"/>
  <c r="E686" i="16"/>
  <c r="H361" i="16"/>
  <c r="E350" i="16"/>
  <c r="C208" i="16"/>
  <c r="G197" i="16"/>
  <c r="I197" i="16" s="1"/>
  <c r="D197" i="16" s="1"/>
  <c r="C183" i="16"/>
  <c r="G172" i="16"/>
  <c r="I172" i="16" s="1"/>
  <c r="D172" i="16" s="1"/>
  <c r="C202" i="16"/>
  <c r="G191" i="16"/>
  <c r="I191" i="16" s="1"/>
  <c r="D191" i="16" s="1"/>
  <c r="E172" i="16"/>
  <c r="H684" i="16"/>
  <c r="E672" i="16"/>
  <c r="C695" i="16"/>
  <c r="G695" i="16" s="1"/>
  <c r="I695" i="16" s="1"/>
  <c r="D695" i="16" s="1"/>
  <c r="G683" i="16"/>
  <c r="I683" i="16" s="1"/>
  <c r="D683" i="16" s="1"/>
  <c r="G677" i="16"/>
  <c r="I677" i="16" s="1"/>
  <c r="D677" i="16" s="1"/>
  <c r="C689" i="16"/>
  <c r="C703" i="16"/>
  <c r="G703" i="16" s="1"/>
  <c r="I703" i="16" s="1"/>
  <c r="D703" i="16" s="1"/>
  <c r="G691" i="16"/>
  <c r="I691" i="16" s="1"/>
  <c r="D691" i="16" s="1"/>
  <c r="G684" i="16"/>
  <c r="I684" i="16" s="1"/>
  <c r="D684" i="16" s="1"/>
  <c r="C696" i="16"/>
  <c r="G696" i="16" s="1"/>
  <c r="I696" i="16" s="1"/>
  <c r="G676" i="16"/>
  <c r="I676" i="16" s="1"/>
  <c r="D676" i="16" s="1"/>
  <c r="C688" i="16"/>
  <c r="G669" i="16"/>
  <c r="I669" i="16" s="1"/>
  <c r="D669" i="16" s="1"/>
  <c r="C681" i="16"/>
  <c r="E318" i="16"/>
  <c r="H329" i="16"/>
  <c r="E185" i="16"/>
  <c r="D177" i="16"/>
  <c r="E177" i="16"/>
  <c r="D179" i="16"/>
  <c r="E179" i="16"/>
  <c r="E186" i="16"/>
  <c r="D186" i="16"/>
  <c r="C185" i="16"/>
  <c r="G174" i="16"/>
  <c r="I174" i="16" s="1"/>
  <c r="D174" i="16" s="1"/>
  <c r="E176" i="16"/>
  <c r="D176" i="16"/>
  <c r="C213" i="16" l="1"/>
  <c r="G202" i="16"/>
  <c r="I202" i="16" s="1"/>
  <c r="D202" i="16" s="1"/>
  <c r="G214" i="16"/>
  <c r="I214" i="16" s="1"/>
  <c r="D214" i="16" s="1"/>
  <c r="C225" i="16"/>
  <c r="H371" i="16"/>
  <c r="E360" i="16"/>
  <c r="H700" i="16"/>
  <c r="E700" i="16" s="1"/>
  <c r="E688" i="16"/>
  <c r="H355" i="16"/>
  <c r="E344" i="16"/>
  <c r="G183" i="16"/>
  <c r="I183" i="16" s="1"/>
  <c r="D183" i="16" s="1"/>
  <c r="C194" i="16"/>
  <c r="G201" i="16"/>
  <c r="I201" i="16" s="1"/>
  <c r="D201" i="16" s="1"/>
  <c r="C212" i="16"/>
  <c r="G195" i="16"/>
  <c r="I195" i="16" s="1"/>
  <c r="D195" i="16" s="1"/>
  <c r="C206" i="16"/>
  <c r="D685" i="16"/>
  <c r="D696" i="16"/>
  <c r="D698" i="16"/>
  <c r="H348" i="16"/>
  <c r="E337" i="16"/>
  <c r="H358" i="16"/>
  <c r="E347" i="16"/>
  <c r="H364" i="16"/>
  <c r="E353" i="16"/>
  <c r="H696" i="16"/>
  <c r="E696" i="16" s="1"/>
  <c r="E684" i="16"/>
  <c r="G209" i="16"/>
  <c r="I209" i="16" s="1"/>
  <c r="D209" i="16" s="1"/>
  <c r="C220" i="16"/>
  <c r="G204" i="16"/>
  <c r="I204" i="16" s="1"/>
  <c r="D204" i="16" s="1"/>
  <c r="C215" i="16"/>
  <c r="G185" i="16"/>
  <c r="I185" i="16" s="1"/>
  <c r="D185" i="16" s="1"/>
  <c r="C196" i="16"/>
  <c r="C219" i="16"/>
  <c r="G208" i="16"/>
  <c r="I208" i="16" s="1"/>
  <c r="D208" i="16" s="1"/>
  <c r="H365" i="16"/>
  <c r="E354" i="16"/>
  <c r="H357" i="16"/>
  <c r="E346" i="16"/>
  <c r="C210" i="16"/>
  <c r="G199" i="16"/>
  <c r="I199" i="16" s="1"/>
  <c r="D199" i="16" s="1"/>
  <c r="H697" i="16"/>
  <c r="E697" i="16" s="1"/>
  <c r="E685" i="16"/>
  <c r="H340" i="16"/>
  <c r="E329" i="16"/>
  <c r="H372" i="16"/>
  <c r="E361" i="16"/>
  <c r="G211" i="16"/>
  <c r="I211" i="16" s="1"/>
  <c r="D211" i="16" s="1"/>
  <c r="C222" i="16"/>
  <c r="H363" i="16"/>
  <c r="E352" i="16"/>
  <c r="D692" i="16"/>
  <c r="H356" i="16"/>
  <c r="E345" i="16"/>
  <c r="C693" i="16"/>
  <c r="G693" i="16" s="1"/>
  <c r="I693" i="16" s="1"/>
  <c r="D693" i="16" s="1"/>
  <c r="G681" i="16"/>
  <c r="I681" i="16" s="1"/>
  <c r="D681" i="16" s="1"/>
  <c r="C701" i="16"/>
  <c r="G701" i="16" s="1"/>
  <c r="I701" i="16" s="1"/>
  <c r="D701" i="16" s="1"/>
  <c r="G689" i="16"/>
  <c r="I689" i="16" s="1"/>
  <c r="D689" i="16" s="1"/>
  <c r="G688" i="16"/>
  <c r="I688" i="16" s="1"/>
  <c r="D688" i="16" s="1"/>
  <c r="C700" i="16"/>
  <c r="G700" i="16" s="1"/>
  <c r="I700" i="16" s="1"/>
  <c r="D187" i="16"/>
  <c r="E187" i="16"/>
  <c r="D700" i="16" l="1"/>
  <c r="D697" i="16"/>
  <c r="H351" i="16"/>
  <c r="E340" i="16"/>
  <c r="H376" i="16"/>
  <c r="E365" i="16"/>
  <c r="H369" i="16"/>
  <c r="E358" i="16"/>
  <c r="C223" i="16"/>
  <c r="G212" i="16"/>
  <c r="I212" i="16" s="1"/>
  <c r="D212" i="16" s="1"/>
  <c r="H382" i="16"/>
  <c r="E371" i="16"/>
  <c r="H374" i="16"/>
  <c r="E363" i="16"/>
  <c r="G219" i="16"/>
  <c r="I219" i="16" s="1"/>
  <c r="D219" i="16" s="1"/>
  <c r="C230" i="16"/>
  <c r="H359" i="16"/>
  <c r="E348" i="16"/>
  <c r="C205" i="16"/>
  <c r="G194" i="16"/>
  <c r="I194" i="16" s="1"/>
  <c r="D194" i="16" s="1"/>
  <c r="G225" i="16"/>
  <c r="I225" i="16" s="1"/>
  <c r="D225" i="16" s="1"/>
  <c r="C236" i="16"/>
  <c r="G206" i="16"/>
  <c r="I206" i="16" s="1"/>
  <c r="D206" i="16" s="1"/>
  <c r="C217" i="16"/>
  <c r="H383" i="16"/>
  <c r="E372" i="16"/>
  <c r="H368" i="16"/>
  <c r="E357" i="16"/>
  <c r="H375" i="16"/>
  <c r="E364" i="16"/>
  <c r="H367" i="16"/>
  <c r="E356" i="16"/>
  <c r="G220" i="16"/>
  <c r="I220" i="16" s="1"/>
  <c r="D220" i="16" s="1"/>
  <c r="C231" i="16"/>
  <c r="G222" i="16"/>
  <c r="I222" i="16" s="1"/>
  <c r="D222" i="16" s="1"/>
  <c r="C233" i="16"/>
  <c r="G196" i="16"/>
  <c r="I196" i="16" s="1"/>
  <c r="D196" i="16" s="1"/>
  <c r="C207" i="16"/>
  <c r="C221" i="16"/>
  <c r="G210" i="16"/>
  <c r="I210" i="16" s="1"/>
  <c r="D210" i="16" s="1"/>
  <c r="G215" i="16"/>
  <c r="I215" i="16" s="1"/>
  <c r="D215" i="16" s="1"/>
  <c r="C226" i="16"/>
  <c r="H366" i="16"/>
  <c r="E355" i="16"/>
  <c r="C224" i="16"/>
  <c r="G213" i="16"/>
  <c r="I213" i="16" s="1"/>
  <c r="D213" i="16" s="1"/>
  <c r="C228" i="16" l="1"/>
  <c r="G217" i="16"/>
  <c r="I217" i="16" s="1"/>
  <c r="D217" i="16" s="1"/>
  <c r="H386" i="16"/>
  <c r="E375" i="16"/>
  <c r="H385" i="16"/>
  <c r="E374" i="16"/>
  <c r="C237" i="16"/>
  <c r="G226" i="16"/>
  <c r="I226" i="16" s="1"/>
  <c r="D226" i="16" s="1"/>
  <c r="C242" i="16"/>
  <c r="G231" i="16"/>
  <c r="I231" i="16" s="1"/>
  <c r="D231" i="16" s="1"/>
  <c r="H370" i="16"/>
  <c r="E359" i="16"/>
  <c r="C232" i="16"/>
  <c r="G221" i="16"/>
  <c r="I221" i="16" s="1"/>
  <c r="D221" i="16" s="1"/>
  <c r="H378" i="16"/>
  <c r="E367" i="16"/>
  <c r="H380" i="16"/>
  <c r="E369" i="16"/>
  <c r="C218" i="16"/>
  <c r="G207" i="16"/>
  <c r="I207" i="16" s="1"/>
  <c r="D207" i="16" s="1"/>
  <c r="C247" i="16"/>
  <c r="G236" i="16"/>
  <c r="I236" i="16" s="1"/>
  <c r="D236" i="16" s="1"/>
  <c r="H394" i="16"/>
  <c r="E383" i="16"/>
  <c r="C241" i="16"/>
  <c r="G230" i="16"/>
  <c r="I230" i="16" s="1"/>
  <c r="D230" i="16" s="1"/>
  <c r="C235" i="16"/>
  <c r="G224" i="16"/>
  <c r="I224" i="16" s="1"/>
  <c r="D224" i="16" s="1"/>
  <c r="C244" i="16"/>
  <c r="G233" i="16"/>
  <c r="I233" i="16" s="1"/>
  <c r="D233" i="16" s="1"/>
  <c r="C234" i="16"/>
  <c r="G223" i="16"/>
  <c r="I223" i="16" s="1"/>
  <c r="D223" i="16" s="1"/>
  <c r="H387" i="16"/>
  <c r="E376" i="16"/>
  <c r="H377" i="16"/>
  <c r="E366" i="16"/>
  <c r="H379" i="16"/>
  <c r="E368" i="16"/>
  <c r="C216" i="16"/>
  <c r="G205" i="16"/>
  <c r="I205" i="16" s="1"/>
  <c r="D205" i="16" s="1"/>
  <c r="H393" i="16"/>
  <c r="E382" i="16"/>
  <c r="H362" i="16"/>
  <c r="E351" i="16"/>
  <c r="C227" i="16" l="1"/>
  <c r="G216" i="16"/>
  <c r="I216" i="16" s="1"/>
  <c r="D216" i="16" s="1"/>
  <c r="C245" i="16"/>
  <c r="G234" i="16"/>
  <c r="I234" i="16" s="1"/>
  <c r="D234" i="16" s="1"/>
  <c r="C248" i="16"/>
  <c r="G237" i="16"/>
  <c r="I237" i="16" s="1"/>
  <c r="D237" i="16" s="1"/>
  <c r="H390" i="16"/>
  <c r="E379" i="16"/>
  <c r="G244" i="16"/>
  <c r="I244" i="16" s="1"/>
  <c r="D244" i="16" s="1"/>
  <c r="C255" i="16"/>
  <c r="H396" i="16"/>
  <c r="E385" i="16"/>
  <c r="H381" i="16"/>
  <c r="E370" i="16"/>
  <c r="H405" i="16"/>
  <c r="E394" i="16"/>
  <c r="C258" i="16"/>
  <c r="G247" i="16"/>
  <c r="I247" i="16" s="1"/>
  <c r="D247" i="16" s="1"/>
  <c r="H373" i="16"/>
  <c r="E362" i="16"/>
  <c r="H388" i="16"/>
  <c r="E377" i="16"/>
  <c r="G235" i="16"/>
  <c r="I235" i="16" s="1"/>
  <c r="D235" i="16" s="1"/>
  <c r="C246" i="16"/>
  <c r="H397" i="16"/>
  <c r="E386" i="16"/>
  <c r="C243" i="16"/>
  <c r="G232" i="16"/>
  <c r="I232" i="16" s="1"/>
  <c r="D232" i="16" s="1"/>
  <c r="H389" i="16"/>
  <c r="E378" i="16"/>
  <c r="C229" i="16"/>
  <c r="G218" i="16"/>
  <c r="I218" i="16" s="1"/>
  <c r="D218" i="16" s="1"/>
  <c r="H404" i="16"/>
  <c r="E393" i="16"/>
  <c r="H398" i="16"/>
  <c r="E387" i="16"/>
  <c r="G241" i="16"/>
  <c r="I241" i="16" s="1"/>
  <c r="D241" i="16" s="1"/>
  <c r="C252" i="16"/>
  <c r="H391" i="16"/>
  <c r="E380" i="16"/>
  <c r="C253" i="16"/>
  <c r="G242" i="16"/>
  <c r="I242" i="16" s="1"/>
  <c r="D242" i="16" s="1"/>
  <c r="G228" i="16"/>
  <c r="I228" i="16" s="1"/>
  <c r="D228" i="16" s="1"/>
  <c r="C239" i="16"/>
  <c r="G246" i="16" l="1"/>
  <c r="I246" i="16" s="1"/>
  <c r="D246" i="16" s="1"/>
  <c r="C257" i="16"/>
  <c r="H402" i="16"/>
  <c r="E391" i="16"/>
  <c r="H401" i="16"/>
  <c r="E390" i="16"/>
  <c r="C240" i="16"/>
  <c r="G229" i="16"/>
  <c r="I229" i="16" s="1"/>
  <c r="D229" i="16" s="1"/>
  <c r="H399" i="16"/>
  <c r="E388" i="16"/>
  <c r="C259" i="16"/>
  <c r="G248" i="16"/>
  <c r="I248" i="16" s="1"/>
  <c r="D248" i="16" s="1"/>
  <c r="C250" i="16"/>
  <c r="G239" i="16"/>
  <c r="I239" i="16" s="1"/>
  <c r="D239" i="16" s="1"/>
  <c r="H409" i="16"/>
  <c r="E398" i="16"/>
  <c r="G243" i="16"/>
  <c r="I243" i="16" s="1"/>
  <c r="D243" i="16" s="1"/>
  <c r="C254" i="16"/>
  <c r="H384" i="16"/>
  <c r="E373" i="16"/>
  <c r="H407" i="16"/>
  <c r="E396" i="16"/>
  <c r="H416" i="16"/>
  <c r="E405" i="16"/>
  <c r="G252" i="16"/>
  <c r="I252" i="16" s="1"/>
  <c r="D252" i="16" s="1"/>
  <c r="C263" i="16"/>
  <c r="H400" i="16"/>
  <c r="E389" i="16"/>
  <c r="H392" i="16"/>
  <c r="E381" i="16"/>
  <c r="C256" i="16"/>
  <c r="G245" i="16"/>
  <c r="I245" i="16" s="1"/>
  <c r="D245" i="16" s="1"/>
  <c r="C266" i="16"/>
  <c r="G255" i="16"/>
  <c r="I255" i="16" s="1"/>
  <c r="D255" i="16" s="1"/>
  <c r="G253" i="16"/>
  <c r="I253" i="16" s="1"/>
  <c r="D253" i="16" s="1"/>
  <c r="C264" i="16"/>
  <c r="H415" i="16"/>
  <c r="E404" i="16"/>
  <c r="H408" i="16"/>
  <c r="E397" i="16"/>
  <c r="C269" i="16"/>
  <c r="G258" i="16"/>
  <c r="I258" i="16" s="1"/>
  <c r="D258" i="16" s="1"/>
  <c r="G227" i="16"/>
  <c r="I227" i="16" s="1"/>
  <c r="D227" i="16" s="1"/>
  <c r="C238" i="16"/>
  <c r="H419" i="16" l="1"/>
  <c r="E408" i="16"/>
  <c r="E416" i="16"/>
  <c r="H427" i="16"/>
  <c r="H420" i="16"/>
  <c r="E409" i="16"/>
  <c r="E415" i="16"/>
  <c r="H426" i="16"/>
  <c r="H403" i="16"/>
  <c r="E392" i="16"/>
  <c r="H418" i="16"/>
  <c r="E407" i="16"/>
  <c r="C261" i="16"/>
  <c r="G250" i="16"/>
  <c r="I250" i="16" s="1"/>
  <c r="D250" i="16" s="1"/>
  <c r="H412" i="16"/>
  <c r="E401" i="16"/>
  <c r="G238" i="16"/>
  <c r="I238" i="16" s="1"/>
  <c r="D238" i="16" s="1"/>
  <c r="C249" i="16"/>
  <c r="G264" i="16"/>
  <c r="I264" i="16" s="1"/>
  <c r="D264" i="16" s="1"/>
  <c r="C275" i="16"/>
  <c r="G269" i="16"/>
  <c r="I269" i="16" s="1"/>
  <c r="D269" i="16" s="1"/>
  <c r="C280" i="16"/>
  <c r="C277" i="16"/>
  <c r="G266" i="16"/>
  <c r="I266" i="16" s="1"/>
  <c r="D266" i="16" s="1"/>
  <c r="C267" i="16"/>
  <c r="G256" i="16"/>
  <c r="I256" i="16" s="1"/>
  <c r="D256" i="16" s="1"/>
  <c r="C251" i="16"/>
  <c r="G240" i="16"/>
  <c r="I240" i="16" s="1"/>
  <c r="D240" i="16" s="1"/>
  <c r="H411" i="16"/>
  <c r="E400" i="16"/>
  <c r="H395" i="16"/>
  <c r="E384" i="16"/>
  <c r="G259" i="16"/>
  <c r="I259" i="16" s="1"/>
  <c r="D259" i="16" s="1"/>
  <c r="C270" i="16"/>
  <c r="H413" i="16"/>
  <c r="E402" i="16"/>
  <c r="C274" i="16"/>
  <c r="G263" i="16"/>
  <c r="I263" i="16" s="1"/>
  <c r="D263" i="16" s="1"/>
  <c r="C265" i="16"/>
  <c r="G254" i="16"/>
  <c r="I254" i="16" s="1"/>
  <c r="D254" i="16" s="1"/>
  <c r="G257" i="16"/>
  <c r="I257" i="16" s="1"/>
  <c r="D257" i="16" s="1"/>
  <c r="C268" i="16"/>
  <c r="H410" i="16"/>
  <c r="E399" i="16"/>
  <c r="G265" i="16" l="1"/>
  <c r="I265" i="16" s="1"/>
  <c r="D265" i="16" s="1"/>
  <c r="C276" i="16"/>
  <c r="H406" i="16"/>
  <c r="E395" i="16"/>
  <c r="G277" i="16"/>
  <c r="I277" i="16" s="1"/>
  <c r="D277" i="16" s="1"/>
  <c r="C288" i="16"/>
  <c r="E412" i="16"/>
  <c r="H423" i="16"/>
  <c r="G280" i="16"/>
  <c r="I280" i="16" s="1"/>
  <c r="D280" i="16" s="1"/>
  <c r="C291" i="16"/>
  <c r="C285" i="16"/>
  <c r="G274" i="16"/>
  <c r="I274" i="16" s="1"/>
  <c r="D274" i="16" s="1"/>
  <c r="E411" i="16"/>
  <c r="H422" i="16"/>
  <c r="G261" i="16"/>
  <c r="I261" i="16" s="1"/>
  <c r="D261" i="16" s="1"/>
  <c r="C272" i="16"/>
  <c r="H431" i="16"/>
  <c r="E420" i="16"/>
  <c r="C286" i="16"/>
  <c r="G275" i="16"/>
  <c r="I275" i="16" s="1"/>
  <c r="D275" i="16" s="1"/>
  <c r="H438" i="16"/>
  <c r="E427" i="16"/>
  <c r="H421" i="16"/>
  <c r="E410" i="16"/>
  <c r="E413" i="16"/>
  <c r="H424" i="16"/>
  <c r="G251" i="16"/>
  <c r="I251" i="16" s="1"/>
  <c r="D251" i="16" s="1"/>
  <c r="C262" i="16"/>
  <c r="H429" i="16"/>
  <c r="E418" i="16"/>
  <c r="H437" i="16"/>
  <c r="E426" i="16"/>
  <c r="G268" i="16"/>
  <c r="I268" i="16" s="1"/>
  <c r="D268" i="16" s="1"/>
  <c r="C279" i="16"/>
  <c r="G270" i="16"/>
  <c r="I270" i="16" s="1"/>
  <c r="D270" i="16" s="1"/>
  <c r="C281" i="16"/>
  <c r="G249" i="16"/>
  <c r="I249" i="16" s="1"/>
  <c r="D249" i="16" s="1"/>
  <c r="C260" i="16"/>
  <c r="G267" i="16"/>
  <c r="I267" i="16" s="1"/>
  <c r="D267" i="16" s="1"/>
  <c r="C278" i="16"/>
  <c r="H414" i="16"/>
  <c r="E403" i="16"/>
  <c r="H430" i="16"/>
  <c r="E419" i="16"/>
  <c r="G278" i="16" l="1"/>
  <c r="I278" i="16" s="1"/>
  <c r="D278" i="16" s="1"/>
  <c r="C289" i="16"/>
  <c r="H434" i="16"/>
  <c r="E423" i="16"/>
  <c r="E422" i="16"/>
  <c r="H433" i="16"/>
  <c r="C299" i="16"/>
  <c r="G288" i="16"/>
  <c r="I288" i="16" s="1"/>
  <c r="D288" i="16" s="1"/>
  <c r="H440" i="16"/>
  <c r="E429" i="16"/>
  <c r="H449" i="16"/>
  <c r="E438" i="16"/>
  <c r="G281" i="16"/>
  <c r="I281" i="16" s="1"/>
  <c r="D281" i="16" s="1"/>
  <c r="C292" i="16"/>
  <c r="G262" i="16"/>
  <c r="I262" i="16" s="1"/>
  <c r="D262" i="16" s="1"/>
  <c r="C273" i="16"/>
  <c r="H448" i="16"/>
  <c r="E437" i="16"/>
  <c r="H432" i="16"/>
  <c r="E421" i="16"/>
  <c r="C271" i="16"/>
  <c r="G260" i="16"/>
  <c r="I260" i="16" s="1"/>
  <c r="D260" i="16" s="1"/>
  <c r="H441" i="16"/>
  <c r="E430" i="16"/>
  <c r="G286" i="16"/>
  <c r="I286" i="16" s="1"/>
  <c r="D286" i="16" s="1"/>
  <c r="C297" i="16"/>
  <c r="C296" i="16"/>
  <c r="G285" i="16"/>
  <c r="I285" i="16" s="1"/>
  <c r="D285" i="16" s="1"/>
  <c r="H417" i="16"/>
  <c r="E406" i="16"/>
  <c r="C290" i="16"/>
  <c r="G279" i="16"/>
  <c r="I279" i="16" s="1"/>
  <c r="D279" i="16" s="1"/>
  <c r="H435" i="16"/>
  <c r="E424" i="16"/>
  <c r="G291" i="16"/>
  <c r="I291" i="16" s="1"/>
  <c r="D291" i="16" s="1"/>
  <c r="C302" i="16"/>
  <c r="G276" i="16"/>
  <c r="I276" i="16" s="1"/>
  <c r="D276" i="16" s="1"/>
  <c r="C287" i="16"/>
  <c r="C283" i="16"/>
  <c r="G272" i="16"/>
  <c r="I272" i="16" s="1"/>
  <c r="D272" i="16" s="1"/>
  <c r="E414" i="16"/>
  <c r="H425" i="16"/>
  <c r="H442" i="16"/>
  <c r="E431" i="16"/>
  <c r="C284" i="16" l="1"/>
  <c r="G273" i="16"/>
  <c r="I273" i="16" s="1"/>
  <c r="D273" i="16" s="1"/>
  <c r="G283" i="16"/>
  <c r="I283" i="16" s="1"/>
  <c r="D283" i="16" s="1"/>
  <c r="C294" i="16"/>
  <c r="E441" i="16"/>
  <c r="H452" i="16"/>
  <c r="G292" i="16"/>
  <c r="I292" i="16" s="1"/>
  <c r="D292" i="16" s="1"/>
  <c r="C303" i="16"/>
  <c r="E433" i="16"/>
  <c r="H444" i="16"/>
  <c r="E417" i="16"/>
  <c r="H428" i="16"/>
  <c r="C282" i="16"/>
  <c r="G271" i="16"/>
  <c r="I271" i="16" s="1"/>
  <c r="D271" i="16" s="1"/>
  <c r="C301" i="16"/>
  <c r="G290" i="16"/>
  <c r="I290" i="16" s="1"/>
  <c r="D290" i="16" s="1"/>
  <c r="G299" i="16"/>
  <c r="I299" i="16" s="1"/>
  <c r="D299" i="16" s="1"/>
  <c r="C310" i="16"/>
  <c r="H453" i="16"/>
  <c r="E442" i="16"/>
  <c r="C298" i="16"/>
  <c r="G287" i="16"/>
  <c r="I287" i="16" s="1"/>
  <c r="D287" i="16" s="1"/>
  <c r="G302" i="16"/>
  <c r="I302" i="16" s="1"/>
  <c r="D302" i="16" s="1"/>
  <c r="C313" i="16"/>
  <c r="C307" i="16"/>
  <c r="G296" i="16"/>
  <c r="I296" i="16" s="1"/>
  <c r="D296" i="16" s="1"/>
  <c r="H443" i="16"/>
  <c r="E432" i="16"/>
  <c r="H460" i="16"/>
  <c r="E449" i="16"/>
  <c r="H445" i="16"/>
  <c r="E434" i="16"/>
  <c r="E425" i="16"/>
  <c r="H436" i="16"/>
  <c r="G297" i="16"/>
  <c r="I297" i="16" s="1"/>
  <c r="D297" i="16" s="1"/>
  <c r="C308" i="16"/>
  <c r="C300" i="16"/>
  <c r="G289" i="16"/>
  <c r="I289" i="16" s="1"/>
  <c r="D289" i="16" s="1"/>
  <c r="H446" i="16"/>
  <c r="E435" i="16"/>
  <c r="H459" i="16"/>
  <c r="E448" i="16"/>
  <c r="H451" i="16"/>
  <c r="E440" i="16"/>
  <c r="H470" i="16" l="1"/>
  <c r="E459" i="16"/>
  <c r="G307" i="16"/>
  <c r="I307" i="16" s="1"/>
  <c r="D307" i="16" s="1"/>
  <c r="C318" i="16"/>
  <c r="G313" i="16"/>
  <c r="I313" i="16" s="1"/>
  <c r="D313" i="16" s="1"/>
  <c r="C324" i="16"/>
  <c r="E452" i="16"/>
  <c r="H463" i="16"/>
  <c r="C311" i="16"/>
  <c r="G300" i="16"/>
  <c r="I300" i="16" s="1"/>
  <c r="D300" i="16" s="1"/>
  <c r="H471" i="16"/>
  <c r="E460" i="16"/>
  <c r="G298" i="16"/>
  <c r="I298" i="16" s="1"/>
  <c r="D298" i="16" s="1"/>
  <c r="C309" i="16"/>
  <c r="C293" i="16"/>
  <c r="G282" i="16"/>
  <c r="I282" i="16" s="1"/>
  <c r="D282" i="16" s="1"/>
  <c r="G308" i="16"/>
  <c r="I308" i="16" s="1"/>
  <c r="D308" i="16" s="1"/>
  <c r="C319" i="16"/>
  <c r="H439" i="16"/>
  <c r="E428" i="16"/>
  <c r="G294" i="16"/>
  <c r="I294" i="16" s="1"/>
  <c r="D294" i="16" s="1"/>
  <c r="C305" i="16"/>
  <c r="H462" i="16"/>
  <c r="E451" i="16"/>
  <c r="H454" i="16"/>
  <c r="E443" i="16"/>
  <c r="H464" i="16"/>
  <c r="E453" i="16"/>
  <c r="C314" i="16"/>
  <c r="G303" i="16"/>
  <c r="I303" i="16" s="1"/>
  <c r="D303" i="16" s="1"/>
  <c r="H457" i="16"/>
  <c r="E446" i="16"/>
  <c r="H456" i="16"/>
  <c r="E445" i="16"/>
  <c r="C312" i="16"/>
  <c r="G301" i="16"/>
  <c r="I301" i="16" s="1"/>
  <c r="D301" i="16" s="1"/>
  <c r="E436" i="16"/>
  <c r="H447" i="16"/>
  <c r="G310" i="16"/>
  <c r="I310" i="16" s="1"/>
  <c r="D310" i="16" s="1"/>
  <c r="C321" i="16"/>
  <c r="H455" i="16"/>
  <c r="E444" i="16"/>
  <c r="G284" i="16"/>
  <c r="I284" i="16" s="1"/>
  <c r="D284" i="16" s="1"/>
  <c r="C295" i="16"/>
  <c r="H458" i="16" l="1"/>
  <c r="E447" i="16"/>
  <c r="C316" i="16"/>
  <c r="G305" i="16"/>
  <c r="I305" i="16" s="1"/>
  <c r="D305" i="16" s="1"/>
  <c r="C320" i="16"/>
  <c r="G309" i="16"/>
  <c r="I309" i="16" s="1"/>
  <c r="D309" i="16" s="1"/>
  <c r="G324" i="16"/>
  <c r="I324" i="16" s="1"/>
  <c r="D324" i="16" s="1"/>
  <c r="C335" i="16"/>
  <c r="G314" i="16"/>
  <c r="I314" i="16" s="1"/>
  <c r="D314" i="16" s="1"/>
  <c r="C325" i="16"/>
  <c r="H468" i="16"/>
  <c r="E457" i="16"/>
  <c r="C323" i="16"/>
  <c r="G312" i="16"/>
  <c r="I312" i="16" s="1"/>
  <c r="D312" i="16" s="1"/>
  <c r="H475" i="16"/>
  <c r="E464" i="16"/>
  <c r="H450" i="16"/>
  <c r="E439" i="16"/>
  <c r="H482" i="16"/>
  <c r="E471" i="16"/>
  <c r="G321" i="16"/>
  <c r="I321" i="16" s="1"/>
  <c r="D321" i="16" s="1"/>
  <c r="C332" i="16"/>
  <c r="H474" i="16"/>
  <c r="E463" i="16"/>
  <c r="C304" i="16"/>
  <c r="G293" i="16"/>
  <c r="I293" i="16" s="1"/>
  <c r="D293" i="16" s="1"/>
  <c r="G318" i="16"/>
  <c r="I318" i="16" s="1"/>
  <c r="D318" i="16" s="1"/>
  <c r="C329" i="16"/>
  <c r="G319" i="16"/>
  <c r="I319" i="16" s="1"/>
  <c r="D319" i="16" s="1"/>
  <c r="C330" i="16"/>
  <c r="H473" i="16"/>
  <c r="E462" i="16"/>
  <c r="G295" i="16"/>
  <c r="I295" i="16" s="1"/>
  <c r="D295" i="16" s="1"/>
  <c r="C306" i="16"/>
  <c r="H466" i="16"/>
  <c r="E455" i="16"/>
  <c r="H467" i="16"/>
  <c r="E456" i="16"/>
  <c r="H465" i="16"/>
  <c r="E454" i="16"/>
  <c r="C322" i="16"/>
  <c r="G311" i="16"/>
  <c r="I311" i="16" s="1"/>
  <c r="D311" i="16" s="1"/>
  <c r="H481" i="16"/>
  <c r="E470" i="16"/>
  <c r="G335" i="16" l="1"/>
  <c r="I335" i="16" s="1"/>
  <c r="D335" i="16" s="1"/>
  <c r="C346" i="16"/>
  <c r="H476" i="16"/>
  <c r="E465" i="16"/>
  <c r="H484" i="16"/>
  <c r="E473" i="16"/>
  <c r="H485" i="16"/>
  <c r="E474" i="16"/>
  <c r="H486" i="16"/>
  <c r="E475" i="16"/>
  <c r="G332" i="16"/>
  <c r="I332" i="16" s="1"/>
  <c r="D332" i="16" s="1"/>
  <c r="C343" i="16"/>
  <c r="H478" i="16"/>
  <c r="E467" i="16"/>
  <c r="G323" i="16"/>
  <c r="I323" i="16" s="1"/>
  <c r="D323" i="16" s="1"/>
  <c r="C334" i="16"/>
  <c r="G320" i="16"/>
  <c r="I320" i="16" s="1"/>
  <c r="D320" i="16" s="1"/>
  <c r="C331" i="16"/>
  <c r="G329" i="16"/>
  <c r="I329" i="16" s="1"/>
  <c r="D329" i="16" s="1"/>
  <c r="C340" i="16"/>
  <c r="G330" i="16"/>
  <c r="I330" i="16" s="1"/>
  <c r="D330" i="16" s="1"/>
  <c r="C341" i="16"/>
  <c r="H492" i="16"/>
  <c r="E481" i="16"/>
  <c r="H477" i="16"/>
  <c r="E466" i="16"/>
  <c r="H493" i="16"/>
  <c r="E482" i="16"/>
  <c r="H479" i="16"/>
  <c r="E468" i="16"/>
  <c r="G316" i="16"/>
  <c r="I316" i="16" s="1"/>
  <c r="D316" i="16" s="1"/>
  <c r="C327" i="16"/>
  <c r="C317" i="16"/>
  <c r="G306" i="16"/>
  <c r="I306" i="16" s="1"/>
  <c r="D306" i="16" s="1"/>
  <c r="C336" i="16"/>
  <c r="G325" i="16"/>
  <c r="I325" i="16" s="1"/>
  <c r="D325" i="16" s="1"/>
  <c r="G322" i="16"/>
  <c r="I322" i="16" s="1"/>
  <c r="D322" i="16" s="1"/>
  <c r="C333" i="16"/>
  <c r="G304" i="16"/>
  <c r="I304" i="16" s="1"/>
  <c r="D304" i="16" s="1"/>
  <c r="C315" i="16"/>
  <c r="H461" i="16"/>
  <c r="E450" i="16"/>
  <c r="H469" i="16"/>
  <c r="E458" i="16"/>
  <c r="H472" i="16" l="1"/>
  <c r="E461" i="16"/>
  <c r="H488" i="16"/>
  <c r="E477" i="16"/>
  <c r="G315" i="16"/>
  <c r="I315" i="16" s="1"/>
  <c r="D315" i="16" s="1"/>
  <c r="C326" i="16"/>
  <c r="C338" i="16"/>
  <c r="G327" i="16"/>
  <c r="I327" i="16" s="1"/>
  <c r="D327" i="16" s="1"/>
  <c r="C345" i="16"/>
  <c r="G334" i="16"/>
  <c r="I334" i="16" s="1"/>
  <c r="D334" i="16" s="1"/>
  <c r="H503" i="16"/>
  <c r="E492" i="16"/>
  <c r="H496" i="16"/>
  <c r="E485" i="16"/>
  <c r="C352" i="16"/>
  <c r="G341" i="16"/>
  <c r="I341" i="16" s="1"/>
  <c r="D341" i="16" s="1"/>
  <c r="H495" i="16"/>
  <c r="E484" i="16"/>
  <c r="G340" i="16"/>
  <c r="I340" i="16" s="1"/>
  <c r="D340" i="16" s="1"/>
  <c r="C351" i="16"/>
  <c r="G343" i="16"/>
  <c r="I343" i="16" s="1"/>
  <c r="D343" i="16" s="1"/>
  <c r="C354" i="16"/>
  <c r="G317" i="16"/>
  <c r="I317" i="16" s="1"/>
  <c r="D317" i="16" s="1"/>
  <c r="C328" i="16"/>
  <c r="C344" i="16"/>
  <c r="G333" i="16"/>
  <c r="I333" i="16" s="1"/>
  <c r="D333" i="16" s="1"/>
  <c r="H490" i="16"/>
  <c r="E479" i="16"/>
  <c r="H489" i="16"/>
  <c r="E478" i="16"/>
  <c r="H480" i="16"/>
  <c r="E469" i="16"/>
  <c r="C347" i="16"/>
  <c r="G336" i="16"/>
  <c r="I336" i="16" s="1"/>
  <c r="D336" i="16" s="1"/>
  <c r="H504" i="16"/>
  <c r="E493" i="16"/>
  <c r="H487" i="16"/>
  <c r="E476" i="16"/>
  <c r="C342" i="16"/>
  <c r="G331" i="16"/>
  <c r="I331" i="16" s="1"/>
  <c r="D331" i="16" s="1"/>
  <c r="G346" i="16"/>
  <c r="I346" i="16" s="1"/>
  <c r="D346" i="16" s="1"/>
  <c r="C357" i="16"/>
  <c r="H497" i="16"/>
  <c r="E486" i="16"/>
  <c r="C355" i="16" l="1"/>
  <c r="G344" i="16"/>
  <c r="I344" i="16" s="1"/>
  <c r="D344" i="16" s="1"/>
  <c r="G328" i="16"/>
  <c r="I328" i="16" s="1"/>
  <c r="D328" i="16" s="1"/>
  <c r="C339" i="16"/>
  <c r="G338" i="16"/>
  <c r="I338" i="16" s="1"/>
  <c r="D338" i="16" s="1"/>
  <c r="C349" i="16"/>
  <c r="C365" i="16"/>
  <c r="G354" i="16"/>
  <c r="I354" i="16" s="1"/>
  <c r="D354" i="16" s="1"/>
  <c r="C337" i="16"/>
  <c r="G326" i="16"/>
  <c r="I326" i="16" s="1"/>
  <c r="D326" i="16" s="1"/>
  <c r="H498" i="16"/>
  <c r="E487" i="16"/>
  <c r="H500" i="16"/>
  <c r="E489" i="16"/>
  <c r="H507" i="16"/>
  <c r="E496" i="16"/>
  <c r="G351" i="16"/>
  <c r="I351" i="16" s="1"/>
  <c r="D351" i="16" s="1"/>
  <c r="C362" i="16"/>
  <c r="C356" i="16"/>
  <c r="G345" i="16"/>
  <c r="I345" i="16" s="1"/>
  <c r="D345" i="16" s="1"/>
  <c r="C353" i="16"/>
  <c r="G342" i="16"/>
  <c r="I342" i="16" s="1"/>
  <c r="D342" i="16" s="1"/>
  <c r="E503" i="16"/>
  <c r="H514" i="16"/>
  <c r="E514" i="16" s="1"/>
  <c r="H499" i="16"/>
  <c r="E488" i="16"/>
  <c r="G347" i="16"/>
  <c r="I347" i="16" s="1"/>
  <c r="D347" i="16" s="1"/>
  <c r="C358" i="16"/>
  <c r="H506" i="16"/>
  <c r="E495" i="16"/>
  <c r="H483" i="16"/>
  <c r="E472" i="16"/>
  <c r="H491" i="16"/>
  <c r="E480" i="16"/>
  <c r="G352" i="16"/>
  <c r="I352" i="16" s="1"/>
  <c r="D352" i="16" s="1"/>
  <c r="C363" i="16"/>
  <c r="H508" i="16"/>
  <c r="E497" i="16"/>
  <c r="E504" i="16"/>
  <c r="H515" i="16"/>
  <c r="E515" i="16" s="1"/>
  <c r="H501" i="16"/>
  <c r="E490" i="16"/>
  <c r="C368" i="16"/>
  <c r="G357" i="16"/>
  <c r="I357" i="16" s="1"/>
  <c r="D357" i="16" s="1"/>
  <c r="H494" i="16" l="1"/>
  <c r="E483" i="16"/>
  <c r="E507" i="16"/>
  <c r="H518" i="16"/>
  <c r="E518" i="16" s="1"/>
  <c r="G365" i="16"/>
  <c r="I365" i="16" s="1"/>
  <c r="D365" i="16" s="1"/>
  <c r="C376" i="16"/>
  <c r="H519" i="16"/>
  <c r="E519" i="16" s="1"/>
  <c r="E508" i="16"/>
  <c r="H517" i="16"/>
  <c r="E517" i="16" s="1"/>
  <c r="E506" i="16"/>
  <c r="G353" i="16"/>
  <c r="I353" i="16" s="1"/>
  <c r="D353" i="16" s="1"/>
  <c r="C364" i="16"/>
  <c r="H511" i="16"/>
  <c r="E500" i="16"/>
  <c r="C374" i="16"/>
  <c r="G363" i="16"/>
  <c r="I363" i="16" s="1"/>
  <c r="D363" i="16" s="1"/>
  <c r="G358" i="16"/>
  <c r="I358" i="16" s="1"/>
  <c r="D358" i="16" s="1"/>
  <c r="C369" i="16"/>
  <c r="C350" i="16"/>
  <c r="G339" i="16"/>
  <c r="I339" i="16" s="1"/>
  <c r="D339" i="16" s="1"/>
  <c r="C373" i="16"/>
  <c r="G362" i="16"/>
  <c r="I362" i="16" s="1"/>
  <c r="D362" i="16" s="1"/>
  <c r="C360" i="16"/>
  <c r="G349" i="16"/>
  <c r="I349" i="16" s="1"/>
  <c r="D349" i="16" s="1"/>
  <c r="C379" i="16"/>
  <c r="G368" i="16"/>
  <c r="I368" i="16" s="1"/>
  <c r="D368" i="16" s="1"/>
  <c r="C367" i="16"/>
  <c r="G356" i="16"/>
  <c r="I356" i="16" s="1"/>
  <c r="D356" i="16" s="1"/>
  <c r="H509" i="16"/>
  <c r="E498" i="16"/>
  <c r="H512" i="16"/>
  <c r="E501" i="16"/>
  <c r="H502" i="16"/>
  <c r="E491" i="16"/>
  <c r="H510" i="16"/>
  <c r="E499" i="16"/>
  <c r="G337" i="16"/>
  <c r="I337" i="16" s="1"/>
  <c r="D337" i="16" s="1"/>
  <c r="C348" i="16"/>
  <c r="C366" i="16"/>
  <c r="G355" i="16"/>
  <c r="I355" i="16" s="1"/>
  <c r="D355" i="16" s="1"/>
  <c r="C377" i="16" l="1"/>
  <c r="G366" i="16"/>
  <c r="I366" i="16" s="1"/>
  <c r="D366" i="16" s="1"/>
  <c r="H523" i="16"/>
  <c r="E523" i="16" s="1"/>
  <c r="E512" i="16"/>
  <c r="G360" i="16"/>
  <c r="I360" i="16" s="1"/>
  <c r="D360" i="16" s="1"/>
  <c r="C371" i="16"/>
  <c r="G374" i="16"/>
  <c r="I374" i="16" s="1"/>
  <c r="D374" i="16" s="1"/>
  <c r="C385" i="16"/>
  <c r="C359" i="16"/>
  <c r="G348" i="16"/>
  <c r="I348" i="16" s="1"/>
  <c r="D348" i="16" s="1"/>
  <c r="C387" i="16"/>
  <c r="G376" i="16"/>
  <c r="I376" i="16" s="1"/>
  <c r="D376" i="16" s="1"/>
  <c r="G373" i="16"/>
  <c r="I373" i="16" s="1"/>
  <c r="D373" i="16" s="1"/>
  <c r="C384" i="16"/>
  <c r="C375" i="16"/>
  <c r="G364" i="16"/>
  <c r="I364" i="16" s="1"/>
  <c r="D364" i="16" s="1"/>
  <c r="H521" i="16"/>
  <c r="E521" i="16" s="1"/>
  <c r="E510" i="16"/>
  <c r="G367" i="16"/>
  <c r="I367" i="16" s="1"/>
  <c r="D367" i="16" s="1"/>
  <c r="C378" i="16"/>
  <c r="G350" i="16"/>
  <c r="I350" i="16" s="1"/>
  <c r="D350" i="16" s="1"/>
  <c r="C361" i="16"/>
  <c r="H520" i="16"/>
  <c r="E520" i="16" s="1"/>
  <c r="E509" i="16"/>
  <c r="G369" i="16"/>
  <c r="I369" i="16" s="1"/>
  <c r="D369" i="16" s="1"/>
  <c r="C380" i="16"/>
  <c r="H522" i="16"/>
  <c r="E522" i="16" s="1"/>
  <c r="E511" i="16"/>
  <c r="H513" i="16"/>
  <c r="E513" i="16" s="1"/>
  <c r="E502" i="16"/>
  <c r="G379" i="16"/>
  <c r="I379" i="16" s="1"/>
  <c r="D379" i="16" s="1"/>
  <c r="C390" i="16"/>
  <c r="H505" i="16"/>
  <c r="E494" i="16"/>
  <c r="C395" i="16" l="1"/>
  <c r="G384" i="16"/>
  <c r="I384" i="16" s="1"/>
  <c r="D384" i="16" s="1"/>
  <c r="C389" i="16"/>
  <c r="G378" i="16"/>
  <c r="I378" i="16" s="1"/>
  <c r="D378" i="16" s="1"/>
  <c r="G390" i="16"/>
  <c r="I390" i="16" s="1"/>
  <c r="D390" i="16" s="1"/>
  <c r="C401" i="16"/>
  <c r="G387" i="16"/>
  <c r="I387" i="16" s="1"/>
  <c r="D387" i="16" s="1"/>
  <c r="C398" i="16"/>
  <c r="G375" i="16"/>
  <c r="I375" i="16" s="1"/>
  <c r="D375" i="16" s="1"/>
  <c r="C386" i="16"/>
  <c r="C372" i="16"/>
  <c r="G361" i="16"/>
  <c r="I361" i="16" s="1"/>
  <c r="D361" i="16" s="1"/>
  <c r="C391" i="16"/>
  <c r="G380" i="16"/>
  <c r="I380" i="16" s="1"/>
  <c r="D380" i="16" s="1"/>
  <c r="G385" i="16"/>
  <c r="I385" i="16" s="1"/>
  <c r="D385" i="16" s="1"/>
  <c r="C396" i="16"/>
  <c r="G371" i="16"/>
  <c r="I371" i="16" s="1"/>
  <c r="D371" i="16" s="1"/>
  <c r="C382" i="16"/>
  <c r="E505" i="16"/>
  <c r="H516" i="16"/>
  <c r="E516" i="16" s="1"/>
  <c r="C370" i="16"/>
  <c r="G359" i="16"/>
  <c r="I359" i="16" s="1"/>
  <c r="D359" i="16" s="1"/>
  <c r="C388" i="16"/>
  <c r="G377" i="16"/>
  <c r="I377" i="16" s="1"/>
  <c r="D377" i="16" s="1"/>
  <c r="C393" i="16" l="1"/>
  <c r="G382" i="16"/>
  <c r="I382" i="16" s="1"/>
  <c r="D382" i="16" s="1"/>
  <c r="G396" i="16"/>
  <c r="I396" i="16" s="1"/>
  <c r="D396" i="16" s="1"/>
  <c r="C407" i="16"/>
  <c r="G398" i="16"/>
  <c r="I398" i="16" s="1"/>
  <c r="D398" i="16" s="1"/>
  <c r="C409" i="16"/>
  <c r="C397" i="16"/>
  <c r="G386" i="16"/>
  <c r="I386" i="16" s="1"/>
  <c r="D386" i="16" s="1"/>
  <c r="G401" i="16"/>
  <c r="I401" i="16" s="1"/>
  <c r="D401" i="16" s="1"/>
  <c r="C412" i="16"/>
  <c r="G388" i="16"/>
  <c r="I388" i="16" s="1"/>
  <c r="D388" i="16" s="1"/>
  <c r="C399" i="16"/>
  <c r="G370" i="16"/>
  <c r="I370" i="16" s="1"/>
  <c r="D370" i="16" s="1"/>
  <c r="C381" i="16"/>
  <c r="C402" i="16"/>
  <c r="G391" i="16"/>
  <c r="I391" i="16" s="1"/>
  <c r="D391" i="16" s="1"/>
  <c r="C383" i="16"/>
  <c r="G372" i="16"/>
  <c r="I372" i="16" s="1"/>
  <c r="D372" i="16" s="1"/>
  <c r="G389" i="16"/>
  <c r="I389" i="16" s="1"/>
  <c r="D389" i="16" s="1"/>
  <c r="C400" i="16"/>
  <c r="G395" i="16"/>
  <c r="I395" i="16" s="1"/>
  <c r="D395" i="16" s="1"/>
  <c r="C406" i="16"/>
  <c r="C413" i="16" l="1"/>
  <c r="G402" i="16"/>
  <c r="I402" i="16" s="1"/>
  <c r="D402" i="16" s="1"/>
  <c r="G381" i="16"/>
  <c r="I381" i="16" s="1"/>
  <c r="D381" i="16" s="1"/>
  <c r="C392" i="16"/>
  <c r="C410" i="16"/>
  <c r="G399" i="16"/>
  <c r="I399" i="16" s="1"/>
  <c r="D399" i="16" s="1"/>
  <c r="C420" i="16"/>
  <c r="G409" i="16"/>
  <c r="I409" i="16" s="1"/>
  <c r="D409" i="16" s="1"/>
  <c r="C418" i="16"/>
  <c r="G407" i="16"/>
  <c r="I407" i="16" s="1"/>
  <c r="D407" i="16" s="1"/>
  <c r="C423" i="16"/>
  <c r="G412" i="16"/>
  <c r="I412" i="16" s="1"/>
  <c r="D412" i="16" s="1"/>
  <c r="C408" i="16"/>
  <c r="G397" i="16"/>
  <c r="I397" i="16" s="1"/>
  <c r="D397" i="16" s="1"/>
  <c r="G406" i="16"/>
  <c r="I406" i="16" s="1"/>
  <c r="D406" i="16" s="1"/>
  <c r="C417" i="16"/>
  <c r="C411" i="16"/>
  <c r="G400" i="16"/>
  <c r="I400" i="16" s="1"/>
  <c r="D400" i="16" s="1"/>
  <c r="G383" i="16"/>
  <c r="I383" i="16" s="1"/>
  <c r="D383" i="16" s="1"/>
  <c r="C394" i="16"/>
  <c r="G393" i="16"/>
  <c r="I393" i="16" s="1"/>
  <c r="D393" i="16" s="1"/>
  <c r="C404" i="16"/>
  <c r="C431" i="16" l="1"/>
  <c r="G420" i="16"/>
  <c r="I420" i="16" s="1"/>
  <c r="D420" i="16" s="1"/>
  <c r="C415" i="16"/>
  <c r="G404" i="16"/>
  <c r="I404" i="16" s="1"/>
  <c r="D404" i="16" s="1"/>
  <c r="G408" i="16"/>
  <c r="I408" i="16" s="1"/>
  <c r="D408" i="16" s="1"/>
  <c r="C419" i="16"/>
  <c r="C421" i="16"/>
  <c r="G410" i="16"/>
  <c r="I410" i="16" s="1"/>
  <c r="D410" i="16" s="1"/>
  <c r="C405" i="16"/>
  <c r="G394" i="16"/>
  <c r="I394" i="16" s="1"/>
  <c r="D394" i="16" s="1"/>
  <c r="G392" i="16"/>
  <c r="I392" i="16" s="1"/>
  <c r="D392" i="16" s="1"/>
  <c r="C403" i="16"/>
  <c r="C434" i="16"/>
  <c r="G423" i="16"/>
  <c r="I423" i="16" s="1"/>
  <c r="D423" i="16" s="1"/>
  <c r="G417" i="16"/>
  <c r="I417" i="16" s="1"/>
  <c r="D417" i="16" s="1"/>
  <c r="C428" i="16"/>
  <c r="G411" i="16"/>
  <c r="I411" i="16" s="1"/>
  <c r="D411" i="16" s="1"/>
  <c r="C422" i="16"/>
  <c r="G418" i="16"/>
  <c r="I418" i="16" s="1"/>
  <c r="D418" i="16" s="1"/>
  <c r="C429" i="16"/>
  <c r="G413" i="16"/>
  <c r="I413" i="16" s="1"/>
  <c r="D413" i="16" s="1"/>
  <c r="C424" i="16"/>
  <c r="G424" i="16" l="1"/>
  <c r="I424" i="16" s="1"/>
  <c r="D424" i="16" s="1"/>
  <c r="C435" i="16"/>
  <c r="G419" i="16"/>
  <c r="I419" i="16" s="1"/>
  <c r="D419" i="16" s="1"/>
  <c r="C430" i="16"/>
  <c r="C445" i="16"/>
  <c r="G434" i="16"/>
  <c r="I434" i="16" s="1"/>
  <c r="D434" i="16" s="1"/>
  <c r="G429" i="16"/>
  <c r="I429" i="16" s="1"/>
  <c r="D429" i="16" s="1"/>
  <c r="C440" i="16"/>
  <c r="G403" i="16"/>
  <c r="I403" i="16" s="1"/>
  <c r="D403" i="16" s="1"/>
  <c r="C414" i="16"/>
  <c r="C439" i="16"/>
  <c r="G428" i="16"/>
  <c r="I428" i="16" s="1"/>
  <c r="D428" i="16" s="1"/>
  <c r="C426" i="16"/>
  <c r="G415" i="16"/>
  <c r="I415" i="16" s="1"/>
  <c r="D415" i="16" s="1"/>
  <c r="G421" i="16"/>
  <c r="I421" i="16" s="1"/>
  <c r="D421" i="16" s="1"/>
  <c r="C432" i="16"/>
  <c r="G422" i="16"/>
  <c r="I422" i="16" s="1"/>
  <c r="D422" i="16" s="1"/>
  <c r="C433" i="16"/>
  <c r="C416" i="16"/>
  <c r="G405" i="16"/>
  <c r="I405" i="16" s="1"/>
  <c r="D405" i="16" s="1"/>
  <c r="C442" i="16"/>
  <c r="G431" i="16"/>
  <c r="I431" i="16" s="1"/>
  <c r="D431" i="16" s="1"/>
  <c r="G445" i="16" l="1"/>
  <c r="I445" i="16" s="1"/>
  <c r="D445" i="16" s="1"/>
  <c r="C456" i="16"/>
  <c r="G430" i="16"/>
  <c r="I430" i="16" s="1"/>
  <c r="D430" i="16" s="1"/>
  <c r="C441" i="16"/>
  <c r="C443" i="16"/>
  <c r="G432" i="16"/>
  <c r="I432" i="16" s="1"/>
  <c r="D432" i="16" s="1"/>
  <c r="C453" i="16"/>
  <c r="G442" i="16"/>
  <c r="I442" i="16" s="1"/>
  <c r="D442" i="16" s="1"/>
  <c r="G416" i="16"/>
  <c r="I416" i="16" s="1"/>
  <c r="D416" i="16" s="1"/>
  <c r="C427" i="16"/>
  <c r="C450" i="16"/>
  <c r="G439" i="16"/>
  <c r="I439" i="16" s="1"/>
  <c r="D439" i="16" s="1"/>
  <c r="G440" i="16"/>
  <c r="I440" i="16" s="1"/>
  <c r="D440" i="16" s="1"/>
  <c r="C451" i="16"/>
  <c r="C437" i="16"/>
  <c r="G426" i="16"/>
  <c r="I426" i="16" s="1"/>
  <c r="D426" i="16" s="1"/>
  <c r="G433" i="16"/>
  <c r="I433" i="16" s="1"/>
  <c r="D433" i="16" s="1"/>
  <c r="C444" i="16"/>
  <c r="C425" i="16"/>
  <c r="G414" i="16"/>
  <c r="I414" i="16" s="1"/>
  <c r="D414" i="16" s="1"/>
  <c r="C446" i="16"/>
  <c r="G435" i="16"/>
  <c r="I435" i="16" s="1"/>
  <c r="D435" i="16" s="1"/>
  <c r="C448" i="16" l="1"/>
  <c r="G437" i="16"/>
  <c r="I437" i="16" s="1"/>
  <c r="D437" i="16" s="1"/>
  <c r="G451" i="16"/>
  <c r="I451" i="16" s="1"/>
  <c r="D451" i="16" s="1"/>
  <c r="C462" i="16"/>
  <c r="G443" i="16"/>
  <c r="I443" i="16" s="1"/>
  <c r="D443" i="16" s="1"/>
  <c r="C454" i="16"/>
  <c r="C452" i="16"/>
  <c r="G441" i="16"/>
  <c r="I441" i="16" s="1"/>
  <c r="D441" i="16" s="1"/>
  <c r="G446" i="16"/>
  <c r="I446" i="16" s="1"/>
  <c r="D446" i="16" s="1"/>
  <c r="C457" i="16"/>
  <c r="G425" i="16"/>
  <c r="I425" i="16" s="1"/>
  <c r="D425" i="16" s="1"/>
  <c r="C436" i="16"/>
  <c r="G450" i="16"/>
  <c r="I450" i="16" s="1"/>
  <c r="D450" i="16" s="1"/>
  <c r="C461" i="16"/>
  <c r="C464" i="16"/>
  <c r="G453" i="16"/>
  <c r="I453" i="16" s="1"/>
  <c r="D453" i="16" s="1"/>
  <c r="C455" i="16"/>
  <c r="G444" i="16"/>
  <c r="I444" i="16" s="1"/>
  <c r="D444" i="16" s="1"/>
  <c r="C438" i="16"/>
  <c r="G427" i="16"/>
  <c r="I427" i="16" s="1"/>
  <c r="D427" i="16" s="1"/>
  <c r="C467" i="16"/>
  <c r="G456" i="16"/>
  <c r="I456" i="16" s="1"/>
  <c r="D456" i="16" s="1"/>
  <c r="C475" i="16" l="1"/>
  <c r="G464" i="16"/>
  <c r="I464" i="16" s="1"/>
  <c r="D464" i="16" s="1"/>
  <c r="G454" i="16"/>
  <c r="I454" i="16" s="1"/>
  <c r="D454" i="16" s="1"/>
  <c r="C465" i="16"/>
  <c r="G467" i="16"/>
  <c r="I467" i="16" s="1"/>
  <c r="D467" i="16" s="1"/>
  <c r="C478" i="16"/>
  <c r="G462" i="16"/>
  <c r="I462" i="16" s="1"/>
  <c r="D462" i="16" s="1"/>
  <c r="C473" i="16"/>
  <c r="G438" i="16"/>
  <c r="I438" i="16" s="1"/>
  <c r="D438" i="16" s="1"/>
  <c r="C449" i="16"/>
  <c r="C463" i="16"/>
  <c r="G452" i="16"/>
  <c r="I452" i="16" s="1"/>
  <c r="D452" i="16" s="1"/>
  <c r="C472" i="16"/>
  <c r="G461" i="16"/>
  <c r="I461" i="16" s="1"/>
  <c r="D461" i="16" s="1"/>
  <c r="C447" i="16"/>
  <c r="G436" i="16"/>
  <c r="I436" i="16" s="1"/>
  <c r="D436" i="16" s="1"/>
  <c r="G457" i="16"/>
  <c r="I457" i="16" s="1"/>
  <c r="D457" i="16" s="1"/>
  <c r="C468" i="16"/>
  <c r="C466" i="16"/>
  <c r="G455" i="16"/>
  <c r="I455" i="16" s="1"/>
  <c r="D455" i="16" s="1"/>
  <c r="C459" i="16"/>
  <c r="G448" i="16"/>
  <c r="I448" i="16" s="1"/>
  <c r="D448" i="16" s="1"/>
  <c r="G478" i="16" l="1"/>
  <c r="I478" i="16" s="1"/>
  <c r="D478" i="16" s="1"/>
  <c r="C489" i="16"/>
  <c r="C458" i="16"/>
  <c r="G447" i="16"/>
  <c r="I447" i="16" s="1"/>
  <c r="D447" i="16" s="1"/>
  <c r="G459" i="16"/>
  <c r="I459" i="16" s="1"/>
  <c r="D459" i="16" s="1"/>
  <c r="C470" i="16"/>
  <c r="G472" i="16"/>
  <c r="I472" i="16" s="1"/>
  <c r="D472" i="16" s="1"/>
  <c r="C483" i="16"/>
  <c r="C477" i="16"/>
  <c r="G466" i="16"/>
  <c r="I466" i="16" s="1"/>
  <c r="D466" i="16" s="1"/>
  <c r="C474" i="16"/>
  <c r="G463" i="16"/>
  <c r="I463" i="16" s="1"/>
  <c r="D463" i="16" s="1"/>
  <c r="C486" i="16"/>
  <c r="G475" i="16"/>
  <c r="I475" i="16" s="1"/>
  <c r="D475" i="16" s="1"/>
  <c r="G473" i="16"/>
  <c r="I473" i="16" s="1"/>
  <c r="D473" i="16" s="1"/>
  <c r="C484" i="16"/>
  <c r="G465" i="16"/>
  <c r="I465" i="16" s="1"/>
  <c r="D465" i="16" s="1"/>
  <c r="C476" i="16"/>
  <c r="G468" i="16"/>
  <c r="I468" i="16" s="1"/>
  <c r="D468" i="16" s="1"/>
  <c r="C479" i="16"/>
  <c r="G449" i="16"/>
  <c r="I449" i="16" s="1"/>
  <c r="D449" i="16" s="1"/>
  <c r="C460" i="16"/>
  <c r="C495" i="16" l="1"/>
  <c r="G484" i="16"/>
  <c r="I484" i="16" s="1"/>
  <c r="D484" i="16" s="1"/>
  <c r="C490" i="16"/>
  <c r="G479" i="16"/>
  <c r="I479" i="16" s="1"/>
  <c r="D479" i="16" s="1"/>
  <c r="C481" i="16"/>
  <c r="G470" i="16"/>
  <c r="I470" i="16" s="1"/>
  <c r="D470" i="16" s="1"/>
  <c r="G486" i="16"/>
  <c r="I486" i="16" s="1"/>
  <c r="D486" i="16" s="1"/>
  <c r="C497" i="16"/>
  <c r="C485" i="16"/>
  <c r="G474" i="16"/>
  <c r="I474" i="16" s="1"/>
  <c r="D474" i="16" s="1"/>
  <c r="G458" i="16"/>
  <c r="I458" i="16" s="1"/>
  <c r="D458" i="16" s="1"/>
  <c r="C469" i="16"/>
  <c r="C471" i="16"/>
  <c r="G460" i="16"/>
  <c r="I460" i="16" s="1"/>
  <c r="D460" i="16" s="1"/>
  <c r="G476" i="16"/>
  <c r="I476" i="16" s="1"/>
  <c r="D476" i="16" s="1"/>
  <c r="C487" i="16"/>
  <c r="C500" i="16"/>
  <c r="G489" i="16"/>
  <c r="I489" i="16" s="1"/>
  <c r="D489" i="16" s="1"/>
  <c r="C494" i="16"/>
  <c r="G483" i="16"/>
  <c r="I483" i="16" s="1"/>
  <c r="D483" i="16" s="1"/>
  <c r="G477" i="16"/>
  <c r="I477" i="16" s="1"/>
  <c r="D477" i="16" s="1"/>
  <c r="C488" i="16"/>
  <c r="C498" i="16" l="1"/>
  <c r="G487" i="16"/>
  <c r="I487" i="16" s="1"/>
  <c r="D487" i="16" s="1"/>
  <c r="G497" i="16"/>
  <c r="I497" i="16" s="1"/>
  <c r="D497" i="16" s="1"/>
  <c r="C508" i="16"/>
  <c r="G481" i="16"/>
  <c r="I481" i="16" s="1"/>
  <c r="D481" i="16" s="1"/>
  <c r="C492" i="16"/>
  <c r="G469" i="16"/>
  <c r="I469" i="16" s="1"/>
  <c r="D469" i="16" s="1"/>
  <c r="C480" i="16"/>
  <c r="G488" i="16"/>
  <c r="I488" i="16" s="1"/>
  <c r="D488" i="16" s="1"/>
  <c r="C499" i="16"/>
  <c r="C482" i="16"/>
  <c r="G471" i="16"/>
  <c r="I471" i="16" s="1"/>
  <c r="D471" i="16" s="1"/>
  <c r="G494" i="16"/>
  <c r="I494" i="16" s="1"/>
  <c r="D494" i="16" s="1"/>
  <c r="C505" i="16"/>
  <c r="G490" i="16"/>
  <c r="I490" i="16" s="1"/>
  <c r="D490" i="16" s="1"/>
  <c r="C501" i="16"/>
  <c r="G500" i="16"/>
  <c r="I500" i="16" s="1"/>
  <c r="D500" i="16" s="1"/>
  <c r="C511" i="16"/>
  <c r="C496" i="16"/>
  <c r="G485" i="16"/>
  <c r="I485" i="16" s="1"/>
  <c r="D485" i="16" s="1"/>
  <c r="C506" i="16"/>
  <c r="G495" i="16"/>
  <c r="I495" i="16" s="1"/>
  <c r="D495" i="16" s="1"/>
  <c r="C516" i="16" l="1"/>
  <c r="G516" i="16" s="1"/>
  <c r="I516" i="16" s="1"/>
  <c r="D516" i="16" s="1"/>
  <c r="G505" i="16"/>
  <c r="I505" i="16" s="1"/>
  <c r="D505" i="16" s="1"/>
  <c r="C517" i="16"/>
  <c r="G517" i="16" s="1"/>
  <c r="I517" i="16" s="1"/>
  <c r="D517" i="16" s="1"/>
  <c r="G506" i="16"/>
  <c r="I506" i="16" s="1"/>
  <c r="D506" i="16" s="1"/>
  <c r="C519" i="16"/>
  <c r="G519" i="16" s="1"/>
  <c r="I519" i="16" s="1"/>
  <c r="D519" i="16" s="1"/>
  <c r="G508" i="16"/>
  <c r="I508" i="16" s="1"/>
  <c r="D508" i="16" s="1"/>
  <c r="C507" i="16"/>
  <c r="G496" i="16"/>
  <c r="I496" i="16" s="1"/>
  <c r="D496" i="16" s="1"/>
  <c r="C493" i="16"/>
  <c r="G482" i="16"/>
  <c r="I482" i="16" s="1"/>
  <c r="D482" i="16" s="1"/>
  <c r="C512" i="16"/>
  <c r="G501" i="16"/>
  <c r="I501" i="16" s="1"/>
  <c r="D501" i="16" s="1"/>
  <c r="C491" i="16"/>
  <c r="G480" i="16"/>
  <c r="I480" i="16" s="1"/>
  <c r="D480" i="16" s="1"/>
  <c r="G492" i="16"/>
  <c r="I492" i="16" s="1"/>
  <c r="D492" i="16" s="1"/>
  <c r="C503" i="16"/>
  <c r="C522" i="16"/>
  <c r="G522" i="16" s="1"/>
  <c r="I522" i="16" s="1"/>
  <c r="D522" i="16" s="1"/>
  <c r="G511" i="16"/>
  <c r="I511" i="16" s="1"/>
  <c r="D511" i="16" s="1"/>
  <c r="G499" i="16"/>
  <c r="I499" i="16" s="1"/>
  <c r="D499" i="16" s="1"/>
  <c r="C510" i="16"/>
  <c r="C509" i="16"/>
  <c r="G498" i="16"/>
  <c r="I498" i="16" s="1"/>
  <c r="D498" i="16" s="1"/>
  <c r="G503" i="16" l="1"/>
  <c r="I503" i="16" s="1"/>
  <c r="D503" i="16" s="1"/>
  <c r="C514" i="16"/>
  <c r="G514" i="16" s="1"/>
  <c r="I514" i="16" s="1"/>
  <c r="D514" i="16" s="1"/>
  <c r="G507" i="16"/>
  <c r="I507" i="16" s="1"/>
  <c r="D507" i="16" s="1"/>
  <c r="C518" i="16"/>
  <c r="G518" i="16" s="1"/>
  <c r="I518" i="16" s="1"/>
  <c r="D518" i="16" s="1"/>
  <c r="G509" i="16"/>
  <c r="I509" i="16" s="1"/>
  <c r="D509" i="16" s="1"/>
  <c r="C520" i="16"/>
  <c r="G520" i="16" s="1"/>
  <c r="I520" i="16" s="1"/>
  <c r="D520" i="16" s="1"/>
  <c r="G491" i="16"/>
  <c r="I491" i="16" s="1"/>
  <c r="D491" i="16" s="1"/>
  <c r="C502" i="16"/>
  <c r="G510" i="16"/>
  <c r="I510" i="16" s="1"/>
  <c r="D510" i="16" s="1"/>
  <c r="C521" i="16"/>
  <c r="G521" i="16" s="1"/>
  <c r="I521" i="16" s="1"/>
  <c r="D521" i="16" s="1"/>
  <c r="C523" i="16"/>
  <c r="G523" i="16" s="1"/>
  <c r="I523" i="16" s="1"/>
  <c r="D523" i="16" s="1"/>
  <c r="G512" i="16"/>
  <c r="I512" i="16" s="1"/>
  <c r="D512" i="16" s="1"/>
  <c r="G493" i="16"/>
  <c r="I493" i="16" s="1"/>
  <c r="D493" i="16" s="1"/>
  <c r="C504" i="16"/>
  <c r="G502" i="16" l="1"/>
  <c r="I502" i="16" s="1"/>
  <c r="D502" i="16" s="1"/>
  <c r="C513" i="16"/>
  <c r="G513" i="16" s="1"/>
  <c r="I513" i="16" s="1"/>
  <c r="D513" i="16" s="1"/>
  <c r="G504" i="16"/>
  <c r="I504" i="16" s="1"/>
  <c r="D504" i="16" s="1"/>
  <c r="C515" i="16"/>
  <c r="G515" i="16" s="1"/>
  <c r="I515" i="16" s="1"/>
  <c r="D515" i="16" s="1"/>
</calcChain>
</file>

<file path=xl/comments1.xml><?xml version="1.0" encoding="utf-8"?>
<comments xmlns="http://schemas.openxmlformats.org/spreadsheetml/2006/main">
  <authors>
    <author>Paul Reeves</author>
  </authors>
  <commentList>
    <comment ref="AW4" authorId="0" shapeId="0">
      <text>
        <r>
          <rPr>
            <sz val="9"/>
            <color indexed="81"/>
            <rFont val="Tahoma"/>
            <family val="2"/>
          </rPr>
          <t>Pre-existing technology is based on building vintage, fuel type and size of water heater.</t>
        </r>
      </text>
    </comment>
  </commentList>
</comments>
</file>

<file path=xl/comments2.xml><?xml version="1.0" encoding="utf-8"?>
<comments xmlns="http://schemas.openxmlformats.org/spreadsheetml/2006/main">
  <authors>
    <author>Paul Reeves</author>
  </authors>
  <commentList>
    <comment ref="E6" authorId="0" shapeId="0">
      <text>
        <r>
          <rPr>
            <sz val="9"/>
            <color indexed="81"/>
            <rFont val="Tahoma"/>
            <family val="2"/>
          </rPr>
          <t>Rated Gallons, for Instantaneous heaters, is the equivalent replaced tank size.</t>
        </r>
      </text>
    </comment>
    <comment ref="G6" authorId="0" shapeId="0">
      <text>
        <r>
          <rPr>
            <sz val="9"/>
            <color indexed="81"/>
            <rFont val="Tahoma"/>
            <family val="2"/>
          </rPr>
          <t xml:space="preserve">kW for electric heaters and kBTUh for gas heaters
</t>
        </r>
      </text>
    </comment>
    <comment ref="O6" authorId="0" shapeId="0">
      <text>
        <r>
          <rPr>
            <sz val="9"/>
            <color indexed="81"/>
            <rFont val="Tahoma"/>
            <family val="2"/>
          </rPr>
          <t>gas units with RE &gt;= 0.84 have a condensing fan.</t>
        </r>
      </text>
    </comment>
    <comment ref="P6" authorId="0" shapeId="0">
      <text>
        <r>
          <rPr>
            <sz val="9"/>
            <color indexed="81"/>
            <rFont val="Tahoma"/>
            <family val="2"/>
          </rPr>
          <t>Gas units have pilot light.</t>
        </r>
      </text>
    </comment>
    <comment ref="Q6" authorId="0" shapeId="0">
      <text>
        <r>
          <rPr>
            <sz val="9"/>
            <color indexed="81"/>
            <rFont val="Tahoma"/>
            <family val="2"/>
          </rPr>
          <t>fraction of aux BTU that heat the water for storage water heaters</t>
        </r>
      </text>
    </comment>
    <comment ref="E66" authorId="0" shapeId="0">
      <text>
        <r>
          <rPr>
            <sz val="9"/>
            <color indexed="81"/>
            <rFont val="Tahoma"/>
            <family val="2"/>
          </rPr>
          <t>equivalent size of replaced hot water heater.</t>
        </r>
      </text>
    </comment>
    <comment ref="E67" authorId="0" shapeId="0">
      <text>
        <r>
          <rPr>
            <sz val="9"/>
            <color indexed="81"/>
            <rFont val="Tahoma"/>
            <family val="2"/>
          </rPr>
          <t>equivalent size of replaced hot water heater.</t>
        </r>
      </text>
    </comment>
  </commentList>
</comments>
</file>

<file path=xl/sharedStrings.xml><?xml version="1.0" encoding="utf-8"?>
<sst xmlns="http://schemas.openxmlformats.org/spreadsheetml/2006/main" count="3502" uniqueCount="455">
  <si>
    <t>Product class</t>
  </si>
  <si>
    <t>430.32   Energy and water conservation standards and their compliance dates.</t>
  </si>
  <si>
    <t>Index</t>
  </si>
  <si>
    <t>MeasureID</t>
  </si>
  <si>
    <t>Description</t>
  </si>
  <si>
    <t>Version</t>
  </si>
  <si>
    <t>VersionSource</t>
  </si>
  <si>
    <t>LastMod</t>
  </si>
  <si>
    <t>SourceDesc</t>
  </si>
  <si>
    <t>SupportedAppType</t>
  </si>
  <si>
    <t>EnergyImpactID</t>
  </si>
  <si>
    <t>MeasImpactType</t>
  </si>
  <si>
    <t>EnImpCalcType</t>
  </si>
  <si>
    <t>ImpScaleBasis</t>
  </si>
  <si>
    <t>StdScaleVal</t>
  </si>
  <si>
    <t>PreScaleVal</t>
  </si>
  <si>
    <t>ImpWeighting</t>
  </si>
  <si>
    <t>WeightGroupID</t>
  </si>
  <si>
    <t>ApplyIE</t>
  </si>
  <si>
    <t>IETableName</t>
  </si>
  <si>
    <t>TechBased</t>
  </si>
  <si>
    <t>Sector</t>
  </si>
  <si>
    <t>PA</t>
  </si>
  <si>
    <t>UseCategory</t>
  </si>
  <si>
    <t>UseSubCategory</t>
  </si>
  <si>
    <t>TechGroup</t>
  </si>
  <si>
    <t>TechType</t>
  </si>
  <si>
    <t>MeasCostID</t>
  </si>
  <si>
    <t>StdCostID</t>
  </si>
  <si>
    <t>EUL_ID</t>
  </si>
  <si>
    <t>RUL_ID</t>
  </si>
  <si>
    <t>PreDesc</t>
  </si>
  <si>
    <t>StdDesc</t>
  </si>
  <si>
    <t>MeasDesc</t>
  </si>
  <si>
    <t>PreTechID</t>
  </si>
  <si>
    <t>StdTechID</t>
  </si>
  <si>
    <t>MeasTechID</t>
  </si>
  <si>
    <t>Status</t>
  </si>
  <si>
    <t>LegacyID</t>
  </si>
  <si>
    <t>Comment</t>
  </si>
  <si>
    <t>DEER</t>
  </si>
  <si>
    <t>None</t>
  </si>
  <si>
    <t>Any</t>
  </si>
  <si>
    <t>Res</t>
  </si>
  <si>
    <t>Measure</t>
  </si>
  <si>
    <t>DEER2015</t>
  </si>
  <si>
    <t>Code/Standard</t>
  </si>
  <si>
    <t>f</t>
  </si>
  <si>
    <t>PreMultiTech</t>
  </si>
  <si>
    <t>StdMultiTech</t>
  </si>
  <si>
    <t>Qualifier</t>
  </si>
  <si>
    <t>Tier</t>
  </si>
  <si>
    <t>DEER Measure Definition</t>
  </si>
  <si>
    <t>Review</t>
  </si>
  <si>
    <t>DEER2015 Measure Summary</t>
  </si>
  <si>
    <t>This table formats the DEER2015 measures in the ex ante format.</t>
  </si>
  <si>
    <t>The new DEER2015 measures can be reviewed by using the latest version of READI.</t>
  </si>
  <si>
    <t>For more information on READI and viewing the DEER2015 measures visit DEEResources.com.</t>
  </si>
  <si>
    <t>Measure Summary</t>
  </si>
  <si>
    <t>Measure Definitions</t>
  </si>
  <si>
    <t>Workbook Contents:</t>
  </si>
  <si>
    <t>430.32 Code Update</t>
  </si>
  <si>
    <t>The worksheet formats the new measure data into the ex ante "Measure" table format.  These data are imported in the DEER database.</t>
  </si>
  <si>
    <t>This worksheet lists the governing table from the Federal code that specifies the new maximum rated energy use for the appliances.</t>
  </si>
  <si>
    <t>Tier Levels</t>
  </si>
  <si>
    <r>
      <t>Water heaters.</t>
    </r>
    <r>
      <rPr>
        <sz val="8"/>
        <color rgb="FF000000"/>
        <rFont val="Arial"/>
        <family val="2"/>
      </rPr>
      <t> The energy factor of water heaters shall not be less than the following for products manufactured on or after the indicated dates.</t>
    </r>
  </si>
  <si>
    <t>Energy Factor</t>
  </si>
  <si>
    <t>Example EF values</t>
  </si>
  <si>
    <t>As of January 20, 2004</t>
  </si>
  <si>
    <t>As of April 16, 2015</t>
  </si>
  <si>
    <t>Gallons</t>
  </si>
  <si>
    <t>prior EF</t>
  </si>
  <si>
    <t>new EF</t>
  </si>
  <si>
    <t>Gas-fired Water Heater</t>
  </si>
  <si>
    <t>0.67−(0.0019 × Rated Storage Volume in gallons)</t>
  </si>
  <si>
    <t>For tanks with a Rated Storage Volume at or below 55 gallons:
   EF = 0.675−(0.0015 × Rated Storage Volume in gallons).</t>
  </si>
  <si>
    <t>For tanks with a Rated Storage Volume above 55 gallons:</t>
  </si>
  <si>
    <t xml:space="preserve">   EF = 0.8012−(0.00078 × Rated Storage Volume in gallons).</t>
  </si>
  <si>
    <t>Oil-fired Water Heater</t>
  </si>
  <si>
    <t>0.59−(0.0019 × Rated Storage Volume in gallons)</t>
  </si>
  <si>
    <t>EF = 0.68−(0.0019 × Rated Storage Volume in gallons).</t>
  </si>
  <si>
    <t>Electric Water Heater</t>
  </si>
  <si>
    <t>0.97−(0.00132 × Rated Storage Volume in gallons)</t>
  </si>
  <si>
    <t>For tanks with a Rated Storage Volume at or below 55 gallons:
   EF = 0.960−(0.0003 × Rated Storage Volume in gallons).</t>
  </si>
  <si>
    <t xml:space="preserve">   EF = 2.057−(0.00113 × Rated Storage Volume in gallons).</t>
  </si>
  <si>
    <t>Tabletop Water Heater</t>
  </si>
  <si>
    <t>0.93−(0.00132 × Rated Storage Volume in gallons)</t>
  </si>
  <si>
    <t>EF = 0.93−(0.00132 × Rated Storage Volume in gallons).</t>
  </si>
  <si>
    <t>Instantaneous Gas-fired Water Heater</t>
  </si>
  <si>
    <t>0.62−(0.0019 × Rated Storage Volume in gallons)</t>
  </si>
  <si>
    <t xml:space="preserve">  EF = 0.82−(0.0019 × Rated Storage Volume in gallons).</t>
  </si>
  <si>
    <t>Instantaneous Electric Water Heater</t>
  </si>
  <si>
    <t xml:space="preserve">  EF = 0.93−(0.00132 × Rated Storage Volume in gallons).</t>
  </si>
  <si>
    <t>No Change</t>
  </si>
  <si>
    <r>
      <t>Note:</t>
    </r>
    <r>
      <rPr>
        <sz val="8"/>
        <color rgb="FF000000"/>
        <rFont val="Arial"/>
        <family val="2"/>
      </rPr>
      <t> The Rated Storage Volume equals the water storage capacity of a water heater, in gallons, as specified by the manufacturer.</t>
    </r>
  </si>
  <si>
    <t>Service and Domestic Water Heater</t>
  </si>
  <si>
    <t>Small Storage and Small Instantaneous Water Heater Update in Federal Code 430.32</t>
  </si>
  <si>
    <t xml:space="preserve"> Note: Heat Pump water heater required for electric tanks &gt; 55 gallon</t>
  </si>
  <si>
    <t xml:space="preserve"> Note: large increase in EF for gas tanks &gt; 55 gallon</t>
  </si>
  <si>
    <t>DEER2015 Small Storage and Small Instantaneous Water Heater Update</t>
  </si>
  <si>
    <t>Measure Description Support</t>
  </si>
  <si>
    <t>Technology Assignments</t>
  </si>
  <si>
    <t>Pre-Existing</t>
  </si>
  <si>
    <t>Pre</t>
  </si>
  <si>
    <t>Std</t>
  </si>
  <si>
    <t>Msr</t>
  </si>
  <si>
    <t>Measure ID</t>
  </si>
  <si>
    <t>Fuel</t>
  </si>
  <si>
    <t>Volume</t>
  </si>
  <si>
    <t>NumUnits</t>
  </si>
  <si>
    <t>NormUnit</t>
  </si>
  <si>
    <t>Update</t>
  </si>
  <si>
    <t>type</t>
  </si>
  <si>
    <t>EF</t>
  </si>
  <si>
    <t>DEER-WaterHeater-Calculator</t>
  </si>
  <si>
    <t>9/6/2014</t>
  </si>
  <si>
    <t>Standard</t>
  </si>
  <si>
    <t>Com</t>
  </si>
  <si>
    <t>SHW</t>
  </si>
  <si>
    <t>Heating</t>
  </si>
  <si>
    <t>WaterHtg_eq</t>
  </si>
  <si>
    <t>HP_EF</t>
  </si>
  <si>
    <t>WtrHt-Com</t>
  </si>
  <si>
    <t>ErRobNc</t>
  </si>
  <si>
    <t>NE-WtrHt-SmlStrg-HP-lte12kW-30G-2p00EF</t>
  </si>
  <si>
    <t>Elec</t>
  </si>
  <si>
    <t>Stor_EF-Elec-030gal-0.951EF</t>
  </si>
  <si>
    <t>Stor_EF-ElecHP-030gal-2.00EF</t>
  </si>
  <si>
    <t>Each</t>
  </si>
  <si>
    <t>NE-WtrHt-SmlStrg-HP-lte12kW-30G-2p20EF</t>
  </si>
  <si>
    <t>Stor_EF-ElecHP-030gal-2.20EF</t>
  </si>
  <si>
    <t>NE-WtrHt-SmlStrg-HP-lte12kW-30G-2p40EF</t>
  </si>
  <si>
    <t>Stor_EF-ElecHP-030gal-2.40EF</t>
  </si>
  <si>
    <t>NE-WtrHt-SmlStrg-HP-lte12kW-40G-2p00EF</t>
  </si>
  <si>
    <t>Stor_EF-Elec-040gal-0.948EF</t>
  </si>
  <si>
    <t>Stor_EF-ElecHP-040gal-2.00EF</t>
  </si>
  <si>
    <t>NE-WtrHt-SmlStrg-HP-lte12kW-40G-2p20EF</t>
  </si>
  <si>
    <t>Stor_EF-ElecHP-040gal-2.20EF</t>
  </si>
  <si>
    <t>NE-WtrHt-SmlStrg-HP-lte12kW-40G-2p40EF</t>
  </si>
  <si>
    <t>Stor_EF-ElecHP-040gal-2.40EF</t>
  </si>
  <si>
    <t>NE-WtrHt-SmlStrg-HP-lte12kW-50G-2p00EF</t>
  </si>
  <si>
    <t>Stor_EF-Elec-050gal-0.945EF</t>
  </si>
  <si>
    <t>Stor_EF-ElecHP-050gal-2.00EF</t>
  </si>
  <si>
    <t>NE-WtrHt-SmlStrg-HP-lte12kW-50G-2p20EF</t>
  </si>
  <si>
    <t>Stor_EF-ElecHP-050gal-2.20EF</t>
  </si>
  <si>
    <t>NE-WtrHt-SmlStrg-HP-lte12kW-50G-2p40EF</t>
  </si>
  <si>
    <t>NE-WtrHt-SmlStrg-HP-lte12kW-60G-2p20EF</t>
  </si>
  <si>
    <t>Stor_EF-ElecHP-060gal-1.98EF</t>
  </si>
  <si>
    <t>Stor_EF-ElecHP-060gal-2.20EF</t>
  </si>
  <si>
    <t>NE-WtrHt-SmlStrg-HP-lte12kW-60G-2p40EF</t>
  </si>
  <si>
    <t>Stor_EF-ElecHP-060gal-2.40EF</t>
  </si>
  <si>
    <t>NE-WtrHt-SmlStrg-HP-lte12kW-75G-2p20EF</t>
  </si>
  <si>
    <t>Stor_EF-ElecHP-075gal-1.96EF</t>
  </si>
  <si>
    <t>Stor_EF-ElecHP-075gal-2.20EF</t>
  </si>
  <si>
    <t>NE-WtrHt-SmlStrg-HP-lte12kW-75G-2p40EF</t>
  </si>
  <si>
    <t>Stor_EF-ElecHP-075gal-2.40EF</t>
  </si>
  <si>
    <t>Stor_EF</t>
  </si>
  <si>
    <t>NG-WtrHt-SmlStrg-Gas-lte75kBtuh-30G-0p65EF</t>
  </si>
  <si>
    <t>Gas</t>
  </si>
  <si>
    <t>Stor_EF-Gas-030gal-0.630EF</t>
  </si>
  <si>
    <t>Stor_EF-Gas-030gal-0.65EF</t>
  </si>
  <si>
    <t>NG-WtrHt-SmlStrg-Gas-lte75kBtuh-30G-0p70EF</t>
  </si>
  <si>
    <t>Stor_EF-Gas-030gal-0.70EF</t>
  </si>
  <si>
    <t>NG-WtrHt-SmlStrg-Gas-lte75kBtuh-30G-0p72EF</t>
  </si>
  <si>
    <t>Stor_EF-Gas-030gal-0.72EF</t>
  </si>
  <si>
    <t>NG-WtrHt-SmlStrg-Gas-lte75kBtuh-40G-0p65EF</t>
  </si>
  <si>
    <t>Stor_EF-Gas-040gal-0.615EF</t>
  </si>
  <si>
    <t>Stor_EF-Gas-040gal-0.65EF</t>
  </si>
  <si>
    <t>NG-WtrHt-SmlStrg-Gas-lte75kBtuh-40G-0p70EF</t>
  </si>
  <si>
    <t>Stor_EF-Gas-040gal-0.70EF</t>
  </si>
  <si>
    <t>NG-WtrHt-SmlStrg-Gas-lte75kBtuh-40G-0p82EF</t>
  </si>
  <si>
    <t>Stor_EF-Gas-040gal-0.82EF</t>
  </si>
  <si>
    <t>NG-WtrHt-SmlStrg-Gas-lte75kBtuh-50G-0p67EF</t>
  </si>
  <si>
    <t>Stor_EF-Gas-050gal-0.600EF</t>
  </si>
  <si>
    <t>Stor_EF-Gas-050gal-0.67EF</t>
  </si>
  <si>
    <t>NG-WtrHt-SmlStrg-Gas-lte75kBtuh-50G-0p70EF</t>
  </si>
  <si>
    <t>Stor_EF-Gas-050gal-0.70EF</t>
  </si>
  <si>
    <t>NG-WtrHt-SmlStrg-Gas-lte75kBtuh-50G-0p82EF</t>
  </si>
  <si>
    <t>Stor_EF-Gas-050gal-0.82EF</t>
  </si>
  <si>
    <t>NG-WtrHt-SmlStrg-Gas-lte75kBtuh-60G-0p78EF</t>
  </si>
  <si>
    <t>Stor_EF-Gas-060gal-0.754EF</t>
  </si>
  <si>
    <t>Stor_EF-Gas-060gal-0.78EF</t>
  </si>
  <si>
    <t>NG-WtrHt-SmlStrg-Gas-lte75kBtuh-60G-0p80EF</t>
  </si>
  <si>
    <t>Stor_EF-Gas-060gal-0.80EF</t>
  </si>
  <si>
    <t>NG-WtrHt-SmlStrg-Gas-lte75kBtuh-60G-0p82EF</t>
  </si>
  <si>
    <t>Stor_EF-Gas-060gal-0.82EF</t>
  </si>
  <si>
    <t>NG-WtrHt-SmlStrg-Gas-lte75kBtuh-75G-0p78EF</t>
  </si>
  <si>
    <t>Stor_EF-Gas-075gal-0.743EF</t>
  </si>
  <si>
    <t>Stor_EF-Gas-075gal-0.78EF</t>
  </si>
  <si>
    <t>NG-WtrHt-SmlStrg-Gas-lte75kBtuh-75G-0p80EF</t>
  </si>
  <si>
    <t>Stor_EF-Gas-075gal-0.80EF</t>
  </si>
  <si>
    <t>NG-WtrHt-SmlStrg-Gas-lte75kBtuh-75G-0p82EF</t>
  </si>
  <si>
    <t>Stor_EF-Gas-075gal-0.82EF</t>
  </si>
  <si>
    <t>Instant_EF</t>
  </si>
  <si>
    <t>WtrHt-Instant-Com</t>
  </si>
  <si>
    <t>NG-WtrHt-SmlInst-Gas-150kBtuh-lt2G-0p82EF</t>
  </si>
  <si>
    <t>Inst_EF-Gas-150kBtuh-0p82EF</t>
  </si>
  <si>
    <t>NG-WtrHt-SmlInst-Gas-150kBtuh-lt2G-0p92EF</t>
  </si>
  <si>
    <t>Inst_EF-Gas-150kBtuh-0p92EF</t>
  </si>
  <si>
    <t>WtrHt-Res-Elec</t>
  </si>
  <si>
    <t>RE-WtrHt-SmlStrg-HP-lte12kW-30G-2p00EF</t>
  </si>
  <si>
    <t>RE-WtrHt-SmlStrg-HP-lte12kW-30G-2p20EF</t>
  </si>
  <si>
    <t>RE-WtrHt-SmlStrg-HP-lte12kW-30G-2p40EF</t>
  </si>
  <si>
    <t>RE-WtrHt-SmlStrg-HP-lte12kW-40G-2p00EF</t>
  </si>
  <si>
    <t>RE-WtrHt-SmlStrg-HP-lte12kW-40G-2p20EF</t>
  </si>
  <si>
    <t>RE-WtrHt-SmlStrg-HP-lte12kW-40G-2p40EF</t>
  </si>
  <si>
    <t>RE-WtrHt-SmlStrg-HP-lte12kW-50G-2p00EF</t>
  </si>
  <si>
    <t>RE-WtrHt-SmlStrg-HP-lte12kW-50G-2p20EF</t>
  </si>
  <si>
    <t>RE-WtrHt-SmlStrg-HP-lte12kW-50G-2p40EF</t>
  </si>
  <si>
    <t>RE-WtrHt-SmlStrg-HP-lte12kW-60G-2p20EF</t>
  </si>
  <si>
    <t>RE-WtrHt-SmlStrg-HP-lte12kW-60G-2p40EF</t>
  </si>
  <si>
    <t>RE-WtrHt-SmlStrg-HP-lte12kW-75G-2p20EF</t>
  </si>
  <si>
    <t>RE-WtrHt-SmlStrg-HP-lte12kW-75G-2p40EF</t>
  </si>
  <si>
    <t>WtrHt-Res-Gas</t>
  </si>
  <si>
    <t>RG-WtrHt-SmlStrg-Gas-lte75kBtuh-30G-0p65EF</t>
  </si>
  <si>
    <t>RG-WtrHt-SmlStrg-Gas-lte75kBtuh-30G-0p70EF</t>
  </si>
  <si>
    <t>RG-WtrHt-SmlStrg-Gas-lte75kBtuh-30G-0p72EF</t>
  </si>
  <si>
    <t>RG-WtrHt-SmlStrg-Gas-lte75kBtuh-40G-0p65EF</t>
  </si>
  <si>
    <t>RG-WtrHt-SmlStrg-Gas-lte75kBtuh-40G-0p70EF</t>
  </si>
  <si>
    <t>RG-WtrHt-SmlStrg-Gas-lte75kBtuh-40G-0p72EF</t>
  </si>
  <si>
    <t>RG-WtrHt-SmlStrg-Gas-lte75kBtuh-50G-0p62EF</t>
  </si>
  <si>
    <t>RG-WtrHt-SmlStrg-Gas-lte75kBtuh-50G-0p67EF</t>
  </si>
  <si>
    <t>RG-WtrHt-SmlStrg-Gas-lte75kBtuh-50G-0p70EF</t>
  </si>
  <si>
    <t>RG-WtrHt-SmlStrg-Gas-lte75kBtuh-60G-0p78EF</t>
  </si>
  <si>
    <t>RG-WtrHt-SmlStrg-Gas-lte75kBtuh-60G-0p80EF</t>
  </si>
  <si>
    <t>RG-WtrHt-SmlStrg-Gas-lte75kBtuh-60G-0p82EF</t>
  </si>
  <si>
    <t>RG-WtrHt-SmlStrg-Gas-lte75kBtuh-75G-0p78EF</t>
  </si>
  <si>
    <t>RG-WtrHt-SmlStrg-Gas-lte75kBtuh-75G-0p80EF</t>
  </si>
  <si>
    <t>RG-WtrHt-SmlStrg-Gas-lte75kBtuh-75G-0p82EF</t>
  </si>
  <si>
    <t>WtrHt-Instant-Res</t>
  </si>
  <si>
    <t>RG-WtrHt-SmlInst-Gas-150kBtuh-lt2G-0p82EF</t>
  </si>
  <si>
    <t>RG-WtrHt-SmlInst-Gas-150kBtuh-lt2G-0p92EF</t>
  </si>
  <si>
    <t>DEER2015 Water Heater Technologies</t>
  </si>
  <si>
    <t>TechID</t>
  </si>
  <si>
    <t>RecovEff</t>
  </si>
  <si>
    <t>TankUA</t>
  </si>
  <si>
    <t>Stor_EF-Elec-030gal-0.89EF</t>
  </si>
  <si>
    <t>pre-existing technology</t>
  </si>
  <si>
    <t>Stor_EF-Elec-030gal-0.93EF</t>
  </si>
  <si>
    <t>2015 code technology</t>
  </si>
  <si>
    <t>Stor_EF-Elec-040gal-0.88EF</t>
  </si>
  <si>
    <t>Stor_EF-Elec-040gal-0.92EF</t>
  </si>
  <si>
    <t>Stor_EF-Elec-050gal-0.86EF</t>
  </si>
  <si>
    <t>Stor_EF-Elec-050gal-0.90EF</t>
  </si>
  <si>
    <t>Stor_EF-Elec-060gal-0.85EF</t>
  </si>
  <si>
    <t>Stor_EF-Elec-060gal-0.89EF</t>
  </si>
  <si>
    <t>Stor_EF-Elec-075gal-0.83EF</t>
  </si>
  <si>
    <t>Stor_EF-Elec-075gal-0.87EF</t>
  </si>
  <si>
    <t>2015 measure technology</t>
  </si>
  <si>
    <t>Stor_EF-ElecHP-050gal-2.40EF</t>
  </si>
  <si>
    <t>Stor_EF-Gas-030gal-0.57EF</t>
  </si>
  <si>
    <t>Stor_EF-Gas-030gal-0.58EF</t>
  </si>
  <si>
    <t>Stor_EF-Gas-030gal-0.61EF</t>
  </si>
  <si>
    <t>Stor_EF-Gas-040gal-0.57EF</t>
  </si>
  <si>
    <t>Stor_EF-Gas-040gal-0.58EF</t>
  </si>
  <si>
    <t>Stor_EF-Gas-040gal-0.59EF</t>
  </si>
  <si>
    <t>Stor_EF-Gas-050gal-0.57EF</t>
  </si>
  <si>
    <t>Stor_EF-Gas-050gal-0.58EF</t>
  </si>
  <si>
    <t>Stor_EF-Gas-060gal-0.56EF</t>
  </si>
  <si>
    <t>Stor_EF-Gas-075gal-0.48EF</t>
  </si>
  <si>
    <t>Stor_EF-Gas-075gal-0.53EF</t>
  </si>
  <si>
    <t>Measure Classification</t>
  </si>
  <si>
    <t>Measure Parameters</t>
  </si>
  <si>
    <t>Notes</t>
  </si>
  <si>
    <t>Code</t>
  </si>
  <si>
    <t>Electric</t>
  </si>
  <si>
    <t>NE-WtrHt-SmlStrg-Elec-lte12kW-30G-0p95EF</t>
  </si>
  <si>
    <t>0.93 EF</t>
  </si>
  <si>
    <t>0.95 EF</t>
  </si>
  <si>
    <t>2.00 EF</t>
  </si>
  <si>
    <t>Service and Domestic Hot Water</t>
  </si>
  <si>
    <t>Water Heating</t>
  </si>
  <si>
    <t>Water Heating Equipment</t>
  </si>
  <si>
    <t>EF Rated Heat Pump Water Heater</t>
  </si>
  <si>
    <t>2.20 EF</t>
  </si>
  <si>
    <t>2.40 EF</t>
  </si>
  <si>
    <t>NE-WtrHt-SmlStrg-Elec-lte12kW-40G-0p94EF</t>
  </si>
  <si>
    <t>0.92 EF</t>
  </si>
  <si>
    <t>0.94 EF</t>
  </si>
  <si>
    <t>NE-WtrHt-SmlStrg-Elec-lte12kW-50G-0p93EF</t>
  </si>
  <si>
    <t>0.9 EF</t>
  </si>
  <si>
    <t>NE-WtrHt-SmlStrg-Elec-lte12kW-60G-0p92EF</t>
  </si>
  <si>
    <t>0.89 EF</t>
  </si>
  <si>
    <t>NE-WtrHt-SmlStrg-Elec-lte12kW-75G-0p91EF</t>
  </si>
  <si>
    <t>0.87 EF</t>
  </si>
  <si>
    <t>RE-WtrHt-SmlStrg-Elec-lte12kW-30G-0p95EF</t>
  </si>
  <si>
    <t>RE-WtrHt-SmlStrg-Elec-lte12kW-40G-0p94EF</t>
  </si>
  <si>
    <t>RE-WtrHt-SmlStrg-Elec-lte12kW-50G-0p93EF</t>
  </si>
  <si>
    <t>RE-WtrHt-SmlStrg-Elec-lte12kW-60G-0p92EF</t>
  </si>
  <si>
    <t>RE-WtrHt-SmlStrg-Elec-lte12kW-75G-0p91EF</t>
  </si>
  <si>
    <t>0.91 EF</t>
  </si>
  <si>
    <t>NG-WtrHt-SmlInst-Gas-lte75kBtuh-lt2G-0p82EF</t>
  </si>
  <si>
    <t>0.6 EF storage</t>
  </si>
  <si>
    <t>0.82 EF instant.</t>
  </si>
  <si>
    <t>0.615 EF storage</t>
  </si>
  <si>
    <t>EF Rated Instantaneous Water Heater</t>
  </si>
  <si>
    <t>0.92 EF instant.</t>
  </si>
  <si>
    <t>NG-WtrHt-SmlStrg-Gas-lte75kBtuh-30G-0p62EF</t>
  </si>
  <si>
    <t>0.61 EF</t>
  </si>
  <si>
    <t>0.62 EF</t>
  </si>
  <si>
    <t>0.65 EF</t>
  </si>
  <si>
    <t>EF Rated Storage Water Heater</t>
  </si>
  <si>
    <t>0.70 EF</t>
  </si>
  <si>
    <t>0.72 EF</t>
  </si>
  <si>
    <t>NG-WtrHt-SmlStrg-Gas-lte75kBtuh-40G-0p62EF</t>
  </si>
  <si>
    <t>0.6 EF</t>
  </si>
  <si>
    <t>NG-WtrHt-SmlStrg-Gas-lte75kBtuh-40G-0p67EF</t>
  </si>
  <si>
    <t>0.67 EF</t>
  </si>
  <si>
    <t>0.82 EF</t>
  </si>
  <si>
    <t>NG-WtrHt-SmlStrg-Gas-lte75kBtuh-50G-0p62EF</t>
  </si>
  <si>
    <t>0.58 EF</t>
  </si>
  <si>
    <t>NG-WtrHt-SmlStrg-Gas-lte75kBtuh-60G-0p62EF</t>
  </si>
  <si>
    <t>0.56 EF</t>
  </si>
  <si>
    <t>0.78 EF</t>
  </si>
  <si>
    <t>NG-WtrHt-SmlStrg-Gas-lte75kBtuh-60G-0p66EF</t>
  </si>
  <si>
    <t>0.66 EF</t>
  </si>
  <si>
    <t>0.80 EF</t>
  </si>
  <si>
    <t>NG-WtrHt-SmlStrg-Gas-lte75kBtuh-60G-0p70EF</t>
  </si>
  <si>
    <t>NG-WtrHt-SmlStrg-Gas-lte75kBtuh-75G-0p62EF</t>
  </si>
  <si>
    <t>0.53 EF</t>
  </si>
  <si>
    <t>NG-WtrHt-SmlStrg-Gas-lte75kBtuh-75G-0p66EF</t>
  </si>
  <si>
    <t>NG-WtrHt-SmlStrg-Gas-lte75kBtuh-75G-0p70EF</t>
  </si>
  <si>
    <t>RG-WtrHt-SmlInst-Gas-lte75kBtuh-lt2G-0p82EF</t>
  </si>
  <si>
    <t>0.59 EF storage</t>
  </si>
  <si>
    <t>RG-WtrHt-SmlStrg-Gas-lte75kBtuh-30G-0p62EF</t>
  </si>
  <si>
    <t>RG-WtrHt-SmlStrg-Gas-lte75kBtuh-40G-0p62EF</t>
  </si>
  <si>
    <t>0.59 EF</t>
  </si>
  <si>
    <t>RG-WtrHt-SmlStrg-Gas-lte75kBtuh-40G-0p67EF</t>
  </si>
  <si>
    <t>0.57 EF</t>
  </si>
  <si>
    <t>RG-WtrHt-SmlStrg-Gas-lte75kBtuh-60G-0p62EF</t>
  </si>
  <si>
    <t>RG-WtrHt-SmlStrg-Gas-lte75kBtuh-60G-0p66EF</t>
  </si>
  <si>
    <t>RG-WtrHt-SmlStrg-Gas-lte75kBtuh-60G-0p70EF</t>
  </si>
  <si>
    <t>RG-WtrHt-SmlStrg-Gas-lte75kBtuh-75G-0p62EF</t>
  </si>
  <si>
    <t>RG-WtrHt-SmlStrg-Gas-lte75kBtuh-75G-0p66EF</t>
  </si>
  <si>
    <t>RG-WtrHt-SmlStrg-Gas-lte75kBtuh-75G-0p70EF</t>
  </si>
  <si>
    <t>Measure case is HP, Code case is electric water heater</t>
  </si>
  <si>
    <t>Measure and Code case technologies are HP water heaters</t>
  </si>
  <si>
    <t>Measure defined as Instantaneous replacing Storage water heater</t>
  </si>
  <si>
    <t>Level</t>
  </si>
  <si>
    <t>&lt;2</t>
  </si>
  <si>
    <t>New DEER2015 water heater measures</t>
  </si>
  <si>
    <t>StartDate</t>
  </si>
  <si>
    <t>ExpiryDate</t>
  </si>
  <si>
    <t>The following table summarizes the code update for units manufactured starting on April 16, 2015.</t>
  </si>
  <si>
    <t>The minimum rated Energy Factor (EF) for small storage and small instantaneous water heaters is updated by the Federal energy code (CR 430.32) for units manufactured after April 15th, 2015. The updated code includes significant increases in the rated EF for gas and electric storage water heaters over 55 gallons.  Electric storage water heaters over 55 gallons require a heat pump water heater to meet the minimum efficiency.</t>
  </si>
  <si>
    <t xml:space="preserve">The  DEER2014 small storage and instantaneous water heater measures are updated with 60 new measure definitions that include condensing gas water heaters and heat pump electric water heaters.  A new calculation tool has been developed to support the modeling of the new measure technologies.  </t>
  </si>
  <si>
    <t>Water Heater Type</t>
  </si>
  <si>
    <t>Efficiency Tiers</t>
  </si>
  <si>
    <t>Min. Code</t>
  </si>
  <si>
    <t>Tier 1</t>
  </si>
  <si>
    <t>Tier 2</t>
  </si>
  <si>
    <t>Tier 3</t>
  </si>
  <si>
    <t>0.951 EF</t>
  </si>
  <si>
    <t>0.948 EF</t>
  </si>
  <si>
    <t>0.945 EF</t>
  </si>
  <si>
    <t>1.98 EF</t>
  </si>
  <si>
    <t>1.96 EF</t>
  </si>
  <si>
    <t>0.630 EF</t>
  </si>
  <si>
    <t>0.615 EF</t>
  </si>
  <si>
    <t>0.600 EF</t>
  </si>
  <si>
    <t>0.754 EF</t>
  </si>
  <si>
    <t>0.743 EF</t>
  </si>
  <si>
    <t>tankless</t>
  </si>
  <si>
    <t>Technologies</t>
  </si>
  <si>
    <t>This table lists all of the technologies included in the updated water heater measures. The technology specifications are used by the water heater energy use calculation tool to estimate annual energy use.</t>
  </si>
  <si>
    <t>The following table summarizes the efficiency tiers by size and fuel type for the new measure definitions.</t>
  </si>
  <si>
    <t>This worksheet list all of the update measures as well as the DEER2014 measures being updated.</t>
  </si>
  <si>
    <t>TypeID</t>
  </si>
  <si>
    <t>Name</t>
  </si>
  <si>
    <t>SrcCode</t>
  </si>
  <si>
    <t>ClassCode</t>
  </si>
  <si>
    <t>State</t>
  </si>
  <si>
    <t>Meas</t>
  </si>
  <si>
    <t>Fuel_Type</t>
  </si>
  <si>
    <t>Energy_Factor</t>
  </si>
  <si>
    <t>BurnCap_kW</t>
  </si>
  <si>
    <t>auxW</t>
  </si>
  <si>
    <t>auxVentW</t>
  </si>
  <si>
    <t>pilotBTUh</t>
  </si>
  <si>
    <t>pilotHtgEff</t>
  </si>
  <si>
    <t>HPMinT</t>
  </si>
  <si>
    <t>HPMaxT</t>
  </si>
  <si>
    <t>HPMaxGal</t>
  </si>
  <si>
    <t>BurnCap_kBTUh</t>
  </si>
  <si>
    <t>Replaced_Gal</t>
  </si>
  <si>
    <t>Nom_Gallons</t>
  </si>
  <si>
    <t>Param Name</t>
  </si>
  <si>
    <t>Param Index</t>
  </si>
  <si>
    <t>ParamID</t>
  </si>
  <si>
    <t>DEER2014</t>
  </si>
  <si>
    <t>Stor_EF-Elec-030gal-0.95EF</t>
  </si>
  <si>
    <t>Stor_EF-Elec-040gal-0.94EF</t>
  </si>
  <si>
    <t>Stor_EF-Elec-050gal-0.93EF</t>
  </si>
  <si>
    <t>Stor_EF-Elec-060gal-0.92EF</t>
  </si>
  <si>
    <t>Stor_EF-Elec-075gal-0.91EF</t>
  </si>
  <si>
    <t>Stor_EF-Gas-030gal-0.62EF</t>
  </si>
  <si>
    <t>Stor_EF-Gas-030gal-0.7EF</t>
  </si>
  <si>
    <t>Stor_EF-Gas-040gal-0.62EF</t>
  </si>
  <si>
    <t>Stor_EF-Gas-040gal-0.67EF</t>
  </si>
  <si>
    <t>Stor_EF-Gas-040gal-0.7EF</t>
  </si>
  <si>
    <t>Stor_EF-Gas-050gal-0.62EF</t>
  </si>
  <si>
    <t>Stor_EF-Gas-050gal-0.7EF</t>
  </si>
  <si>
    <t>Stor_EF-Gas-060gal-0.62EF</t>
  </si>
  <si>
    <t>Stor_EF-Gas-060gal-0.66EF</t>
  </si>
  <si>
    <t>Stor_EF-Gas-060gal-0.7EF</t>
  </si>
  <si>
    <t>Stor_EF-Gas-075gal-0.62EF</t>
  </si>
  <si>
    <t>Stor_EF-Gas-075gal-0.66EF</t>
  </si>
  <si>
    <t>Stor_EF-Gas-075gal-0.7EF</t>
  </si>
  <si>
    <t>Small storage Elec water heater: 30 gallon, EF = 0.95</t>
  </si>
  <si>
    <t>Small storage Elec water heater: 40 gallon, EF = 0.94</t>
  </si>
  <si>
    <t>Small storage Elec water heater: 50 gallon, EF = 0.93</t>
  </si>
  <si>
    <t>Small storage Elec water heater: 60 gallon, EF = 0.92</t>
  </si>
  <si>
    <t>Small storage Elec water heater: 75 gallon, EF = 0.91</t>
  </si>
  <si>
    <t>Small storage Elec water heater: 30 gallon, EF = 0.62</t>
  </si>
  <si>
    <t>Small storage Elec water heater: 30 gallon, EF = 0.7</t>
  </si>
  <si>
    <t>Small storage Elec water heater: 40 gallon, EF = 0.62</t>
  </si>
  <si>
    <t>Small storage Elec water heater: 40 gallon, EF = 0.67</t>
  </si>
  <si>
    <t>Small storage Elec water heater: 50 gallon, EF = 0.7</t>
  </si>
  <si>
    <t>Small storage Elec water heater: 50 gallon, EF = 0.62</t>
  </si>
  <si>
    <t>Small storage Elec water heater: 60 gallon, EF = 0.62</t>
  </si>
  <si>
    <t>Small storage Elec water heater: 60 gallon, EF = 0.66</t>
  </si>
  <si>
    <t>Small storage Elec water heater: 60 gallon, EF = 0.7</t>
  </si>
  <si>
    <t>Small storage Elec water heater: 75 gallon, EF = 0.62</t>
  </si>
  <si>
    <t>Small storage Elec water heater: 75 gallon, EF = 0.66</t>
  </si>
  <si>
    <t>Small storage Elec water heater: 75 gallon, EF = 0.7</t>
  </si>
  <si>
    <t>ParamVal</t>
  </si>
  <si>
    <t>TechName</t>
  </si>
  <si>
    <t>row</t>
  </si>
  <si>
    <t>column</t>
  </si>
  <si>
    <t>ParamName</t>
  </si>
  <si>
    <t>30</t>
  </si>
  <si>
    <t>40</t>
  </si>
  <si>
    <t>50</t>
  </si>
  <si>
    <t>60</t>
  </si>
  <si>
    <t>75</t>
  </si>
  <si>
    <t>0.95</t>
  </si>
  <si>
    <t>0.94</t>
  </si>
  <si>
    <t>0.93</t>
  </si>
  <si>
    <t>0.92</t>
  </si>
  <si>
    <t>0.91</t>
  </si>
  <si>
    <t>0.62</t>
  </si>
  <si>
    <t>0.67</t>
  </si>
  <si>
    <t>0.66</t>
  </si>
  <si>
    <t>0.70</t>
  </si>
  <si>
    <t>t</t>
  </si>
  <si>
    <t>DEER2014 Equivalent Measures by Tier Level</t>
  </si>
  <si>
    <t>This table summarizes the new DEER2015 water heater measures and compares the new tier levels with the DEER2014 water heater measures.</t>
  </si>
  <si>
    <t>The hidden tabs "exante.Technology" and "exante.TechParams" contain the technology data formatted for upload to the database.</t>
  </si>
  <si>
    <t>For details on the water heater simulation tool, see the document "2015DEER-WaterHeaterMeasures-Update-2Sept2014.docx" and the workbook "DEER-WaterHeater-Calculator-v1.0.xlsm" , posted with this workbook.</t>
  </si>
  <si>
    <r>
      <t>0.82 EF</t>
    </r>
    <r>
      <rPr>
        <vertAlign val="superscript"/>
        <sz val="11"/>
        <color rgb="FF000000"/>
        <rFont val="Calibri"/>
        <family val="2"/>
        <scheme val="minor"/>
      </rPr>
      <t>1</t>
    </r>
  </si>
  <si>
    <r>
      <t>0.92 EF</t>
    </r>
    <r>
      <rPr>
        <vertAlign val="superscript"/>
        <sz val="11"/>
        <color rgb="FF000000"/>
        <rFont val="Calibri"/>
        <family val="2"/>
        <scheme val="minor"/>
      </rPr>
      <t>1</t>
    </r>
  </si>
  <si>
    <t>Note: pre-existing and code technology type is a gas storage water heater</t>
  </si>
  <si>
    <t>61 new technologies are defined to support the new water heater measures.  The technologies span three technology types: EF rated storage water heaters,EF rated HP water heaters and EF rated instantaneous water heaters.  The defintion of these technolgy types have been expanded to include all of the parameters required by the calculation tool.  Water heater technologies that were defined for the DEER2014 database but not required for the new measure definitions are also updated to the new technology type format.  The exante.Technology and exante.TechParams worksheets contain the same data formatted for the ex ante database.</t>
  </si>
  <si>
    <t>Short Desc A</t>
  </si>
  <si>
    <t>Short Desc 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</si>
</sst>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00000000000000"/>
  </numFmts>
  <fonts count="24"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1"/>
      <color rgb="FF000000"/>
      <name val="Calibri"/>
      <family val="2"/>
      <scheme val="minor"/>
    </font>
    <font>
      <i/>
      <sz val="11"/>
      <name val="Calibri"/>
      <family val="2"/>
      <scheme val="minor"/>
    </font>
    <font>
      <b/>
      <sz val="14"/>
      <color theme="3"/>
      <name val="Calibri"/>
      <family val="2"/>
      <scheme val="minor"/>
    </font>
    <font>
      <sz val="11"/>
      <color theme="0" tint="-0.34998626667073579"/>
      <name val="Calibri"/>
      <family val="2"/>
      <scheme val="minor"/>
    </font>
    <font>
      <sz val="11"/>
      <color rgb="FF0070C0"/>
      <name val="Calibri"/>
      <family val="2"/>
      <scheme val="minor"/>
    </font>
    <font>
      <i/>
      <sz val="8"/>
      <color rgb="FF000000"/>
      <name val="Arial"/>
      <family val="2"/>
    </font>
    <font>
      <sz val="11"/>
      <color theme="1"/>
      <name val="Arial"/>
      <family val="2"/>
    </font>
    <font>
      <sz val="10"/>
      <color theme="1"/>
      <name val="Arial"/>
      <family val="2"/>
    </font>
    <font>
      <b/>
      <i/>
      <sz val="11"/>
      <color theme="1"/>
      <name val="Calibri"/>
      <family val="2"/>
      <scheme val="minor"/>
    </font>
    <font>
      <sz val="9"/>
      <color indexed="81"/>
      <name val="Tahoma"/>
      <family val="2"/>
    </font>
    <font>
      <b/>
      <sz val="11"/>
      <color rgb="FF000000"/>
      <name val="Calibri"/>
      <family val="2"/>
      <scheme val="minor"/>
    </font>
    <font>
      <b/>
      <sz val="11"/>
      <color rgb="FF0070C0"/>
      <name val="Calibri"/>
      <family val="2"/>
      <scheme val="minor"/>
    </font>
    <font>
      <vertAlign val="superscript"/>
      <sz val="11"/>
      <color rgb="FF000000"/>
      <name val="Calibri"/>
      <family val="2"/>
      <scheme val="minor"/>
    </font>
    <font>
      <i/>
      <sz val="11"/>
      <color rgb="FF000000"/>
      <name val="Calibri"/>
      <family val="2"/>
      <scheme val="minor"/>
    </font>
    <font>
      <b/>
      <sz val="11"/>
      <color rgb="FFFA7D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2F2F2"/>
        <bgColor indexed="64"/>
      </patternFill>
    </fill>
    <fill>
      <patternFill patternType="solid">
        <fgColor rgb="FFF2F2F2"/>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9" fontId="5" fillId="0" borderId="0" applyFont="0" applyFill="0" applyBorder="0" applyAlignment="0" applyProtection="0"/>
    <xf numFmtId="0" fontId="6" fillId="0" borderId="18" applyNumberFormat="0" applyFill="0" applyAlignment="0" applyProtection="0"/>
    <xf numFmtId="0" fontId="7" fillId="0" borderId="19" applyNumberFormat="0" applyFill="0" applyAlignment="0" applyProtection="0"/>
    <xf numFmtId="0" fontId="8" fillId="0" borderId="0" applyNumberFormat="0" applyFill="0" applyBorder="0" applyAlignment="0" applyProtection="0"/>
    <xf numFmtId="0" fontId="23" fillId="6" borderId="36" applyNumberFormat="0" applyAlignment="0" applyProtection="0"/>
  </cellStyleXfs>
  <cellXfs count="141">
    <xf numFmtId="0" fontId="0" fillId="0" borderId="0" xfId="0"/>
    <xf numFmtId="0" fontId="0" fillId="0" borderId="0" xfId="0" applyAlignment="1">
      <alignment horizontal="center"/>
    </xf>
    <xf numFmtId="0" fontId="0" fillId="0" borderId="0" xfId="0" applyAlignment="1">
      <alignment horizontal="left" vertical="center" wrapText="1"/>
    </xf>
    <xf numFmtId="0" fontId="4" fillId="0" borderId="0" xfId="0" applyFont="1"/>
    <xf numFmtId="14" fontId="0" fillId="0" borderId="0" xfId="0" applyNumberFormat="1"/>
    <xf numFmtId="0" fontId="0" fillId="0" borderId="10" xfId="0" applyBorder="1" applyAlignment="1">
      <alignment horizontal="center"/>
    </xf>
    <xf numFmtId="0" fontId="0" fillId="0" borderId="10" xfId="0" applyBorder="1"/>
    <xf numFmtId="0" fontId="0" fillId="0" borderId="0" xfId="0" applyAlignment="1">
      <alignment horizontal="left"/>
    </xf>
    <xf numFmtId="0" fontId="0" fillId="0" borderId="0" xfId="0" applyAlignment="1"/>
    <xf numFmtId="0" fontId="10" fillId="0" borderId="0" xfId="4" applyFont="1"/>
    <xf numFmtId="0" fontId="1" fillId="0" borderId="0" xfId="0" applyFont="1"/>
    <xf numFmtId="0" fontId="11" fillId="0" borderId="19" xfId="3" applyFont="1"/>
    <xf numFmtId="0" fontId="6" fillId="0" borderId="18" xfId="2"/>
    <xf numFmtId="0" fontId="12" fillId="0" borderId="0" xfId="0" applyFont="1" applyAlignment="1">
      <alignment horizontal="center"/>
    </xf>
    <xf numFmtId="0" fontId="12" fillId="0" borderId="10" xfId="0" applyFont="1" applyBorder="1" applyAlignment="1">
      <alignment horizontal="center"/>
    </xf>
    <xf numFmtId="0" fontId="13" fillId="0" borderId="0" xfId="0" applyFont="1"/>
    <xf numFmtId="0" fontId="0" fillId="0" borderId="0" xfId="0" applyAlignment="1">
      <alignment horizontal="left" vertical="center" wrapText="1"/>
    </xf>
    <xf numFmtId="0" fontId="2" fillId="0" borderId="0" xfId="0" applyFont="1" applyAlignment="1">
      <alignment horizontal="left" vertical="center"/>
    </xf>
    <xf numFmtId="0" fontId="14" fillId="0" borderId="0" xfId="0" applyFont="1" applyAlignment="1">
      <alignment horizontal="left" vertical="center"/>
    </xf>
    <xf numFmtId="0" fontId="15" fillId="2" borderId="12" xfId="0" applyFont="1" applyFill="1" applyBorder="1" applyAlignment="1">
      <alignment horizontal="center" wrapText="1"/>
    </xf>
    <xf numFmtId="0" fontId="15" fillId="2" borderId="13" xfId="0" applyFont="1" applyFill="1" applyBorder="1" applyAlignment="1">
      <alignment horizontal="center" wrapText="1"/>
    </xf>
    <xf numFmtId="0" fontId="16" fillId="2" borderId="14" xfId="0" applyFont="1" applyFill="1" applyBorder="1" applyAlignment="1">
      <alignment horizontal="center" wrapText="1"/>
    </xf>
    <xf numFmtId="0" fontId="16" fillId="2" borderId="13" xfId="0" applyFont="1" applyFill="1" applyBorder="1" applyAlignment="1">
      <alignment horizontal="center" wrapText="1"/>
    </xf>
    <xf numFmtId="0" fontId="16" fillId="2" borderId="15" xfId="0" applyFont="1" applyFill="1" applyBorder="1" applyAlignment="1">
      <alignment horizontal="center" wrapText="1"/>
    </xf>
    <xf numFmtId="0" fontId="16" fillId="0" borderId="8" xfId="0" applyFont="1" applyFill="1" applyBorder="1" applyAlignment="1">
      <alignment horizontal="left" vertical="top" wrapText="1"/>
    </xf>
    <xf numFmtId="0" fontId="0" fillId="0" borderId="0" xfId="0" applyBorder="1" applyAlignment="1">
      <alignment horizontal="center"/>
    </xf>
    <xf numFmtId="2" fontId="0" fillId="0" borderId="0" xfId="0" applyNumberFormat="1" applyBorder="1" applyAlignment="1">
      <alignment horizontal="center"/>
    </xf>
    <xf numFmtId="2" fontId="0" fillId="0" borderId="5" xfId="0" applyNumberFormat="1" applyBorder="1" applyAlignment="1">
      <alignment horizontal="center"/>
    </xf>
    <xf numFmtId="0" fontId="16" fillId="0" borderId="32" xfId="0" applyFont="1" applyFill="1" applyBorder="1" applyAlignment="1">
      <alignment horizontal="left" vertical="top" wrapText="1"/>
    </xf>
    <xf numFmtId="2" fontId="0" fillId="0" borderId="10" xfId="0" applyNumberFormat="1" applyBorder="1" applyAlignment="1">
      <alignment horizontal="center"/>
    </xf>
    <xf numFmtId="2" fontId="1" fillId="0" borderId="7" xfId="0" applyNumberFormat="1" applyFont="1" applyBorder="1" applyAlignment="1">
      <alignment horizontal="center"/>
    </xf>
    <xf numFmtId="0" fontId="16" fillId="0" borderId="8"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11" xfId="0" applyFont="1" applyFill="1" applyBorder="1" applyAlignment="1">
      <alignment horizontal="left" vertical="top" wrapText="1"/>
    </xf>
    <xf numFmtId="0" fontId="0" fillId="0" borderId="9" xfId="0" applyBorder="1" applyAlignment="1">
      <alignment horizontal="center"/>
    </xf>
    <xf numFmtId="2" fontId="0" fillId="0" borderId="9" xfId="0" applyNumberFormat="1" applyBorder="1" applyAlignment="1">
      <alignment horizontal="center"/>
    </xf>
    <xf numFmtId="2" fontId="0" fillId="0" borderId="3" xfId="0" applyNumberFormat="1" applyBorder="1" applyAlignment="1">
      <alignment horizontal="center"/>
    </xf>
    <xf numFmtId="0" fontId="0" fillId="0" borderId="5" xfId="0" applyBorder="1" applyAlignment="1">
      <alignment horizontal="center"/>
    </xf>
    <xf numFmtId="0" fontId="16" fillId="0" borderId="1" xfId="0" applyFont="1" applyBorder="1" applyAlignment="1">
      <alignment horizontal="center" vertical="center" wrapText="1"/>
    </xf>
    <xf numFmtId="0" fontId="16" fillId="0" borderId="3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0" fillId="0" borderId="31" xfId="0" applyBorder="1" applyAlignment="1">
      <alignment horizontal="center"/>
    </xf>
    <xf numFmtId="2" fontId="0" fillId="0" borderId="31" xfId="0" applyNumberFormat="1" applyBorder="1" applyAlignment="1">
      <alignment horizontal="center"/>
    </xf>
    <xf numFmtId="2" fontId="1" fillId="0" borderId="30" xfId="0" applyNumberFormat="1" applyFont="1" applyBorder="1" applyAlignment="1">
      <alignment horizontal="center"/>
    </xf>
    <xf numFmtId="0" fontId="16" fillId="0" borderId="33" xfId="0" applyFont="1" applyBorder="1" applyAlignment="1">
      <alignment horizontal="center" vertical="center" wrapText="1"/>
    </xf>
    <xf numFmtId="0" fontId="16" fillId="0" borderId="32" xfId="0" applyFont="1" applyBorder="1" applyAlignment="1">
      <alignment horizontal="left" vertical="center" wrapText="1"/>
    </xf>
    <xf numFmtId="0" fontId="15" fillId="2" borderId="11" xfId="0" applyFont="1" applyFill="1" applyBorder="1" applyAlignment="1">
      <alignment horizontal="center" wrapText="1"/>
    </xf>
    <xf numFmtId="0" fontId="15" fillId="2" borderId="16" xfId="0" applyFont="1" applyFill="1" applyBorder="1" applyAlignment="1">
      <alignment horizontal="center" wrapText="1"/>
    </xf>
    <xf numFmtId="2" fontId="0" fillId="0" borderId="3" xfId="0" applyNumberFormat="1" applyFont="1" applyBorder="1" applyAlignment="1">
      <alignment horizontal="center"/>
    </xf>
    <xf numFmtId="0" fontId="7" fillId="0" borderId="19" xfId="3"/>
    <xf numFmtId="0" fontId="17" fillId="0" borderId="0" xfId="0" applyFont="1"/>
    <xf numFmtId="0" fontId="0" fillId="0" borderId="10" xfId="0" applyFill="1" applyBorder="1" applyAlignment="1">
      <alignment horizontal="center"/>
    </xf>
    <xf numFmtId="14" fontId="0" fillId="0" borderId="0" xfId="0" quotePrefix="1" applyNumberFormat="1"/>
    <xf numFmtId="0" fontId="12" fillId="0" borderId="0" xfId="0" applyFont="1"/>
    <xf numFmtId="2" fontId="0" fillId="0" borderId="0" xfId="0" applyNumberFormat="1" applyAlignment="1">
      <alignment horizontal="left"/>
    </xf>
    <xf numFmtId="165" fontId="0" fillId="0" borderId="0" xfId="0" applyNumberFormat="1" applyAlignment="1">
      <alignment horizontal="left"/>
    </xf>
    <xf numFmtId="164" fontId="0" fillId="0" borderId="0" xfId="0" applyNumberFormat="1" applyAlignment="1">
      <alignment horizontal="left"/>
    </xf>
    <xf numFmtId="2" fontId="0" fillId="0" borderId="0" xfId="0" applyNumberFormat="1"/>
    <xf numFmtId="0" fontId="0" fillId="2" borderId="6" xfId="0" applyFont="1" applyFill="1" applyBorder="1" applyAlignment="1">
      <alignment horizontal="center"/>
    </xf>
    <xf numFmtId="0" fontId="0" fillId="2" borderId="7" xfId="0" applyFont="1" applyFill="1" applyBorder="1" applyAlignment="1">
      <alignment horizontal="center"/>
    </xf>
    <xf numFmtId="165" fontId="0" fillId="0" borderId="0" xfId="0" applyNumberFormat="1" applyBorder="1" applyAlignment="1">
      <alignment horizontal="center"/>
    </xf>
    <xf numFmtId="0" fontId="0" fillId="0" borderId="4" xfId="0" applyBorder="1" applyAlignment="1">
      <alignment horizontal="center"/>
    </xf>
    <xf numFmtId="0" fontId="0" fillId="0" borderId="5" xfId="0" applyBorder="1"/>
    <xf numFmtId="0" fontId="0" fillId="0" borderId="4" xfId="0" applyFill="1" applyBorder="1" applyAlignment="1">
      <alignment horizontal="center"/>
    </xf>
    <xf numFmtId="9" fontId="0" fillId="0" borderId="0" xfId="1" applyFont="1"/>
    <xf numFmtId="165" fontId="0" fillId="0" borderId="0" xfId="0" applyNumberForma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7" xfId="0" applyBorder="1"/>
    <xf numFmtId="0" fontId="0" fillId="0" borderId="6" xfId="0" applyFill="1" applyBorder="1" applyAlignment="1">
      <alignment horizontal="center"/>
    </xf>
    <xf numFmtId="0" fontId="0" fillId="0" borderId="5" xfId="0" applyBorder="1" applyAlignment="1">
      <alignment horizontal="left"/>
    </xf>
    <xf numFmtId="165" fontId="0" fillId="0" borderId="10" xfId="0" applyNumberFormat="1" applyFill="1" applyBorder="1" applyAlignment="1">
      <alignment horizontal="center"/>
    </xf>
    <xf numFmtId="0" fontId="0" fillId="4" borderId="9" xfId="0" applyFont="1" applyFill="1" applyBorder="1" applyAlignment="1"/>
    <xf numFmtId="0" fontId="0" fillId="3" borderId="28" xfId="0" applyFont="1" applyFill="1" applyBorder="1" applyAlignment="1">
      <alignment horizontal="center"/>
    </xf>
    <xf numFmtId="0" fontId="0" fillId="3" borderId="25" xfId="0" applyFont="1" applyFill="1" applyBorder="1" applyAlignment="1">
      <alignment horizontal="center"/>
    </xf>
    <xf numFmtId="0" fontId="0" fillId="3" borderId="27" xfId="0" applyFont="1" applyFill="1" applyBorder="1" applyAlignment="1">
      <alignment horizontal="center"/>
    </xf>
    <xf numFmtId="0" fontId="0" fillId="4" borderId="25" xfId="0" applyFont="1" applyFill="1" applyBorder="1" applyAlignment="1">
      <alignment horizontal="center"/>
    </xf>
    <xf numFmtId="0" fontId="0" fillId="4" borderId="27" xfId="0" applyFont="1" applyFill="1" applyBorder="1" applyAlignment="1">
      <alignment horizontal="center"/>
    </xf>
    <xf numFmtId="0" fontId="0" fillId="0" borderId="4" xfId="0" applyBorder="1" applyAlignment="1">
      <alignment horizontal="left"/>
    </xf>
    <xf numFmtId="0" fontId="0" fillId="0" borderId="6" xfId="0" applyBorder="1" applyAlignment="1">
      <alignment horizontal="left"/>
    </xf>
    <xf numFmtId="0" fontId="0" fillId="3" borderId="9" xfId="0" applyFont="1" applyFill="1" applyBorder="1" applyAlignment="1">
      <alignment horizontal="center"/>
    </xf>
    <xf numFmtId="0" fontId="0" fillId="3" borderId="2" xfId="0" applyFont="1" applyFill="1" applyBorder="1" applyAlignment="1">
      <alignment horizontal="left"/>
    </xf>
    <xf numFmtId="0" fontId="0" fillId="3" borderId="28" xfId="0" applyFont="1" applyFill="1" applyBorder="1" applyAlignment="1">
      <alignment horizontal="left"/>
    </xf>
    <xf numFmtId="165" fontId="0" fillId="0" borderId="10" xfId="0" applyNumberFormat="1" applyBorder="1" applyAlignment="1">
      <alignment horizontal="center"/>
    </xf>
    <xf numFmtId="0" fontId="0" fillId="0" borderId="7" xfId="0"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28" xfId="0" applyBorder="1" applyAlignment="1">
      <alignment horizontal="left"/>
    </xf>
    <xf numFmtId="0" fontId="0" fillId="0" borderId="28"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2" fontId="0" fillId="0" borderId="25" xfId="0" applyNumberFormat="1" applyBorder="1" applyAlignment="1">
      <alignment horizontal="center"/>
    </xf>
    <xf numFmtId="0" fontId="0" fillId="0" borderId="27" xfId="0" applyBorder="1" applyAlignment="1">
      <alignment horizontal="left"/>
    </xf>
    <xf numFmtId="0" fontId="9" fillId="5" borderId="24"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25" xfId="0" applyFont="1" applyFill="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horizontal="left"/>
    </xf>
    <xf numFmtId="0" fontId="0" fillId="0" borderId="0" xfId="0" applyAlignment="1">
      <alignment horizontal="right"/>
    </xf>
    <xf numFmtId="0" fontId="0" fillId="0" borderId="10" xfId="0" applyBorder="1" applyAlignment="1">
      <alignment horizontal="right"/>
    </xf>
    <xf numFmtId="0" fontId="20" fillId="0" borderId="0" xfId="0" applyFont="1"/>
    <xf numFmtId="166" fontId="0" fillId="0" borderId="0" xfId="0" applyNumberFormat="1" applyAlignment="1">
      <alignment horizontal="left"/>
    </xf>
    <xf numFmtId="0" fontId="0" fillId="0" borderId="0" xfId="0" quotePrefix="1"/>
    <xf numFmtId="0" fontId="22" fillId="0" borderId="0" xfId="0" applyFont="1" applyFill="1" applyBorder="1" applyAlignment="1">
      <alignment horizontal="left" vertical="center"/>
    </xf>
    <xf numFmtId="0" fontId="23" fillId="6" borderId="36" xfId="5" applyAlignment="1">
      <alignment horizontal="left"/>
    </xf>
    <xf numFmtId="0" fontId="23" fillId="6" borderId="36" xfId="5"/>
    <xf numFmtId="0" fontId="0" fillId="0" borderId="0" xfId="0" applyAlignment="1">
      <alignment horizontal="left" vertical="center" wrapText="1"/>
    </xf>
    <xf numFmtId="0" fontId="19" fillId="5" borderId="35" xfId="0" applyFont="1" applyFill="1" applyBorder="1" applyAlignment="1">
      <alignment horizontal="center" vertical="center"/>
    </xf>
    <xf numFmtId="0" fontId="19" fillId="5" borderId="20" xfId="0" applyFont="1" applyFill="1" applyBorder="1" applyAlignment="1">
      <alignment horizontal="center" vertical="center"/>
    </xf>
    <xf numFmtId="0" fontId="19" fillId="5" borderId="34" xfId="0" applyFont="1" applyFill="1" applyBorder="1" applyAlignment="1">
      <alignment horizontal="center" vertical="center"/>
    </xf>
    <xf numFmtId="0" fontId="19" fillId="5" borderId="22" xfId="0" applyFont="1" applyFill="1" applyBorder="1" applyAlignment="1">
      <alignment horizontal="center" vertical="center"/>
    </xf>
    <xf numFmtId="0" fontId="0" fillId="3" borderId="2" xfId="0" applyFont="1" applyFill="1" applyBorder="1" applyAlignment="1">
      <alignment horizontal="center"/>
    </xf>
    <xf numFmtId="0" fontId="0" fillId="3" borderId="9" xfId="0" applyFont="1" applyFill="1" applyBorder="1" applyAlignment="1">
      <alignment horizontal="center"/>
    </xf>
    <xf numFmtId="0" fontId="0" fillId="3" borderId="3"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3" borderId="11" xfId="0" applyFont="1" applyFill="1" applyBorder="1" applyAlignment="1">
      <alignment horizontal="center"/>
    </xf>
    <xf numFmtId="0" fontId="0" fillId="3" borderId="16" xfId="0" applyFont="1" applyFill="1" applyBorder="1" applyAlignment="1">
      <alignment horizontal="center"/>
    </xf>
    <xf numFmtId="0" fontId="0" fillId="4" borderId="9" xfId="0" applyFont="1" applyFill="1" applyBorder="1" applyAlignment="1">
      <alignment horizontal="center"/>
    </xf>
    <xf numFmtId="0" fontId="0" fillId="4" borderId="3" xfId="0" applyFont="1" applyFill="1" applyBorder="1" applyAlignment="1">
      <alignment horizontal="center"/>
    </xf>
    <xf numFmtId="0" fontId="0" fillId="0" borderId="0" xfId="0" applyAlignment="1">
      <alignment horizontal="center"/>
    </xf>
    <xf numFmtId="0" fontId="15" fillId="2" borderId="29" xfId="0" applyFont="1" applyFill="1" applyBorder="1" applyAlignment="1">
      <alignment horizontal="center"/>
    </xf>
    <xf numFmtId="0" fontId="15" fillId="2" borderId="30" xfId="0" applyFont="1" applyFill="1" applyBorder="1" applyAlignment="1">
      <alignment horizontal="center"/>
    </xf>
    <xf numFmtId="0" fontId="0" fillId="2" borderId="29" xfId="0" applyFill="1" applyBorder="1" applyAlignment="1">
      <alignment horizontal="center"/>
    </xf>
    <xf numFmtId="0" fontId="0" fillId="2" borderId="31" xfId="0" applyFill="1" applyBorder="1" applyAlignment="1">
      <alignment horizontal="center"/>
    </xf>
    <xf numFmtId="0" fontId="0" fillId="2" borderId="30" xfId="0" applyFill="1" applyBorder="1" applyAlignment="1">
      <alignment horizontal="center"/>
    </xf>
    <xf numFmtId="0" fontId="16" fillId="0" borderId="8"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Fill="1" applyBorder="1" applyAlignment="1">
      <alignment horizontal="center" vertical="center" wrapText="1"/>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16" fillId="0" borderId="17" xfId="0" applyFont="1" applyBorder="1" applyAlignment="1">
      <alignment horizontal="center" vertical="center" wrapText="1"/>
    </xf>
  </cellXfs>
  <cellStyles count="6">
    <cellStyle name="Calculation" xfId="5" builtinId="22"/>
    <cellStyle name="Explanatory Text" xfId="4" builtinId="53"/>
    <cellStyle name="Heading 1" xfId="2" builtinId="16"/>
    <cellStyle name="Heading 2" xfId="3" builtinId="17"/>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M42"/>
  <sheetViews>
    <sheetView tabSelected="1" workbookViewId="0"/>
  </sheetViews>
  <sheetFormatPr defaultRowHeight="15" x14ac:dyDescent="0.25"/>
  <cols>
    <col min="2" max="2" width="9.7109375" bestFit="1" customWidth="1"/>
    <col min="5" max="5" width="10.28515625" customWidth="1"/>
    <col min="16" max="16" width="11.140625" customWidth="1"/>
  </cols>
  <sheetData>
    <row r="2" spans="2:13" ht="20.25" thickBot="1" x14ac:dyDescent="0.35">
      <c r="B2" s="12" t="s">
        <v>99</v>
      </c>
      <c r="C2" s="12"/>
      <c r="D2" s="12"/>
      <c r="E2" s="12"/>
      <c r="F2" s="12"/>
      <c r="G2" s="12"/>
      <c r="H2" s="12"/>
      <c r="I2" s="12"/>
      <c r="J2" s="12"/>
      <c r="K2" s="12"/>
    </row>
    <row r="3" spans="2:13" ht="15.75" thickTop="1" x14ac:dyDescent="0.25">
      <c r="B3" s="4">
        <v>41913</v>
      </c>
    </row>
    <row r="5" spans="2:13" ht="65.25" customHeight="1" x14ac:dyDescent="0.25">
      <c r="B5" s="111" t="s">
        <v>344</v>
      </c>
      <c r="C5" s="111"/>
      <c r="D5" s="111"/>
      <c r="E5" s="111"/>
      <c r="F5" s="111"/>
      <c r="G5" s="111"/>
      <c r="H5" s="111"/>
      <c r="I5" s="111"/>
      <c r="J5" s="111"/>
      <c r="K5" s="111"/>
      <c r="L5" s="111"/>
      <c r="M5" s="111"/>
    </row>
    <row r="6" spans="2:13" x14ac:dyDescent="0.25">
      <c r="B6" s="2"/>
      <c r="C6" s="2"/>
      <c r="D6" s="2"/>
      <c r="E6" s="2"/>
      <c r="F6" s="2"/>
      <c r="G6" s="2"/>
      <c r="H6" s="2"/>
      <c r="I6" s="2"/>
      <c r="J6" s="2"/>
      <c r="K6" s="2"/>
      <c r="L6" s="2"/>
      <c r="M6" s="2"/>
    </row>
    <row r="7" spans="2:13" ht="49.5" customHeight="1" x14ac:dyDescent="0.25">
      <c r="B7" s="111" t="s">
        <v>345</v>
      </c>
      <c r="C7" s="111"/>
      <c r="D7" s="111"/>
      <c r="E7" s="111"/>
      <c r="F7" s="111"/>
      <c r="G7" s="111"/>
      <c r="H7" s="111"/>
      <c r="I7" s="111"/>
      <c r="J7" s="111"/>
      <c r="K7" s="111"/>
      <c r="L7" s="111"/>
      <c r="M7" s="111"/>
    </row>
    <row r="9" spans="2:13" x14ac:dyDescent="0.25">
      <c r="B9" s="10" t="s">
        <v>64</v>
      </c>
    </row>
    <row r="10" spans="2:13" x14ac:dyDescent="0.25">
      <c r="B10" t="s">
        <v>365</v>
      </c>
    </row>
    <row r="11" spans="2:13" ht="15.75" thickBot="1" x14ac:dyDescent="0.3"/>
    <row r="12" spans="2:13" x14ac:dyDescent="0.25">
      <c r="C12" s="115" t="s">
        <v>346</v>
      </c>
      <c r="D12" s="114"/>
      <c r="E12" s="112" t="s">
        <v>347</v>
      </c>
      <c r="F12" s="113"/>
      <c r="G12" s="113"/>
      <c r="H12" s="114"/>
    </row>
    <row r="13" spans="2:13" ht="15.75" thickBot="1" x14ac:dyDescent="0.3">
      <c r="C13" s="93" t="s">
        <v>107</v>
      </c>
      <c r="D13" s="94" t="s">
        <v>70</v>
      </c>
      <c r="E13" s="95" t="s">
        <v>348</v>
      </c>
      <c r="F13" s="95" t="s">
        <v>349</v>
      </c>
      <c r="G13" s="95" t="s">
        <v>350</v>
      </c>
      <c r="H13" s="94" t="s">
        <v>351</v>
      </c>
    </row>
    <row r="14" spans="2:13" x14ac:dyDescent="0.25">
      <c r="C14" s="96" t="s">
        <v>265</v>
      </c>
      <c r="D14" s="97">
        <v>30</v>
      </c>
      <c r="E14" s="98" t="s">
        <v>352</v>
      </c>
      <c r="F14" s="98" t="s">
        <v>269</v>
      </c>
      <c r="G14" s="98" t="s">
        <v>274</v>
      </c>
      <c r="H14" s="97" t="s">
        <v>275</v>
      </c>
    </row>
    <row r="15" spans="2:13" x14ac:dyDescent="0.25">
      <c r="C15" s="96" t="s">
        <v>265</v>
      </c>
      <c r="D15" s="97">
        <v>40</v>
      </c>
      <c r="E15" s="98" t="s">
        <v>353</v>
      </c>
      <c r="F15" s="98" t="s">
        <v>269</v>
      </c>
      <c r="G15" s="98" t="s">
        <v>274</v>
      </c>
      <c r="H15" s="97" t="s">
        <v>275</v>
      </c>
    </row>
    <row r="16" spans="2:13" x14ac:dyDescent="0.25">
      <c r="C16" s="96" t="s">
        <v>265</v>
      </c>
      <c r="D16" s="97">
        <v>50</v>
      </c>
      <c r="E16" s="98" t="s">
        <v>354</v>
      </c>
      <c r="F16" s="98" t="s">
        <v>269</v>
      </c>
      <c r="G16" s="98" t="s">
        <v>274</v>
      </c>
      <c r="H16" s="97" t="s">
        <v>275</v>
      </c>
    </row>
    <row r="17" spans="2:13" x14ac:dyDescent="0.25">
      <c r="C17" s="96" t="s">
        <v>265</v>
      </c>
      <c r="D17" s="97">
        <v>60</v>
      </c>
      <c r="E17" s="98" t="s">
        <v>355</v>
      </c>
      <c r="F17" s="98" t="s">
        <v>274</v>
      </c>
      <c r="G17" s="98" t="s">
        <v>275</v>
      </c>
      <c r="H17" s="97"/>
    </row>
    <row r="18" spans="2:13" ht="15.75" thickBot="1" x14ac:dyDescent="0.3">
      <c r="C18" s="99" t="s">
        <v>265</v>
      </c>
      <c r="D18" s="100">
        <v>75</v>
      </c>
      <c r="E18" s="101" t="s">
        <v>356</v>
      </c>
      <c r="F18" s="101" t="s">
        <v>274</v>
      </c>
      <c r="G18" s="101" t="s">
        <v>275</v>
      </c>
      <c r="H18" s="100"/>
    </row>
    <row r="19" spans="2:13" ht="17.25" x14ac:dyDescent="0.25">
      <c r="C19" s="96" t="s">
        <v>158</v>
      </c>
      <c r="D19" s="97" t="s">
        <v>362</v>
      </c>
      <c r="E19" s="98"/>
      <c r="F19" s="98" t="s">
        <v>449</v>
      </c>
      <c r="G19" s="98" t="s">
        <v>450</v>
      </c>
      <c r="H19" s="97"/>
    </row>
    <row r="20" spans="2:13" x14ac:dyDescent="0.25">
      <c r="C20" s="96" t="s">
        <v>158</v>
      </c>
      <c r="D20" s="97">
        <v>30</v>
      </c>
      <c r="E20" s="98" t="s">
        <v>357</v>
      </c>
      <c r="F20" s="98" t="s">
        <v>300</v>
      </c>
      <c r="G20" s="98" t="s">
        <v>302</v>
      </c>
      <c r="H20" s="97" t="s">
        <v>303</v>
      </c>
    </row>
    <row r="21" spans="2:13" x14ac:dyDescent="0.25">
      <c r="C21" s="96" t="s">
        <v>158</v>
      </c>
      <c r="D21" s="97">
        <v>40</v>
      </c>
      <c r="E21" s="98" t="s">
        <v>358</v>
      </c>
      <c r="F21" s="98" t="s">
        <v>300</v>
      </c>
      <c r="G21" s="98" t="s">
        <v>302</v>
      </c>
      <c r="H21" s="97" t="s">
        <v>308</v>
      </c>
    </row>
    <row r="22" spans="2:13" x14ac:dyDescent="0.25">
      <c r="C22" s="96" t="s">
        <v>158</v>
      </c>
      <c r="D22" s="97">
        <v>50</v>
      </c>
      <c r="E22" s="98" t="s">
        <v>359</v>
      </c>
      <c r="F22" s="98" t="s">
        <v>307</v>
      </c>
      <c r="G22" s="98" t="s">
        <v>302</v>
      </c>
      <c r="H22" s="97" t="s">
        <v>308</v>
      </c>
    </row>
    <row r="23" spans="2:13" x14ac:dyDescent="0.25">
      <c r="C23" s="96" t="s">
        <v>158</v>
      </c>
      <c r="D23" s="97">
        <v>60</v>
      </c>
      <c r="E23" s="98" t="s">
        <v>360</v>
      </c>
      <c r="F23" s="98" t="s">
        <v>313</v>
      </c>
      <c r="G23" s="98" t="s">
        <v>316</v>
      </c>
      <c r="H23" s="97" t="s">
        <v>308</v>
      </c>
    </row>
    <row r="24" spans="2:13" ht="15.75" thickBot="1" x14ac:dyDescent="0.3">
      <c r="C24" s="99" t="s">
        <v>158</v>
      </c>
      <c r="D24" s="100">
        <v>75</v>
      </c>
      <c r="E24" s="101" t="s">
        <v>361</v>
      </c>
      <c r="F24" s="101" t="s">
        <v>313</v>
      </c>
      <c r="G24" s="101" t="s">
        <v>316</v>
      </c>
      <c r="H24" s="100" t="s">
        <v>308</v>
      </c>
    </row>
    <row r="25" spans="2:13" x14ac:dyDescent="0.25">
      <c r="C25" s="108" t="s">
        <v>451</v>
      </c>
    </row>
    <row r="28" spans="2:13" ht="39" customHeight="1" x14ac:dyDescent="0.25">
      <c r="B28" s="111" t="s">
        <v>448</v>
      </c>
      <c r="C28" s="111"/>
      <c r="D28" s="111"/>
      <c r="E28" s="111"/>
      <c r="F28" s="111"/>
      <c r="G28" s="111"/>
      <c r="H28" s="111"/>
      <c r="I28" s="111"/>
      <c r="J28" s="111"/>
      <c r="K28" s="111"/>
      <c r="L28" s="111"/>
      <c r="M28" s="111"/>
    </row>
    <row r="30" spans="2:13" x14ac:dyDescent="0.25">
      <c r="B30" s="10" t="s">
        <v>60</v>
      </c>
    </row>
    <row r="31" spans="2:13" x14ac:dyDescent="0.25">
      <c r="B31" s="15" t="s">
        <v>58</v>
      </c>
    </row>
    <row r="32" spans="2:13" x14ac:dyDescent="0.25">
      <c r="C32" t="s">
        <v>366</v>
      </c>
    </row>
    <row r="33" spans="2:13" x14ac:dyDescent="0.25">
      <c r="B33" s="15" t="s">
        <v>59</v>
      </c>
    </row>
    <row r="34" spans="2:13" x14ac:dyDescent="0.25">
      <c r="C34" t="s">
        <v>62</v>
      </c>
    </row>
    <row r="35" spans="2:13" x14ac:dyDescent="0.25">
      <c r="B35" s="15" t="s">
        <v>363</v>
      </c>
    </row>
    <row r="36" spans="2:13" ht="98.25" customHeight="1" x14ac:dyDescent="0.25">
      <c r="C36" s="111" t="s">
        <v>452</v>
      </c>
      <c r="D36" s="111"/>
      <c r="E36" s="111"/>
      <c r="F36" s="111"/>
      <c r="G36" s="111"/>
      <c r="H36" s="111"/>
      <c r="I36" s="111"/>
      <c r="J36" s="111"/>
      <c r="K36" s="111"/>
      <c r="L36" s="111"/>
      <c r="M36" s="111"/>
    </row>
    <row r="37" spans="2:13" x14ac:dyDescent="0.25">
      <c r="C37" t="s">
        <v>447</v>
      </c>
    </row>
    <row r="38" spans="2:13" x14ac:dyDescent="0.25">
      <c r="B38" s="15" t="s">
        <v>61</v>
      </c>
    </row>
    <row r="39" spans="2:13" x14ac:dyDescent="0.25">
      <c r="C39" t="s">
        <v>63</v>
      </c>
    </row>
    <row r="41" spans="2:13" x14ac:dyDescent="0.25">
      <c r="B41" t="s">
        <v>56</v>
      </c>
    </row>
    <row r="42" spans="2:13" x14ac:dyDescent="0.25">
      <c r="B42" t="s">
        <v>57</v>
      </c>
    </row>
  </sheetData>
  <sortState ref="B9:B35">
    <sortCondition ref="B9:B35"/>
  </sortState>
  <mergeCells count="6">
    <mergeCell ref="C36:M36"/>
    <mergeCell ref="E12:H12"/>
    <mergeCell ref="B5:M5"/>
    <mergeCell ref="B7:M7"/>
    <mergeCell ref="B28:M28"/>
    <mergeCell ref="C12:D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AI69"/>
  <sheetViews>
    <sheetView workbookViewId="0">
      <pane ySplit="7" topLeftCell="A8" activePane="bottomLeft" state="frozen"/>
      <selection pane="bottomLeft" activeCell="A8" sqref="A8"/>
    </sheetView>
  </sheetViews>
  <sheetFormatPr defaultRowHeight="15" x14ac:dyDescent="0.25"/>
  <cols>
    <col min="1" max="1" width="7.140625" customWidth="1"/>
    <col min="2" max="2" width="45.85546875" style="1" customWidth="1"/>
    <col min="3" max="4" width="9.85546875" style="1" customWidth="1"/>
    <col min="5" max="5" width="10.7109375" style="1" customWidth="1"/>
    <col min="6" max="6" width="9.7109375" style="1" customWidth="1"/>
    <col min="7" max="7" width="8.85546875" style="1" customWidth="1"/>
    <col min="8" max="8" width="15.140625" style="1" bestFit="1" customWidth="1"/>
    <col min="9" max="9" width="16.140625" style="1" customWidth="1"/>
    <col min="10" max="10" width="60.7109375" style="1" hidden="1" customWidth="1"/>
    <col min="11" max="11" width="43.42578125" style="1" bestFit="1" customWidth="1"/>
    <col min="12" max="12" width="14.42578125" style="1" bestFit="1" customWidth="1"/>
    <col min="13" max="13" width="14.28515625" style="1" bestFit="1" customWidth="1"/>
    <col min="14" max="25" width="5.28515625" style="1" customWidth="1"/>
    <col min="26" max="26" width="6.42578125" style="1" customWidth="1"/>
    <col min="27" max="27" width="30.5703125" style="1" customWidth="1"/>
    <col min="28" max="28" width="8.85546875" style="1" customWidth="1"/>
    <col min="29" max="29" width="15.85546875" style="1" bestFit="1" customWidth="1"/>
    <col min="30" max="30" width="15.85546875" style="1" customWidth="1"/>
    <col min="31" max="31" width="24.28515625" bestFit="1" customWidth="1"/>
    <col min="32" max="32" width="11.140625" customWidth="1"/>
    <col min="33" max="33" width="34" customWidth="1"/>
  </cols>
  <sheetData>
    <row r="2" spans="2:33" ht="20.25" thickBot="1" x14ac:dyDescent="0.35">
      <c r="B2" s="12" t="s">
        <v>54</v>
      </c>
      <c r="C2"/>
      <c r="D2"/>
      <c r="E2"/>
      <c r="F2"/>
      <c r="G2"/>
      <c r="H2"/>
    </row>
    <row r="3" spans="2:33" ht="15.75" thickTop="1" x14ac:dyDescent="0.25">
      <c r="B3" t="s">
        <v>446</v>
      </c>
      <c r="C3"/>
      <c r="D3"/>
      <c r="E3"/>
      <c r="F3"/>
    </row>
    <row r="4" spans="2:33" x14ac:dyDescent="0.25">
      <c r="Z4" s="7" t="s">
        <v>261</v>
      </c>
    </row>
    <row r="5" spans="2:33" x14ac:dyDescent="0.25">
      <c r="B5" s="10" t="s">
        <v>340</v>
      </c>
      <c r="C5"/>
      <c r="D5"/>
      <c r="E5"/>
      <c r="F5"/>
      <c r="G5"/>
      <c r="H5"/>
      <c r="I5"/>
      <c r="J5"/>
      <c r="K5" s="10" t="s">
        <v>445</v>
      </c>
      <c r="L5"/>
      <c r="M5"/>
      <c r="N5"/>
      <c r="O5"/>
      <c r="P5"/>
      <c r="Q5"/>
      <c r="R5"/>
      <c r="S5"/>
      <c r="T5"/>
      <c r="U5"/>
      <c r="V5"/>
      <c r="W5"/>
      <c r="X5"/>
      <c r="Y5"/>
    </row>
    <row r="6" spans="2:33" x14ac:dyDescent="0.25">
      <c r="B6" s="81"/>
      <c r="C6" s="116" t="s">
        <v>262</v>
      </c>
      <c r="D6" s="117"/>
      <c r="E6" s="117"/>
      <c r="F6" s="118"/>
      <c r="G6" s="80" t="s">
        <v>51</v>
      </c>
      <c r="H6" s="117" t="s">
        <v>66</v>
      </c>
      <c r="I6" s="118"/>
      <c r="J6" s="121" t="s">
        <v>263</v>
      </c>
      <c r="K6" s="72"/>
      <c r="L6" s="123" t="s">
        <v>66</v>
      </c>
      <c r="M6" s="124"/>
      <c r="N6"/>
      <c r="O6"/>
      <c r="P6"/>
      <c r="Q6"/>
      <c r="R6"/>
      <c r="S6"/>
      <c r="T6"/>
      <c r="U6"/>
      <c r="V6"/>
      <c r="W6"/>
      <c r="X6"/>
      <c r="Y6"/>
      <c r="Z6" s="119" t="s">
        <v>23</v>
      </c>
      <c r="AA6" s="120"/>
      <c r="AB6" s="119" t="s">
        <v>24</v>
      </c>
      <c r="AC6" s="120"/>
      <c r="AD6" s="119" t="s">
        <v>25</v>
      </c>
      <c r="AE6" s="120"/>
      <c r="AF6" s="119" t="s">
        <v>26</v>
      </c>
      <c r="AG6" s="120"/>
    </row>
    <row r="7" spans="2:33" ht="15.75" thickBot="1" x14ac:dyDescent="0.3">
      <c r="B7" s="82" t="s">
        <v>106</v>
      </c>
      <c r="C7" s="73" t="s">
        <v>107</v>
      </c>
      <c r="D7" s="74" t="s">
        <v>26</v>
      </c>
      <c r="E7" s="74" t="s">
        <v>70</v>
      </c>
      <c r="F7" s="75" t="s">
        <v>21</v>
      </c>
      <c r="G7" s="74" t="s">
        <v>338</v>
      </c>
      <c r="H7" s="74" t="s">
        <v>46</v>
      </c>
      <c r="I7" s="75" t="s">
        <v>44</v>
      </c>
      <c r="J7" s="122"/>
      <c r="K7" s="76" t="s">
        <v>106</v>
      </c>
      <c r="L7" s="76" t="s">
        <v>46</v>
      </c>
      <c r="M7" s="77" t="s">
        <v>44</v>
      </c>
      <c r="N7"/>
      <c r="O7"/>
      <c r="P7"/>
      <c r="Q7"/>
      <c r="R7"/>
      <c r="S7"/>
      <c r="T7"/>
      <c r="U7"/>
      <c r="V7"/>
      <c r="W7"/>
      <c r="X7"/>
      <c r="Y7"/>
      <c r="Z7" s="58" t="s">
        <v>264</v>
      </c>
      <c r="AA7" s="59" t="s">
        <v>4</v>
      </c>
      <c r="AB7" s="58" t="s">
        <v>264</v>
      </c>
      <c r="AC7" s="59" t="s">
        <v>4</v>
      </c>
      <c r="AD7" s="58" t="s">
        <v>264</v>
      </c>
      <c r="AE7" s="59" t="s">
        <v>4</v>
      </c>
      <c r="AF7" s="58" t="s">
        <v>264</v>
      </c>
      <c r="AG7" s="59" t="s">
        <v>4</v>
      </c>
    </row>
    <row r="8" spans="2:33" x14ac:dyDescent="0.25">
      <c r="B8" s="78" t="s">
        <v>124</v>
      </c>
      <c r="C8" s="61" t="s">
        <v>265</v>
      </c>
      <c r="D8" s="25" t="s">
        <v>121</v>
      </c>
      <c r="E8" s="25">
        <v>30</v>
      </c>
      <c r="F8" s="37" t="s">
        <v>117</v>
      </c>
      <c r="G8" s="25">
        <v>1</v>
      </c>
      <c r="H8" s="60" t="str">
        <f>TEXT(0.96-E8*0.0003,"0.000")&amp;" EF"</f>
        <v>0.951 EF</v>
      </c>
      <c r="I8" s="37" t="s">
        <v>269</v>
      </c>
      <c r="J8" s="70" t="s">
        <v>335</v>
      </c>
      <c r="K8" s="1" t="s">
        <v>266</v>
      </c>
      <c r="L8" s="25" t="s">
        <v>267</v>
      </c>
      <c r="M8" s="37" t="s">
        <v>268</v>
      </c>
      <c r="N8" s="25"/>
      <c r="O8" s="25"/>
      <c r="P8" s="25"/>
      <c r="Q8" s="25"/>
      <c r="R8" s="25"/>
      <c r="S8" s="25"/>
      <c r="T8" s="25"/>
      <c r="U8" s="25"/>
      <c r="V8" s="25"/>
      <c r="W8" s="25"/>
      <c r="X8" s="25"/>
      <c r="Y8" s="25"/>
      <c r="Z8" s="61" t="s">
        <v>118</v>
      </c>
      <c r="AA8" s="37" t="s">
        <v>270</v>
      </c>
      <c r="AB8" s="61" t="s">
        <v>119</v>
      </c>
      <c r="AC8" s="37" t="s">
        <v>271</v>
      </c>
      <c r="AD8" s="61" t="s">
        <v>120</v>
      </c>
      <c r="AE8" s="62" t="s">
        <v>272</v>
      </c>
      <c r="AF8" s="63" t="s">
        <v>121</v>
      </c>
      <c r="AG8" s="62" t="s">
        <v>273</v>
      </c>
    </row>
    <row r="9" spans="2:33" ht="15" customHeight="1" x14ac:dyDescent="0.25">
      <c r="B9" s="78" t="s">
        <v>129</v>
      </c>
      <c r="C9" s="61" t="s">
        <v>265</v>
      </c>
      <c r="D9" s="25" t="s">
        <v>121</v>
      </c>
      <c r="E9" s="25">
        <f t="shared" ref="E9:E10" si="0">+E8</f>
        <v>30</v>
      </c>
      <c r="F9" s="37" t="s">
        <v>117</v>
      </c>
      <c r="G9" s="25">
        <v>2</v>
      </c>
      <c r="H9" s="60" t="str">
        <f>+H8</f>
        <v>0.951 EF</v>
      </c>
      <c r="I9" s="37" t="s">
        <v>274</v>
      </c>
      <c r="J9" s="70" t="s">
        <v>335</v>
      </c>
      <c r="L9" s="25"/>
      <c r="M9" s="37"/>
      <c r="N9" s="25"/>
      <c r="O9" s="25"/>
      <c r="P9" s="25"/>
      <c r="Q9" s="25"/>
      <c r="R9" s="25"/>
      <c r="S9" s="25"/>
      <c r="T9" s="25"/>
      <c r="U9" s="25"/>
      <c r="V9" s="25"/>
      <c r="W9" s="25"/>
      <c r="X9" s="25"/>
      <c r="Y9" s="25"/>
      <c r="Z9" s="61" t="s">
        <v>118</v>
      </c>
      <c r="AA9" s="37" t="s">
        <v>270</v>
      </c>
      <c r="AB9" s="61" t="s">
        <v>119</v>
      </c>
      <c r="AC9" s="37" t="s">
        <v>271</v>
      </c>
      <c r="AD9" s="61" t="s">
        <v>120</v>
      </c>
      <c r="AE9" s="62" t="s">
        <v>272</v>
      </c>
      <c r="AF9" s="63" t="s">
        <v>121</v>
      </c>
      <c r="AG9" s="62" t="s">
        <v>273</v>
      </c>
    </row>
    <row r="10" spans="2:33" ht="15" customHeight="1" x14ac:dyDescent="0.25">
      <c r="B10" s="79" t="s">
        <v>131</v>
      </c>
      <c r="C10" s="66" t="s">
        <v>265</v>
      </c>
      <c r="D10" s="5" t="s">
        <v>121</v>
      </c>
      <c r="E10" s="5">
        <f t="shared" si="0"/>
        <v>30</v>
      </c>
      <c r="F10" s="67" t="s">
        <v>117</v>
      </c>
      <c r="G10" s="5">
        <v>3</v>
      </c>
      <c r="H10" s="83" t="str">
        <f>+H9</f>
        <v>0.951 EF</v>
      </c>
      <c r="I10" s="67" t="s">
        <v>275</v>
      </c>
      <c r="J10" s="84" t="s">
        <v>335</v>
      </c>
      <c r="K10" s="5"/>
      <c r="L10" s="5"/>
      <c r="M10" s="67"/>
      <c r="N10" s="25"/>
      <c r="O10" s="25"/>
      <c r="P10" s="25"/>
      <c r="Q10" s="25"/>
      <c r="R10" s="25"/>
      <c r="S10" s="25"/>
      <c r="T10" s="25"/>
      <c r="U10" s="25"/>
      <c r="V10" s="25"/>
      <c r="W10" s="25"/>
      <c r="X10" s="25"/>
      <c r="Y10" s="25"/>
      <c r="Z10" s="61" t="s">
        <v>118</v>
      </c>
      <c r="AA10" s="37" t="s">
        <v>270</v>
      </c>
      <c r="AB10" s="61" t="s">
        <v>119</v>
      </c>
      <c r="AC10" s="37" t="s">
        <v>271</v>
      </c>
      <c r="AD10" s="61" t="s">
        <v>120</v>
      </c>
      <c r="AE10" s="62" t="s">
        <v>272</v>
      </c>
      <c r="AF10" s="63" t="s">
        <v>121</v>
      </c>
      <c r="AG10" s="62" t="s">
        <v>273</v>
      </c>
    </row>
    <row r="11" spans="2:33" ht="15.75" customHeight="1" x14ac:dyDescent="0.25">
      <c r="B11" s="78" t="s">
        <v>133</v>
      </c>
      <c r="C11" s="61" t="s">
        <v>265</v>
      </c>
      <c r="D11" s="25" t="s">
        <v>121</v>
      </c>
      <c r="E11" s="25">
        <v>40</v>
      </c>
      <c r="F11" s="37" t="s">
        <v>117</v>
      </c>
      <c r="G11" s="25">
        <v>1</v>
      </c>
      <c r="H11" s="60" t="str">
        <f>TEXT(0.96-E11*0.0003,"0.000")&amp;" EF"</f>
        <v>0.948 EF</v>
      </c>
      <c r="I11" s="37" t="s">
        <v>269</v>
      </c>
      <c r="J11" s="70" t="s">
        <v>335</v>
      </c>
      <c r="K11" s="1" t="s">
        <v>276</v>
      </c>
      <c r="L11" s="25" t="s">
        <v>277</v>
      </c>
      <c r="M11" s="37" t="s">
        <v>278</v>
      </c>
      <c r="N11" s="25"/>
      <c r="O11" s="25"/>
      <c r="P11" s="25"/>
      <c r="Q11" s="25"/>
      <c r="R11" s="25"/>
      <c r="S11" s="25"/>
      <c r="T11" s="25"/>
      <c r="U11" s="25"/>
      <c r="V11" s="25"/>
      <c r="W11" s="25"/>
      <c r="X11" s="25"/>
      <c r="Y11" s="25"/>
      <c r="Z11" s="61" t="s">
        <v>118</v>
      </c>
      <c r="AA11" s="37" t="s">
        <v>270</v>
      </c>
      <c r="AB11" s="61" t="s">
        <v>119</v>
      </c>
      <c r="AC11" s="37" t="s">
        <v>271</v>
      </c>
      <c r="AD11" s="61" t="s">
        <v>120</v>
      </c>
      <c r="AE11" s="62" t="s">
        <v>272</v>
      </c>
      <c r="AF11" s="63" t="s">
        <v>121</v>
      </c>
      <c r="AG11" s="62" t="s">
        <v>273</v>
      </c>
    </row>
    <row r="12" spans="2:33" ht="15.75" customHeight="1" x14ac:dyDescent="0.25">
      <c r="B12" s="78" t="s">
        <v>136</v>
      </c>
      <c r="C12" s="61" t="s">
        <v>265</v>
      </c>
      <c r="D12" s="25" t="s">
        <v>121</v>
      </c>
      <c r="E12" s="25">
        <f t="shared" ref="E12:E13" si="1">+E11</f>
        <v>40</v>
      </c>
      <c r="F12" s="37" t="s">
        <v>117</v>
      </c>
      <c r="G12" s="25">
        <v>2</v>
      </c>
      <c r="H12" s="60" t="str">
        <f>+H11</f>
        <v>0.948 EF</v>
      </c>
      <c r="I12" s="37" t="s">
        <v>274</v>
      </c>
      <c r="J12" s="70" t="s">
        <v>335</v>
      </c>
      <c r="L12" s="25"/>
      <c r="M12" s="37"/>
      <c r="N12" s="25"/>
      <c r="O12" s="25"/>
      <c r="P12" s="25"/>
      <c r="Q12" s="25"/>
      <c r="R12" s="25"/>
      <c r="S12" s="25"/>
      <c r="T12" s="25"/>
      <c r="U12" s="25"/>
      <c r="V12" s="25"/>
      <c r="W12" s="25"/>
      <c r="X12" s="25"/>
      <c r="Y12" s="25"/>
      <c r="Z12" s="61" t="s">
        <v>118</v>
      </c>
      <c r="AA12" s="37" t="s">
        <v>270</v>
      </c>
      <c r="AB12" s="61" t="s">
        <v>119</v>
      </c>
      <c r="AC12" s="37" t="s">
        <v>271</v>
      </c>
      <c r="AD12" s="61" t="s">
        <v>120</v>
      </c>
      <c r="AE12" s="62" t="s">
        <v>272</v>
      </c>
      <c r="AF12" s="63" t="s">
        <v>121</v>
      </c>
      <c r="AG12" s="62" t="s">
        <v>273</v>
      </c>
    </row>
    <row r="13" spans="2:33" ht="15.75" customHeight="1" x14ac:dyDescent="0.25">
      <c r="B13" s="79" t="s">
        <v>138</v>
      </c>
      <c r="C13" s="66" t="s">
        <v>265</v>
      </c>
      <c r="D13" s="5" t="s">
        <v>121</v>
      </c>
      <c r="E13" s="5">
        <f t="shared" si="1"/>
        <v>40</v>
      </c>
      <c r="F13" s="67" t="s">
        <v>117</v>
      </c>
      <c r="G13" s="5">
        <v>3</v>
      </c>
      <c r="H13" s="83" t="str">
        <f>+H12</f>
        <v>0.948 EF</v>
      </c>
      <c r="I13" s="67" t="s">
        <v>275</v>
      </c>
      <c r="J13" s="84" t="s">
        <v>335</v>
      </c>
      <c r="K13" s="5"/>
      <c r="L13" s="5"/>
      <c r="M13" s="67"/>
      <c r="N13" s="25"/>
      <c r="O13" s="25"/>
      <c r="P13" s="25"/>
      <c r="Q13" s="25"/>
      <c r="R13" s="25"/>
      <c r="S13" s="25"/>
      <c r="T13" s="25"/>
      <c r="U13" s="25"/>
      <c r="V13" s="25"/>
      <c r="W13" s="25"/>
      <c r="X13" s="25"/>
      <c r="Y13" s="25"/>
      <c r="Z13" s="61" t="s">
        <v>118</v>
      </c>
      <c r="AA13" s="37" t="s">
        <v>270</v>
      </c>
      <c r="AB13" s="61" t="s">
        <v>119</v>
      </c>
      <c r="AC13" s="37" t="s">
        <v>271</v>
      </c>
      <c r="AD13" s="61" t="s">
        <v>120</v>
      </c>
      <c r="AE13" s="62" t="s">
        <v>272</v>
      </c>
      <c r="AF13" s="63" t="s">
        <v>121</v>
      </c>
      <c r="AG13" s="62" t="s">
        <v>273</v>
      </c>
    </row>
    <row r="14" spans="2:33" ht="15.75" customHeight="1" x14ac:dyDescent="0.25">
      <c r="B14" s="78" t="s">
        <v>140</v>
      </c>
      <c r="C14" s="61" t="s">
        <v>265</v>
      </c>
      <c r="D14" s="25" t="s">
        <v>121</v>
      </c>
      <c r="E14" s="25">
        <v>50</v>
      </c>
      <c r="F14" s="37" t="s">
        <v>117</v>
      </c>
      <c r="G14" s="25">
        <v>1</v>
      </c>
      <c r="H14" s="60" t="str">
        <f>TEXT(0.96-E14*0.0003,"0.000")&amp;" EF"</f>
        <v>0.945 EF</v>
      </c>
      <c r="I14" s="37" t="s">
        <v>269</v>
      </c>
      <c r="J14" s="70" t="s">
        <v>335</v>
      </c>
      <c r="K14" s="1" t="s">
        <v>279</v>
      </c>
      <c r="L14" s="25" t="s">
        <v>280</v>
      </c>
      <c r="M14" s="37" t="s">
        <v>267</v>
      </c>
      <c r="N14" s="25"/>
      <c r="O14" s="25"/>
      <c r="P14" s="25"/>
      <c r="Q14" s="25"/>
      <c r="R14" s="25"/>
      <c r="S14" s="25"/>
      <c r="T14" s="25"/>
      <c r="U14" s="25"/>
      <c r="V14" s="25"/>
      <c r="W14" s="25"/>
      <c r="X14" s="25"/>
      <c r="Y14" s="25"/>
      <c r="Z14" s="61" t="s">
        <v>118</v>
      </c>
      <c r="AA14" s="37" t="s">
        <v>270</v>
      </c>
      <c r="AB14" s="61" t="s">
        <v>119</v>
      </c>
      <c r="AC14" s="37" t="s">
        <v>271</v>
      </c>
      <c r="AD14" s="61" t="s">
        <v>120</v>
      </c>
      <c r="AE14" s="62" t="s">
        <v>272</v>
      </c>
      <c r="AF14" s="63" t="s">
        <v>121</v>
      </c>
      <c r="AG14" s="62" t="s">
        <v>273</v>
      </c>
    </row>
    <row r="15" spans="2:33" ht="15.75" customHeight="1" x14ac:dyDescent="0.25">
      <c r="B15" s="78" t="s">
        <v>143</v>
      </c>
      <c r="C15" s="61" t="s">
        <v>265</v>
      </c>
      <c r="D15" s="25" t="s">
        <v>121</v>
      </c>
      <c r="E15" s="25">
        <f t="shared" ref="E15:E16" si="2">+E14</f>
        <v>50</v>
      </c>
      <c r="F15" s="37" t="s">
        <v>117</v>
      </c>
      <c r="G15" s="25">
        <v>2</v>
      </c>
      <c r="H15" s="60" t="str">
        <f>+H14</f>
        <v>0.945 EF</v>
      </c>
      <c r="I15" s="37" t="s">
        <v>274</v>
      </c>
      <c r="J15" s="70" t="s">
        <v>335</v>
      </c>
      <c r="L15" s="25"/>
      <c r="M15" s="37"/>
      <c r="N15" s="25"/>
      <c r="O15" s="25"/>
      <c r="P15" s="25"/>
      <c r="Q15" s="25"/>
      <c r="R15" s="25"/>
      <c r="S15" s="25"/>
      <c r="T15" s="25"/>
      <c r="U15" s="25"/>
      <c r="V15" s="25"/>
      <c r="W15" s="25"/>
      <c r="X15" s="25"/>
      <c r="Y15" s="25"/>
      <c r="Z15" s="61" t="s">
        <v>118</v>
      </c>
      <c r="AA15" s="37" t="s">
        <v>270</v>
      </c>
      <c r="AB15" s="61" t="s">
        <v>119</v>
      </c>
      <c r="AC15" s="37" t="s">
        <v>271</v>
      </c>
      <c r="AD15" s="61" t="s">
        <v>120</v>
      </c>
      <c r="AE15" s="62" t="s">
        <v>272</v>
      </c>
      <c r="AF15" s="63" t="s">
        <v>121</v>
      </c>
      <c r="AG15" s="62" t="s">
        <v>273</v>
      </c>
    </row>
    <row r="16" spans="2:33" ht="15.75" customHeight="1" x14ac:dyDescent="0.25">
      <c r="B16" s="79" t="s">
        <v>145</v>
      </c>
      <c r="C16" s="66" t="s">
        <v>265</v>
      </c>
      <c r="D16" s="5" t="s">
        <v>121</v>
      </c>
      <c r="E16" s="5">
        <f t="shared" si="2"/>
        <v>50</v>
      </c>
      <c r="F16" s="67" t="s">
        <v>117</v>
      </c>
      <c r="G16" s="5">
        <v>3</v>
      </c>
      <c r="H16" s="83" t="str">
        <f>+H15</f>
        <v>0.945 EF</v>
      </c>
      <c r="I16" s="67" t="s">
        <v>274</v>
      </c>
      <c r="J16" s="84" t="s">
        <v>335</v>
      </c>
      <c r="K16" s="5"/>
      <c r="L16" s="5"/>
      <c r="M16" s="67"/>
      <c r="N16" s="25"/>
      <c r="O16" s="25"/>
      <c r="P16" s="25"/>
      <c r="Q16" s="25"/>
      <c r="R16" s="25"/>
      <c r="S16" s="25"/>
      <c r="T16" s="25"/>
      <c r="U16" s="25"/>
      <c r="V16" s="25"/>
      <c r="W16" s="25"/>
      <c r="X16" s="25"/>
      <c r="Y16" s="25"/>
      <c r="Z16" s="61" t="s">
        <v>118</v>
      </c>
      <c r="AA16" s="37" t="s">
        <v>270</v>
      </c>
      <c r="AB16" s="61" t="s">
        <v>119</v>
      </c>
      <c r="AC16" s="37" t="s">
        <v>271</v>
      </c>
      <c r="AD16" s="61" t="s">
        <v>120</v>
      </c>
      <c r="AE16" s="62" t="s">
        <v>272</v>
      </c>
      <c r="AF16" s="63" t="s">
        <v>121</v>
      </c>
      <c r="AG16" s="62" t="s">
        <v>273</v>
      </c>
    </row>
    <row r="17" spans="2:35" ht="15.75" customHeight="1" x14ac:dyDescent="0.25">
      <c r="B17" s="78" t="s">
        <v>146</v>
      </c>
      <c r="C17" s="61" t="s">
        <v>265</v>
      </c>
      <c r="D17" s="25" t="s">
        <v>121</v>
      </c>
      <c r="E17" s="25">
        <v>60</v>
      </c>
      <c r="F17" s="37" t="s">
        <v>117</v>
      </c>
      <c r="G17" s="25">
        <v>1</v>
      </c>
      <c r="H17" s="26" t="str">
        <f>TEXT(2.057-E17*0.00132,"0.00")&amp;" EF"</f>
        <v>1.98 EF</v>
      </c>
      <c r="I17" s="37" t="s">
        <v>274</v>
      </c>
      <c r="J17" s="70" t="s">
        <v>336</v>
      </c>
      <c r="K17" s="1" t="s">
        <v>281</v>
      </c>
      <c r="L17" s="25" t="s">
        <v>282</v>
      </c>
      <c r="M17" s="37" t="s">
        <v>277</v>
      </c>
      <c r="N17" s="25"/>
      <c r="O17" s="25"/>
      <c r="P17" s="25"/>
      <c r="Q17" s="25"/>
      <c r="R17" s="25"/>
      <c r="S17" s="25"/>
      <c r="T17" s="25"/>
      <c r="U17" s="25"/>
      <c r="V17" s="25"/>
      <c r="W17" s="25"/>
      <c r="X17" s="25"/>
      <c r="Y17" s="25"/>
      <c r="Z17" s="61" t="s">
        <v>118</v>
      </c>
      <c r="AA17" s="37" t="s">
        <v>270</v>
      </c>
      <c r="AB17" s="61" t="s">
        <v>119</v>
      </c>
      <c r="AC17" s="37" t="s">
        <v>271</v>
      </c>
      <c r="AD17" s="61" t="s">
        <v>120</v>
      </c>
      <c r="AE17" s="62" t="s">
        <v>272</v>
      </c>
      <c r="AF17" s="63" t="s">
        <v>121</v>
      </c>
      <c r="AG17" s="62" t="s">
        <v>273</v>
      </c>
    </row>
    <row r="18" spans="2:35" ht="15.75" customHeight="1" x14ac:dyDescent="0.25">
      <c r="B18" s="79" t="s">
        <v>149</v>
      </c>
      <c r="C18" s="66" t="s">
        <v>265</v>
      </c>
      <c r="D18" s="5" t="s">
        <v>121</v>
      </c>
      <c r="E18" s="5">
        <f t="shared" ref="E18" si="3">+E17</f>
        <v>60</v>
      </c>
      <c r="F18" s="67" t="s">
        <v>117</v>
      </c>
      <c r="G18" s="5">
        <v>2</v>
      </c>
      <c r="H18" s="29" t="str">
        <f>+H17</f>
        <v>1.98 EF</v>
      </c>
      <c r="I18" s="67" t="s">
        <v>275</v>
      </c>
      <c r="J18" s="84" t="s">
        <v>336</v>
      </c>
      <c r="K18" s="5"/>
      <c r="L18" s="5"/>
      <c r="M18" s="67"/>
      <c r="N18" s="25"/>
      <c r="O18" s="25"/>
      <c r="P18" s="25"/>
      <c r="Q18" s="25"/>
      <c r="R18" s="25"/>
      <c r="S18" s="25"/>
      <c r="T18" s="25"/>
      <c r="U18" s="25"/>
      <c r="V18" s="25"/>
      <c r="W18" s="25"/>
      <c r="X18" s="25"/>
      <c r="Y18" s="25"/>
      <c r="Z18" s="61" t="s">
        <v>118</v>
      </c>
      <c r="AA18" s="37" t="s">
        <v>270</v>
      </c>
      <c r="AB18" s="61" t="s">
        <v>119</v>
      </c>
      <c r="AC18" s="37" t="s">
        <v>271</v>
      </c>
      <c r="AD18" s="61" t="s">
        <v>120</v>
      </c>
      <c r="AE18" s="62" t="s">
        <v>272</v>
      </c>
      <c r="AF18" s="63" t="s">
        <v>121</v>
      </c>
      <c r="AG18" s="62" t="s">
        <v>273</v>
      </c>
    </row>
    <row r="19" spans="2:35" x14ac:dyDescent="0.25">
      <c r="B19" s="78" t="s">
        <v>151</v>
      </c>
      <c r="C19" s="61" t="s">
        <v>265</v>
      </c>
      <c r="D19" s="25" t="s">
        <v>121</v>
      </c>
      <c r="E19" s="25">
        <v>75</v>
      </c>
      <c r="F19" s="37" t="s">
        <v>117</v>
      </c>
      <c r="G19" s="25">
        <v>1</v>
      </c>
      <c r="H19" s="26" t="str">
        <f>TEXT(2.057-E19*0.00132,"0.00")&amp;" EF"</f>
        <v>1.96 EF</v>
      </c>
      <c r="I19" s="37" t="s">
        <v>274</v>
      </c>
      <c r="J19" s="70" t="s">
        <v>336</v>
      </c>
      <c r="K19" s="1" t="s">
        <v>283</v>
      </c>
      <c r="L19" s="25" t="s">
        <v>284</v>
      </c>
      <c r="M19" s="37" t="s">
        <v>284</v>
      </c>
      <c r="N19" s="25"/>
      <c r="O19" s="25"/>
      <c r="P19" s="25"/>
      <c r="Q19" s="25"/>
      <c r="R19" s="25"/>
      <c r="S19" s="25"/>
      <c r="T19" s="25"/>
      <c r="U19" s="25"/>
      <c r="V19" s="25"/>
      <c r="W19" s="25"/>
      <c r="X19" s="25"/>
      <c r="Y19" s="25"/>
      <c r="Z19" s="61" t="s">
        <v>118</v>
      </c>
      <c r="AA19" s="37" t="s">
        <v>270</v>
      </c>
      <c r="AB19" s="61" t="s">
        <v>119</v>
      </c>
      <c r="AC19" s="37" t="s">
        <v>271</v>
      </c>
      <c r="AD19" s="61" t="s">
        <v>120</v>
      </c>
      <c r="AE19" s="62" t="s">
        <v>272</v>
      </c>
      <c r="AF19" s="63" t="s">
        <v>121</v>
      </c>
      <c r="AG19" s="62" t="s">
        <v>273</v>
      </c>
    </row>
    <row r="20" spans="2:35" x14ac:dyDescent="0.25">
      <c r="B20" s="79" t="s">
        <v>154</v>
      </c>
      <c r="C20" s="66" t="s">
        <v>265</v>
      </c>
      <c r="D20" s="5" t="s">
        <v>121</v>
      </c>
      <c r="E20" s="5">
        <f t="shared" ref="E20" si="4">+E19</f>
        <v>75</v>
      </c>
      <c r="F20" s="67" t="s">
        <v>117</v>
      </c>
      <c r="G20" s="5">
        <v>2</v>
      </c>
      <c r="H20" s="29" t="str">
        <f>+H19</f>
        <v>1.96 EF</v>
      </c>
      <c r="I20" s="67" t="s">
        <v>275</v>
      </c>
      <c r="J20" s="84" t="s">
        <v>336</v>
      </c>
      <c r="K20" s="5"/>
      <c r="L20" s="5"/>
      <c r="M20" s="67"/>
      <c r="N20" s="25"/>
      <c r="O20" s="25"/>
      <c r="P20" s="25"/>
      <c r="Q20" s="25"/>
      <c r="R20" s="25"/>
      <c r="S20" s="25"/>
      <c r="T20" s="25"/>
      <c r="U20" s="25"/>
      <c r="V20" s="25"/>
      <c r="W20" s="25"/>
      <c r="X20" s="25"/>
      <c r="Y20" s="25"/>
      <c r="Z20" s="61" t="s">
        <v>118</v>
      </c>
      <c r="AA20" s="37" t="s">
        <v>270</v>
      </c>
      <c r="AB20" s="61" t="s">
        <v>119</v>
      </c>
      <c r="AC20" s="37" t="s">
        <v>271</v>
      </c>
      <c r="AD20" s="61" t="s">
        <v>120</v>
      </c>
      <c r="AE20" s="62" t="s">
        <v>272</v>
      </c>
      <c r="AF20" s="63" t="s">
        <v>121</v>
      </c>
      <c r="AG20" s="62" t="s">
        <v>273</v>
      </c>
    </row>
    <row r="21" spans="2:35" x14ac:dyDescent="0.25">
      <c r="B21" s="78" t="s">
        <v>200</v>
      </c>
      <c r="C21" s="61" t="s">
        <v>265</v>
      </c>
      <c r="D21" s="25" t="s">
        <v>121</v>
      </c>
      <c r="E21" s="25">
        <v>30</v>
      </c>
      <c r="F21" s="37" t="s">
        <v>43</v>
      </c>
      <c r="G21" s="25">
        <v>1</v>
      </c>
      <c r="H21" s="60" t="str">
        <f>TEXT(0.96-E21*0.0003,"0.000")&amp;" EF"</f>
        <v>0.951 EF</v>
      </c>
      <c r="I21" s="37" t="s">
        <v>269</v>
      </c>
      <c r="J21" s="70" t="s">
        <v>335</v>
      </c>
      <c r="K21" s="1" t="s">
        <v>285</v>
      </c>
      <c r="L21" s="25" t="s">
        <v>267</v>
      </c>
      <c r="M21" s="37" t="s">
        <v>268</v>
      </c>
      <c r="N21" s="25"/>
      <c r="O21" s="25"/>
      <c r="P21" s="25"/>
      <c r="Q21" s="25"/>
      <c r="R21" s="25"/>
      <c r="S21" s="25"/>
      <c r="T21" s="25"/>
      <c r="U21" s="25"/>
      <c r="V21" s="25"/>
      <c r="W21" s="25"/>
      <c r="X21" s="25"/>
      <c r="Y21" s="25"/>
      <c r="Z21" s="61" t="s">
        <v>118</v>
      </c>
      <c r="AA21" s="37" t="s">
        <v>270</v>
      </c>
      <c r="AB21" s="61" t="s">
        <v>119</v>
      </c>
      <c r="AC21" s="37" t="s">
        <v>271</v>
      </c>
      <c r="AD21" s="61" t="s">
        <v>120</v>
      </c>
      <c r="AE21" s="62" t="s">
        <v>272</v>
      </c>
      <c r="AF21" s="63" t="s">
        <v>121</v>
      </c>
      <c r="AG21" s="62" t="s">
        <v>273</v>
      </c>
    </row>
    <row r="22" spans="2:35" x14ac:dyDescent="0.25">
      <c r="B22" s="78" t="s">
        <v>201</v>
      </c>
      <c r="C22" s="61" t="s">
        <v>265</v>
      </c>
      <c r="D22" s="25" t="s">
        <v>121</v>
      </c>
      <c r="E22" s="25">
        <f t="shared" ref="E22:E23" si="5">+E21</f>
        <v>30</v>
      </c>
      <c r="F22" s="37" t="s">
        <v>43</v>
      </c>
      <c r="G22" s="25">
        <v>2</v>
      </c>
      <c r="H22" s="60" t="str">
        <f>+H21</f>
        <v>0.951 EF</v>
      </c>
      <c r="I22" s="37" t="s">
        <v>274</v>
      </c>
      <c r="J22" s="70" t="s">
        <v>335</v>
      </c>
      <c r="L22" s="25"/>
      <c r="M22" s="37"/>
      <c r="N22" s="25"/>
      <c r="O22" s="25"/>
      <c r="P22" s="25"/>
      <c r="Q22" s="25"/>
      <c r="R22" s="25"/>
      <c r="S22" s="25"/>
      <c r="T22" s="25"/>
      <c r="U22" s="25"/>
      <c r="V22" s="25"/>
      <c r="W22" s="25"/>
      <c r="X22" s="25"/>
      <c r="Y22" s="25"/>
      <c r="Z22" s="61" t="s">
        <v>118</v>
      </c>
      <c r="AA22" s="37" t="s">
        <v>270</v>
      </c>
      <c r="AB22" s="61" t="s">
        <v>119</v>
      </c>
      <c r="AC22" s="37" t="s">
        <v>271</v>
      </c>
      <c r="AD22" s="61" t="s">
        <v>120</v>
      </c>
      <c r="AE22" s="62" t="s">
        <v>272</v>
      </c>
      <c r="AF22" s="63" t="s">
        <v>121</v>
      </c>
      <c r="AG22" s="62" t="s">
        <v>273</v>
      </c>
    </row>
    <row r="23" spans="2:35" x14ac:dyDescent="0.25">
      <c r="B23" s="79" t="s">
        <v>202</v>
      </c>
      <c r="C23" s="66" t="s">
        <v>265</v>
      </c>
      <c r="D23" s="5" t="s">
        <v>121</v>
      </c>
      <c r="E23" s="5">
        <f t="shared" si="5"/>
        <v>30</v>
      </c>
      <c r="F23" s="67" t="s">
        <v>43</v>
      </c>
      <c r="G23" s="5">
        <v>3</v>
      </c>
      <c r="H23" s="83" t="str">
        <f>+H21</f>
        <v>0.951 EF</v>
      </c>
      <c r="I23" s="67" t="s">
        <v>275</v>
      </c>
      <c r="J23" s="84" t="s">
        <v>335</v>
      </c>
      <c r="K23" s="5"/>
      <c r="L23" s="5"/>
      <c r="M23" s="67"/>
      <c r="N23" s="25"/>
      <c r="O23" s="25"/>
      <c r="P23" s="25"/>
      <c r="Q23" s="25"/>
      <c r="R23" s="25"/>
      <c r="S23" s="25"/>
      <c r="T23" s="25"/>
      <c r="U23" s="25"/>
      <c r="V23" s="25"/>
      <c r="W23" s="25"/>
      <c r="X23" s="25"/>
      <c r="Y23" s="25"/>
      <c r="Z23" s="61" t="s">
        <v>118</v>
      </c>
      <c r="AA23" s="37" t="s">
        <v>270</v>
      </c>
      <c r="AB23" s="61" t="s">
        <v>119</v>
      </c>
      <c r="AC23" s="37" t="s">
        <v>271</v>
      </c>
      <c r="AD23" s="61" t="s">
        <v>120</v>
      </c>
      <c r="AE23" s="62" t="s">
        <v>272</v>
      </c>
      <c r="AF23" s="63" t="s">
        <v>121</v>
      </c>
      <c r="AG23" s="62" t="s">
        <v>273</v>
      </c>
    </row>
    <row r="24" spans="2:35" x14ac:dyDescent="0.25">
      <c r="B24" s="78" t="s">
        <v>203</v>
      </c>
      <c r="C24" s="61" t="s">
        <v>265</v>
      </c>
      <c r="D24" s="25" t="s">
        <v>121</v>
      </c>
      <c r="E24" s="25">
        <v>40</v>
      </c>
      <c r="F24" s="37" t="s">
        <v>43</v>
      </c>
      <c r="G24" s="25">
        <v>1</v>
      </c>
      <c r="H24" s="60" t="str">
        <f>TEXT(0.96-E24*0.0003,"0.000")&amp;" EF"</f>
        <v>0.948 EF</v>
      </c>
      <c r="I24" s="37" t="s">
        <v>269</v>
      </c>
      <c r="J24" s="70" t="s">
        <v>335</v>
      </c>
      <c r="K24" s="1" t="s">
        <v>286</v>
      </c>
      <c r="L24" s="25" t="s">
        <v>277</v>
      </c>
      <c r="M24" s="37" t="s">
        <v>278</v>
      </c>
      <c r="N24" s="25"/>
      <c r="O24" s="25"/>
      <c r="P24" s="25"/>
      <c r="Q24" s="25"/>
      <c r="R24" s="25"/>
      <c r="S24" s="25"/>
      <c r="T24" s="25"/>
      <c r="U24" s="25"/>
      <c r="V24" s="25"/>
      <c r="W24" s="25"/>
      <c r="X24" s="25"/>
      <c r="Y24" s="25"/>
      <c r="Z24" s="61" t="s">
        <v>118</v>
      </c>
      <c r="AA24" s="37" t="s">
        <v>270</v>
      </c>
      <c r="AB24" s="61" t="s">
        <v>119</v>
      </c>
      <c r="AC24" s="37" t="s">
        <v>271</v>
      </c>
      <c r="AD24" s="61" t="s">
        <v>120</v>
      </c>
      <c r="AE24" s="62" t="s">
        <v>272</v>
      </c>
      <c r="AF24" s="63" t="s">
        <v>121</v>
      </c>
      <c r="AG24" s="62" t="s">
        <v>273</v>
      </c>
    </row>
    <row r="25" spans="2:35" x14ac:dyDescent="0.25">
      <c r="B25" s="78" t="s">
        <v>204</v>
      </c>
      <c r="C25" s="61" t="s">
        <v>265</v>
      </c>
      <c r="D25" s="25" t="s">
        <v>121</v>
      </c>
      <c r="E25" s="25">
        <f t="shared" ref="E25:E26" si="6">+E24</f>
        <v>40</v>
      </c>
      <c r="F25" s="37" t="s">
        <v>43</v>
      </c>
      <c r="G25" s="25">
        <v>2</v>
      </c>
      <c r="H25" s="60" t="str">
        <f>+H24</f>
        <v>0.948 EF</v>
      </c>
      <c r="I25" s="37" t="s">
        <v>274</v>
      </c>
      <c r="J25" s="70" t="s">
        <v>335</v>
      </c>
      <c r="L25" s="25"/>
      <c r="M25" s="37"/>
      <c r="N25" s="25"/>
      <c r="O25" s="25"/>
      <c r="P25" s="25"/>
      <c r="Q25" s="25"/>
      <c r="R25" s="25"/>
      <c r="S25" s="25"/>
      <c r="T25" s="25"/>
      <c r="U25" s="25"/>
      <c r="V25" s="25"/>
      <c r="W25" s="25"/>
      <c r="X25" s="25"/>
      <c r="Y25" s="25"/>
      <c r="Z25" s="61" t="s">
        <v>118</v>
      </c>
      <c r="AA25" s="37" t="s">
        <v>270</v>
      </c>
      <c r="AB25" s="61" t="s">
        <v>119</v>
      </c>
      <c r="AC25" s="37" t="s">
        <v>271</v>
      </c>
      <c r="AD25" s="61" t="s">
        <v>120</v>
      </c>
      <c r="AE25" s="62" t="s">
        <v>272</v>
      </c>
      <c r="AF25" s="63" t="s">
        <v>121</v>
      </c>
      <c r="AG25" s="62" t="s">
        <v>273</v>
      </c>
    </row>
    <row r="26" spans="2:35" x14ac:dyDescent="0.25">
      <c r="B26" s="79" t="s">
        <v>205</v>
      </c>
      <c r="C26" s="66" t="s">
        <v>265</v>
      </c>
      <c r="D26" s="5" t="s">
        <v>121</v>
      </c>
      <c r="E26" s="5">
        <f t="shared" si="6"/>
        <v>40</v>
      </c>
      <c r="F26" s="67" t="s">
        <v>43</v>
      </c>
      <c r="G26" s="5">
        <v>3</v>
      </c>
      <c r="H26" s="83" t="str">
        <f>+H24</f>
        <v>0.948 EF</v>
      </c>
      <c r="I26" s="67" t="s">
        <v>275</v>
      </c>
      <c r="J26" s="84" t="s">
        <v>335</v>
      </c>
      <c r="K26" s="5"/>
      <c r="L26" s="5"/>
      <c r="M26" s="67"/>
      <c r="N26" s="25"/>
      <c r="O26" s="25"/>
      <c r="P26" s="25"/>
      <c r="Q26" s="25"/>
      <c r="R26" s="25"/>
      <c r="S26" s="25"/>
      <c r="T26" s="25"/>
      <c r="U26" s="25"/>
      <c r="V26" s="25"/>
      <c r="W26" s="25"/>
      <c r="X26" s="25"/>
      <c r="Y26" s="25"/>
      <c r="Z26" s="61" t="s">
        <v>118</v>
      </c>
      <c r="AA26" s="37" t="s">
        <v>270</v>
      </c>
      <c r="AB26" s="61" t="s">
        <v>119</v>
      </c>
      <c r="AC26" s="37" t="s">
        <v>271</v>
      </c>
      <c r="AD26" s="61" t="s">
        <v>120</v>
      </c>
      <c r="AE26" s="62" t="s">
        <v>272</v>
      </c>
      <c r="AF26" s="63" t="s">
        <v>121</v>
      </c>
      <c r="AG26" s="62" t="s">
        <v>273</v>
      </c>
    </row>
    <row r="27" spans="2:35" x14ac:dyDescent="0.25">
      <c r="B27" s="78" t="s">
        <v>206</v>
      </c>
      <c r="C27" s="61" t="s">
        <v>265</v>
      </c>
      <c r="D27" s="25" t="s">
        <v>121</v>
      </c>
      <c r="E27" s="25">
        <v>50</v>
      </c>
      <c r="F27" s="37" t="s">
        <v>43</v>
      </c>
      <c r="G27" s="25">
        <v>1</v>
      </c>
      <c r="H27" s="60" t="str">
        <f>TEXT(0.96-E27*0.0003,"0.000")&amp;" EF"</f>
        <v>0.945 EF</v>
      </c>
      <c r="I27" s="37" t="s">
        <v>269</v>
      </c>
      <c r="J27" s="70" t="s">
        <v>335</v>
      </c>
      <c r="K27" s="1" t="s">
        <v>287</v>
      </c>
      <c r="L27" s="25" t="s">
        <v>280</v>
      </c>
      <c r="M27" s="37" t="s">
        <v>267</v>
      </c>
      <c r="N27" s="25"/>
      <c r="O27" s="25"/>
      <c r="P27" s="25"/>
      <c r="Q27" s="25"/>
      <c r="R27" s="25"/>
      <c r="S27" s="25"/>
      <c r="T27" s="25"/>
      <c r="U27" s="25"/>
      <c r="V27" s="25"/>
      <c r="W27" s="25"/>
      <c r="X27" s="25"/>
      <c r="Y27" s="25"/>
      <c r="Z27" s="61" t="s">
        <v>118</v>
      </c>
      <c r="AA27" s="37" t="s">
        <v>270</v>
      </c>
      <c r="AB27" s="61" t="s">
        <v>119</v>
      </c>
      <c r="AC27" s="37" t="s">
        <v>271</v>
      </c>
      <c r="AD27" s="61" t="s">
        <v>120</v>
      </c>
      <c r="AE27" s="62" t="s">
        <v>272</v>
      </c>
      <c r="AF27" s="63" t="s">
        <v>121</v>
      </c>
      <c r="AG27" s="62" t="s">
        <v>273</v>
      </c>
    </row>
    <row r="28" spans="2:35" x14ac:dyDescent="0.25">
      <c r="B28" s="78" t="s">
        <v>207</v>
      </c>
      <c r="C28" s="61" t="s">
        <v>265</v>
      </c>
      <c r="D28" s="25" t="s">
        <v>121</v>
      </c>
      <c r="E28" s="25">
        <f t="shared" ref="E28:E29" si="7">+E27</f>
        <v>50</v>
      </c>
      <c r="F28" s="37" t="s">
        <v>43</v>
      </c>
      <c r="G28" s="25">
        <v>2</v>
      </c>
      <c r="H28" s="60" t="str">
        <f>+H27</f>
        <v>0.945 EF</v>
      </c>
      <c r="I28" s="37" t="s">
        <v>274</v>
      </c>
      <c r="J28" s="70" t="s">
        <v>335</v>
      </c>
      <c r="L28" s="25"/>
      <c r="M28" s="37"/>
      <c r="N28" s="25"/>
      <c r="O28" s="25"/>
      <c r="P28" s="25"/>
      <c r="Q28" s="25"/>
      <c r="R28" s="25"/>
      <c r="S28" s="25"/>
      <c r="T28" s="25"/>
      <c r="U28" s="25"/>
      <c r="V28" s="25"/>
      <c r="W28" s="25"/>
      <c r="X28" s="25"/>
      <c r="Y28" s="25"/>
      <c r="Z28" s="61" t="s">
        <v>118</v>
      </c>
      <c r="AA28" s="37" t="s">
        <v>270</v>
      </c>
      <c r="AB28" s="61" t="s">
        <v>119</v>
      </c>
      <c r="AC28" s="37" t="s">
        <v>271</v>
      </c>
      <c r="AD28" s="61" t="s">
        <v>120</v>
      </c>
      <c r="AE28" s="62" t="s">
        <v>272</v>
      </c>
      <c r="AF28" s="63" t="s">
        <v>121</v>
      </c>
      <c r="AG28" s="62" t="s">
        <v>273</v>
      </c>
      <c r="AH28" s="64"/>
      <c r="AI28" s="64"/>
    </row>
    <row r="29" spans="2:35" x14ac:dyDescent="0.25">
      <c r="B29" s="79" t="s">
        <v>208</v>
      </c>
      <c r="C29" s="66" t="s">
        <v>265</v>
      </c>
      <c r="D29" s="5" t="s">
        <v>121</v>
      </c>
      <c r="E29" s="5">
        <f t="shared" si="7"/>
        <v>50</v>
      </c>
      <c r="F29" s="67" t="s">
        <v>43</v>
      </c>
      <c r="G29" s="5">
        <v>3</v>
      </c>
      <c r="H29" s="83" t="str">
        <f>+H27</f>
        <v>0.945 EF</v>
      </c>
      <c r="I29" s="67" t="s">
        <v>274</v>
      </c>
      <c r="J29" s="84" t="s">
        <v>335</v>
      </c>
      <c r="K29" s="5"/>
      <c r="L29" s="5"/>
      <c r="M29" s="67"/>
      <c r="N29" s="25"/>
      <c r="O29" s="25"/>
      <c r="P29" s="25"/>
      <c r="Q29" s="25"/>
      <c r="R29" s="25"/>
      <c r="S29" s="25"/>
      <c r="T29" s="25"/>
      <c r="U29" s="25"/>
      <c r="V29" s="25"/>
      <c r="W29" s="25"/>
      <c r="X29" s="25"/>
      <c r="Y29" s="25"/>
      <c r="Z29" s="61" t="s">
        <v>118</v>
      </c>
      <c r="AA29" s="37" t="s">
        <v>270</v>
      </c>
      <c r="AB29" s="61" t="s">
        <v>119</v>
      </c>
      <c r="AC29" s="37" t="s">
        <v>271</v>
      </c>
      <c r="AD29" s="61" t="s">
        <v>120</v>
      </c>
      <c r="AE29" s="62" t="s">
        <v>272</v>
      </c>
      <c r="AF29" s="63" t="s">
        <v>121</v>
      </c>
      <c r="AG29" s="62" t="s">
        <v>273</v>
      </c>
    </row>
    <row r="30" spans="2:35" x14ac:dyDescent="0.25">
      <c r="B30" s="78" t="s">
        <v>209</v>
      </c>
      <c r="C30" s="61" t="s">
        <v>265</v>
      </c>
      <c r="D30" s="25" t="s">
        <v>121</v>
      </c>
      <c r="E30" s="25">
        <v>60</v>
      </c>
      <c r="F30" s="37" t="s">
        <v>43</v>
      </c>
      <c r="G30" s="25">
        <v>1</v>
      </c>
      <c r="H30" s="26" t="str">
        <f>TEXT(2.057-E30*0.00132,"0.00")&amp;" EF"</f>
        <v>1.98 EF</v>
      </c>
      <c r="I30" s="37" t="s">
        <v>274</v>
      </c>
      <c r="J30" s="70" t="s">
        <v>336</v>
      </c>
      <c r="K30" s="1" t="s">
        <v>288</v>
      </c>
      <c r="L30" s="25" t="s">
        <v>282</v>
      </c>
      <c r="M30" s="37" t="s">
        <v>277</v>
      </c>
      <c r="N30" s="25"/>
      <c r="O30" s="25"/>
      <c r="P30" s="25"/>
      <c r="Q30" s="25"/>
      <c r="R30" s="25"/>
      <c r="S30" s="25"/>
      <c r="T30" s="25"/>
      <c r="U30" s="25"/>
      <c r="V30" s="25"/>
      <c r="W30" s="25"/>
      <c r="X30" s="25"/>
      <c r="Y30" s="25"/>
      <c r="Z30" s="61" t="s">
        <v>118</v>
      </c>
      <c r="AA30" s="37" t="s">
        <v>270</v>
      </c>
      <c r="AB30" s="61" t="s">
        <v>119</v>
      </c>
      <c r="AC30" s="37" t="s">
        <v>271</v>
      </c>
      <c r="AD30" s="61" t="s">
        <v>120</v>
      </c>
      <c r="AE30" s="62" t="s">
        <v>272</v>
      </c>
      <c r="AF30" s="63" t="s">
        <v>121</v>
      </c>
      <c r="AG30" s="62" t="s">
        <v>273</v>
      </c>
    </row>
    <row r="31" spans="2:35" x14ac:dyDescent="0.25">
      <c r="B31" s="79" t="s">
        <v>210</v>
      </c>
      <c r="C31" s="66" t="s">
        <v>265</v>
      </c>
      <c r="D31" s="5" t="s">
        <v>121</v>
      </c>
      <c r="E31" s="5">
        <f t="shared" ref="E31" si="8">+E30</f>
        <v>60</v>
      </c>
      <c r="F31" s="67" t="s">
        <v>43</v>
      </c>
      <c r="G31" s="5">
        <v>2</v>
      </c>
      <c r="H31" s="29" t="str">
        <f>+H30</f>
        <v>1.98 EF</v>
      </c>
      <c r="I31" s="67" t="s">
        <v>275</v>
      </c>
      <c r="J31" s="84" t="s">
        <v>336</v>
      </c>
      <c r="K31" s="5"/>
      <c r="L31" s="5"/>
      <c r="M31" s="67"/>
      <c r="N31" s="25"/>
      <c r="O31" s="25"/>
      <c r="P31" s="25"/>
      <c r="Q31" s="25"/>
      <c r="R31" s="25"/>
      <c r="S31" s="25"/>
      <c r="T31" s="25"/>
      <c r="U31" s="25"/>
      <c r="V31" s="25"/>
      <c r="W31" s="25"/>
      <c r="X31" s="25"/>
      <c r="Y31" s="25"/>
      <c r="Z31" s="61" t="s">
        <v>118</v>
      </c>
      <c r="AA31" s="37" t="s">
        <v>270</v>
      </c>
      <c r="AB31" s="61" t="s">
        <v>119</v>
      </c>
      <c r="AC31" s="37" t="s">
        <v>271</v>
      </c>
      <c r="AD31" s="61" t="s">
        <v>120</v>
      </c>
      <c r="AE31" s="62" t="s">
        <v>272</v>
      </c>
      <c r="AF31" s="63" t="s">
        <v>121</v>
      </c>
      <c r="AG31" s="62" t="s">
        <v>273</v>
      </c>
    </row>
    <row r="32" spans="2:35" x14ac:dyDescent="0.25">
      <c r="B32" s="78" t="s">
        <v>211</v>
      </c>
      <c r="C32" s="61" t="s">
        <v>265</v>
      </c>
      <c r="D32" s="25" t="s">
        <v>121</v>
      </c>
      <c r="E32" s="25">
        <v>75</v>
      </c>
      <c r="F32" s="37" t="s">
        <v>43</v>
      </c>
      <c r="G32" s="25">
        <v>1</v>
      </c>
      <c r="H32" s="26" t="str">
        <f>TEXT(2.057-E32*0.00132,"0.00")&amp;" EF"</f>
        <v>1.96 EF</v>
      </c>
      <c r="I32" s="37" t="s">
        <v>274</v>
      </c>
      <c r="J32" s="70" t="s">
        <v>336</v>
      </c>
      <c r="K32" s="1" t="s">
        <v>289</v>
      </c>
      <c r="L32" s="25" t="s">
        <v>284</v>
      </c>
      <c r="M32" s="37" t="s">
        <v>290</v>
      </c>
      <c r="N32" s="25"/>
      <c r="O32" s="25"/>
      <c r="P32" s="25"/>
      <c r="Q32" s="25"/>
      <c r="R32" s="25"/>
      <c r="S32" s="25"/>
      <c r="T32" s="25"/>
      <c r="U32" s="25"/>
      <c r="V32" s="25"/>
      <c r="W32" s="25"/>
      <c r="X32" s="25"/>
      <c r="Y32" s="25"/>
      <c r="Z32" s="61" t="s">
        <v>118</v>
      </c>
      <c r="AA32" s="37" t="s">
        <v>270</v>
      </c>
      <c r="AB32" s="61" t="s">
        <v>119</v>
      </c>
      <c r="AC32" s="37" t="s">
        <v>271</v>
      </c>
      <c r="AD32" s="61" t="s">
        <v>120</v>
      </c>
      <c r="AE32" s="62" t="s">
        <v>272</v>
      </c>
      <c r="AF32" s="63" t="s">
        <v>121</v>
      </c>
      <c r="AG32" s="62" t="s">
        <v>273</v>
      </c>
    </row>
    <row r="33" spans="2:33" ht="15.75" thickBot="1" x14ac:dyDescent="0.3">
      <c r="B33" s="87" t="s">
        <v>212</v>
      </c>
      <c r="C33" s="88" t="s">
        <v>265</v>
      </c>
      <c r="D33" s="89" t="s">
        <v>121</v>
      </c>
      <c r="E33" s="89">
        <f t="shared" ref="E33" si="9">+E32</f>
        <v>75</v>
      </c>
      <c r="F33" s="90" t="s">
        <v>43</v>
      </c>
      <c r="G33" s="89">
        <v>2</v>
      </c>
      <c r="H33" s="91" t="str">
        <f>+H32</f>
        <v>1.96 EF</v>
      </c>
      <c r="I33" s="90" t="s">
        <v>275</v>
      </c>
      <c r="J33" s="92" t="s">
        <v>336</v>
      </c>
      <c r="K33" s="89"/>
      <c r="L33" s="89"/>
      <c r="M33" s="90"/>
      <c r="N33" s="25"/>
      <c r="O33" s="25"/>
      <c r="P33" s="25"/>
      <c r="Q33" s="25"/>
      <c r="R33" s="25"/>
      <c r="S33" s="25"/>
      <c r="T33" s="25"/>
      <c r="U33" s="25"/>
      <c r="V33" s="25"/>
      <c r="W33" s="25"/>
      <c r="X33" s="25"/>
      <c r="Y33" s="25"/>
      <c r="Z33" s="61" t="s">
        <v>118</v>
      </c>
      <c r="AA33" s="37" t="s">
        <v>270</v>
      </c>
      <c r="AB33" s="61" t="s">
        <v>119</v>
      </c>
      <c r="AC33" s="37" t="s">
        <v>271</v>
      </c>
      <c r="AD33" s="61" t="s">
        <v>120</v>
      </c>
      <c r="AE33" s="62" t="s">
        <v>272</v>
      </c>
      <c r="AF33" s="63" t="s">
        <v>121</v>
      </c>
      <c r="AG33" s="62" t="s">
        <v>273</v>
      </c>
    </row>
    <row r="34" spans="2:33" x14ac:dyDescent="0.25">
      <c r="B34" s="78" t="s">
        <v>195</v>
      </c>
      <c r="C34" s="61" t="s">
        <v>158</v>
      </c>
      <c r="D34" s="25" t="s">
        <v>193</v>
      </c>
      <c r="E34" s="25" t="s">
        <v>339</v>
      </c>
      <c r="F34" s="37" t="s">
        <v>117</v>
      </c>
      <c r="G34" s="25">
        <v>1</v>
      </c>
      <c r="H34" s="25" t="s">
        <v>294</v>
      </c>
      <c r="I34" s="37" t="s">
        <v>293</v>
      </c>
      <c r="J34" s="70" t="s">
        <v>337</v>
      </c>
      <c r="K34" s="1" t="s">
        <v>291</v>
      </c>
      <c r="L34" s="25" t="s">
        <v>292</v>
      </c>
      <c r="M34" s="37" t="s">
        <v>293</v>
      </c>
      <c r="N34" s="25"/>
      <c r="O34" s="25"/>
      <c r="P34" s="25"/>
      <c r="Q34" s="25"/>
      <c r="R34" s="25"/>
      <c r="S34" s="25"/>
      <c r="T34" s="25"/>
      <c r="U34" s="25"/>
      <c r="V34" s="25"/>
      <c r="W34" s="25"/>
      <c r="X34" s="25"/>
      <c r="Y34" s="25"/>
      <c r="Z34" s="61" t="s">
        <v>118</v>
      </c>
      <c r="AA34" s="37" t="s">
        <v>270</v>
      </c>
      <c r="AB34" s="61" t="s">
        <v>119</v>
      </c>
      <c r="AC34" s="37" t="s">
        <v>271</v>
      </c>
      <c r="AD34" s="61" t="s">
        <v>120</v>
      </c>
      <c r="AE34" s="62" t="s">
        <v>272</v>
      </c>
      <c r="AF34" s="63" t="s">
        <v>193</v>
      </c>
      <c r="AG34" s="62" t="s">
        <v>295</v>
      </c>
    </row>
    <row r="35" spans="2:33" ht="15.75" customHeight="1" x14ac:dyDescent="0.25">
      <c r="B35" s="79" t="s">
        <v>197</v>
      </c>
      <c r="C35" s="66" t="str">
        <f>+C34</f>
        <v>Gas</v>
      </c>
      <c r="D35" s="5" t="s">
        <v>193</v>
      </c>
      <c r="E35" s="5" t="str">
        <f t="shared" ref="E35" si="10">+E34</f>
        <v>&lt;2</v>
      </c>
      <c r="F35" s="67" t="s">
        <v>117</v>
      </c>
      <c r="G35" s="5">
        <v>2</v>
      </c>
      <c r="H35" s="5" t="str">
        <f>+H34</f>
        <v>0.615 EF storage</v>
      </c>
      <c r="I35" s="67" t="s">
        <v>296</v>
      </c>
      <c r="J35" s="84" t="s">
        <v>337</v>
      </c>
      <c r="K35" s="5"/>
      <c r="L35" s="5"/>
      <c r="M35" s="67"/>
      <c r="N35" s="25"/>
      <c r="O35" s="25"/>
      <c r="P35" s="25"/>
      <c r="Q35" s="25"/>
      <c r="R35" s="25"/>
      <c r="S35" s="25"/>
      <c r="T35" s="25"/>
      <c r="U35" s="25"/>
      <c r="V35" s="25"/>
      <c r="W35" s="25"/>
      <c r="X35" s="25"/>
      <c r="Y35" s="25"/>
      <c r="Z35" s="61" t="s">
        <v>118</v>
      </c>
      <c r="AA35" s="37" t="s">
        <v>270</v>
      </c>
      <c r="AB35" s="61" t="s">
        <v>119</v>
      </c>
      <c r="AC35" s="37" t="s">
        <v>271</v>
      </c>
      <c r="AD35" s="61" t="s">
        <v>120</v>
      </c>
      <c r="AE35" s="62" t="s">
        <v>272</v>
      </c>
      <c r="AF35" s="63" t="s">
        <v>193</v>
      </c>
      <c r="AG35" s="62" t="s">
        <v>295</v>
      </c>
    </row>
    <row r="36" spans="2:33" ht="15.75" customHeight="1" x14ac:dyDescent="0.25">
      <c r="B36" s="78" t="s">
        <v>157</v>
      </c>
      <c r="C36" s="61" t="str">
        <f t="shared" ref="C36:C52" si="11">+C35</f>
        <v>Gas</v>
      </c>
      <c r="D36" s="25" t="s">
        <v>156</v>
      </c>
      <c r="E36" s="25">
        <v>30</v>
      </c>
      <c r="F36" s="37" t="s">
        <v>117</v>
      </c>
      <c r="G36" s="25">
        <v>1</v>
      </c>
      <c r="H36" s="60" t="str">
        <f t="shared" ref="H36:H44" si="12">TEXT(0.675-0.0015*E36,"0.000")&amp;" EF"</f>
        <v>0.630 EF</v>
      </c>
      <c r="I36" s="37" t="s">
        <v>300</v>
      </c>
      <c r="J36" s="37"/>
      <c r="K36" s="1" t="s">
        <v>297</v>
      </c>
      <c r="L36" s="25" t="s">
        <v>298</v>
      </c>
      <c r="M36" s="37" t="s">
        <v>299</v>
      </c>
      <c r="N36" s="25"/>
      <c r="O36" s="25"/>
      <c r="P36" s="25"/>
      <c r="Q36" s="25"/>
      <c r="R36" s="25"/>
      <c r="S36" s="25"/>
      <c r="T36" s="25"/>
      <c r="U36" s="25"/>
      <c r="V36" s="25"/>
      <c r="W36" s="25"/>
      <c r="X36" s="25"/>
      <c r="Y36" s="25"/>
      <c r="Z36" s="61" t="s">
        <v>118</v>
      </c>
      <c r="AA36" s="37" t="s">
        <v>270</v>
      </c>
      <c r="AB36" s="61" t="s">
        <v>119</v>
      </c>
      <c r="AC36" s="37" t="s">
        <v>271</v>
      </c>
      <c r="AD36" s="61" t="s">
        <v>120</v>
      </c>
      <c r="AE36" s="62" t="s">
        <v>272</v>
      </c>
      <c r="AF36" s="63" t="s">
        <v>156</v>
      </c>
      <c r="AG36" s="62" t="s">
        <v>301</v>
      </c>
    </row>
    <row r="37" spans="2:33" ht="15.75" customHeight="1" x14ac:dyDescent="0.25">
      <c r="B37" s="78" t="s">
        <v>161</v>
      </c>
      <c r="C37" s="61" t="str">
        <f t="shared" si="11"/>
        <v>Gas</v>
      </c>
      <c r="D37" s="25" t="s">
        <v>156</v>
      </c>
      <c r="E37" s="25">
        <v>30</v>
      </c>
      <c r="F37" s="37" t="s">
        <v>117</v>
      </c>
      <c r="G37" s="25">
        <v>2</v>
      </c>
      <c r="H37" s="60" t="str">
        <f t="shared" si="12"/>
        <v>0.630 EF</v>
      </c>
      <c r="I37" s="37" t="s">
        <v>302</v>
      </c>
      <c r="J37" s="37"/>
      <c r="K37" s="1" t="s">
        <v>157</v>
      </c>
      <c r="L37" s="25" t="s">
        <v>298</v>
      </c>
      <c r="M37" s="37" t="s">
        <v>300</v>
      </c>
      <c r="N37" s="25"/>
      <c r="O37" s="25"/>
      <c r="P37" s="25"/>
      <c r="Q37" s="25"/>
      <c r="R37" s="25"/>
      <c r="S37" s="25"/>
      <c r="T37" s="25"/>
      <c r="U37" s="25"/>
      <c r="V37" s="25"/>
      <c r="W37" s="25"/>
      <c r="X37" s="25"/>
      <c r="Y37" s="25"/>
      <c r="Z37" s="61" t="s">
        <v>118</v>
      </c>
      <c r="AA37" s="37" t="s">
        <v>270</v>
      </c>
      <c r="AB37" s="61" t="s">
        <v>119</v>
      </c>
      <c r="AC37" s="37" t="s">
        <v>271</v>
      </c>
      <c r="AD37" s="61" t="s">
        <v>120</v>
      </c>
      <c r="AE37" s="62" t="s">
        <v>272</v>
      </c>
      <c r="AF37" s="63" t="s">
        <v>156</v>
      </c>
      <c r="AG37" s="62" t="s">
        <v>301</v>
      </c>
    </row>
    <row r="38" spans="2:33" ht="15.75" customHeight="1" x14ac:dyDescent="0.25">
      <c r="B38" s="79" t="s">
        <v>163</v>
      </c>
      <c r="C38" s="66" t="str">
        <f t="shared" si="11"/>
        <v>Gas</v>
      </c>
      <c r="D38" s="5" t="s">
        <v>156</v>
      </c>
      <c r="E38" s="5">
        <v>30</v>
      </c>
      <c r="F38" s="67" t="s">
        <v>117</v>
      </c>
      <c r="G38" s="5">
        <v>3</v>
      </c>
      <c r="H38" s="83" t="str">
        <f t="shared" si="12"/>
        <v>0.630 EF</v>
      </c>
      <c r="I38" s="67" t="s">
        <v>303</v>
      </c>
      <c r="J38" s="67"/>
      <c r="K38" s="5" t="s">
        <v>161</v>
      </c>
      <c r="L38" s="5" t="s">
        <v>298</v>
      </c>
      <c r="M38" s="67" t="s">
        <v>302</v>
      </c>
      <c r="N38" s="25"/>
      <c r="O38" s="25"/>
      <c r="P38" s="25"/>
      <c r="Q38" s="25"/>
      <c r="R38" s="25"/>
      <c r="S38" s="25"/>
      <c r="T38" s="25"/>
      <c r="U38" s="25"/>
      <c r="V38" s="25"/>
      <c r="W38" s="25"/>
      <c r="X38" s="25"/>
      <c r="Y38" s="25"/>
      <c r="Z38" s="61" t="s">
        <v>118</v>
      </c>
      <c r="AA38" s="37" t="s">
        <v>270</v>
      </c>
      <c r="AB38" s="61" t="s">
        <v>119</v>
      </c>
      <c r="AC38" s="37" t="s">
        <v>271</v>
      </c>
      <c r="AD38" s="61" t="s">
        <v>120</v>
      </c>
      <c r="AE38" s="62" t="s">
        <v>272</v>
      </c>
      <c r="AF38" s="63" t="s">
        <v>156</v>
      </c>
      <c r="AG38" s="62" t="s">
        <v>301</v>
      </c>
    </row>
    <row r="39" spans="2:33" ht="15.75" customHeight="1" x14ac:dyDescent="0.25">
      <c r="B39" s="78" t="s">
        <v>165</v>
      </c>
      <c r="C39" s="61" t="str">
        <f t="shared" si="11"/>
        <v>Gas</v>
      </c>
      <c r="D39" s="25" t="s">
        <v>156</v>
      </c>
      <c r="E39" s="25">
        <v>40</v>
      </c>
      <c r="F39" s="37" t="s">
        <v>117</v>
      </c>
      <c r="G39" s="25">
        <v>1</v>
      </c>
      <c r="H39" s="60" t="str">
        <f t="shared" si="12"/>
        <v>0.615 EF</v>
      </c>
      <c r="I39" s="37" t="s">
        <v>300</v>
      </c>
      <c r="J39" s="37"/>
      <c r="K39" s="1" t="s">
        <v>304</v>
      </c>
      <c r="L39" s="26" t="s">
        <v>305</v>
      </c>
      <c r="M39" s="37" t="s">
        <v>299</v>
      </c>
      <c r="N39" s="25"/>
      <c r="O39" s="25"/>
      <c r="P39" s="25"/>
      <c r="Q39" s="25"/>
      <c r="R39" s="25"/>
      <c r="S39" s="25"/>
      <c r="T39" s="25"/>
      <c r="U39" s="25"/>
      <c r="V39" s="25"/>
      <c r="W39" s="25"/>
      <c r="X39" s="25"/>
      <c r="Y39" s="25"/>
      <c r="Z39" s="61" t="s">
        <v>118</v>
      </c>
      <c r="AA39" s="37" t="s">
        <v>270</v>
      </c>
      <c r="AB39" s="61" t="s">
        <v>119</v>
      </c>
      <c r="AC39" s="37" t="s">
        <v>271</v>
      </c>
      <c r="AD39" s="61" t="s">
        <v>120</v>
      </c>
      <c r="AE39" s="62" t="s">
        <v>272</v>
      </c>
      <c r="AF39" s="63" t="s">
        <v>156</v>
      </c>
      <c r="AG39" s="62" t="s">
        <v>301</v>
      </c>
    </row>
    <row r="40" spans="2:33" ht="15.75" customHeight="1" x14ac:dyDescent="0.25">
      <c r="B40" s="78" t="s">
        <v>168</v>
      </c>
      <c r="C40" s="61" t="str">
        <f t="shared" si="11"/>
        <v>Gas</v>
      </c>
      <c r="D40" s="25" t="s">
        <v>156</v>
      </c>
      <c r="E40" s="25">
        <v>40</v>
      </c>
      <c r="F40" s="37" t="s">
        <v>117</v>
      </c>
      <c r="G40" s="25">
        <v>2</v>
      </c>
      <c r="H40" s="60" t="str">
        <f t="shared" si="12"/>
        <v>0.615 EF</v>
      </c>
      <c r="I40" s="37" t="s">
        <v>302</v>
      </c>
      <c r="J40" s="37"/>
      <c r="K40" s="1" t="s">
        <v>306</v>
      </c>
      <c r="L40" s="25" t="s">
        <v>305</v>
      </c>
      <c r="M40" s="37" t="s">
        <v>307</v>
      </c>
      <c r="N40" s="25"/>
      <c r="O40" s="25"/>
      <c r="P40" s="25"/>
      <c r="Q40" s="25"/>
      <c r="R40" s="25"/>
      <c r="S40" s="25"/>
      <c r="T40" s="25"/>
      <c r="U40" s="25"/>
      <c r="V40" s="25"/>
      <c r="W40" s="25"/>
      <c r="X40" s="25"/>
      <c r="Y40" s="25"/>
      <c r="Z40" s="61" t="s">
        <v>118</v>
      </c>
      <c r="AA40" s="37" t="s">
        <v>270</v>
      </c>
      <c r="AB40" s="61" t="s">
        <v>119</v>
      </c>
      <c r="AC40" s="37" t="s">
        <v>271</v>
      </c>
      <c r="AD40" s="61" t="s">
        <v>120</v>
      </c>
      <c r="AE40" s="62" t="s">
        <v>272</v>
      </c>
      <c r="AF40" s="63" t="s">
        <v>156</v>
      </c>
      <c r="AG40" s="62" t="s">
        <v>301</v>
      </c>
    </row>
    <row r="41" spans="2:33" ht="15.75" customHeight="1" x14ac:dyDescent="0.25">
      <c r="B41" s="79" t="s">
        <v>170</v>
      </c>
      <c r="C41" s="66" t="str">
        <f t="shared" si="11"/>
        <v>Gas</v>
      </c>
      <c r="D41" s="5" t="s">
        <v>156</v>
      </c>
      <c r="E41" s="5">
        <v>40</v>
      </c>
      <c r="F41" s="67" t="s">
        <v>117</v>
      </c>
      <c r="G41" s="5">
        <v>3</v>
      </c>
      <c r="H41" s="83" t="str">
        <f t="shared" si="12"/>
        <v>0.615 EF</v>
      </c>
      <c r="I41" s="67" t="s">
        <v>308</v>
      </c>
      <c r="J41" s="67"/>
      <c r="K41" s="5" t="s">
        <v>168</v>
      </c>
      <c r="L41" s="5" t="s">
        <v>305</v>
      </c>
      <c r="M41" s="67" t="s">
        <v>302</v>
      </c>
      <c r="N41" s="25"/>
      <c r="O41" s="25"/>
      <c r="P41" s="25"/>
      <c r="Q41" s="25"/>
      <c r="R41" s="25"/>
      <c r="S41" s="25"/>
      <c r="T41" s="25"/>
      <c r="U41" s="25"/>
      <c r="V41" s="25"/>
      <c r="W41" s="25"/>
      <c r="X41" s="25"/>
      <c r="Y41" s="25"/>
      <c r="Z41" s="61" t="s">
        <v>118</v>
      </c>
      <c r="AA41" s="37" t="s">
        <v>270</v>
      </c>
      <c r="AB41" s="61" t="s">
        <v>119</v>
      </c>
      <c r="AC41" s="37" t="s">
        <v>271</v>
      </c>
      <c r="AD41" s="61" t="s">
        <v>120</v>
      </c>
      <c r="AE41" s="62" t="s">
        <v>272</v>
      </c>
      <c r="AF41" s="63" t="s">
        <v>156</v>
      </c>
      <c r="AG41" s="62" t="s">
        <v>301</v>
      </c>
    </row>
    <row r="42" spans="2:33" ht="15.75" customHeight="1" x14ac:dyDescent="0.25">
      <c r="B42" s="78" t="s">
        <v>172</v>
      </c>
      <c r="C42" s="61" t="str">
        <f t="shared" si="11"/>
        <v>Gas</v>
      </c>
      <c r="D42" s="25" t="s">
        <v>156</v>
      </c>
      <c r="E42" s="25">
        <v>50</v>
      </c>
      <c r="F42" s="37" t="s">
        <v>117</v>
      </c>
      <c r="G42" s="25">
        <v>1</v>
      </c>
      <c r="H42" s="60" t="str">
        <f t="shared" si="12"/>
        <v>0.600 EF</v>
      </c>
      <c r="I42" s="37" t="s">
        <v>307</v>
      </c>
      <c r="J42" s="37"/>
      <c r="K42" s="1" t="s">
        <v>309</v>
      </c>
      <c r="L42" s="25" t="s">
        <v>310</v>
      </c>
      <c r="M42" s="37" t="s">
        <v>299</v>
      </c>
      <c r="N42" s="25"/>
      <c r="O42" s="25"/>
      <c r="P42" s="25"/>
      <c r="Q42" s="25"/>
      <c r="R42" s="25"/>
      <c r="S42" s="25"/>
      <c r="T42" s="25"/>
      <c r="U42" s="25"/>
      <c r="V42" s="25"/>
      <c r="W42" s="25"/>
      <c r="X42" s="25"/>
      <c r="Y42" s="25"/>
      <c r="Z42" s="61" t="s">
        <v>118</v>
      </c>
      <c r="AA42" s="37" t="s">
        <v>270</v>
      </c>
      <c r="AB42" s="61" t="s">
        <v>119</v>
      </c>
      <c r="AC42" s="37" t="s">
        <v>271</v>
      </c>
      <c r="AD42" s="61" t="s">
        <v>120</v>
      </c>
      <c r="AE42" s="62" t="s">
        <v>272</v>
      </c>
      <c r="AF42" s="63" t="s">
        <v>156</v>
      </c>
      <c r="AG42" s="62" t="s">
        <v>301</v>
      </c>
    </row>
    <row r="43" spans="2:33" ht="15.75" customHeight="1" x14ac:dyDescent="0.25">
      <c r="B43" s="78" t="s">
        <v>175</v>
      </c>
      <c r="C43" s="61" t="str">
        <f t="shared" si="11"/>
        <v>Gas</v>
      </c>
      <c r="D43" s="25" t="s">
        <v>156</v>
      </c>
      <c r="E43" s="25">
        <v>50</v>
      </c>
      <c r="F43" s="37" t="s">
        <v>117</v>
      </c>
      <c r="G43" s="25">
        <v>2</v>
      </c>
      <c r="H43" s="60" t="str">
        <f t="shared" si="12"/>
        <v>0.600 EF</v>
      </c>
      <c r="I43" s="37" t="s">
        <v>302</v>
      </c>
      <c r="J43" s="37"/>
      <c r="K43" s="1" t="s">
        <v>172</v>
      </c>
      <c r="L43" s="25" t="s">
        <v>310</v>
      </c>
      <c r="M43" s="37" t="s">
        <v>307</v>
      </c>
      <c r="N43" s="25"/>
      <c r="O43" s="25"/>
      <c r="P43" s="25"/>
      <c r="Q43" s="25"/>
      <c r="R43" s="25"/>
      <c r="S43" s="25"/>
      <c r="T43" s="25"/>
      <c r="U43" s="25"/>
      <c r="V43" s="25"/>
      <c r="W43" s="25"/>
      <c r="X43" s="25"/>
      <c r="Y43" s="25"/>
      <c r="Z43" s="61" t="s">
        <v>118</v>
      </c>
      <c r="AA43" s="37" t="s">
        <v>270</v>
      </c>
      <c r="AB43" s="61" t="s">
        <v>119</v>
      </c>
      <c r="AC43" s="37" t="s">
        <v>271</v>
      </c>
      <c r="AD43" s="61" t="s">
        <v>120</v>
      </c>
      <c r="AE43" s="62" t="s">
        <v>272</v>
      </c>
      <c r="AF43" s="63" t="s">
        <v>156</v>
      </c>
      <c r="AG43" s="62" t="s">
        <v>301</v>
      </c>
    </row>
    <row r="44" spans="2:33" ht="15.75" customHeight="1" x14ac:dyDescent="0.25">
      <c r="B44" s="79" t="s">
        <v>177</v>
      </c>
      <c r="C44" s="66" t="str">
        <f t="shared" si="11"/>
        <v>Gas</v>
      </c>
      <c r="D44" s="5" t="s">
        <v>156</v>
      </c>
      <c r="E44" s="5">
        <v>50</v>
      </c>
      <c r="F44" s="67" t="s">
        <v>117</v>
      </c>
      <c r="G44" s="5">
        <v>3</v>
      </c>
      <c r="H44" s="83" t="str">
        <f t="shared" si="12"/>
        <v>0.600 EF</v>
      </c>
      <c r="I44" s="67" t="s">
        <v>308</v>
      </c>
      <c r="J44" s="67"/>
      <c r="K44" s="5" t="s">
        <v>175</v>
      </c>
      <c r="L44" s="5" t="s">
        <v>310</v>
      </c>
      <c r="M44" s="67" t="s">
        <v>302</v>
      </c>
      <c r="N44" s="25"/>
      <c r="O44" s="25"/>
      <c r="P44" s="25"/>
      <c r="Q44" s="25"/>
      <c r="R44" s="25"/>
      <c r="S44" s="25"/>
      <c r="T44" s="25"/>
      <c r="U44" s="25"/>
      <c r="V44" s="25"/>
      <c r="W44" s="25"/>
      <c r="X44" s="25"/>
      <c r="Y44" s="25"/>
      <c r="Z44" s="61" t="s">
        <v>118</v>
      </c>
      <c r="AA44" s="37" t="s">
        <v>270</v>
      </c>
      <c r="AB44" s="61" t="s">
        <v>119</v>
      </c>
      <c r="AC44" s="37" t="s">
        <v>271</v>
      </c>
      <c r="AD44" s="61" t="s">
        <v>120</v>
      </c>
      <c r="AE44" s="62" t="s">
        <v>272</v>
      </c>
      <c r="AF44" s="63" t="s">
        <v>156</v>
      </c>
      <c r="AG44" s="62" t="s">
        <v>301</v>
      </c>
    </row>
    <row r="45" spans="2:33" ht="15.75" customHeight="1" x14ac:dyDescent="0.25">
      <c r="B45" s="78" t="s">
        <v>179</v>
      </c>
      <c r="C45" s="61" t="str">
        <f t="shared" si="11"/>
        <v>Gas</v>
      </c>
      <c r="D45" s="25" t="s">
        <v>156</v>
      </c>
      <c r="E45" s="25">
        <v>60</v>
      </c>
      <c r="F45" s="37" t="s">
        <v>117</v>
      </c>
      <c r="G45" s="25">
        <v>1</v>
      </c>
      <c r="H45" s="65" t="str">
        <f t="shared" ref="H45:H50" si="13">TEXT(0.8012-0.00078*E45,"0.000")&amp;" EF"</f>
        <v>0.754 EF</v>
      </c>
      <c r="I45" s="37" t="s">
        <v>313</v>
      </c>
      <c r="J45" s="37"/>
      <c r="K45" s="1" t="s">
        <v>311</v>
      </c>
      <c r="L45" s="25" t="s">
        <v>312</v>
      </c>
      <c r="M45" s="37" t="s">
        <v>299</v>
      </c>
      <c r="N45" s="25"/>
      <c r="O45" s="25"/>
      <c r="P45" s="25"/>
      <c r="Q45" s="25"/>
      <c r="R45" s="25"/>
      <c r="S45" s="25"/>
      <c r="T45" s="25"/>
      <c r="U45" s="25"/>
      <c r="V45" s="25"/>
      <c r="W45" s="25"/>
      <c r="X45" s="25"/>
      <c r="Y45" s="25"/>
      <c r="Z45" s="61" t="s">
        <v>118</v>
      </c>
      <c r="AA45" s="37" t="s">
        <v>270</v>
      </c>
      <c r="AB45" s="61" t="s">
        <v>119</v>
      </c>
      <c r="AC45" s="37" t="s">
        <v>271</v>
      </c>
      <c r="AD45" s="61" t="s">
        <v>120</v>
      </c>
      <c r="AE45" s="62" t="s">
        <v>272</v>
      </c>
      <c r="AF45" s="63" t="s">
        <v>156</v>
      </c>
      <c r="AG45" s="62" t="s">
        <v>301</v>
      </c>
    </row>
    <row r="46" spans="2:33" ht="15.75" customHeight="1" x14ac:dyDescent="0.25">
      <c r="B46" s="78" t="s">
        <v>182</v>
      </c>
      <c r="C46" s="61" t="str">
        <f t="shared" si="11"/>
        <v>Gas</v>
      </c>
      <c r="D46" s="25" t="s">
        <v>156</v>
      </c>
      <c r="E46" s="25">
        <v>60</v>
      </c>
      <c r="F46" s="37" t="s">
        <v>117</v>
      </c>
      <c r="G46" s="25">
        <v>2</v>
      </c>
      <c r="H46" s="65" t="str">
        <f t="shared" si="13"/>
        <v>0.754 EF</v>
      </c>
      <c r="I46" s="37" t="s">
        <v>316</v>
      </c>
      <c r="J46" s="37"/>
      <c r="K46" s="1" t="s">
        <v>314</v>
      </c>
      <c r="L46" s="25" t="s">
        <v>312</v>
      </c>
      <c r="M46" s="37" t="s">
        <v>315</v>
      </c>
      <c r="N46" s="25"/>
      <c r="O46" s="25"/>
      <c r="P46" s="25"/>
      <c r="Q46" s="25"/>
      <c r="R46" s="25"/>
      <c r="S46" s="25"/>
      <c r="T46" s="25"/>
      <c r="U46" s="25"/>
      <c r="V46" s="25"/>
      <c r="W46" s="25"/>
      <c r="X46" s="25"/>
      <c r="Y46" s="25"/>
      <c r="Z46" s="61" t="s">
        <v>118</v>
      </c>
      <c r="AA46" s="37" t="s">
        <v>270</v>
      </c>
      <c r="AB46" s="61" t="s">
        <v>119</v>
      </c>
      <c r="AC46" s="37" t="s">
        <v>271</v>
      </c>
      <c r="AD46" s="61" t="s">
        <v>120</v>
      </c>
      <c r="AE46" s="62" t="s">
        <v>272</v>
      </c>
      <c r="AF46" s="63" t="s">
        <v>156</v>
      </c>
      <c r="AG46" s="62" t="s">
        <v>301</v>
      </c>
    </row>
    <row r="47" spans="2:33" ht="15.75" customHeight="1" x14ac:dyDescent="0.25">
      <c r="B47" s="79" t="s">
        <v>184</v>
      </c>
      <c r="C47" s="66" t="str">
        <f t="shared" si="11"/>
        <v>Gas</v>
      </c>
      <c r="D47" s="5" t="s">
        <v>156</v>
      </c>
      <c r="E47" s="5">
        <v>60</v>
      </c>
      <c r="F47" s="67" t="s">
        <v>117</v>
      </c>
      <c r="G47" s="5">
        <v>3</v>
      </c>
      <c r="H47" s="71" t="str">
        <f t="shared" si="13"/>
        <v>0.754 EF</v>
      </c>
      <c r="I47" s="67" t="s">
        <v>308</v>
      </c>
      <c r="J47" s="67"/>
      <c r="K47" s="5" t="s">
        <v>317</v>
      </c>
      <c r="L47" s="5" t="s">
        <v>312</v>
      </c>
      <c r="M47" s="67" t="s">
        <v>302</v>
      </c>
      <c r="N47" s="25"/>
      <c r="O47" s="25"/>
      <c r="P47" s="25"/>
      <c r="Q47" s="25"/>
      <c r="R47" s="25"/>
      <c r="S47" s="25"/>
      <c r="T47" s="25"/>
      <c r="U47" s="25"/>
      <c r="V47" s="25"/>
      <c r="W47" s="25"/>
      <c r="X47" s="25"/>
      <c r="Y47" s="25"/>
      <c r="Z47" s="61" t="s">
        <v>118</v>
      </c>
      <c r="AA47" s="37" t="s">
        <v>270</v>
      </c>
      <c r="AB47" s="61" t="s">
        <v>119</v>
      </c>
      <c r="AC47" s="37" t="s">
        <v>271</v>
      </c>
      <c r="AD47" s="61" t="s">
        <v>120</v>
      </c>
      <c r="AE47" s="62" t="s">
        <v>272</v>
      </c>
      <c r="AF47" s="63" t="s">
        <v>156</v>
      </c>
      <c r="AG47" s="62" t="s">
        <v>301</v>
      </c>
    </row>
    <row r="48" spans="2:33" ht="15.75" customHeight="1" x14ac:dyDescent="0.25">
      <c r="B48" s="78" t="s">
        <v>186</v>
      </c>
      <c r="C48" s="61" t="str">
        <f t="shared" si="11"/>
        <v>Gas</v>
      </c>
      <c r="D48" s="25" t="s">
        <v>156</v>
      </c>
      <c r="E48" s="25">
        <v>75</v>
      </c>
      <c r="F48" s="37" t="s">
        <v>117</v>
      </c>
      <c r="G48" s="25">
        <v>1</v>
      </c>
      <c r="H48" s="65" t="str">
        <f t="shared" si="13"/>
        <v>0.743 EF</v>
      </c>
      <c r="I48" s="37" t="s">
        <v>313</v>
      </c>
      <c r="J48" s="37"/>
      <c r="K48" s="1" t="s">
        <v>318</v>
      </c>
      <c r="L48" s="25" t="s">
        <v>319</v>
      </c>
      <c r="M48" s="37" t="s">
        <v>299</v>
      </c>
      <c r="N48" s="25"/>
      <c r="O48" s="25"/>
      <c r="P48" s="25"/>
      <c r="Q48" s="25"/>
      <c r="R48" s="25"/>
      <c r="S48" s="25"/>
      <c r="T48" s="25"/>
      <c r="U48" s="25"/>
      <c r="V48" s="25"/>
      <c r="W48" s="25"/>
      <c r="X48" s="25"/>
      <c r="Y48" s="25"/>
      <c r="Z48" s="61" t="s">
        <v>118</v>
      </c>
      <c r="AA48" s="37" t="s">
        <v>270</v>
      </c>
      <c r="AB48" s="61" t="s">
        <v>119</v>
      </c>
      <c r="AC48" s="37" t="s">
        <v>271</v>
      </c>
      <c r="AD48" s="61" t="s">
        <v>120</v>
      </c>
      <c r="AE48" s="62" t="s">
        <v>272</v>
      </c>
      <c r="AF48" s="63" t="s">
        <v>156</v>
      </c>
      <c r="AG48" s="62" t="s">
        <v>301</v>
      </c>
    </row>
    <row r="49" spans="2:33" ht="15.75" customHeight="1" x14ac:dyDescent="0.25">
      <c r="B49" s="78" t="s">
        <v>189</v>
      </c>
      <c r="C49" s="61" t="str">
        <f t="shared" si="11"/>
        <v>Gas</v>
      </c>
      <c r="D49" s="25" t="s">
        <v>156</v>
      </c>
      <c r="E49" s="25">
        <v>75</v>
      </c>
      <c r="F49" s="37" t="s">
        <v>117</v>
      </c>
      <c r="G49" s="25">
        <v>2</v>
      </c>
      <c r="H49" s="65" t="str">
        <f t="shared" si="13"/>
        <v>0.743 EF</v>
      </c>
      <c r="I49" s="37" t="s">
        <v>316</v>
      </c>
      <c r="J49" s="37"/>
      <c r="K49" s="1" t="s">
        <v>320</v>
      </c>
      <c r="L49" s="25" t="s">
        <v>319</v>
      </c>
      <c r="M49" s="37" t="s">
        <v>315</v>
      </c>
      <c r="N49" s="25"/>
      <c r="O49" s="25"/>
      <c r="P49" s="25"/>
      <c r="Q49" s="25"/>
      <c r="R49" s="25"/>
      <c r="S49" s="25"/>
      <c r="T49" s="25"/>
      <c r="U49" s="25"/>
      <c r="V49" s="25"/>
      <c r="W49" s="25"/>
      <c r="X49" s="25"/>
      <c r="Y49" s="25"/>
      <c r="Z49" s="61" t="s">
        <v>118</v>
      </c>
      <c r="AA49" s="37" t="s">
        <v>270</v>
      </c>
      <c r="AB49" s="61" t="s">
        <v>119</v>
      </c>
      <c r="AC49" s="37" t="s">
        <v>271</v>
      </c>
      <c r="AD49" s="61" t="s">
        <v>120</v>
      </c>
      <c r="AE49" s="62" t="s">
        <v>272</v>
      </c>
      <c r="AF49" s="63" t="s">
        <v>156</v>
      </c>
      <c r="AG49" s="62" t="s">
        <v>301</v>
      </c>
    </row>
    <row r="50" spans="2:33" ht="15.75" customHeight="1" x14ac:dyDescent="0.25">
      <c r="B50" s="79" t="s">
        <v>191</v>
      </c>
      <c r="C50" s="66" t="str">
        <f t="shared" si="11"/>
        <v>Gas</v>
      </c>
      <c r="D50" s="5" t="s">
        <v>156</v>
      </c>
      <c r="E50" s="5">
        <v>75</v>
      </c>
      <c r="F50" s="67" t="s">
        <v>117</v>
      </c>
      <c r="G50" s="5">
        <v>3</v>
      </c>
      <c r="H50" s="71" t="str">
        <f t="shared" si="13"/>
        <v>0.743 EF</v>
      </c>
      <c r="I50" s="67" t="s">
        <v>308</v>
      </c>
      <c r="J50" s="67"/>
      <c r="K50" s="5" t="s">
        <v>321</v>
      </c>
      <c r="L50" s="5" t="s">
        <v>319</v>
      </c>
      <c r="M50" s="67" t="s">
        <v>302</v>
      </c>
      <c r="N50" s="25"/>
      <c r="O50" s="25"/>
      <c r="P50" s="25"/>
      <c r="Q50" s="25"/>
      <c r="R50" s="25"/>
      <c r="S50" s="25"/>
      <c r="T50" s="25"/>
      <c r="U50" s="25"/>
      <c r="V50" s="25"/>
      <c r="W50" s="25"/>
      <c r="X50" s="25"/>
      <c r="Y50" s="25"/>
      <c r="Z50" s="61" t="s">
        <v>118</v>
      </c>
      <c r="AA50" s="37" t="s">
        <v>270</v>
      </c>
      <c r="AB50" s="61" t="s">
        <v>119</v>
      </c>
      <c r="AC50" s="37" t="s">
        <v>271</v>
      </c>
      <c r="AD50" s="61" t="s">
        <v>120</v>
      </c>
      <c r="AE50" s="62" t="s">
        <v>272</v>
      </c>
      <c r="AF50" s="63" t="s">
        <v>156</v>
      </c>
      <c r="AG50" s="62" t="s">
        <v>301</v>
      </c>
    </row>
    <row r="51" spans="2:33" ht="15.75" customHeight="1" x14ac:dyDescent="0.25">
      <c r="B51" s="78" t="s">
        <v>230</v>
      </c>
      <c r="C51" s="61" t="str">
        <f t="shared" si="11"/>
        <v>Gas</v>
      </c>
      <c r="D51" s="25" t="s">
        <v>156</v>
      </c>
      <c r="E51" s="25" t="s">
        <v>339</v>
      </c>
      <c r="F51" s="37" t="s">
        <v>43</v>
      </c>
      <c r="G51" s="25">
        <v>1</v>
      </c>
      <c r="H51" s="25" t="s">
        <v>294</v>
      </c>
      <c r="I51" s="37" t="s">
        <v>293</v>
      </c>
      <c r="J51" s="70" t="s">
        <v>337</v>
      </c>
      <c r="K51" s="1" t="s">
        <v>322</v>
      </c>
      <c r="L51" s="25" t="s">
        <v>323</v>
      </c>
      <c r="M51" s="37" t="s">
        <v>308</v>
      </c>
      <c r="N51" s="25"/>
      <c r="O51" s="25"/>
      <c r="P51" s="25"/>
      <c r="Q51" s="25"/>
      <c r="R51" s="25"/>
      <c r="S51" s="25"/>
      <c r="T51" s="25"/>
      <c r="U51" s="25"/>
      <c r="V51" s="25"/>
      <c r="W51" s="25"/>
      <c r="X51" s="25"/>
      <c r="Y51" s="25"/>
      <c r="Z51" s="61" t="s">
        <v>118</v>
      </c>
      <c r="AA51" s="37" t="s">
        <v>270</v>
      </c>
      <c r="AB51" s="61" t="s">
        <v>119</v>
      </c>
      <c r="AC51" s="37" t="s">
        <v>271</v>
      </c>
      <c r="AD51" s="61" t="s">
        <v>120</v>
      </c>
      <c r="AE51" s="62" t="s">
        <v>272</v>
      </c>
      <c r="AF51" s="63" t="s">
        <v>156</v>
      </c>
      <c r="AG51" s="62" t="s">
        <v>295</v>
      </c>
    </row>
    <row r="52" spans="2:33" ht="15.75" customHeight="1" x14ac:dyDescent="0.25">
      <c r="B52" s="79" t="s">
        <v>231</v>
      </c>
      <c r="C52" s="66" t="str">
        <f t="shared" si="11"/>
        <v>Gas</v>
      </c>
      <c r="D52" s="5" t="s">
        <v>156</v>
      </c>
      <c r="E52" s="5" t="str">
        <f t="shared" ref="E52" si="14">+E51</f>
        <v>&lt;2</v>
      </c>
      <c r="F52" s="67" t="s">
        <v>43</v>
      </c>
      <c r="G52" s="5">
        <v>2</v>
      </c>
      <c r="H52" s="5" t="str">
        <f>+H51</f>
        <v>0.615 EF storage</v>
      </c>
      <c r="I52" s="67" t="s">
        <v>296</v>
      </c>
      <c r="J52" s="84" t="s">
        <v>337</v>
      </c>
      <c r="K52" s="5"/>
      <c r="L52" s="5"/>
      <c r="M52" s="67"/>
      <c r="N52" s="25"/>
      <c r="O52" s="25"/>
      <c r="P52" s="25"/>
      <c r="Q52" s="25"/>
      <c r="R52" s="25"/>
      <c r="S52" s="25"/>
      <c r="T52" s="25"/>
      <c r="U52" s="25"/>
      <c r="V52" s="25"/>
      <c r="W52" s="25"/>
      <c r="X52" s="25"/>
      <c r="Y52" s="25"/>
      <c r="Z52" s="61" t="s">
        <v>118</v>
      </c>
      <c r="AA52" s="37" t="s">
        <v>270</v>
      </c>
      <c r="AB52" s="61" t="s">
        <v>119</v>
      </c>
      <c r="AC52" s="37" t="s">
        <v>271</v>
      </c>
      <c r="AD52" s="61" t="s">
        <v>120</v>
      </c>
      <c r="AE52" s="62" t="s">
        <v>272</v>
      </c>
      <c r="AF52" s="63" t="s">
        <v>156</v>
      </c>
      <c r="AG52" s="62" t="s">
        <v>295</v>
      </c>
    </row>
    <row r="53" spans="2:33" ht="15.75" customHeight="1" x14ac:dyDescent="0.25">
      <c r="B53" s="78" t="s">
        <v>214</v>
      </c>
      <c r="C53" s="61" t="str">
        <f t="shared" ref="C53:C67" si="15">+C52</f>
        <v>Gas</v>
      </c>
      <c r="D53" s="25" t="s">
        <v>156</v>
      </c>
      <c r="E53" s="25">
        <v>30</v>
      </c>
      <c r="F53" s="37" t="s">
        <v>43</v>
      </c>
      <c r="G53" s="25">
        <v>1</v>
      </c>
      <c r="H53" s="60" t="str">
        <f t="shared" ref="H53:H61" si="16">TEXT(0.675-0.0015*E53,"0.000")&amp;" EF"</f>
        <v>0.630 EF</v>
      </c>
      <c r="I53" s="37" t="s">
        <v>300</v>
      </c>
      <c r="J53" s="37"/>
      <c r="K53" s="1" t="s">
        <v>324</v>
      </c>
      <c r="L53" s="25" t="s">
        <v>298</v>
      </c>
      <c r="M53" s="37" t="s">
        <v>299</v>
      </c>
      <c r="N53" s="25"/>
      <c r="O53" s="25"/>
      <c r="P53" s="25"/>
      <c r="Q53" s="25"/>
      <c r="R53" s="25"/>
      <c r="S53" s="25"/>
      <c r="T53" s="25"/>
      <c r="U53" s="25"/>
      <c r="V53" s="25"/>
      <c r="W53" s="25"/>
      <c r="X53" s="25"/>
      <c r="Y53" s="25"/>
      <c r="Z53" s="61" t="s">
        <v>118</v>
      </c>
      <c r="AA53" s="37" t="s">
        <v>270</v>
      </c>
      <c r="AB53" s="61" t="s">
        <v>119</v>
      </c>
      <c r="AC53" s="37" t="s">
        <v>271</v>
      </c>
      <c r="AD53" s="61" t="s">
        <v>120</v>
      </c>
      <c r="AE53" s="62" t="s">
        <v>272</v>
      </c>
      <c r="AF53" s="63" t="s">
        <v>156</v>
      </c>
      <c r="AG53" s="62" t="s">
        <v>301</v>
      </c>
    </row>
    <row r="54" spans="2:33" ht="15.75" customHeight="1" x14ac:dyDescent="0.25">
      <c r="B54" s="78" t="s">
        <v>215</v>
      </c>
      <c r="C54" s="61" t="str">
        <f t="shared" si="15"/>
        <v>Gas</v>
      </c>
      <c r="D54" s="25" t="s">
        <v>156</v>
      </c>
      <c r="E54" s="25">
        <v>30</v>
      </c>
      <c r="F54" s="37" t="s">
        <v>43</v>
      </c>
      <c r="G54" s="25">
        <v>2</v>
      </c>
      <c r="H54" s="60" t="str">
        <f t="shared" si="16"/>
        <v>0.630 EF</v>
      </c>
      <c r="I54" s="37" t="s">
        <v>302</v>
      </c>
      <c r="J54" s="37"/>
      <c r="K54" s="1" t="s">
        <v>214</v>
      </c>
      <c r="L54" s="25" t="s">
        <v>298</v>
      </c>
      <c r="M54" s="37" t="s">
        <v>300</v>
      </c>
      <c r="N54" s="25"/>
      <c r="O54" s="25"/>
      <c r="P54" s="25"/>
      <c r="Q54" s="25"/>
      <c r="R54" s="25"/>
      <c r="S54" s="25"/>
      <c r="T54" s="25"/>
      <c r="U54" s="25"/>
      <c r="V54" s="25"/>
      <c r="W54" s="25"/>
      <c r="X54" s="25"/>
      <c r="Y54" s="25"/>
      <c r="Z54" s="61" t="s">
        <v>118</v>
      </c>
      <c r="AA54" s="37" t="s">
        <v>270</v>
      </c>
      <c r="AB54" s="61" t="s">
        <v>119</v>
      </c>
      <c r="AC54" s="37" t="s">
        <v>271</v>
      </c>
      <c r="AD54" s="61" t="s">
        <v>120</v>
      </c>
      <c r="AE54" s="62" t="s">
        <v>272</v>
      </c>
      <c r="AF54" s="63" t="s">
        <v>156</v>
      </c>
      <c r="AG54" s="62" t="s">
        <v>301</v>
      </c>
    </row>
    <row r="55" spans="2:33" ht="15.75" customHeight="1" x14ac:dyDescent="0.25">
      <c r="B55" s="79" t="s">
        <v>216</v>
      </c>
      <c r="C55" s="66" t="str">
        <f t="shared" si="15"/>
        <v>Gas</v>
      </c>
      <c r="D55" s="5" t="s">
        <v>156</v>
      </c>
      <c r="E55" s="5">
        <v>30</v>
      </c>
      <c r="F55" s="67" t="s">
        <v>43</v>
      </c>
      <c r="G55" s="5">
        <v>3</v>
      </c>
      <c r="H55" s="83" t="str">
        <f t="shared" si="16"/>
        <v>0.630 EF</v>
      </c>
      <c r="I55" s="67" t="s">
        <v>303</v>
      </c>
      <c r="J55" s="67"/>
      <c r="K55" s="5" t="s">
        <v>215</v>
      </c>
      <c r="L55" s="5" t="s">
        <v>298</v>
      </c>
      <c r="M55" s="67" t="s">
        <v>302</v>
      </c>
      <c r="N55" s="25"/>
      <c r="O55" s="25"/>
      <c r="P55" s="25"/>
      <c r="Q55" s="25"/>
      <c r="R55" s="25"/>
      <c r="S55" s="25"/>
      <c r="T55" s="25"/>
      <c r="U55" s="25"/>
      <c r="V55" s="25"/>
      <c r="W55" s="25"/>
      <c r="X55" s="25"/>
      <c r="Y55" s="25"/>
      <c r="Z55" s="61" t="s">
        <v>118</v>
      </c>
      <c r="AA55" s="37" t="s">
        <v>270</v>
      </c>
      <c r="AB55" s="61" t="s">
        <v>119</v>
      </c>
      <c r="AC55" s="37" t="s">
        <v>271</v>
      </c>
      <c r="AD55" s="61" t="s">
        <v>120</v>
      </c>
      <c r="AE55" s="62" t="s">
        <v>272</v>
      </c>
      <c r="AF55" s="63" t="s">
        <v>156</v>
      </c>
      <c r="AG55" s="62" t="s">
        <v>301</v>
      </c>
    </row>
    <row r="56" spans="2:33" ht="15.75" customHeight="1" x14ac:dyDescent="0.25">
      <c r="B56" s="78" t="s">
        <v>217</v>
      </c>
      <c r="C56" s="61" t="str">
        <f t="shared" si="15"/>
        <v>Gas</v>
      </c>
      <c r="D56" s="25" t="s">
        <v>156</v>
      </c>
      <c r="E56" s="25">
        <v>40</v>
      </c>
      <c r="F56" s="37" t="s">
        <v>43</v>
      </c>
      <c r="G56" s="25">
        <v>1</v>
      </c>
      <c r="H56" s="60" t="str">
        <f t="shared" si="16"/>
        <v>0.615 EF</v>
      </c>
      <c r="I56" s="37" t="s">
        <v>300</v>
      </c>
      <c r="J56" s="37"/>
      <c r="K56" s="1" t="s">
        <v>325</v>
      </c>
      <c r="L56" s="25" t="s">
        <v>326</v>
      </c>
      <c r="M56" s="37" t="s">
        <v>299</v>
      </c>
      <c r="N56" s="25"/>
      <c r="O56" s="25"/>
      <c r="P56" s="25"/>
      <c r="Q56" s="25"/>
      <c r="R56" s="25"/>
      <c r="S56" s="25"/>
      <c r="T56" s="25"/>
      <c r="U56" s="25"/>
      <c r="V56" s="25"/>
      <c r="W56" s="25"/>
      <c r="X56" s="25"/>
      <c r="Y56" s="25"/>
      <c r="Z56" s="61" t="s">
        <v>118</v>
      </c>
      <c r="AA56" s="37" t="s">
        <v>270</v>
      </c>
      <c r="AB56" s="61" t="s">
        <v>119</v>
      </c>
      <c r="AC56" s="37" t="s">
        <v>271</v>
      </c>
      <c r="AD56" s="61" t="s">
        <v>120</v>
      </c>
      <c r="AE56" s="62" t="s">
        <v>272</v>
      </c>
      <c r="AF56" s="63" t="s">
        <v>156</v>
      </c>
      <c r="AG56" s="62" t="s">
        <v>301</v>
      </c>
    </row>
    <row r="57" spans="2:33" ht="15.75" customHeight="1" x14ac:dyDescent="0.25">
      <c r="B57" s="78" t="s">
        <v>218</v>
      </c>
      <c r="C57" s="61" t="str">
        <f t="shared" si="15"/>
        <v>Gas</v>
      </c>
      <c r="D57" s="25" t="s">
        <v>156</v>
      </c>
      <c r="E57" s="25">
        <v>40</v>
      </c>
      <c r="F57" s="37" t="s">
        <v>43</v>
      </c>
      <c r="G57" s="25">
        <v>2</v>
      </c>
      <c r="H57" s="60" t="str">
        <f t="shared" si="16"/>
        <v>0.615 EF</v>
      </c>
      <c r="I57" s="37" t="s">
        <v>302</v>
      </c>
      <c r="J57" s="37"/>
      <c r="K57" s="1" t="s">
        <v>327</v>
      </c>
      <c r="L57" s="25" t="s">
        <v>326</v>
      </c>
      <c r="M57" s="37" t="s">
        <v>307</v>
      </c>
      <c r="N57" s="25"/>
      <c r="O57" s="25"/>
      <c r="P57" s="25"/>
      <c r="Q57" s="25"/>
      <c r="R57" s="25"/>
      <c r="S57" s="25"/>
      <c r="T57" s="25"/>
      <c r="U57" s="25"/>
      <c r="V57" s="25"/>
      <c r="W57" s="25"/>
      <c r="X57" s="25"/>
      <c r="Y57" s="25"/>
      <c r="Z57" s="61" t="s">
        <v>118</v>
      </c>
      <c r="AA57" s="37" t="s">
        <v>270</v>
      </c>
      <c r="AB57" s="61" t="s">
        <v>119</v>
      </c>
      <c r="AC57" s="37" t="s">
        <v>271</v>
      </c>
      <c r="AD57" s="61" t="s">
        <v>120</v>
      </c>
      <c r="AE57" s="62" t="s">
        <v>272</v>
      </c>
      <c r="AF57" s="63" t="s">
        <v>156</v>
      </c>
      <c r="AG57" s="62" t="s">
        <v>301</v>
      </c>
    </row>
    <row r="58" spans="2:33" x14ac:dyDescent="0.25">
      <c r="B58" s="79" t="s">
        <v>219</v>
      </c>
      <c r="C58" s="66" t="str">
        <f t="shared" si="15"/>
        <v>Gas</v>
      </c>
      <c r="D58" s="5" t="s">
        <v>156</v>
      </c>
      <c r="E58" s="5">
        <v>40</v>
      </c>
      <c r="F58" s="67" t="s">
        <v>43</v>
      </c>
      <c r="G58" s="5">
        <v>3</v>
      </c>
      <c r="H58" s="83" t="str">
        <f t="shared" si="16"/>
        <v>0.615 EF</v>
      </c>
      <c r="I58" s="67" t="s">
        <v>303</v>
      </c>
      <c r="J58" s="67"/>
      <c r="K58" s="5" t="s">
        <v>218</v>
      </c>
      <c r="L58" s="5" t="s">
        <v>326</v>
      </c>
      <c r="M58" s="67" t="s">
        <v>302</v>
      </c>
      <c r="N58" s="25"/>
      <c r="O58" s="25"/>
      <c r="P58" s="25"/>
      <c r="Q58" s="25"/>
      <c r="R58" s="25"/>
      <c r="S58" s="25"/>
      <c r="T58" s="25"/>
      <c r="U58" s="25"/>
      <c r="V58" s="25"/>
      <c r="W58" s="25"/>
      <c r="X58" s="25"/>
      <c r="Y58" s="25"/>
      <c r="Z58" s="61" t="s">
        <v>118</v>
      </c>
      <c r="AA58" s="37" t="s">
        <v>270</v>
      </c>
      <c r="AB58" s="61" t="s">
        <v>119</v>
      </c>
      <c r="AC58" s="37" t="s">
        <v>271</v>
      </c>
      <c r="AD58" s="61" t="s">
        <v>120</v>
      </c>
      <c r="AE58" s="62" t="s">
        <v>272</v>
      </c>
      <c r="AF58" s="63" t="s">
        <v>156</v>
      </c>
      <c r="AG58" s="62" t="s">
        <v>301</v>
      </c>
    </row>
    <row r="59" spans="2:33" x14ac:dyDescent="0.25">
      <c r="B59" s="78" t="s">
        <v>220</v>
      </c>
      <c r="C59" s="61" t="str">
        <f t="shared" si="15"/>
        <v>Gas</v>
      </c>
      <c r="D59" s="25" t="s">
        <v>156</v>
      </c>
      <c r="E59" s="25">
        <v>50</v>
      </c>
      <c r="F59" s="37" t="s">
        <v>43</v>
      </c>
      <c r="G59" s="25">
        <v>1</v>
      </c>
      <c r="H59" s="60" t="str">
        <f t="shared" si="16"/>
        <v>0.600 EF</v>
      </c>
      <c r="I59" s="37" t="s">
        <v>299</v>
      </c>
      <c r="J59" s="37"/>
      <c r="K59" s="1" t="s">
        <v>220</v>
      </c>
      <c r="L59" s="25" t="s">
        <v>328</v>
      </c>
      <c r="M59" s="37" t="s">
        <v>299</v>
      </c>
      <c r="N59" s="25"/>
      <c r="O59" s="25"/>
      <c r="P59" s="25"/>
      <c r="Q59" s="25"/>
      <c r="R59" s="25"/>
      <c r="S59" s="25"/>
      <c r="T59" s="25"/>
      <c r="U59" s="25"/>
      <c r="V59" s="25"/>
      <c r="W59" s="25"/>
      <c r="X59" s="25"/>
      <c r="Y59" s="25"/>
      <c r="Z59" s="61" t="s">
        <v>118</v>
      </c>
      <c r="AA59" s="37" t="s">
        <v>270</v>
      </c>
      <c r="AB59" s="61" t="s">
        <v>119</v>
      </c>
      <c r="AC59" s="37" t="s">
        <v>271</v>
      </c>
      <c r="AD59" s="61" t="s">
        <v>120</v>
      </c>
      <c r="AE59" s="62" t="s">
        <v>272</v>
      </c>
      <c r="AF59" s="63" t="s">
        <v>156</v>
      </c>
      <c r="AG59" s="62" t="s">
        <v>301</v>
      </c>
    </row>
    <row r="60" spans="2:33" x14ac:dyDescent="0.25">
      <c r="B60" s="78" t="s">
        <v>221</v>
      </c>
      <c r="C60" s="61" t="str">
        <f t="shared" si="15"/>
        <v>Gas</v>
      </c>
      <c r="D60" s="25" t="s">
        <v>156</v>
      </c>
      <c r="E60" s="25">
        <v>50</v>
      </c>
      <c r="F60" s="37" t="s">
        <v>43</v>
      </c>
      <c r="G60" s="25">
        <v>2</v>
      </c>
      <c r="H60" s="60" t="str">
        <f t="shared" si="16"/>
        <v>0.600 EF</v>
      </c>
      <c r="I60" s="37" t="s">
        <v>307</v>
      </c>
      <c r="J60" s="37"/>
      <c r="K60" s="1" t="s">
        <v>221</v>
      </c>
      <c r="L60" s="25" t="s">
        <v>328</v>
      </c>
      <c r="M60" s="37" t="s">
        <v>307</v>
      </c>
      <c r="N60" s="25"/>
      <c r="O60" s="25"/>
      <c r="P60" s="25"/>
      <c r="Q60" s="25"/>
      <c r="R60" s="25"/>
      <c r="S60" s="25"/>
      <c r="T60" s="25"/>
      <c r="U60" s="25"/>
      <c r="V60" s="25"/>
      <c r="W60" s="25"/>
      <c r="X60" s="25"/>
      <c r="Y60" s="25"/>
      <c r="Z60" s="61" t="s">
        <v>118</v>
      </c>
      <c r="AA60" s="37" t="s">
        <v>270</v>
      </c>
      <c r="AB60" s="61" t="s">
        <v>119</v>
      </c>
      <c r="AC60" s="37" t="s">
        <v>271</v>
      </c>
      <c r="AD60" s="61" t="s">
        <v>120</v>
      </c>
      <c r="AE60" s="62" t="s">
        <v>272</v>
      </c>
      <c r="AF60" s="63" t="s">
        <v>156</v>
      </c>
      <c r="AG60" s="62" t="s">
        <v>301</v>
      </c>
    </row>
    <row r="61" spans="2:33" x14ac:dyDescent="0.25">
      <c r="B61" s="79" t="s">
        <v>222</v>
      </c>
      <c r="C61" s="66" t="str">
        <f t="shared" si="15"/>
        <v>Gas</v>
      </c>
      <c r="D61" s="5" t="s">
        <v>156</v>
      </c>
      <c r="E61" s="5">
        <v>50</v>
      </c>
      <c r="F61" s="67" t="s">
        <v>43</v>
      </c>
      <c r="G61" s="5">
        <v>3</v>
      </c>
      <c r="H61" s="83" t="str">
        <f t="shared" si="16"/>
        <v>0.600 EF</v>
      </c>
      <c r="I61" s="67" t="s">
        <v>302</v>
      </c>
      <c r="J61" s="67"/>
      <c r="K61" s="5" t="s">
        <v>222</v>
      </c>
      <c r="L61" s="5" t="s">
        <v>328</v>
      </c>
      <c r="M61" s="67" t="s">
        <v>302</v>
      </c>
      <c r="N61" s="25"/>
      <c r="O61" s="25"/>
      <c r="P61" s="25"/>
      <c r="Q61" s="25"/>
      <c r="R61" s="25"/>
      <c r="S61" s="25"/>
      <c r="T61" s="25"/>
      <c r="U61" s="25"/>
      <c r="V61" s="25"/>
      <c r="W61" s="25"/>
      <c r="X61" s="25"/>
      <c r="Y61" s="25"/>
      <c r="Z61" s="61" t="s">
        <v>118</v>
      </c>
      <c r="AA61" s="37" t="s">
        <v>270</v>
      </c>
      <c r="AB61" s="61" t="s">
        <v>119</v>
      </c>
      <c r="AC61" s="37" t="s">
        <v>271</v>
      </c>
      <c r="AD61" s="61" t="s">
        <v>120</v>
      </c>
      <c r="AE61" s="62" t="s">
        <v>272</v>
      </c>
      <c r="AF61" s="63" t="s">
        <v>156</v>
      </c>
      <c r="AG61" s="62" t="s">
        <v>301</v>
      </c>
    </row>
    <row r="62" spans="2:33" x14ac:dyDescent="0.25">
      <c r="B62" s="78" t="s">
        <v>223</v>
      </c>
      <c r="C62" s="61" t="str">
        <f t="shared" si="15"/>
        <v>Gas</v>
      </c>
      <c r="D62" s="25" t="s">
        <v>156</v>
      </c>
      <c r="E62" s="25">
        <v>60</v>
      </c>
      <c r="F62" s="37" t="s">
        <v>43</v>
      </c>
      <c r="G62" s="25">
        <v>1</v>
      </c>
      <c r="H62" s="65" t="str">
        <f t="shared" ref="H62:H67" si="17">TEXT(0.8012-0.00078*E62,"0.000")&amp;" EF"</f>
        <v>0.754 EF</v>
      </c>
      <c r="I62" s="37" t="s">
        <v>313</v>
      </c>
      <c r="J62" s="37"/>
      <c r="K62" s="1" t="s">
        <v>329</v>
      </c>
      <c r="L62" s="25" t="s">
        <v>312</v>
      </c>
      <c r="M62" s="37" t="s">
        <v>299</v>
      </c>
      <c r="N62" s="25"/>
      <c r="O62" s="25"/>
      <c r="P62" s="25"/>
      <c r="Q62" s="25"/>
      <c r="R62" s="25"/>
      <c r="S62" s="25"/>
      <c r="T62" s="25"/>
      <c r="U62" s="25"/>
      <c r="V62" s="25"/>
      <c r="W62" s="25"/>
      <c r="X62" s="25"/>
      <c r="Y62" s="25"/>
      <c r="Z62" s="61" t="s">
        <v>118</v>
      </c>
      <c r="AA62" s="37" t="s">
        <v>270</v>
      </c>
      <c r="AB62" s="61" t="s">
        <v>119</v>
      </c>
      <c r="AC62" s="37" t="s">
        <v>271</v>
      </c>
      <c r="AD62" s="61" t="s">
        <v>120</v>
      </c>
      <c r="AE62" s="62" t="s">
        <v>272</v>
      </c>
      <c r="AF62" s="63" t="s">
        <v>156</v>
      </c>
      <c r="AG62" s="62" t="s">
        <v>301</v>
      </c>
    </row>
    <row r="63" spans="2:33" x14ac:dyDescent="0.25">
      <c r="B63" s="78" t="s">
        <v>224</v>
      </c>
      <c r="C63" s="61" t="str">
        <f t="shared" si="15"/>
        <v>Gas</v>
      </c>
      <c r="D63" s="25" t="s">
        <v>156</v>
      </c>
      <c r="E63" s="25">
        <v>60</v>
      </c>
      <c r="F63" s="37" t="s">
        <v>43</v>
      </c>
      <c r="G63" s="25">
        <v>2</v>
      </c>
      <c r="H63" s="65" t="str">
        <f t="shared" si="17"/>
        <v>0.754 EF</v>
      </c>
      <c r="I63" s="37" t="s">
        <v>316</v>
      </c>
      <c r="J63" s="37"/>
      <c r="K63" s="1" t="s">
        <v>330</v>
      </c>
      <c r="L63" s="25" t="s">
        <v>312</v>
      </c>
      <c r="M63" s="37" t="s">
        <v>315</v>
      </c>
      <c r="N63" s="25"/>
      <c r="O63" s="25"/>
      <c r="P63" s="25"/>
      <c r="Q63" s="25"/>
      <c r="R63" s="25"/>
      <c r="S63" s="25"/>
      <c r="T63" s="25"/>
      <c r="U63" s="25"/>
      <c r="V63" s="25"/>
      <c r="W63" s="25"/>
      <c r="X63" s="25"/>
      <c r="Y63" s="25"/>
      <c r="Z63" s="61" t="s">
        <v>118</v>
      </c>
      <c r="AA63" s="37" t="s">
        <v>270</v>
      </c>
      <c r="AB63" s="61" t="s">
        <v>119</v>
      </c>
      <c r="AC63" s="37" t="s">
        <v>271</v>
      </c>
      <c r="AD63" s="61" t="s">
        <v>120</v>
      </c>
      <c r="AE63" s="62" t="s">
        <v>272</v>
      </c>
      <c r="AF63" s="63" t="s">
        <v>156</v>
      </c>
      <c r="AG63" s="62" t="s">
        <v>301</v>
      </c>
    </row>
    <row r="64" spans="2:33" x14ac:dyDescent="0.25">
      <c r="B64" s="79" t="s">
        <v>225</v>
      </c>
      <c r="C64" s="66" t="str">
        <f t="shared" si="15"/>
        <v>Gas</v>
      </c>
      <c r="D64" s="5" t="s">
        <v>156</v>
      </c>
      <c r="E64" s="5">
        <v>60</v>
      </c>
      <c r="F64" s="67" t="s">
        <v>43</v>
      </c>
      <c r="G64" s="5">
        <v>3</v>
      </c>
      <c r="H64" s="71" t="str">
        <f t="shared" si="17"/>
        <v>0.754 EF</v>
      </c>
      <c r="I64" s="67" t="s">
        <v>308</v>
      </c>
      <c r="J64" s="67"/>
      <c r="K64" s="5" t="s">
        <v>331</v>
      </c>
      <c r="L64" s="5" t="s">
        <v>312</v>
      </c>
      <c r="M64" s="67" t="s">
        <v>302</v>
      </c>
      <c r="N64" s="25"/>
      <c r="O64" s="25"/>
      <c r="P64" s="25"/>
      <c r="Q64" s="25"/>
      <c r="R64" s="25"/>
      <c r="S64" s="25"/>
      <c r="T64" s="25"/>
      <c r="U64" s="25"/>
      <c r="V64" s="25"/>
      <c r="W64" s="25"/>
      <c r="X64" s="25"/>
      <c r="Y64" s="25"/>
      <c r="Z64" s="61" t="s">
        <v>118</v>
      </c>
      <c r="AA64" s="37" t="s">
        <v>270</v>
      </c>
      <c r="AB64" s="61" t="s">
        <v>119</v>
      </c>
      <c r="AC64" s="37" t="s">
        <v>271</v>
      </c>
      <c r="AD64" s="61" t="s">
        <v>120</v>
      </c>
      <c r="AE64" s="62" t="s">
        <v>272</v>
      </c>
      <c r="AF64" s="63" t="s">
        <v>156</v>
      </c>
      <c r="AG64" s="62" t="s">
        <v>301</v>
      </c>
    </row>
    <row r="65" spans="2:33" x14ac:dyDescent="0.25">
      <c r="B65" s="78" t="s">
        <v>226</v>
      </c>
      <c r="C65" s="61" t="str">
        <f t="shared" si="15"/>
        <v>Gas</v>
      </c>
      <c r="D65" s="25" t="s">
        <v>156</v>
      </c>
      <c r="E65" s="25">
        <v>75</v>
      </c>
      <c r="F65" s="37" t="s">
        <v>43</v>
      </c>
      <c r="G65" s="25">
        <v>1</v>
      </c>
      <c r="H65" s="65" t="str">
        <f t="shared" si="17"/>
        <v>0.743 EF</v>
      </c>
      <c r="I65" s="37" t="s">
        <v>313</v>
      </c>
      <c r="J65" s="37"/>
      <c r="K65" s="85" t="s">
        <v>332</v>
      </c>
      <c r="L65" s="34" t="s">
        <v>319</v>
      </c>
      <c r="M65" s="86" t="s">
        <v>299</v>
      </c>
      <c r="N65" s="25"/>
      <c r="O65" s="25"/>
      <c r="P65" s="25"/>
      <c r="Q65" s="25"/>
      <c r="R65" s="25"/>
      <c r="S65" s="25"/>
      <c r="T65" s="25"/>
      <c r="U65" s="25"/>
      <c r="V65" s="25"/>
      <c r="W65" s="25"/>
      <c r="X65" s="25"/>
      <c r="Y65" s="25"/>
      <c r="Z65" s="61" t="s">
        <v>118</v>
      </c>
      <c r="AA65" s="37" t="s">
        <v>270</v>
      </c>
      <c r="AB65" s="61" t="s">
        <v>119</v>
      </c>
      <c r="AC65" s="37" t="s">
        <v>271</v>
      </c>
      <c r="AD65" s="61" t="s">
        <v>120</v>
      </c>
      <c r="AE65" s="62" t="s">
        <v>272</v>
      </c>
      <c r="AF65" s="63" t="s">
        <v>156</v>
      </c>
      <c r="AG65" s="62" t="s">
        <v>301</v>
      </c>
    </row>
    <row r="66" spans="2:33" x14ac:dyDescent="0.25">
      <c r="B66" s="78" t="s">
        <v>227</v>
      </c>
      <c r="C66" s="61" t="str">
        <f t="shared" si="15"/>
        <v>Gas</v>
      </c>
      <c r="D66" s="25" t="s">
        <v>193</v>
      </c>
      <c r="E66" s="25">
        <v>75</v>
      </c>
      <c r="F66" s="37" t="s">
        <v>43</v>
      </c>
      <c r="G66" s="25">
        <v>2</v>
      </c>
      <c r="H66" s="65" t="str">
        <f t="shared" si="17"/>
        <v>0.743 EF</v>
      </c>
      <c r="I66" s="37" t="s">
        <v>316</v>
      </c>
      <c r="J66" s="37"/>
      <c r="K66" s="61" t="s">
        <v>333</v>
      </c>
      <c r="L66" s="25" t="s">
        <v>319</v>
      </c>
      <c r="M66" s="37" t="s">
        <v>315</v>
      </c>
      <c r="N66" s="25"/>
      <c r="O66" s="25"/>
      <c r="P66" s="25"/>
      <c r="Q66" s="25"/>
      <c r="R66" s="25"/>
      <c r="S66" s="25"/>
      <c r="T66" s="25"/>
      <c r="U66" s="25"/>
      <c r="V66" s="25"/>
      <c r="W66" s="25"/>
      <c r="X66" s="25"/>
      <c r="Y66" s="25"/>
      <c r="Z66" s="61" t="s">
        <v>118</v>
      </c>
      <c r="AA66" s="37" t="s">
        <v>270</v>
      </c>
      <c r="AB66" s="61" t="s">
        <v>119</v>
      </c>
      <c r="AC66" s="37" t="s">
        <v>271</v>
      </c>
      <c r="AD66" s="61" t="s">
        <v>120</v>
      </c>
      <c r="AE66" s="62" t="s">
        <v>272</v>
      </c>
      <c r="AF66" s="63" t="s">
        <v>193</v>
      </c>
      <c r="AG66" s="62" t="s">
        <v>301</v>
      </c>
    </row>
    <row r="67" spans="2:33" x14ac:dyDescent="0.25">
      <c r="B67" s="79" t="s">
        <v>228</v>
      </c>
      <c r="C67" s="66" t="str">
        <f t="shared" si="15"/>
        <v>Gas</v>
      </c>
      <c r="D67" s="5" t="s">
        <v>193</v>
      </c>
      <c r="E67" s="5">
        <v>75</v>
      </c>
      <c r="F67" s="67" t="s">
        <v>43</v>
      </c>
      <c r="G67" s="5">
        <v>3</v>
      </c>
      <c r="H67" s="71" t="str">
        <f t="shared" si="17"/>
        <v>0.743 EF</v>
      </c>
      <c r="I67" s="67" t="s">
        <v>308</v>
      </c>
      <c r="J67" s="67"/>
      <c r="K67" s="66" t="s">
        <v>334</v>
      </c>
      <c r="L67" s="5" t="s">
        <v>319</v>
      </c>
      <c r="M67" s="67" t="s">
        <v>302</v>
      </c>
      <c r="N67" s="25"/>
      <c r="O67" s="25"/>
      <c r="P67" s="25"/>
      <c r="Q67" s="25"/>
      <c r="R67" s="25"/>
      <c r="S67" s="25"/>
      <c r="T67" s="25"/>
      <c r="U67" s="25"/>
      <c r="V67" s="25"/>
      <c r="W67" s="25"/>
      <c r="X67" s="25"/>
      <c r="Y67" s="25"/>
      <c r="Z67" s="66" t="s">
        <v>118</v>
      </c>
      <c r="AA67" s="67" t="s">
        <v>270</v>
      </c>
      <c r="AB67" s="66" t="s">
        <v>119</v>
      </c>
      <c r="AC67" s="67" t="s">
        <v>271</v>
      </c>
      <c r="AD67" s="66" t="s">
        <v>120</v>
      </c>
      <c r="AE67" s="68" t="s">
        <v>272</v>
      </c>
      <c r="AF67" s="69" t="s">
        <v>193</v>
      </c>
      <c r="AG67" s="68" t="s">
        <v>301</v>
      </c>
    </row>
    <row r="68" spans="2:33" x14ac:dyDescent="0.25">
      <c r="G68" s="25"/>
    </row>
    <row r="69" spans="2:33" x14ac:dyDescent="0.25">
      <c r="G69" s="25"/>
    </row>
  </sheetData>
  <mergeCells count="8">
    <mergeCell ref="C6:F6"/>
    <mergeCell ref="AB6:AC6"/>
    <mergeCell ref="AD6:AE6"/>
    <mergeCell ref="AF6:AG6"/>
    <mergeCell ref="H6:I6"/>
    <mergeCell ref="J6:J7"/>
    <mergeCell ref="L6:M6"/>
    <mergeCell ref="Z6:AA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2:BG126"/>
  <sheetViews>
    <sheetView workbookViewId="0">
      <pane ySplit="5" topLeftCell="A6" activePane="bottomLeft" state="frozen"/>
      <selection pane="bottomLeft" activeCell="A6" sqref="A6"/>
    </sheetView>
  </sheetViews>
  <sheetFormatPr defaultRowHeight="15" x14ac:dyDescent="0.25"/>
  <cols>
    <col min="2" max="2" width="48.140625" customWidth="1"/>
    <col min="3" max="3" width="64.28515625" customWidth="1"/>
    <col min="4" max="4" width="11.5703125" customWidth="1"/>
    <col min="5" max="5" width="32.5703125" customWidth="1"/>
    <col min="6" max="6" width="10.7109375" customWidth="1"/>
    <col min="7" max="7" width="40.28515625" bestFit="1" customWidth="1"/>
    <col min="21" max="21" width="10.140625" customWidth="1"/>
    <col min="22" max="22" width="14.85546875" customWidth="1"/>
    <col min="23" max="23" width="12.7109375" customWidth="1"/>
    <col min="25" max="25" width="22.7109375" customWidth="1"/>
    <col min="26" max="26" width="62.5703125" bestFit="1" customWidth="1"/>
    <col min="27" max="27" width="12" customWidth="1"/>
    <col min="28" max="28" width="15.5703125" customWidth="1"/>
    <col min="30" max="30" width="26" bestFit="1" customWidth="1"/>
    <col min="31" max="31" width="28.85546875" bestFit="1" customWidth="1"/>
    <col min="39" max="39" width="10.42578125" bestFit="1" customWidth="1"/>
    <col min="42" max="42" width="9.7109375" bestFit="1" customWidth="1"/>
    <col min="43" max="43" width="10.5703125" bestFit="1" customWidth="1"/>
    <col min="47" max="47" width="44.7109375" customWidth="1"/>
    <col min="51" max="52" width="30.85546875" customWidth="1"/>
  </cols>
  <sheetData>
    <row r="2" spans="1:59" ht="20.25" thickBot="1" x14ac:dyDescent="0.35">
      <c r="B2" s="12" t="s">
        <v>52</v>
      </c>
      <c r="AT2" s="49" t="s">
        <v>59</v>
      </c>
      <c r="AU2" s="49"/>
      <c r="AV2" s="49"/>
    </row>
    <row r="3" spans="1:59" ht="15.75" thickTop="1" x14ac:dyDescent="0.25">
      <c r="B3" s="8" t="s">
        <v>55</v>
      </c>
      <c r="BD3" s="125" t="s">
        <v>100</v>
      </c>
      <c r="BE3" s="125"/>
      <c r="BF3" s="125"/>
      <c r="BG3" s="125"/>
    </row>
    <row r="4" spans="1:59" x14ac:dyDescent="0.25">
      <c r="B4" s="50"/>
      <c r="AT4" s="50" t="s">
        <v>101</v>
      </c>
      <c r="AW4" s="125" t="s">
        <v>102</v>
      </c>
      <c r="AX4" s="125"/>
      <c r="BD4" t="s">
        <v>103</v>
      </c>
      <c r="BE4" s="7" t="s">
        <v>104</v>
      </c>
      <c r="BF4" s="7" t="s">
        <v>105</v>
      </c>
      <c r="BG4" s="7" t="s">
        <v>105</v>
      </c>
    </row>
    <row r="5" spans="1:59" x14ac:dyDescent="0.25">
      <c r="A5" s="13" t="s">
        <v>2</v>
      </c>
      <c r="B5" t="s">
        <v>3</v>
      </c>
      <c r="C5" t="s">
        <v>4</v>
      </c>
      <c r="D5" t="s">
        <v>5</v>
      </c>
      <c r="E5" t="s">
        <v>6</v>
      </c>
      <c r="F5" t="s">
        <v>7</v>
      </c>
      <c r="G5" t="s">
        <v>10</v>
      </c>
      <c r="H5" t="s">
        <v>11</v>
      </c>
      <c r="I5" t="s">
        <v>12</v>
      </c>
      <c r="J5" t="s">
        <v>13</v>
      </c>
      <c r="K5" t="s">
        <v>14</v>
      </c>
      <c r="L5" t="s">
        <v>15</v>
      </c>
      <c r="M5" t="s">
        <v>16</v>
      </c>
      <c r="N5" t="s">
        <v>17</v>
      </c>
      <c r="O5" t="s">
        <v>18</v>
      </c>
      <c r="P5" t="s">
        <v>19</v>
      </c>
      <c r="Q5" t="s">
        <v>20</v>
      </c>
      <c r="R5" t="s">
        <v>21</v>
      </c>
      <c r="S5" t="s">
        <v>22</v>
      </c>
      <c r="T5" t="s">
        <v>23</v>
      </c>
      <c r="U5" t="s">
        <v>24</v>
      </c>
      <c r="V5" t="s">
        <v>25</v>
      </c>
      <c r="W5" t="s">
        <v>26</v>
      </c>
      <c r="X5" t="s">
        <v>27</v>
      </c>
      <c r="Y5" t="s">
        <v>29</v>
      </c>
      <c r="Z5" t="s">
        <v>31</v>
      </c>
      <c r="AA5" t="s">
        <v>32</v>
      </c>
      <c r="AB5" t="s">
        <v>33</v>
      </c>
      <c r="AC5" t="s">
        <v>34</v>
      </c>
      <c r="AD5" t="s">
        <v>35</v>
      </c>
      <c r="AE5" t="s">
        <v>36</v>
      </c>
      <c r="AF5" t="s">
        <v>37</v>
      </c>
      <c r="AG5" t="s">
        <v>39</v>
      </c>
      <c r="AH5" t="s">
        <v>48</v>
      </c>
      <c r="AI5" t="s">
        <v>49</v>
      </c>
      <c r="AJ5" t="s">
        <v>8</v>
      </c>
      <c r="AK5" t="s">
        <v>9</v>
      </c>
      <c r="AL5" t="s">
        <v>28</v>
      </c>
      <c r="AM5" t="s">
        <v>30</v>
      </c>
      <c r="AN5" t="s">
        <v>38</v>
      </c>
      <c r="AO5" t="s">
        <v>50</v>
      </c>
      <c r="AP5" s="6" t="s">
        <v>341</v>
      </c>
      <c r="AQ5" s="6" t="s">
        <v>342</v>
      </c>
      <c r="AT5" s="13" t="s">
        <v>2</v>
      </c>
      <c r="AU5" s="6" t="s">
        <v>106</v>
      </c>
      <c r="AV5" s="51" t="s">
        <v>21</v>
      </c>
      <c r="AW5" s="5" t="s">
        <v>107</v>
      </c>
      <c r="AX5" s="5" t="s">
        <v>108</v>
      </c>
      <c r="AY5" s="6" t="s">
        <v>46</v>
      </c>
      <c r="AZ5" s="6" t="s">
        <v>44</v>
      </c>
      <c r="BA5" s="51" t="s">
        <v>109</v>
      </c>
      <c r="BB5" s="51" t="s">
        <v>110</v>
      </c>
      <c r="BC5" s="14" t="s">
        <v>111</v>
      </c>
      <c r="BD5" t="s">
        <v>112</v>
      </c>
      <c r="BE5" s="7" t="s">
        <v>112</v>
      </c>
      <c r="BF5" s="7" t="s">
        <v>112</v>
      </c>
      <c r="BG5" s="7" t="s">
        <v>113</v>
      </c>
    </row>
    <row r="6" spans="1:59" x14ac:dyDescent="0.25">
      <c r="A6" s="13">
        <v>401</v>
      </c>
      <c r="B6" t="str">
        <f t="shared" ref="B6:B65" si="0">+AU6</f>
        <v>NE-WtrHt-SmlStrg-HP-lte12kW-30G-2p00EF</v>
      </c>
      <c r="C6" t="str">
        <f t="shared" ref="C6:C65" si="1">"Efficient water heater: "&amp;BF6&amp;" "&amp;AW6&amp;" (EF="&amp;TEXT(BG6,"0.00")&amp;") replaces "&amp;AW6&amp;" water heater"</f>
        <v>Efficient water heater: HP_EF Elec (EF=2.00) replaces Elec water heater</v>
      </c>
      <c r="D6" t="s">
        <v>45</v>
      </c>
      <c r="E6" t="s">
        <v>114</v>
      </c>
      <c r="F6" s="52" t="s">
        <v>115</v>
      </c>
      <c r="G6" t="str">
        <f>+B6</f>
        <v>NE-WtrHt-SmlStrg-HP-lte12kW-30G-2p00EF</v>
      </c>
      <c r="H6" t="s">
        <v>40</v>
      </c>
      <c r="I6" t="s">
        <v>116</v>
      </c>
      <c r="J6" t="s">
        <v>41</v>
      </c>
      <c r="K6">
        <v>0</v>
      </c>
      <c r="L6">
        <v>0</v>
      </c>
      <c r="M6" t="s">
        <v>41</v>
      </c>
      <c r="O6" t="s">
        <v>47</v>
      </c>
      <c r="Q6" t="s">
        <v>444</v>
      </c>
      <c r="R6" t="s">
        <v>117</v>
      </c>
      <c r="S6" t="s">
        <v>42</v>
      </c>
      <c r="T6" t="s">
        <v>118</v>
      </c>
      <c r="U6" t="s">
        <v>119</v>
      </c>
      <c r="V6" t="s">
        <v>120</v>
      </c>
      <c r="W6" t="s">
        <v>121</v>
      </c>
      <c r="Y6" t="s">
        <v>122</v>
      </c>
      <c r="Z6" t="str">
        <f>"Small Storage "&amp;AX6&amp;" gallon "&amp;AW6&amp;" water heater, EF varies by vintage"</f>
        <v>Small Storage 30 gallon Elec water heater, EF varies by vintage</v>
      </c>
      <c r="AD6" t="str">
        <f t="shared" ref="AD6:AE37" si="2">+AY6</f>
        <v>Stor_EF-Elec-030gal-0.951EF</v>
      </c>
      <c r="AE6" t="str">
        <f t="shared" si="2"/>
        <v>Stor_EF-ElecHP-030gal-2.00EF</v>
      </c>
      <c r="AF6" t="s">
        <v>53</v>
      </c>
      <c r="AH6" t="s">
        <v>47</v>
      </c>
      <c r="AI6" t="s">
        <v>47</v>
      </c>
      <c r="AK6" t="s">
        <v>123</v>
      </c>
      <c r="AM6" t="s">
        <v>122</v>
      </c>
      <c r="AP6" s="4">
        <v>42110</v>
      </c>
      <c r="AT6" s="13">
        <v>1</v>
      </c>
      <c r="AU6" t="s">
        <v>124</v>
      </c>
      <c r="AV6" s="1" t="s">
        <v>117</v>
      </c>
      <c r="AW6" s="1" t="s">
        <v>125</v>
      </c>
      <c r="AX6" s="1">
        <v>30</v>
      </c>
      <c r="AY6" t="s">
        <v>126</v>
      </c>
      <c r="AZ6" t="s">
        <v>127</v>
      </c>
      <c r="BA6" s="1">
        <v>1</v>
      </c>
      <c r="BB6" s="1" t="s">
        <v>128</v>
      </c>
      <c r="BC6" s="53" t="b">
        <v>1</v>
      </c>
      <c r="BD6" s="7" t="s">
        <v>104</v>
      </c>
      <c r="BE6" s="7" t="str">
        <f>VLOOKUP(AY6,Technologies!$B$7:$F$67,2,FALSE)</f>
        <v>Stor_EF</v>
      </c>
      <c r="BF6" s="7" t="str">
        <f>VLOOKUP(AZ6,Technologies!$B$7:$F$67,2,FALSE)</f>
        <v>HP_EF</v>
      </c>
      <c r="BG6" s="54">
        <f>VLOOKUP(AZ6,Technologies!$B$7:$F$67,5,FALSE)</f>
        <v>2</v>
      </c>
    </row>
    <row r="7" spans="1:59" x14ac:dyDescent="0.25">
      <c r="A7" s="13">
        <f>+A6+1</f>
        <v>402</v>
      </c>
      <c r="B7" t="str">
        <f t="shared" si="0"/>
        <v>NE-WtrHt-SmlStrg-HP-lte12kW-30G-2p20EF</v>
      </c>
      <c r="C7" t="str">
        <f t="shared" si="1"/>
        <v>Efficient water heater: HP_EF Elec (EF=2.20) replaces Elec water heater</v>
      </c>
      <c r="D7" t="s">
        <v>45</v>
      </c>
      <c r="E7" t="s">
        <v>114</v>
      </c>
      <c r="F7" s="52" t="s">
        <v>115</v>
      </c>
      <c r="G7" t="str">
        <f t="shared" ref="G7:G65" si="3">+B7</f>
        <v>NE-WtrHt-SmlStrg-HP-lte12kW-30G-2p20EF</v>
      </c>
      <c r="H7" t="s">
        <v>40</v>
      </c>
      <c r="I7" t="s">
        <v>116</v>
      </c>
      <c r="J7" t="s">
        <v>41</v>
      </c>
      <c r="K7">
        <v>0</v>
      </c>
      <c r="L7">
        <v>0</v>
      </c>
      <c r="M7" t="s">
        <v>41</v>
      </c>
      <c r="O7" t="s">
        <v>47</v>
      </c>
      <c r="Q7" t="s">
        <v>444</v>
      </c>
      <c r="R7" t="s">
        <v>117</v>
      </c>
      <c r="S7" t="s">
        <v>42</v>
      </c>
      <c r="T7" t="s">
        <v>118</v>
      </c>
      <c r="U7" t="s">
        <v>119</v>
      </c>
      <c r="V7" t="s">
        <v>120</v>
      </c>
      <c r="W7" t="s">
        <v>121</v>
      </c>
      <c r="Y7" t="s">
        <v>122</v>
      </c>
      <c r="Z7" t="str">
        <f t="shared" ref="Z7:Z65" si="4">"Small Storage "&amp;AX7&amp;" gallon "&amp;AW7&amp;" water heater, EF varies by vintage"</f>
        <v>Small Storage 30 gallon Elec water heater, EF varies by vintage</v>
      </c>
      <c r="AD7" t="str">
        <f t="shared" si="2"/>
        <v>Stor_EF-Elec-030gal-0.951EF</v>
      </c>
      <c r="AE7" t="str">
        <f t="shared" si="2"/>
        <v>Stor_EF-ElecHP-030gal-2.20EF</v>
      </c>
      <c r="AF7" t="s">
        <v>53</v>
      </c>
      <c r="AH7" t="s">
        <v>47</v>
      </c>
      <c r="AI7" t="s">
        <v>47</v>
      </c>
      <c r="AK7" t="s">
        <v>123</v>
      </c>
      <c r="AM7" t="s">
        <v>122</v>
      </c>
      <c r="AP7" s="4">
        <v>42110</v>
      </c>
      <c r="AT7" s="13">
        <f>+AT6+1</f>
        <v>2</v>
      </c>
      <c r="AU7" t="s">
        <v>129</v>
      </c>
      <c r="AV7" s="1" t="s">
        <v>117</v>
      </c>
      <c r="AW7" s="1" t="s">
        <v>125</v>
      </c>
      <c r="AX7" s="1">
        <v>30</v>
      </c>
      <c r="AY7" t="s">
        <v>126</v>
      </c>
      <c r="AZ7" t="s">
        <v>130</v>
      </c>
      <c r="BA7" s="1">
        <v>1</v>
      </c>
      <c r="BB7" s="1" t="s">
        <v>128</v>
      </c>
      <c r="BC7" s="53" t="b">
        <v>1</v>
      </c>
      <c r="BD7" s="7" t="s">
        <v>104</v>
      </c>
      <c r="BE7" s="7" t="str">
        <f>VLOOKUP(AY7,Technologies!$B$7:$F$67,2,FALSE)</f>
        <v>Stor_EF</v>
      </c>
      <c r="BF7" s="7" t="str">
        <f>VLOOKUP(AZ7,Technologies!$B$7:$F$67,2,FALSE)</f>
        <v>HP_EF</v>
      </c>
      <c r="BG7" s="54">
        <f>VLOOKUP(AZ7,Technologies!$B$7:$F$67,5,FALSE)</f>
        <v>2.2000000000000002</v>
      </c>
    </row>
    <row r="8" spans="1:59" x14ac:dyDescent="0.25">
      <c r="A8" s="13">
        <f t="shared" ref="A8:A65" si="5">+A7+1</f>
        <v>403</v>
      </c>
      <c r="B8" t="str">
        <f t="shared" si="0"/>
        <v>NE-WtrHt-SmlStrg-HP-lte12kW-30G-2p40EF</v>
      </c>
      <c r="C8" t="str">
        <f t="shared" si="1"/>
        <v>Efficient water heater: HP_EF Elec (EF=2.40) replaces Elec water heater</v>
      </c>
      <c r="D8" t="s">
        <v>45</v>
      </c>
      <c r="E8" t="s">
        <v>114</v>
      </c>
      <c r="F8" s="52" t="s">
        <v>115</v>
      </c>
      <c r="G8" t="str">
        <f t="shared" si="3"/>
        <v>NE-WtrHt-SmlStrg-HP-lte12kW-30G-2p40EF</v>
      </c>
      <c r="H8" t="s">
        <v>40</v>
      </c>
      <c r="I8" t="s">
        <v>116</v>
      </c>
      <c r="J8" t="s">
        <v>41</v>
      </c>
      <c r="K8">
        <v>0</v>
      </c>
      <c r="L8">
        <v>0</v>
      </c>
      <c r="M8" t="s">
        <v>41</v>
      </c>
      <c r="O8" t="s">
        <v>47</v>
      </c>
      <c r="Q8" t="s">
        <v>444</v>
      </c>
      <c r="R8" t="s">
        <v>117</v>
      </c>
      <c r="S8" t="s">
        <v>42</v>
      </c>
      <c r="T8" t="s">
        <v>118</v>
      </c>
      <c r="U8" t="s">
        <v>119</v>
      </c>
      <c r="V8" t="s">
        <v>120</v>
      </c>
      <c r="W8" t="s">
        <v>121</v>
      </c>
      <c r="Y8" t="s">
        <v>122</v>
      </c>
      <c r="Z8" t="str">
        <f t="shared" si="4"/>
        <v>Small Storage 30 gallon Elec water heater, EF varies by vintage</v>
      </c>
      <c r="AD8" t="str">
        <f t="shared" si="2"/>
        <v>Stor_EF-Elec-030gal-0.951EF</v>
      </c>
      <c r="AE8" t="str">
        <f t="shared" si="2"/>
        <v>Stor_EF-ElecHP-030gal-2.40EF</v>
      </c>
      <c r="AF8" t="s">
        <v>53</v>
      </c>
      <c r="AH8" t="s">
        <v>47</v>
      </c>
      <c r="AI8" t="s">
        <v>47</v>
      </c>
      <c r="AK8" t="s">
        <v>123</v>
      </c>
      <c r="AM8" t="s">
        <v>122</v>
      </c>
      <c r="AP8" s="4">
        <v>42110</v>
      </c>
      <c r="AT8" s="13">
        <f t="shared" ref="AT8:AT65" si="6">+AT7+1</f>
        <v>3</v>
      </c>
      <c r="AU8" t="s">
        <v>131</v>
      </c>
      <c r="AV8" s="1" t="s">
        <v>117</v>
      </c>
      <c r="AW8" s="1" t="s">
        <v>125</v>
      </c>
      <c r="AX8" s="1">
        <v>30</v>
      </c>
      <c r="AY8" t="s">
        <v>126</v>
      </c>
      <c r="AZ8" t="s">
        <v>132</v>
      </c>
      <c r="BA8" s="1">
        <v>1</v>
      </c>
      <c r="BB8" s="1" t="s">
        <v>128</v>
      </c>
      <c r="BC8" s="53" t="b">
        <v>1</v>
      </c>
      <c r="BD8" s="7" t="s">
        <v>104</v>
      </c>
      <c r="BE8" s="7" t="str">
        <f>VLOOKUP(AY8,Technologies!$B$7:$F$67,2,FALSE)</f>
        <v>Stor_EF</v>
      </c>
      <c r="BF8" s="7" t="str">
        <f>VLOOKUP(AZ8,Technologies!$B$7:$F$67,2,FALSE)</f>
        <v>HP_EF</v>
      </c>
      <c r="BG8" s="54">
        <f>VLOOKUP(AZ8,Technologies!$B$7:$F$67,5,FALSE)</f>
        <v>2.4</v>
      </c>
    </row>
    <row r="9" spans="1:59" x14ac:dyDescent="0.25">
      <c r="A9" s="13">
        <f t="shared" si="5"/>
        <v>404</v>
      </c>
      <c r="B9" t="str">
        <f t="shared" si="0"/>
        <v>NE-WtrHt-SmlStrg-HP-lte12kW-40G-2p00EF</v>
      </c>
      <c r="C9" t="str">
        <f t="shared" si="1"/>
        <v>Efficient water heater: HP_EF Elec (EF=2.00) replaces Elec water heater</v>
      </c>
      <c r="D9" t="s">
        <v>45</v>
      </c>
      <c r="E9" t="s">
        <v>114</v>
      </c>
      <c r="F9" s="52" t="s">
        <v>115</v>
      </c>
      <c r="G9" t="str">
        <f t="shared" si="3"/>
        <v>NE-WtrHt-SmlStrg-HP-lte12kW-40G-2p00EF</v>
      </c>
      <c r="H9" t="s">
        <v>40</v>
      </c>
      <c r="I9" t="s">
        <v>116</v>
      </c>
      <c r="J9" t="s">
        <v>41</v>
      </c>
      <c r="K9">
        <v>0</v>
      </c>
      <c r="L9">
        <v>0</v>
      </c>
      <c r="M9" t="s">
        <v>41</v>
      </c>
      <c r="O9" t="s">
        <v>47</v>
      </c>
      <c r="Q9" t="s">
        <v>444</v>
      </c>
      <c r="R9" t="s">
        <v>117</v>
      </c>
      <c r="S9" t="s">
        <v>42</v>
      </c>
      <c r="T9" t="s">
        <v>118</v>
      </c>
      <c r="U9" t="s">
        <v>119</v>
      </c>
      <c r="V9" t="s">
        <v>120</v>
      </c>
      <c r="W9" t="s">
        <v>121</v>
      </c>
      <c r="Y9" t="s">
        <v>122</v>
      </c>
      <c r="Z9" t="str">
        <f t="shared" si="4"/>
        <v>Small Storage 40 gallon Elec water heater, EF varies by vintage</v>
      </c>
      <c r="AD9" t="str">
        <f t="shared" si="2"/>
        <v>Stor_EF-Elec-040gal-0.948EF</v>
      </c>
      <c r="AE9" t="str">
        <f t="shared" si="2"/>
        <v>Stor_EF-ElecHP-040gal-2.00EF</v>
      </c>
      <c r="AF9" t="s">
        <v>53</v>
      </c>
      <c r="AH9" t="s">
        <v>47</v>
      </c>
      <c r="AI9" t="s">
        <v>47</v>
      </c>
      <c r="AK9" t="s">
        <v>123</v>
      </c>
      <c r="AM9" t="s">
        <v>122</v>
      </c>
      <c r="AP9" s="4">
        <v>42110</v>
      </c>
      <c r="AT9" s="13">
        <f t="shared" si="6"/>
        <v>4</v>
      </c>
      <c r="AU9" t="s">
        <v>133</v>
      </c>
      <c r="AV9" s="1" t="s">
        <v>117</v>
      </c>
      <c r="AW9" s="1" t="s">
        <v>125</v>
      </c>
      <c r="AX9" s="1">
        <v>40</v>
      </c>
      <c r="AY9" t="s">
        <v>134</v>
      </c>
      <c r="AZ9" t="s">
        <v>135</v>
      </c>
      <c r="BA9" s="1">
        <v>1</v>
      </c>
      <c r="BB9" s="1" t="s">
        <v>128</v>
      </c>
      <c r="BC9" s="53" t="b">
        <v>1</v>
      </c>
      <c r="BD9" s="7" t="s">
        <v>104</v>
      </c>
      <c r="BE9" s="7" t="str">
        <f>VLOOKUP(AY9,Technologies!$B$7:$F$67,2,FALSE)</f>
        <v>Stor_EF</v>
      </c>
      <c r="BF9" s="7" t="str">
        <f>VLOOKUP(AZ9,Technologies!$B$7:$F$67,2,FALSE)</f>
        <v>HP_EF</v>
      </c>
      <c r="BG9" s="54">
        <f>VLOOKUP(AZ9,Technologies!$B$7:$F$67,5,FALSE)</f>
        <v>2</v>
      </c>
    </row>
    <row r="10" spans="1:59" x14ac:dyDescent="0.25">
      <c r="A10" s="13">
        <f t="shared" si="5"/>
        <v>405</v>
      </c>
      <c r="B10" t="str">
        <f t="shared" si="0"/>
        <v>NE-WtrHt-SmlStrg-HP-lte12kW-40G-2p20EF</v>
      </c>
      <c r="C10" t="str">
        <f t="shared" si="1"/>
        <v>Efficient water heater: HP_EF Elec (EF=2.20) replaces Elec water heater</v>
      </c>
      <c r="D10" t="s">
        <v>45</v>
      </c>
      <c r="E10" t="s">
        <v>114</v>
      </c>
      <c r="F10" s="52" t="s">
        <v>115</v>
      </c>
      <c r="G10" t="str">
        <f t="shared" si="3"/>
        <v>NE-WtrHt-SmlStrg-HP-lte12kW-40G-2p20EF</v>
      </c>
      <c r="H10" t="s">
        <v>40</v>
      </c>
      <c r="I10" t="s">
        <v>116</v>
      </c>
      <c r="J10" t="s">
        <v>41</v>
      </c>
      <c r="K10">
        <v>0</v>
      </c>
      <c r="L10">
        <v>0</v>
      </c>
      <c r="M10" t="s">
        <v>41</v>
      </c>
      <c r="O10" t="s">
        <v>47</v>
      </c>
      <c r="Q10" t="s">
        <v>444</v>
      </c>
      <c r="R10" t="s">
        <v>117</v>
      </c>
      <c r="S10" t="s">
        <v>42</v>
      </c>
      <c r="T10" t="s">
        <v>118</v>
      </c>
      <c r="U10" t="s">
        <v>119</v>
      </c>
      <c r="V10" t="s">
        <v>120</v>
      </c>
      <c r="W10" t="s">
        <v>121</v>
      </c>
      <c r="Y10" t="s">
        <v>122</v>
      </c>
      <c r="Z10" t="str">
        <f t="shared" si="4"/>
        <v>Small Storage 40 gallon Elec water heater, EF varies by vintage</v>
      </c>
      <c r="AD10" t="str">
        <f t="shared" si="2"/>
        <v>Stor_EF-Elec-040gal-0.948EF</v>
      </c>
      <c r="AE10" t="str">
        <f t="shared" si="2"/>
        <v>Stor_EF-ElecHP-040gal-2.20EF</v>
      </c>
      <c r="AF10" t="s">
        <v>53</v>
      </c>
      <c r="AH10" t="s">
        <v>47</v>
      </c>
      <c r="AI10" t="s">
        <v>47</v>
      </c>
      <c r="AK10" t="s">
        <v>123</v>
      </c>
      <c r="AM10" t="s">
        <v>122</v>
      </c>
      <c r="AP10" s="4">
        <v>42110</v>
      </c>
      <c r="AT10" s="13">
        <f t="shared" si="6"/>
        <v>5</v>
      </c>
      <c r="AU10" t="s">
        <v>136</v>
      </c>
      <c r="AV10" s="1" t="s">
        <v>117</v>
      </c>
      <c r="AW10" s="1" t="s">
        <v>125</v>
      </c>
      <c r="AX10" s="1">
        <v>40</v>
      </c>
      <c r="AY10" t="s">
        <v>134</v>
      </c>
      <c r="AZ10" t="s">
        <v>137</v>
      </c>
      <c r="BA10" s="1">
        <v>1</v>
      </c>
      <c r="BB10" s="1" t="s">
        <v>128</v>
      </c>
      <c r="BC10" s="53" t="b">
        <v>1</v>
      </c>
      <c r="BD10" s="7" t="s">
        <v>104</v>
      </c>
      <c r="BE10" s="7" t="str">
        <f>VLOOKUP(AY10,Technologies!$B$7:$F$67,2,FALSE)</f>
        <v>Stor_EF</v>
      </c>
      <c r="BF10" s="7" t="str">
        <f>VLOOKUP(AZ10,Technologies!$B$7:$F$67,2,FALSE)</f>
        <v>HP_EF</v>
      </c>
      <c r="BG10" s="54">
        <f>VLOOKUP(AZ10,Technologies!$B$7:$F$67,5,FALSE)</f>
        <v>2.2000000000000002</v>
      </c>
    </row>
    <row r="11" spans="1:59" x14ac:dyDescent="0.25">
      <c r="A11" s="13">
        <f t="shared" si="5"/>
        <v>406</v>
      </c>
      <c r="B11" t="str">
        <f t="shared" si="0"/>
        <v>NE-WtrHt-SmlStrg-HP-lte12kW-40G-2p40EF</v>
      </c>
      <c r="C11" t="str">
        <f t="shared" si="1"/>
        <v>Efficient water heater: HP_EF Elec (EF=2.40) replaces Elec water heater</v>
      </c>
      <c r="D11" t="s">
        <v>45</v>
      </c>
      <c r="E11" t="s">
        <v>114</v>
      </c>
      <c r="F11" s="52" t="s">
        <v>115</v>
      </c>
      <c r="G11" t="str">
        <f t="shared" si="3"/>
        <v>NE-WtrHt-SmlStrg-HP-lte12kW-40G-2p40EF</v>
      </c>
      <c r="H11" t="s">
        <v>40</v>
      </c>
      <c r="I11" t="s">
        <v>116</v>
      </c>
      <c r="J11" t="s">
        <v>41</v>
      </c>
      <c r="K11">
        <v>0</v>
      </c>
      <c r="L11">
        <v>0</v>
      </c>
      <c r="M11" t="s">
        <v>41</v>
      </c>
      <c r="O11" t="s">
        <v>47</v>
      </c>
      <c r="Q11" t="s">
        <v>444</v>
      </c>
      <c r="R11" t="s">
        <v>117</v>
      </c>
      <c r="S11" t="s">
        <v>42</v>
      </c>
      <c r="T11" t="s">
        <v>118</v>
      </c>
      <c r="U11" t="s">
        <v>119</v>
      </c>
      <c r="V11" t="s">
        <v>120</v>
      </c>
      <c r="W11" t="s">
        <v>121</v>
      </c>
      <c r="Y11" t="s">
        <v>122</v>
      </c>
      <c r="Z11" t="str">
        <f t="shared" si="4"/>
        <v>Small Storage 40 gallon Elec water heater, EF varies by vintage</v>
      </c>
      <c r="AD11" t="str">
        <f t="shared" si="2"/>
        <v>Stor_EF-Elec-040gal-0.948EF</v>
      </c>
      <c r="AE11" t="str">
        <f t="shared" si="2"/>
        <v>Stor_EF-ElecHP-040gal-2.40EF</v>
      </c>
      <c r="AF11" t="s">
        <v>53</v>
      </c>
      <c r="AH11" t="s">
        <v>47</v>
      </c>
      <c r="AI11" t="s">
        <v>47</v>
      </c>
      <c r="AK11" t="s">
        <v>123</v>
      </c>
      <c r="AM11" t="s">
        <v>122</v>
      </c>
      <c r="AP11" s="4">
        <v>42110</v>
      </c>
      <c r="AT11" s="13">
        <f t="shared" si="6"/>
        <v>6</v>
      </c>
      <c r="AU11" t="s">
        <v>138</v>
      </c>
      <c r="AV11" s="1" t="s">
        <v>117</v>
      </c>
      <c r="AW11" s="1" t="s">
        <v>125</v>
      </c>
      <c r="AX11" s="1">
        <v>40</v>
      </c>
      <c r="AY11" t="s">
        <v>134</v>
      </c>
      <c r="AZ11" t="s">
        <v>139</v>
      </c>
      <c r="BA11" s="1">
        <v>1</v>
      </c>
      <c r="BB11" s="1" t="s">
        <v>128</v>
      </c>
      <c r="BC11" s="53" t="b">
        <v>1</v>
      </c>
      <c r="BD11" s="7" t="s">
        <v>104</v>
      </c>
      <c r="BE11" s="7" t="str">
        <f>VLOOKUP(AY11,Technologies!$B$7:$F$67,2,FALSE)</f>
        <v>Stor_EF</v>
      </c>
      <c r="BF11" s="7" t="str">
        <f>VLOOKUP(AZ11,Technologies!$B$7:$F$67,2,FALSE)</f>
        <v>HP_EF</v>
      </c>
      <c r="BG11" s="54">
        <f>VLOOKUP(AZ11,Technologies!$B$7:$F$67,5,FALSE)</f>
        <v>2.4</v>
      </c>
    </row>
    <row r="12" spans="1:59" x14ac:dyDescent="0.25">
      <c r="A12" s="13">
        <f t="shared" si="5"/>
        <v>407</v>
      </c>
      <c r="B12" t="str">
        <f t="shared" si="0"/>
        <v>NE-WtrHt-SmlStrg-HP-lte12kW-50G-2p00EF</v>
      </c>
      <c r="C12" t="str">
        <f t="shared" si="1"/>
        <v>Efficient water heater: HP_EF Elec (EF=2.00) replaces Elec water heater</v>
      </c>
      <c r="D12" t="s">
        <v>45</v>
      </c>
      <c r="E12" t="s">
        <v>114</v>
      </c>
      <c r="F12" s="52" t="s">
        <v>115</v>
      </c>
      <c r="G12" t="str">
        <f t="shared" si="3"/>
        <v>NE-WtrHt-SmlStrg-HP-lte12kW-50G-2p00EF</v>
      </c>
      <c r="H12" t="s">
        <v>40</v>
      </c>
      <c r="I12" t="s">
        <v>116</v>
      </c>
      <c r="J12" t="s">
        <v>41</v>
      </c>
      <c r="K12">
        <v>0</v>
      </c>
      <c r="L12">
        <v>0</v>
      </c>
      <c r="M12" t="s">
        <v>41</v>
      </c>
      <c r="O12" t="s">
        <v>47</v>
      </c>
      <c r="Q12" t="s">
        <v>444</v>
      </c>
      <c r="R12" t="s">
        <v>117</v>
      </c>
      <c r="S12" t="s">
        <v>42</v>
      </c>
      <c r="T12" t="s">
        <v>118</v>
      </c>
      <c r="U12" t="s">
        <v>119</v>
      </c>
      <c r="V12" t="s">
        <v>120</v>
      </c>
      <c r="W12" t="s">
        <v>121</v>
      </c>
      <c r="Y12" t="s">
        <v>122</v>
      </c>
      <c r="Z12" t="str">
        <f t="shared" si="4"/>
        <v>Small Storage 50 gallon Elec water heater, EF varies by vintage</v>
      </c>
      <c r="AD12" t="str">
        <f t="shared" si="2"/>
        <v>Stor_EF-Elec-050gal-0.945EF</v>
      </c>
      <c r="AE12" t="str">
        <f t="shared" si="2"/>
        <v>Stor_EF-ElecHP-050gal-2.00EF</v>
      </c>
      <c r="AF12" t="s">
        <v>53</v>
      </c>
      <c r="AH12" t="s">
        <v>47</v>
      </c>
      <c r="AI12" t="s">
        <v>47</v>
      </c>
      <c r="AK12" t="s">
        <v>123</v>
      </c>
      <c r="AM12" t="s">
        <v>122</v>
      </c>
      <c r="AP12" s="4">
        <v>42110</v>
      </c>
      <c r="AT12" s="13">
        <f t="shared" si="6"/>
        <v>7</v>
      </c>
      <c r="AU12" t="s">
        <v>140</v>
      </c>
      <c r="AV12" s="1" t="s">
        <v>117</v>
      </c>
      <c r="AW12" s="1" t="s">
        <v>125</v>
      </c>
      <c r="AX12" s="1">
        <v>50</v>
      </c>
      <c r="AY12" t="s">
        <v>141</v>
      </c>
      <c r="AZ12" t="s">
        <v>142</v>
      </c>
      <c r="BA12" s="1">
        <v>1</v>
      </c>
      <c r="BB12" s="1" t="s">
        <v>128</v>
      </c>
      <c r="BC12" s="53" t="b">
        <v>1</v>
      </c>
      <c r="BD12" s="7" t="s">
        <v>104</v>
      </c>
      <c r="BE12" s="7" t="str">
        <f>VLOOKUP(AY12,Technologies!$B$7:$F$67,2,FALSE)</f>
        <v>Stor_EF</v>
      </c>
      <c r="BF12" s="7" t="str">
        <f>VLOOKUP(AZ12,Technologies!$B$7:$F$67,2,FALSE)</f>
        <v>HP_EF</v>
      </c>
      <c r="BG12" s="54">
        <f>VLOOKUP(AZ12,Technologies!$B$7:$F$67,5,FALSE)</f>
        <v>2</v>
      </c>
    </row>
    <row r="13" spans="1:59" x14ac:dyDescent="0.25">
      <c r="A13" s="13">
        <f t="shared" si="5"/>
        <v>408</v>
      </c>
      <c r="B13" t="str">
        <f t="shared" si="0"/>
        <v>NE-WtrHt-SmlStrg-HP-lte12kW-50G-2p20EF</v>
      </c>
      <c r="C13" t="str">
        <f t="shared" si="1"/>
        <v>Efficient water heater: HP_EF Elec (EF=2.20) replaces Elec water heater</v>
      </c>
      <c r="D13" t="s">
        <v>45</v>
      </c>
      <c r="E13" t="s">
        <v>114</v>
      </c>
      <c r="F13" s="52" t="s">
        <v>115</v>
      </c>
      <c r="G13" t="str">
        <f t="shared" si="3"/>
        <v>NE-WtrHt-SmlStrg-HP-lte12kW-50G-2p20EF</v>
      </c>
      <c r="H13" t="s">
        <v>40</v>
      </c>
      <c r="I13" t="s">
        <v>116</v>
      </c>
      <c r="J13" t="s">
        <v>41</v>
      </c>
      <c r="K13">
        <v>0</v>
      </c>
      <c r="L13">
        <v>0</v>
      </c>
      <c r="M13" t="s">
        <v>41</v>
      </c>
      <c r="O13" t="s">
        <v>47</v>
      </c>
      <c r="Q13" t="s">
        <v>444</v>
      </c>
      <c r="R13" t="s">
        <v>117</v>
      </c>
      <c r="S13" t="s">
        <v>42</v>
      </c>
      <c r="T13" t="s">
        <v>118</v>
      </c>
      <c r="U13" t="s">
        <v>119</v>
      </c>
      <c r="V13" t="s">
        <v>120</v>
      </c>
      <c r="W13" t="s">
        <v>121</v>
      </c>
      <c r="Y13" t="s">
        <v>122</v>
      </c>
      <c r="Z13" t="str">
        <f t="shared" si="4"/>
        <v>Small Storage 50 gallon Elec water heater, EF varies by vintage</v>
      </c>
      <c r="AD13" t="str">
        <f t="shared" si="2"/>
        <v>Stor_EF-Elec-050gal-0.945EF</v>
      </c>
      <c r="AE13" t="str">
        <f t="shared" si="2"/>
        <v>Stor_EF-ElecHP-050gal-2.20EF</v>
      </c>
      <c r="AF13" t="s">
        <v>53</v>
      </c>
      <c r="AH13" t="s">
        <v>47</v>
      </c>
      <c r="AI13" t="s">
        <v>47</v>
      </c>
      <c r="AK13" t="s">
        <v>123</v>
      </c>
      <c r="AM13" t="s">
        <v>122</v>
      </c>
      <c r="AP13" s="4">
        <v>42110</v>
      </c>
      <c r="AT13" s="13">
        <f t="shared" si="6"/>
        <v>8</v>
      </c>
      <c r="AU13" t="s">
        <v>143</v>
      </c>
      <c r="AV13" s="1" t="s">
        <v>117</v>
      </c>
      <c r="AW13" s="1" t="s">
        <v>125</v>
      </c>
      <c r="AX13" s="1">
        <v>50</v>
      </c>
      <c r="AY13" t="s">
        <v>141</v>
      </c>
      <c r="AZ13" t="s">
        <v>144</v>
      </c>
      <c r="BA13" s="1">
        <v>1</v>
      </c>
      <c r="BB13" s="1" t="s">
        <v>128</v>
      </c>
      <c r="BC13" s="53" t="b">
        <v>1</v>
      </c>
      <c r="BD13" s="7" t="s">
        <v>104</v>
      </c>
      <c r="BE13" s="7" t="str">
        <f>VLOOKUP(AY13,Technologies!$B$7:$F$67,2,FALSE)</f>
        <v>Stor_EF</v>
      </c>
      <c r="BF13" s="7" t="str">
        <f>VLOOKUP(AZ13,Technologies!$B$7:$F$67,2,FALSE)</f>
        <v>HP_EF</v>
      </c>
      <c r="BG13" s="54">
        <f>VLOOKUP(AZ13,Technologies!$B$7:$F$67,5,FALSE)</f>
        <v>2.2000000000000002</v>
      </c>
    </row>
    <row r="14" spans="1:59" x14ac:dyDescent="0.25">
      <c r="A14" s="13">
        <f t="shared" si="5"/>
        <v>409</v>
      </c>
      <c r="B14" t="str">
        <f t="shared" si="0"/>
        <v>NE-WtrHt-SmlStrg-HP-lte12kW-50G-2p40EF</v>
      </c>
      <c r="C14" t="str">
        <f t="shared" si="1"/>
        <v>Efficient water heater: HP_EF Elec (EF=2.40) replaces Elec water heater</v>
      </c>
      <c r="D14" t="s">
        <v>45</v>
      </c>
      <c r="E14" t="s">
        <v>114</v>
      </c>
      <c r="F14" s="52" t="s">
        <v>115</v>
      </c>
      <c r="G14" t="str">
        <f t="shared" si="3"/>
        <v>NE-WtrHt-SmlStrg-HP-lte12kW-50G-2p40EF</v>
      </c>
      <c r="H14" t="s">
        <v>40</v>
      </c>
      <c r="I14" t="s">
        <v>116</v>
      </c>
      <c r="J14" t="s">
        <v>41</v>
      </c>
      <c r="K14">
        <v>0</v>
      </c>
      <c r="L14">
        <v>0</v>
      </c>
      <c r="M14" t="s">
        <v>41</v>
      </c>
      <c r="O14" t="s">
        <v>47</v>
      </c>
      <c r="Q14" t="s">
        <v>444</v>
      </c>
      <c r="R14" t="s">
        <v>117</v>
      </c>
      <c r="S14" t="s">
        <v>42</v>
      </c>
      <c r="T14" t="s">
        <v>118</v>
      </c>
      <c r="U14" t="s">
        <v>119</v>
      </c>
      <c r="V14" t="s">
        <v>120</v>
      </c>
      <c r="W14" t="s">
        <v>121</v>
      </c>
      <c r="Y14" t="s">
        <v>122</v>
      </c>
      <c r="Z14" t="str">
        <f t="shared" si="4"/>
        <v>Small Storage 50 gallon Elec water heater, EF varies by vintage</v>
      </c>
      <c r="AD14" t="str">
        <f t="shared" si="2"/>
        <v>Stor_EF-Elec-050gal-0.945EF</v>
      </c>
      <c r="AE14" t="str">
        <f t="shared" si="2"/>
        <v>Stor_EF-ElecHP-050gal-2.40EF</v>
      </c>
      <c r="AF14" t="s">
        <v>53</v>
      </c>
      <c r="AH14" t="s">
        <v>47</v>
      </c>
      <c r="AI14" t="s">
        <v>47</v>
      </c>
      <c r="AK14" t="s">
        <v>123</v>
      </c>
      <c r="AM14" t="s">
        <v>122</v>
      </c>
      <c r="AP14" s="4">
        <v>42110</v>
      </c>
      <c r="AT14" s="13">
        <f t="shared" si="6"/>
        <v>9</v>
      </c>
      <c r="AU14" t="s">
        <v>145</v>
      </c>
      <c r="AV14" s="1" t="s">
        <v>117</v>
      </c>
      <c r="AW14" s="1" t="s">
        <v>125</v>
      </c>
      <c r="AX14" s="1">
        <v>50</v>
      </c>
      <c r="AY14" t="s">
        <v>141</v>
      </c>
      <c r="AZ14" t="s">
        <v>249</v>
      </c>
      <c r="BA14" s="1">
        <v>1</v>
      </c>
      <c r="BB14" s="1" t="s">
        <v>128</v>
      </c>
      <c r="BC14" s="53" t="b">
        <v>1</v>
      </c>
      <c r="BD14" s="7" t="s">
        <v>104</v>
      </c>
      <c r="BE14" s="7" t="str">
        <f>VLOOKUP(AY14,Technologies!$B$7:$F$67,2,FALSE)</f>
        <v>Stor_EF</v>
      </c>
      <c r="BF14" s="7" t="str">
        <f>VLOOKUP(AZ14,Technologies!$B$7:$F$67,2,FALSE)</f>
        <v>HP_EF</v>
      </c>
      <c r="BG14" s="54">
        <f>VLOOKUP(AZ14,Technologies!$B$7:$F$67,5,FALSE)</f>
        <v>2.4</v>
      </c>
    </row>
    <row r="15" spans="1:59" x14ac:dyDescent="0.25">
      <c r="A15" s="13">
        <f t="shared" si="5"/>
        <v>410</v>
      </c>
      <c r="B15" t="str">
        <f t="shared" si="0"/>
        <v>NE-WtrHt-SmlStrg-HP-lte12kW-60G-2p20EF</v>
      </c>
      <c r="C15" t="str">
        <f t="shared" si="1"/>
        <v>Efficient water heater: HP_EF Elec (EF=2.20) replaces Elec water heater</v>
      </c>
      <c r="D15" t="s">
        <v>45</v>
      </c>
      <c r="E15" t="s">
        <v>114</v>
      </c>
      <c r="F15" s="52" t="s">
        <v>115</v>
      </c>
      <c r="G15" t="str">
        <f t="shared" si="3"/>
        <v>NE-WtrHt-SmlStrg-HP-lte12kW-60G-2p20EF</v>
      </c>
      <c r="H15" t="s">
        <v>40</v>
      </c>
      <c r="I15" t="s">
        <v>116</v>
      </c>
      <c r="J15" t="s">
        <v>41</v>
      </c>
      <c r="K15">
        <v>0</v>
      </c>
      <c r="L15">
        <v>0</v>
      </c>
      <c r="M15" t="s">
        <v>41</v>
      </c>
      <c r="O15" t="s">
        <v>47</v>
      </c>
      <c r="Q15" t="s">
        <v>444</v>
      </c>
      <c r="R15" t="s">
        <v>117</v>
      </c>
      <c r="S15" t="s">
        <v>42</v>
      </c>
      <c r="T15" t="s">
        <v>118</v>
      </c>
      <c r="U15" t="s">
        <v>119</v>
      </c>
      <c r="V15" t="s">
        <v>120</v>
      </c>
      <c r="W15" t="s">
        <v>121</v>
      </c>
      <c r="Y15" t="s">
        <v>122</v>
      </c>
      <c r="Z15" t="str">
        <f t="shared" si="4"/>
        <v>Small Storage 60 gallon Elec water heater, EF varies by vintage</v>
      </c>
      <c r="AD15" t="str">
        <f t="shared" si="2"/>
        <v>Stor_EF-ElecHP-060gal-1.98EF</v>
      </c>
      <c r="AE15" t="str">
        <f t="shared" si="2"/>
        <v>Stor_EF-ElecHP-060gal-2.20EF</v>
      </c>
      <c r="AF15" t="s">
        <v>53</v>
      </c>
      <c r="AH15" t="s">
        <v>47</v>
      </c>
      <c r="AI15" t="s">
        <v>47</v>
      </c>
      <c r="AK15" t="s">
        <v>123</v>
      </c>
      <c r="AM15" t="s">
        <v>122</v>
      </c>
      <c r="AP15" s="4">
        <v>42110</v>
      </c>
      <c r="AT15" s="13">
        <f t="shared" si="6"/>
        <v>10</v>
      </c>
      <c r="AU15" t="s">
        <v>146</v>
      </c>
      <c r="AV15" s="1" t="s">
        <v>117</v>
      </c>
      <c r="AW15" s="1" t="s">
        <v>125</v>
      </c>
      <c r="AX15" s="1">
        <v>60</v>
      </c>
      <c r="AY15" t="s">
        <v>147</v>
      </c>
      <c r="AZ15" t="s">
        <v>148</v>
      </c>
      <c r="BA15" s="1">
        <v>1</v>
      </c>
      <c r="BB15" s="1" t="s">
        <v>128</v>
      </c>
      <c r="BC15" s="53" t="b">
        <v>1</v>
      </c>
      <c r="BD15" s="7" t="s">
        <v>104</v>
      </c>
      <c r="BE15" s="7" t="str">
        <f>VLOOKUP(AY15,Technologies!$B$7:$F$67,2,FALSE)</f>
        <v>HP_EF</v>
      </c>
      <c r="BF15" s="7" t="str">
        <f>VLOOKUP(AZ15,Technologies!$B$7:$F$67,2,FALSE)</f>
        <v>HP_EF</v>
      </c>
      <c r="BG15" s="54">
        <f>VLOOKUP(AZ15,Technologies!$B$7:$F$67,5,FALSE)</f>
        <v>2.2000000000000002</v>
      </c>
    </row>
    <row r="16" spans="1:59" x14ac:dyDescent="0.25">
      <c r="A16" s="13">
        <f t="shared" si="5"/>
        <v>411</v>
      </c>
      <c r="B16" t="str">
        <f t="shared" si="0"/>
        <v>NE-WtrHt-SmlStrg-HP-lte12kW-60G-2p40EF</v>
      </c>
      <c r="C16" t="str">
        <f t="shared" si="1"/>
        <v>Efficient water heater: HP_EF Elec (EF=2.40) replaces Elec water heater</v>
      </c>
      <c r="D16" t="s">
        <v>45</v>
      </c>
      <c r="E16" t="s">
        <v>114</v>
      </c>
      <c r="F16" s="52" t="s">
        <v>115</v>
      </c>
      <c r="G16" t="str">
        <f t="shared" si="3"/>
        <v>NE-WtrHt-SmlStrg-HP-lte12kW-60G-2p40EF</v>
      </c>
      <c r="H16" t="s">
        <v>40</v>
      </c>
      <c r="I16" t="s">
        <v>116</v>
      </c>
      <c r="J16" t="s">
        <v>41</v>
      </c>
      <c r="K16">
        <v>0</v>
      </c>
      <c r="L16">
        <v>0</v>
      </c>
      <c r="M16" t="s">
        <v>41</v>
      </c>
      <c r="O16" t="s">
        <v>47</v>
      </c>
      <c r="Q16" t="s">
        <v>444</v>
      </c>
      <c r="R16" t="s">
        <v>117</v>
      </c>
      <c r="S16" t="s">
        <v>42</v>
      </c>
      <c r="T16" t="s">
        <v>118</v>
      </c>
      <c r="U16" t="s">
        <v>119</v>
      </c>
      <c r="V16" t="s">
        <v>120</v>
      </c>
      <c r="W16" t="s">
        <v>121</v>
      </c>
      <c r="Y16" t="s">
        <v>122</v>
      </c>
      <c r="Z16" t="str">
        <f t="shared" si="4"/>
        <v>Small Storage 60 gallon Elec water heater, EF varies by vintage</v>
      </c>
      <c r="AD16" t="str">
        <f t="shared" si="2"/>
        <v>Stor_EF-ElecHP-060gal-1.98EF</v>
      </c>
      <c r="AE16" t="str">
        <f t="shared" si="2"/>
        <v>Stor_EF-ElecHP-060gal-2.40EF</v>
      </c>
      <c r="AF16" t="s">
        <v>53</v>
      </c>
      <c r="AH16" t="s">
        <v>47</v>
      </c>
      <c r="AI16" t="s">
        <v>47</v>
      </c>
      <c r="AK16" t="s">
        <v>123</v>
      </c>
      <c r="AM16" t="s">
        <v>122</v>
      </c>
      <c r="AP16" s="4">
        <v>42110</v>
      </c>
      <c r="AT16" s="13">
        <f t="shared" si="6"/>
        <v>11</v>
      </c>
      <c r="AU16" t="s">
        <v>149</v>
      </c>
      <c r="AV16" s="1" t="s">
        <v>117</v>
      </c>
      <c r="AW16" s="1" t="s">
        <v>125</v>
      </c>
      <c r="AX16" s="1">
        <v>60</v>
      </c>
      <c r="AY16" t="s">
        <v>147</v>
      </c>
      <c r="AZ16" t="s">
        <v>150</v>
      </c>
      <c r="BA16" s="1">
        <v>1</v>
      </c>
      <c r="BB16" s="1" t="s">
        <v>128</v>
      </c>
      <c r="BC16" s="53" t="b">
        <v>1</v>
      </c>
      <c r="BD16" s="7" t="s">
        <v>104</v>
      </c>
      <c r="BE16" s="7" t="str">
        <f>VLOOKUP(AY16,Technologies!$B$7:$F$67,2,FALSE)</f>
        <v>HP_EF</v>
      </c>
      <c r="BF16" s="7" t="str">
        <f>VLOOKUP(AZ16,Technologies!$B$7:$F$67,2,FALSE)</f>
        <v>HP_EF</v>
      </c>
      <c r="BG16" s="54">
        <f>VLOOKUP(AZ16,Technologies!$B$7:$F$67,5,FALSE)</f>
        <v>2.4</v>
      </c>
    </row>
    <row r="17" spans="1:59" x14ac:dyDescent="0.25">
      <c r="A17" s="13">
        <f t="shared" si="5"/>
        <v>412</v>
      </c>
      <c r="B17" t="str">
        <f t="shared" si="0"/>
        <v>NE-WtrHt-SmlStrg-HP-lte12kW-75G-2p20EF</v>
      </c>
      <c r="C17" t="str">
        <f t="shared" si="1"/>
        <v>Efficient water heater: HP_EF Elec (EF=2.20) replaces Elec water heater</v>
      </c>
      <c r="D17" t="s">
        <v>45</v>
      </c>
      <c r="E17" t="s">
        <v>114</v>
      </c>
      <c r="F17" s="52" t="s">
        <v>115</v>
      </c>
      <c r="G17" t="str">
        <f t="shared" si="3"/>
        <v>NE-WtrHt-SmlStrg-HP-lte12kW-75G-2p20EF</v>
      </c>
      <c r="H17" t="s">
        <v>40</v>
      </c>
      <c r="I17" t="s">
        <v>116</v>
      </c>
      <c r="J17" t="s">
        <v>41</v>
      </c>
      <c r="K17">
        <v>0</v>
      </c>
      <c r="L17">
        <v>0</v>
      </c>
      <c r="M17" t="s">
        <v>41</v>
      </c>
      <c r="O17" t="s">
        <v>47</v>
      </c>
      <c r="Q17" t="s">
        <v>444</v>
      </c>
      <c r="R17" t="s">
        <v>117</v>
      </c>
      <c r="S17" t="s">
        <v>42</v>
      </c>
      <c r="T17" t="s">
        <v>118</v>
      </c>
      <c r="U17" t="s">
        <v>119</v>
      </c>
      <c r="V17" t="s">
        <v>120</v>
      </c>
      <c r="W17" t="s">
        <v>121</v>
      </c>
      <c r="Y17" t="s">
        <v>122</v>
      </c>
      <c r="Z17" t="str">
        <f t="shared" si="4"/>
        <v>Small Storage 75 gallon Elec water heater, EF varies by vintage</v>
      </c>
      <c r="AD17" t="str">
        <f t="shared" si="2"/>
        <v>Stor_EF-ElecHP-075gal-1.96EF</v>
      </c>
      <c r="AE17" t="str">
        <f t="shared" si="2"/>
        <v>Stor_EF-ElecHP-075gal-2.20EF</v>
      </c>
      <c r="AF17" t="s">
        <v>53</v>
      </c>
      <c r="AH17" t="s">
        <v>47</v>
      </c>
      <c r="AI17" t="s">
        <v>47</v>
      </c>
      <c r="AK17" t="s">
        <v>123</v>
      </c>
      <c r="AM17" t="s">
        <v>122</v>
      </c>
      <c r="AP17" s="4">
        <v>42110</v>
      </c>
      <c r="AT17" s="13">
        <f t="shared" si="6"/>
        <v>12</v>
      </c>
      <c r="AU17" t="s">
        <v>151</v>
      </c>
      <c r="AV17" s="1" t="s">
        <v>117</v>
      </c>
      <c r="AW17" s="1" t="s">
        <v>125</v>
      </c>
      <c r="AX17" s="1">
        <v>75</v>
      </c>
      <c r="AY17" t="s">
        <v>152</v>
      </c>
      <c r="AZ17" t="s">
        <v>153</v>
      </c>
      <c r="BA17" s="1">
        <v>1</v>
      </c>
      <c r="BB17" s="1" t="s">
        <v>128</v>
      </c>
      <c r="BC17" s="53" t="b">
        <v>1</v>
      </c>
      <c r="BD17" s="7" t="s">
        <v>104</v>
      </c>
      <c r="BE17" s="7" t="str">
        <f>VLOOKUP(AY17,Technologies!$B$7:$F$67,2,FALSE)</f>
        <v>HP_EF</v>
      </c>
      <c r="BF17" s="7" t="str">
        <f>VLOOKUP(AZ17,Technologies!$B$7:$F$67,2,FALSE)</f>
        <v>HP_EF</v>
      </c>
      <c r="BG17" s="54">
        <f>VLOOKUP(AZ17,Technologies!$B$7:$F$67,5,FALSE)</f>
        <v>2.2000000000000002</v>
      </c>
    </row>
    <row r="18" spans="1:59" x14ac:dyDescent="0.25">
      <c r="A18" s="13">
        <f t="shared" si="5"/>
        <v>413</v>
      </c>
      <c r="B18" t="str">
        <f t="shared" si="0"/>
        <v>NE-WtrHt-SmlStrg-HP-lte12kW-75G-2p40EF</v>
      </c>
      <c r="C18" t="str">
        <f t="shared" si="1"/>
        <v>Efficient water heater: HP_EF Elec (EF=2.40) replaces Elec water heater</v>
      </c>
      <c r="D18" t="s">
        <v>45</v>
      </c>
      <c r="E18" t="s">
        <v>114</v>
      </c>
      <c r="F18" s="52" t="s">
        <v>115</v>
      </c>
      <c r="G18" t="str">
        <f t="shared" si="3"/>
        <v>NE-WtrHt-SmlStrg-HP-lte12kW-75G-2p40EF</v>
      </c>
      <c r="H18" t="s">
        <v>40</v>
      </c>
      <c r="I18" t="s">
        <v>116</v>
      </c>
      <c r="J18" t="s">
        <v>41</v>
      </c>
      <c r="K18">
        <v>0</v>
      </c>
      <c r="L18">
        <v>0</v>
      </c>
      <c r="M18" t="s">
        <v>41</v>
      </c>
      <c r="O18" t="s">
        <v>47</v>
      </c>
      <c r="Q18" t="s">
        <v>444</v>
      </c>
      <c r="R18" t="s">
        <v>117</v>
      </c>
      <c r="S18" t="s">
        <v>42</v>
      </c>
      <c r="T18" t="s">
        <v>118</v>
      </c>
      <c r="U18" t="s">
        <v>119</v>
      </c>
      <c r="V18" t="s">
        <v>120</v>
      </c>
      <c r="W18" t="s">
        <v>121</v>
      </c>
      <c r="Y18" t="s">
        <v>122</v>
      </c>
      <c r="Z18" t="str">
        <f t="shared" si="4"/>
        <v>Small Storage 75 gallon Elec water heater, EF varies by vintage</v>
      </c>
      <c r="AD18" t="str">
        <f t="shared" si="2"/>
        <v>Stor_EF-ElecHP-075gal-1.96EF</v>
      </c>
      <c r="AE18" t="str">
        <f t="shared" si="2"/>
        <v>Stor_EF-ElecHP-075gal-2.40EF</v>
      </c>
      <c r="AF18" t="s">
        <v>53</v>
      </c>
      <c r="AH18" t="s">
        <v>47</v>
      </c>
      <c r="AI18" t="s">
        <v>47</v>
      </c>
      <c r="AK18" t="s">
        <v>123</v>
      </c>
      <c r="AM18" t="s">
        <v>122</v>
      </c>
      <c r="AP18" s="4">
        <v>42110</v>
      </c>
      <c r="AT18" s="13">
        <f t="shared" si="6"/>
        <v>13</v>
      </c>
      <c r="AU18" t="s">
        <v>154</v>
      </c>
      <c r="AV18" s="1" t="s">
        <v>117</v>
      </c>
      <c r="AW18" s="1" t="s">
        <v>125</v>
      </c>
      <c r="AX18" s="1">
        <v>75</v>
      </c>
      <c r="AY18" t="s">
        <v>152</v>
      </c>
      <c r="AZ18" t="s">
        <v>155</v>
      </c>
      <c r="BA18" s="1">
        <v>1</v>
      </c>
      <c r="BB18" s="1" t="s">
        <v>128</v>
      </c>
      <c r="BC18" s="53" t="b">
        <v>1</v>
      </c>
      <c r="BD18" s="7" t="s">
        <v>104</v>
      </c>
      <c r="BE18" s="7" t="str">
        <f>VLOOKUP(AY18,Technologies!$B$7:$F$67,2,FALSE)</f>
        <v>HP_EF</v>
      </c>
      <c r="BF18" s="7" t="str">
        <f>VLOOKUP(AZ18,Technologies!$B$7:$F$67,2,FALSE)</f>
        <v>HP_EF</v>
      </c>
      <c r="BG18" s="54">
        <f>VLOOKUP(AZ18,Technologies!$B$7:$F$67,5,FALSE)</f>
        <v>2.4</v>
      </c>
    </row>
    <row r="19" spans="1:59" x14ac:dyDescent="0.25">
      <c r="A19" s="13">
        <f t="shared" si="5"/>
        <v>414</v>
      </c>
      <c r="B19" t="str">
        <f t="shared" si="0"/>
        <v>NG-WtrHt-SmlStrg-Gas-lte75kBtuh-30G-0p65EF</v>
      </c>
      <c r="C19" t="str">
        <f t="shared" si="1"/>
        <v>Efficient water heater: Stor_EF Gas (EF=0.65) replaces Gas water heater</v>
      </c>
      <c r="D19" t="s">
        <v>45</v>
      </c>
      <c r="E19" t="s">
        <v>114</v>
      </c>
      <c r="F19" s="52" t="s">
        <v>115</v>
      </c>
      <c r="G19" t="str">
        <f t="shared" si="3"/>
        <v>NG-WtrHt-SmlStrg-Gas-lte75kBtuh-30G-0p65EF</v>
      </c>
      <c r="H19" t="s">
        <v>40</v>
      </c>
      <c r="I19" t="s">
        <v>116</v>
      </c>
      <c r="J19" t="s">
        <v>41</v>
      </c>
      <c r="K19">
        <v>0</v>
      </c>
      <c r="L19">
        <v>0</v>
      </c>
      <c r="M19" t="s">
        <v>41</v>
      </c>
      <c r="O19" t="s">
        <v>47</v>
      </c>
      <c r="Q19" t="s">
        <v>444</v>
      </c>
      <c r="R19" t="s">
        <v>117</v>
      </c>
      <c r="S19" t="s">
        <v>42</v>
      </c>
      <c r="T19" t="s">
        <v>118</v>
      </c>
      <c r="U19" t="s">
        <v>119</v>
      </c>
      <c r="V19" t="s">
        <v>120</v>
      </c>
      <c r="W19" t="s">
        <v>156</v>
      </c>
      <c r="Y19" t="s">
        <v>122</v>
      </c>
      <c r="Z19" t="str">
        <f t="shared" si="4"/>
        <v>Small Storage 30 gallon Gas water heater, EF varies by vintage</v>
      </c>
      <c r="AD19" t="str">
        <f t="shared" si="2"/>
        <v>Stor_EF-Gas-030gal-0.630EF</v>
      </c>
      <c r="AE19" t="str">
        <f t="shared" si="2"/>
        <v>Stor_EF-Gas-030gal-0.65EF</v>
      </c>
      <c r="AF19" t="s">
        <v>53</v>
      </c>
      <c r="AH19" t="s">
        <v>47</v>
      </c>
      <c r="AI19" t="s">
        <v>47</v>
      </c>
      <c r="AK19" t="s">
        <v>123</v>
      </c>
      <c r="AM19" t="s">
        <v>122</v>
      </c>
      <c r="AP19" s="4">
        <v>42110</v>
      </c>
      <c r="AT19" s="13">
        <f t="shared" si="6"/>
        <v>14</v>
      </c>
      <c r="AU19" t="s">
        <v>157</v>
      </c>
      <c r="AV19" s="1" t="s">
        <v>117</v>
      </c>
      <c r="AW19" s="1" t="s">
        <v>158</v>
      </c>
      <c r="AX19" s="1">
        <v>30</v>
      </c>
      <c r="AY19" t="s">
        <v>159</v>
      </c>
      <c r="AZ19" t="s">
        <v>160</v>
      </c>
      <c r="BA19" s="1">
        <v>1</v>
      </c>
      <c r="BB19" s="1" t="s">
        <v>128</v>
      </c>
      <c r="BC19" s="53" t="b">
        <v>1</v>
      </c>
      <c r="BD19" s="7" t="s">
        <v>104</v>
      </c>
      <c r="BE19" s="7" t="str">
        <f>VLOOKUP(AY19,Technologies!$B$7:$F$67,2,FALSE)</f>
        <v>Stor_EF</v>
      </c>
      <c r="BF19" s="7" t="str">
        <f>VLOOKUP(AZ19,Technologies!$B$7:$F$67,2,FALSE)</f>
        <v>Stor_EF</v>
      </c>
      <c r="BG19" s="54">
        <f>VLOOKUP(AZ19,Technologies!$B$7:$F$67,5,FALSE)</f>
        <v>0.65</v>
      </c>
    </row>
    <row r="20" spans="1:59" x14ac:dyDescent="0.25">
      <c r="A20" s="13">
        <f t="shared" si="5"/>
        <v>415</v>
      </c>
      <c r="B20" t="str">
        <f t="shared" si="0"/>
        <v>NG-WtrHt-SmlStrg-Gas-lte75kBtuh-30G-0p70EF</v>
      </c>
      <c r="C20" t="str">
        <f t="shared" si="1"/>
        <v>Efficient water heater: Stor_EF Gas (EF=0.70) replaces Gas water heater</v>
      </c>
      <c r="D20" t="s">
        <v>45</v>
      </c>
      <c r="E20" t="s">
        <v>114</v>
      </c>
      <c r="F20" s="52" t="s">
        <v>115</v>
      </c>
      <c r="G20" t="str">
        <f t="shared" si="3"/>
        <v>NG-WtrHt-SmlStrg-Gas-lte75kBtuh-30G-0p70EF</v>
      </c>
      <c r="H20" t="s">
        <v>40</v>
      </c>
      <c r="I20" t="s">
        <v>116</v>
      </c>
      <c r="J20" t="s">
        <v>41</v>
      </c>
      <c r="K20">
        <v>0</v>
      </c>
      <c r="L20">
        <v>0</v>
      </c>
      <c r="M20" t="s">
        <v>41</v>
      </c>
      <c r="O20" t="s">
        <v>47</v>
      </c>
      <c r="Q20" t="s">
        <v>444</v>
      </c>
      <c r="R20" t="s">
        <v>117</v>
      </c>
      <c r="S20" t="s">
        <v>42</v>
      </c>
      <c r="T20" t="s">
        <v>118</v>
      </c>
      <c r="U20" t="s">
        <v>119</v>
      </c>
      <c r="V20" t="s">
        <v>120</v>
      </c>
      <c r="W20" t="s">
        <v>156</v>
      </c>
      <c r="Y20" t="s">
        <v>122</v>
      </c>
      <c r="Z20" t="str">
        <f t="shared" si="4"/>
        <v>Small Storage 30 gallon Gas water heater, EF varies by vintage</v>
      </c>
      <c r="AD20" t="str">
        <f t="shared" si="2"/>
        <v>Stor_EF-Gas-030gal-0.630EF</v>
      </c>
      <c r="AE20" t="str">
        <f t="shared" si="2"/>
        <v>Stor_EF-Gas-030gal-0.70EF</v>
      </c>
      <c r="AF20" t="s">
        <v>53</v>
      </c>
      <c r="AH20" t="s">
        <v>47</v>
      </c>
      <c r="AI20" t="s">
        <v>47</v>
      </c>
      <c r="AK20" t="s">
        <v>123</v>
      </c>
      <c r="AM20" t="s">
        <v>122</v>
      </c>
      <c r="AP20" s="4">
        <v>42110</v>
      </c>
      <c r="AT20" s="13">
        <f t="shared" si="6"/>
        <v>15</v>
      </c>
      <c r="AU20" t="s">
        <v>161</v>
      </c>
      <c r="AV20" s="1" t="s">
        <v>117</v>
      </c>
      <c r="AW20" s="1" t="s">
        <v>158</v>
      </c>
      <c r="AX20" s="1">
        <v>30</v>
      </c>
      <c r="AY20" t="s">
        <v>159</v>
      </c>
      <c r="AZ20" t="s">
        <v>162</v>
      </c>
      <c r="BA20" s="1">
        <v>1</v>
      </c>
      <c r="BB20" s="1" t="s">
        <v>128</v>
      </c>
      <c r="BC20" s="53" t="b">
        <v>1</v>
      </c>
      <c r="BD20" s="7" t="s">
        <v>104</v>
      </c>
      <c r="BE20" s="7" t="str">
        <f>VLOOKUP(AY20,Technologies!$B$7:$F$67,2,FALSE)</f>
        <v>Stor_EF</v>
      </c>
      <c r="BF20" s="7" t="str">
        <f>VLOOKUP(AZ20,Technologies!$B$7:$F$67,2,FALSE)</f>
        <v>Stor_EF</v>
      </c>
      <c r="BG20" s="54">
        <f>VLOOKUP(AZ20,Technologies!$B$7:$F$67,5,FALSE)</f>
        <v>0.7</v>
      </c>
    </row>
    <row r="21" spans="1:59" x14ac:dyDescent="0.25">
      <c r="A21" s="13">
        <f t="shared" si="5"/>
        <v>416</v>
      </c>
      <c r="B21" t="str">
        <f t="shared" si="0"/>
        <v>NG-WtrHt-SmlStrg-Gas-lte75kBtuh-30G-0p72EF</v>
      </c>
      <c r="C21" t="str">
        <f t="shared" si="1"/>
        <v>Efficient water heater: Stor_EF Gas (EF=0.72) replaces Gas water heater</v>
      </c>
      <c r="D21" t="s">
        <v>45</v>
      </c>
      <c r="E21" t="s">
        <v>114</v>
      </c>
      <c r="F21" s="52" t="s">
        <v>115</v>
      </c>
      <c r="G21" t="str">
        <f t="shared" si="3"/>
        <v>NG-WtrHt-SmlStrg-Gas-lte75kBtuh-30G-0p72EF</v>
      </c>
      <c r="H21" t="s">
        <v>40</v>
      </c>
      <c r="I21" t="s">
        <v>116</v>
      </c>
      <c r="J21" t="s">
        <v>41</v>
      </c>
      <c r="K21">
        <v>0</v>
      </c>
      <c r="L21">
        <v>0</v>
      </c>
      <c r="M21" t="s">
        <v>41</v>
      </c>
      <c r="O21" t="s">
        <v>47</v>
      </c>
      <c r="Q21" t="s">
        <v>444</v>
      </c>
      <c r="R21" t="s">
        <v>117</v>
      </c>
      <c r="S21" t="s">
        <v>42</v>
      </c>
      <c r="T21" t="s">
        <v>118</v>
      </c>
      <c r="U21" t="s">
        <v>119</v>
      </c>
      <c r="V21" t="s">
        <v>120</v>
      </c>
      <c r="W21" t="s">
        <v>156</v>
      </c>
      <c r="Y21" t="s">
        <v>122</v>
      </c>
      <c r="Z21" t="str">
        <f t="shared" si="4"/>
        <v>Small Storage 30 gallon Gas water heater, EF varies by vintage</v>
      </c>
      <c r="AD21" t="str">
        <f t="shared" si="2"/>
        <v>Stor_EF-Gas-030gal-0.630EF</v>
      </c>
      <c r="AE21" t="str">
        <f t="shared" si="2"/>
        <v>Stor_EF-Gas-030gal-0.72EF</v>
      </c>
      <c r="AF21" t="s">
        <v>53</v>
      </c>
      <c r="AH21" t="s">
        <v>47</v>
      </c>
      <c r="AI21" t="s">
        <v>47</v>
      </c>
      <c r="AK21" t="s">
        <v>123</v>
      </c>
      <c r="AM21" t="s">
        <v>122</v>
      </c>
      <c r="AP21" s="4">
        <v>42110</v>
      </c>
      <c r="AT21" s="13">
        <f t="shared" si="6"/>
        <v>16</v>
      </c>
      <c r="AU21" t="s">
        <v>163</v>
      </c>
      <c r="AV21" s="1" t="s">
        <v>117</v>
      </c>
      <c r="AW21" s="1" t="s">
        <v>158</v>
      </c>
      <c r="AX21" s="1">
        <v>30</v>
      </c>
      <c r="AY21" t="s">
        <v>159</v>
      </c>
      <c r="AZ21" t="s">
        <v>164</v>
      </c>
      <c r="BA21" s="1">
        <v>1</v>
      </c>
      <c r="BB21" s="1" t="s">
        <v>128</v>
      </c>
      <c r="BC21" s="53" t="b">
        <v>1</v>
      </c>
      <c r="BD21" s="7" t="s">
        <v>104</v>
      </c>
      <c r="BE21" s="7" t="str">
        <f>VLOOKUP(AY21,Technologies!$B$7:$F$67,2,FALSE)</f>
        <v>Stor_EF</v>
      </c>
      <c r="BF21" s="7" t="str">
        <f>VLOOKUP(AZ21,Technologies!$B$7:$F$67,2,FALSE)</f>
        <v>Stor_EF</v>
      </c>
      <c r="BG21" s="54">
        <f>VLOOKUP(AZ21,Technologies!$B$7:$F$67,5,FALSE)</f>
        <v>0.72</v>
      </c>
    </row>
    <row r="22" spans="1:59" x14ac:dyDescent="0.25">
      <c r="A22" s="13">
        <f t="shared" si="5"/>
        <v>417</v>
      </c>
      <c r="B22" t="str">
        <f t="shared" si="0"/>
        <v>NG-WtrHt-SmlStrg-Gas-lte75kBtuh-40G-0p65EF</v>
      </c>
      <c r="C22" t="str">
        <f t="shared" si="1"/>
        <v>Efficient water heater: Stor_EF Gas (EF=0.65) replaces Gas water heater</v>
      </c>
      <c r="D22" t="s">
        <v>45</v>
      </c>
      <c r="E22" t="s">
        <v>114</v>
      </c>
      <c r="F22" s="52" t="s">
        <v>115</v>
      </c>
      <c r="G22" t="str">
        <f t="shared" si="3"/>
        <v>NG-WtrHt-SmlStrg-Gas-lte75kBtuh-40G-0p65EF</v>
      </c>
      <c r="H22" t="s">
        <v>40</v>
      </c>
      <c r="I22" t="s">
        <v>116</v>
      </c>
      <c r="J22" t="s">
        <v>41</v>
      </c>
      <c r="K22">
        <v>0</v>
      </c>
      <c r="L22">
        <v>0</v>
      </c>
      <c r="M22" t="s">
        <v>41</v>
      </c>
      <c r="O22" t="s">
        <v>47</v>
      </c>
      <c r="Q22" t="s">
        <v>444</v>
      </c>
      <c r="R22" t="s">
        <v>117</v>
      </c>
      <c r="S22" t="s">
        <v>42</v>
      </c>
      <c r="T22" t="s">
        <v>118</v>
      </c>
      <c r="U22" t="s">
        <v>119</v>
      </c>
      <c r="V22" t="s">
        <v>120</v>
      </c>
      <c r="W22" t="s">
        <v>156</v>
      </c>
      <c r="Y22" t="s">
        <v>122</v>
      </c>
      <c r="Z22" t="str">
        <f t="shared" si="4"/>
        <v>Small Storage 40 gallon Gas water heater, EF varies by vintage</v>
      </c>
      <c r="AD22" t="str">
        <f t="shared" si="2"/>
        <v>Stor_EF-Gas-040gal-0.615EF</v>
      </c>
      <c r="AE22" t="str">
        <f t="shared" si="2"/>
        <v>Stor_EF-Gas-040gal-0.65EF</v>
      </c>
      <c r="AF22" t="s">
        <v>53</v>
      </c>
      <c r="AH22" t="s">
        <v>47</v>
      </c>
      <c r="AI22" t="s">
        <v>47</v>
      </c>
      <c r="AK22" t="s">
        <v>123</v>
      </c>
      <c r="AM22" t="s">
        <v>122</v>
      </c>
      <c r="AP22" s="4">
        <v>42110</v>
      </c>
      <c r="AT22" s="13">
        <f t="shared" si="6"/>
        <v>17</v>
      </c>
      <c r="AU22" t="s">
        <v>165</v>
      </c>
      <c r="AV22" s="1" t="s">
        <v>117</v>
      </c>
      <c r="AW22" s="1" t="s">
        <v>158</v>
      </c>
      <c r="AX22" s="1">
        <v>40</v>
      </c>
      <c r="AY22" t="s">
        <v>166</v>
      </c>
      <c r="AZ22" t="s">
        <v>167</v>
      </c>
      <c r="BA22" s="1">
        <v>1</v>
      </c>
      <c r="BB22" s="1" t="s">
        <v>128</v>
      </c>
      <c r="BC22" s="53" t="b">
        <v>1</v>
      </c>
      <c r="BD22" s="7" t="s">
        <v>104</v>
      </c>
      <c r="BE22" s="7" t="str">
        <f>VLOOKUP(AY22,Technologies!$B$7:$F$67,2,FALSE)</f>
        <v>Stor_EF</v>
      </c>
      <c r="BF22" s="7" t="str">
        <f>VLOOKUP(AZ22,Technologies!$B$7:$F$67,2,FALSE)</f>
        <v>Stor_EF</v>
      </c>
      <c r="BG22" s="54">
        <f>VLOOKUP(AZ22,Technologies!$B$7:$F$67,5,FALSE)</f>
        <v>0.65</v>
      </c>
    </row>
    <row r="23" spans="1:59" x14ac:dyDescent="0.25">
      <c r="A23" s="13">
        <f t="shared" si="5"/>
        <v>418</v>
      </c>
      <c r="B23" t="str">
        <f t="shared" si="0"/>
        <v>NG-WtrHt-SmlStrg-Gas-lte75kBtuh-40G-0p70EF</v>
      </c>
      <c r="C23" t="str">
        <f t="shared" si="1"/>
        <v>Efficient water heater: Stor_EF Gas (EF=0.70) replaces Gas water heater</v>
      </c>
      <c r="D23" t="s">
        <v>45</v>
      </c>
      <c r="E23" t="s">
        <v>114</v>
      </c>
      <c r="F23" s="52" t="s">
        <v>115</v>
      </c>
      <c r="G23" t="str">
        <f t="shared" si="3"/>
        <v>NG-WtrHt-SmlStrg-Gas-lte75kBtuh-40G-0p70EF</v>
      </c>
      <c r="H23" t="s">
        <v>40</v>
      </c>
      <c r="I23" t="s">
        <v>116</v>
      </c>
      <c r="J23" t="s">
        <v>41</v>
      </c>
      <c r="K23">
        <v>0</v>
      </c>
      <c r="L23">
        <v>0</v>
      </c>
      <c r="M23" t="s">
        <v>41</v>
      </c>
      <c r="O23" t="s">
        <v>47</v>
      </c>
      <c r="Q23" t="s">
        <v>444</v>
      </c>
      <c r="R23" t="s">
        <v>117</v>
      </c>
      <c r="S23" t="s">
        <v>42</v>
      </c>
      <c r="T23" t="s">
        <v>118</v>
      </c>
      <c r="U23" t="s">
        <v>119</v>
      </c>
      <c r="V23" t="s">
        <v>120</v>
      </c>
      <c r="W23" t="s">
        <v>156</v>
      </c>
      <c r="Y23" t="s">
        <v>122</v>
      </c>
      <c r="Z23" t="str">
        <f t="shared" si="4"/>
        <v>Small Storage 40 gallon Gas water heater, EF varies by vintage</v>
      </c>
      <c r="AD23" t="str">
        <f t="shared" si="2"/>
        <v>Stor_EF-Gas-040gal-0.615EF</v>
      </c>
      <c r="AE23" t="str">
        <f t="shared" si="2"/>
        <v>Stor_EF-Gas-040gal-0.70EF</v>
      </c>
      <c r="AF23" t="s">
        <v>53</v>
      </c>
      <c r="AH23" t="s">
        <v>47</v>
      </c>
      <c r="AI23" t="s">
        <v>47</v>
      </c>
      <c r="AK23" t="s">
        <v>123</v>
      </c>
      <c r="AM23" t="s">
        <v>122</v>
      </c>
      <c r="AP23" s="4">
        <v>42110</v>
      </c>
      <c r="AT23" s="13">
        <f t="shared" si="6"/>
        <v>18</v>
      </c>
      <c r="AU23" t="s">
        <v>168</v>
      </c>
      <c r="AV23" s="1" t="s">
        <v>117</v>
      </c>
      <c r="AW23" s="1" t="s">
        <v>158</v>
      </c>
      <c r="AX23" s="1">
        <v>40</v>
      </c>
      <c r="AY23" t="s">
        <v>166</v>
      </c>
      <c r="AZ23" t="s">
        <v>169</v>
      </c>
      <c r="BA23" s="1">
        <v>1</v>
      </c>
      <c r="BB23" s="1" t="s">
        <v>128</v>
      </c>
      <c r="BC23" s="53" t="b">
        <v>1</v>
      </c>
      <c r="BD23" s="7" t="s">
        <v>104</v>
      </c>
      <c r="BE23" s="7" t="str">
        <f>VLOOKUP(AY23,Technologies!$B$7:$F$67,2,FALSE)</f>
        <v>Stor_EF</v>
      </c>
      <c r="BF23" s="7" t="str">
        <f>VLOOKUP(AZ23,Technologies!$B$7:$F$67,2,FALSE)</f>
        <v>Stor_EF</v>
      </c>
      <c r="BG23" s="54">
        <f>VLOOKUP(AZ23,Technologies!$B$7:$F$67,5,FALSE)</f>
        <v>0.7</v>
      </c>
    </row>
    <row r="24" spans="1:59" x14ac:dyDescent="0.25">
      <c r="A24" s="13">
        <f t="shared" si="5"/>
        <v>419</v>
      </c>
      <c r="B24" t="str">
        <f t="shared" si="0"/>
        <v>NG-WtrHt-SmlStrg-Gas-lte75kBtuh-40G-0p82EF</v>
      </c>
      <c r="C24" t="str">
        <f t="shared" si="1"/>
        <v>Efficient water heater: Stor_EF Gas (EF=0.82) replaces Gas water heater</v>
      </c>
      <c r="D24" t="s">
        <v>45</v>
      </c>
      <c r="E24" t="s">
        <v>114</v>
      </c>
      <c r="F24" s="52" t="s">
        <v>115</v>
      </c>
      <c r="G24" t="str">
        <f t="shared" si="3"/>
        <v>NG-WtrHt-SmlStrg-Gas-lte75kBtuh-40G-0p82EF</v>
      </c>
      <c r="H24" t="s">
        <v>40</v>
      </c>
      <c r="I24" t="s">
        <v>116</v>
      </c>
      <c r="J24" t="s">
        <v>41</v>
      </c>
      <c r="K24">
        <v>0</v>
      </c>
      <c r="L24">
        <v>0</v>
      </c>
      <c r="M24" t="s">
        <v>41</v>
      </c>
      <c r="O24" t="s">
        <v>47</v>
      </c>
      <c r="Q24" t="s">
        <v>444</v>
      </c>
      <c r="R24" t="s">
        <v>117</v>
      </c>
      <c r="S24" t="s">
        <v>42</v>
      </c>
      <c r="T24" t="s">
        <v>118</v>
      </c>
      <c r="U24" t="s">
        <v>119</v>
      </c>
      <c r="V24" t="s">
        <v>120</v>
      </c>
      <c r="W24" t="s">
        <v>156</v>
      </c>
      <c r="Y24" t="s">
        <v>122</v>
      </c>
      <c r="Z24" t="str">
        <f t="shared" si="4"/>
        <v>Small Storage 40 gallon Gas water heater, EF varies by vintage</v>
      </c>
      <c r="AD24" t="str">
        <f t="shared" si="2"/>
        <v>Stor_EF-Gas-040gal-0.615EF</v>
      </c>
      <c r="AE24" t="str">
        <f t="shared" si="2"/>
        <v>Stor_EF-Gas-040gal-0.82EF</v>
      </c>
      <c r="AF24" t="s">
        <v>53</v>
      </c>
      <c r="AH24" t="s">
        <v>47</v>
      </c>
      <c r="AI24" t="s">
        <v>47</v>
      </c>
      <c r="AK24" t="s">
        <v>123</v>
      </c>
      <c r="AM24" t="s">
        <v>122</v>
      </c>
      <c r="AP24" s="4">
        <v>42110</v>
      </c>
      <c r="AT24" s="13">
        <f t="shared" si="6"/>
        <v>19</v>
      </c>
      <c r="AU24" t="s">
        <v>170</v>
      </c>
      <c r="AV24" s="1" t="s">
        <v>117</v>
      </c>
      <c r="AW24" s="1" t="s">
        <v>158</v>
      </c>
      <c r="AX24" s="1">
        <v>40</v>
      </c>
      <c r="AY24" t="s">
        <v>166</v>
      </c>
      <c r="AZ24" t="s">
        <v>171</v>
      </c>
      <c r="BA24" s="1">
        <v>1</v>
      </c>
      <c r="BB24" s="1" t="s">
        <v>128</v>
      </c>
      <c r="BC24" s="53" t="b">
        <v>1</v>
      </c>
      <c r="BD24" s="7" t="s">
        <v>104</v>
      </c>
      <c r="BE24" s="7" t="str">
        <f>VLOOKUP(AY24,Technologies!$B$7:$F$67,2,FALSE)</f>
        <v>Stor_EF</v>
      </c>
      <c r="BF24" s="7" t="str">
        <f>VLOOKUP(AZ24,Technologies!$B$7:$F$67,2,FALSE)</f>
        <v>Stor_EF</v>
      </c>
      <c r="BG24" s="54">
        <f>VLOOKUP(AZ24,Technologies!$B$7:$F$67,5,FALSE)</f>
        <v>0.82</v>
      </c>
    </row>
    <row r="25" spans="1:59" x14ac:dyDescent="0.25">
      <c r="A25" s="13">
        <f t="shared" si="5"/>
        <v>420</v>
      </c>
      <c r="B25" t="str">
        <f t="shared" si="0"/>
        <v>NG-WtrHt-SmlStrg-Gas-lte75kBtuh-50G-0p67EF</v>
      </c>
      <c r="C25" t="str">
        <f t="shared" si="1"/>
        <v>Efficient water heater: Stor_EF Gas (EF=0.67) replaces Gas water heater</v>
      </c>
      <c r="D25" t="s">
        <v>45</v>
      </c>
      <c r="E25" t="s">
        <v>114</v>
      </c>
      <c r="F25" s="52" t="s">
        <v>115</v>
      </c>
      <c r="G25" t="str">
        <f t="shared" si="3"/>
        <v>NG-WtrHt-SmlStrg-Gas-lte75kBtuh-50G-0p67EF</v>
      </c>
      <c r="H25" t="s">
        <v>40</v>
      </c>
      <c r="I25" t="s">
        <v>116</v>
      </c>
      <c r="J25" t="s">
        <v>41</v>
      </c>
      <c r="K25">
        <v>0</v>
      </c>
      <c r="L25">
        <v>0</v>
      </c>
      <c r="M25" t="s">
        <v>41</v>
      </c>
      <c r="O25" t="s">
        <v>47</v>
      </c>
      <c r="Q25" t="s">
        <v>444</v>
      </c>
      <c r="R25" t="s">
        <v>117</v>
      </c>
      <c r="S25" t="s">
        <v>42</v>
      </c>
      <c r="T25" t="s">
        <v>118</v>
      </c>
      <c r="U25" t="s">
        <v>119</v>
      </c>
      <c r="V25" t="s">
        <v>120</v>
      </c>
      <c r="W25" t="s">
        <v>156</v>
      </c>
      <c r="Y25" t="s">
        <v>122</v>
      </c>
      <c r="Z25" t="str">
        <f t="shared" si="4"/>
        <v>Small Storage 50 gallon Gas water heater, EF varies by vintage</v>
      </c>
      <c r="AD25" t="str">
        <f t="shared" si="2"/>
        <v>Stor_EF-Gas-050gal-0.600EF</v>
      </c>
      <c r="AE25" t="str">
        <f t="shared" si="2"/>
        <v>Stor_EF-Gas-050gal-0.67EF</v>
      </c>
      <c r="AF25" t="s">
        <v>53</v>
      </c>
      <c r="AH25" t="s">
        <v>47</v>
      </c>
      <c r="AI25" t="s">
        <v>47</v>
      </c>
      <c r="AK25" t="s">
        <v>123</v>
      </c>
      <c r="AM25" t="s">
        <v>122</v>
      </c>
      <c r="AP25" s="4">
        <v>42110</v>
      </c>
      <c r="AT25" s="13">
        <f t="shared" si="6"/>
        <v>20</v>
      </c>
      <c r="AU25" t="s">
        <v>172</v>
      </c>
      <c r="AV25" s="1" t="s">
        <v>117</v>
      </c>
      <c r="AW25" s="1" t="s">
        <v>158</v>
      </c>
      <c r="AX25" s="1">
        <v>50</v>
      </c>
      <c r="AY25" t="s">
        <v>173</v>
      </c>
      <c r="AZ25" t="s">
        <v>174</v>
      </c>
      <c r="BA25" s="1">
        <v>1</v>
      </c>
      <c r="BB25" s="1" t="s">
        <v>128</v>
      </c>
      <c r="BC25" s="53" t="b">
        <v>1</v>
      </c>
      <c r="BD25" s="7" t="s">
        <v>104</v>
      </c>
      <c r="BE25" s="7" t="str">
        <f>VLOOKUP(AY25,Technologies!$B$7:$F$67,2,FALSE)</f>
        <v>Stor_EF</v>
      </c>
      <c r="BF25" s="7" t="str">
        <f>VLOOKUP(AZ25,Technologies!$B$7:$F$67,2,FALSE)</f>
        <v>Stor_EF</v>
      </c>
      <c r="BG25" s="54">
        <f>VLOOKUP(AZ25,Technologies!$B$7:$F$67,5,FALSE)</f>
        <v>0.67</v>
      </c>
    </row>
    <row r="26" spans="1:59" x14ac:dyDescent="0.25">
      <c r="A26" s="13">
        <f t="shared" si="5"/>
        <v>421</v>
      </c>
      <c r="B26" t="str">
        <f t="shared" si="0"/>
        <v>NG-WtrHt-SmlStrg-Gas-lte75kBtuh-50G-0p70EF</v>
      </c>
      <c r="C26" t="str">
        <f t="shared" si="1"/>
        <v>Efficient water heater: Stor_EF Gas (EF=0.70) replaces Gas water heater</v>
      </c>
      <c r="D26" t="s">
        <v>45</v>
      </c>
      <c r="E26" t="s">
        <v>114</v>
      </c>
      <c r="F26" s="52" t="s">
        <v>115</v>
      </c>
      <c r="G26" t="str">
        <f t="shared" si="3"/>
        <v>NG-WtrHt-SmlStrg-Gas-lte75kBtuh-50G-0p70EF</v>
      </c>
      <c r="H26" t="s">
        <v>40</v>
      </c>
      <c r="I26" t="s">
        <v>116</v>
      </c>
      <c r="J26" t="s">
        <v>41</v>
      </c>
      <c r="K26">
        <v>0</v>
      </c>
      <c r="L26">
        <v>0</v>
      </c>
      <c r="M26" t="s">
        <v>41</v>
      </c>
      <c r="O26" t="s">
        <v>47</v>
      </c>
      <c r="Q26" t="s">
        <v>444</v>
      </c>
      <c r="R26" t="s">
        <v>117</v>
      </c>
      <c r="S26" t="s">
        <v>42</v>
      </c>
      <c r="T26" t="s">
        <v>118</v>
      </c>
      <c r="U26" t="s">
        <v>119</v>
      </c>
      <c r="V26" t="s">
        <v>120</v>
      </c>
      <c r="W26" t="s">
        <v>156</v>
      </c>
      <c r="Y26" t="s">
        <v>122</v>
      </c>
      <c r="Z26" t="str">
        <f t="shared" si="4"/>
        <v>Small Storage 50 gallon Gas water heater, EF varies by vintage</v>
      </c>
      <c r="AD26" t="str">
        <f t="shared" si="2"/>
        <v>Stor_EF-Gas-050gal-0.600EF</v>
      </c>
      <c r="AE26" t="str">
        <f t="shared" si="2"/>
        <v>Stor_EF-Gas-050gal-0.70EF</v>
      </c>
      <c r="AF26" t="s">
        <v>53</v>
      </c>
      <c r="AH26" t="s">
        <v>47</v>
      </c>
      <c r="AI26" t="s">
        <v>47</v>
      </c>
      <c r="AK26" t="s">
        <v>123</v>
      </c>
      <c r="AM26" t="s">
        <v>122</v>
      </c>
      <c r="AP26" s="4">
        <v>42110</v>
      </c>
      <c r="AT26" s="13">
        <f t="shared" si="6"/>
        <v>21</v>
      </c>
      <c r="AU26" t="s">
        <v>175</v>
      </c>
      <c r="AV26" s="1" t="s">
        <v>117</v>
      </c>
      <c r="AW26" s="1" t="s">
        <v>158</v>
      </c>
      <c r="AX26" s="1">
        <v>50</v>
      </c>
      <c r="AY26" t="s">
        <v>173</v>
      </c>
      <c r="AZ26" t="s">
        <v>176</v>
      </c>
      <c r="BA26" s="1">
        <v>1</v>
      </c>
      <c r="BB26" s="1" t="s">
        <v>128</v>
      </c>
      <c r="BC26" s="53" t="b">
        <v>1</v>
      </c>
      <c r="BD26" s="7" t="s">
        <v>104</v>
      </c>
      <c r="BE26" s="7" t="str">
        <f>VLOOKUP(AY26,Technologies!$B$7:$F$67,2,FALSE)</f>
        <v>Stor_EF</v>
      </c>
      <c r="BF26" s="7" t="str">
        <f>VLOOKUP(AZ26,Technologies!$B$7:$F$67,2,FALSE)</f>
        <v>Stor_EF</v>
      </c>
      <c r="BG26" s="54">
        <f>VLOOKUP(AZ26,Technologies!$B$7:$F$67,5,FALSE)</f>
        <v>0.7</v>
      </c>
    </row>
    <row r="27" spans="1:59" x14ac:dyDescent="0.25">
      <c r="A27" s="13">
        <f t="shared" si="5"/>
        <v>422</v>
      </c>
      <c r="B27" t="str">
        <f t="shared" si="0"/>
        <v>NG-WtrHt-SmlStrg-Gas-lte75kBtuh-50G-0p82EF</v>
      </c>
      <c r="C27" t="str">
        <f t="shared" si="1"/>
        <v>Efficient water heater: Stor_EF Gas (EF=0.82) replaces Gas water heater</v>
      </c>
      <c r="D27" t="s">
        <v>45</v>
      </c>
      <c r="E27" t="s">
        <v>114</v>
      </c>
      <c r="F27" s="52" t="s">
        <v>115</v>
      </c>
      <c r="G27" t="str">
        <f t="shared" si="3"/>
        <v>NG-WtrHt-SmlStrg-Gas-lte75kBtuh-50G-0p82EF</v>
      </c>
      <c r="H27" t="s">
        <v>40</v>
      </c>
      <c r="I27" t="s">
        <v>116</v>
      </c>
      <c r="J27" t="s">
        <v>41</v>
      </c>
      <c r="K27">
        <v>0</v>
      </c>
      <c r="L27">
        <v>0</v>
      </c>
      <c r="M27" t="s">
        <v>41</v>
      </c>
      <c r="O27" t="s">
        <v>47</v>
      </c>
      <c r="Q27" t="s">
        <v>444</v>
      </c>
      <c r="R27" t="s">
        <v>117</v>
      </c>
      <c r="S27" t="s">
        <v>42</v>
      </c>
      <c r="T27" t="s">
        <v>118</v>
      </c>
      <c r="U27" t="s">
        <v>119</v>
      </c>
      <c r="V27" t="s">
        <v>120</v>
      </c>
      <c r="W27" t="s">
        <v>156</v>
      </c>
      <c r="Y27" t="s">
        <v>122</v>
      </c>
      <c r="Z27" t="str">
        <f t="shared" si="4"/>
        <v>Small Storage 50 gallon Gas water heater, EF varies by vintage</v>
      </c>
      <c r="AD27" t="str">
        <f t="shared" si="2"/>
        <v>Stor_EF-Gas-050gal-0.600EF</v>
      </c>
      <c r="AE27" t="str">
        <f t="shared" si="2"/>
        <v>Stor_EF-Gas-050gal-0.82EF</v>
      </c>
      <c r="AF27" t="s">
        <v>53</v>
      </c>
      <c r="AH27" t="s">
        <v>47</v>
      </c>
      <c r="AI27" t="s">
        <v>47</v>
      </c>
      <c r="AK27" t="s">
        <v>123</v>
      </c>
      <c r="AM27" t="s">
        <v>122</v>
      </c>
      <c r="AP27" s="4">
        <v>42110</v>
      </c>
      <c r="AT27" s="13">
        <f t="shared" si="6"/>
        <v>22</v>
      </c>
      <c r="AU27" t="s">
        <v>177</v>
      </c>
      <c r="AV27" s="1" t="s">
        <v>117</v>
      </c>
      <c r="AW27" s="1" t="s">
        <v>158</v>
      </c>
      <c r="AX27" s="1">
        <v>50</v>
      </c>
      <c r="AY27" t="s">
        <v>173</v>
      </c>
      <c r="AZ27" t="s">
        <v>178</v>
      </c>
      <c r="BA27" s="1">
        <v>1</v>
      </c>
      <c r="BB27" s="1" t="s">
        <v>128</v>
      </c>
      <c r="BC27" s="53" t="b">
        <v>1</v>
      </c>
      <c r="BD27" s="7" t="s">
        <v>104</v>
      </c>
      <c r="BE27" s="7" t="str">
        <f>VLOOKUP(AY27,Technologies!$B$7:$F$67,2,FALSE)</f>
        <v>Stor_EF</v>
      </c>
      <c r="BF27" s="7" t="str">
        <f>VLOOKUP(AZ27,Technologies!$B$7:$F$67,2,FALSE)</f>
        <v>Stor_EF</v>
      </c>
      <c r="BG27" s="54">
        <f>VLOOKUP(AZ27,Technologies!$B$7:$F$67,5,FALSE)</f>
        <v>0.82</v>
      </c>
    </row>
    <row r="28" spans="1:59" x14ac:dyDescent="0.25">
      <c r="A28" s="13">
        <f t="shared" si="5"/>
        <v>423</v>
      </c>
      <c r="B28" t="str">
        <f t="shared" si="0"/>
        <v>NG-WtrHt-SmlStrg-Gas-lte75kBtuh-60G-0p78EF</v>
      </c>
      <c r="C28" t="str">
        <f t="shared" si="1"/>
        <v>Efficient water heater: Stor_EF Gas (EF=0.78) replaces Gas water heater</v>
      </c>
      <c r="D28" t="s">
        <v>45</v>
      </c>
      <c r="E28" t="s">
        <v>114</v>
      </c>
      <c r="F28" s="52" t="s">
        <v>115</v>
      </c>
      <c r="G28" t="str">
        <f t="shared" si="3"/>
        <v>NG-WtrHt-SmlStrg-Gas-lte75kBtuh-60G-0p78EF</v>
      </c>
      <c r="H28" t="s">
        <v>40</v>
      </c>
      <c r="I28" t="s">
        <v>116</v>
      </c>
      <c r="J28" t="s">
        <v>41</v>
      </c>
      <c r="K28">
        <v>0</v>
      </c>
      <c r="L28">
        <v>0</v>
      </c>
      <c r="M28" t="s">
        <v>41</v>
      </c>
      <c r="O28" t="s">
        <v>47</v>
      </c>
      <c r="Q28" t="s">
        <v>444</v>
      </c>
      <c r="R28" t="s">
        <v>117</v>
      </c>
      <c r="S28" t="s">
        <v>42</v>
      </c>
      <c r="T28" t="s">
        <v>118</v>
      </c>
      <c r="U28" t="s">
        <v>119</v>
      </c>
      <c r="V28" t="s">
        <v>120</v>
      </c>
      <c r="W28" t="s">
        <v>156</v>
      </c>
      <c r="Y28" t="s">
        <v>122</v>
      </c>
      <c r="Z28" t="str">
        <f t="shared" si="4"/>
        <v>Small Storage 60 gallon Gas water heater, EF varies by vintage</v>
      </c>
      <c r="AD28" t="str">
        <f t="shared" si="2"/>
        <v>Stor_EF-Gas-060gal-0.754EF</v>
      </c>
      <c r="AE28" t="str">
        <f t="shared" si="2"/>
        <v>Stor_EF-Gas-060gal-0.78EF</v>
      </c>
      <c r="AF28" t="s">
        <v>53</v>
      </c>
      <c r="AH28" t="s">
        <v>47</v>
      </c>
      <c r="AI28" t="s">
        <v>47</v>
      </c>
      <c r="AK28" t="s">
        <v>123</v>
      </c>
      <c r="AM28" t="s">
        <v>122</v>
      </c>
      <c r="AP28" s="4">
        <v>42110</v>
      </c>
      <c r="AT28" s="13">
        <f t="shared" si="6"/>
        <v>23</v>
      </c>
      <c r="AU28" t="s">
        <v>179</v>
      </c>
      <c r="AV28" s="1" t="s">
        <v>117</v>
      </c>
      <c r="AW28" s="1" t="s">
        <v>158</v>
      </c>
      <c r="AX28" s="1">
        <v>60</v>
      </c>
      <c r="AY28" t="s">
        <v>180</v>
      </c>
      <c r="AZ28" t="s">
        <v>181</v>
      </c>
      <c r="BA28" s="1">
        <v>1</v>
      </c>
      <c r="BB28" s="1" t="s">
        <v>128</v>
      </c>
      <c r="BC28" s="53" t="b">
        <v>1</v>
      </c>
      <c r="BD28" s="7" t="s">
        <v>104</v>
      </c>
      <c r="BE28" s="7" t="str">
        <f>VLOOKUP(AY28,Technologies!$B$7:$F$67,2,FALSE)</f>
        <v>Stor_EF</v>
      </c>
      <c r="BF28" s="7" t="str">
        <f>VLOOKUP(AZ28,Technologies!$B$7:$F$67,2,FALSE)</f>
        <v>Stor_EF</v>
      </c>
      <c r="BG28" s="54">
        <f>VLOOKUP(AZ28,Technologies!$B$7:$F$67,5,FALSE)</f>
        <v>0.78</v>
      </c>
    </row>
    <row r="29" spans="1:59" x14ac:dyDescent="0.25">
      <c r="A29" s="13">
        <f t="shared" si="5"/>
        <v>424</v>
      </c>
      <c r="B29" t="str">
        <f t="shared" si="0"/>
        <v>NG-WtrHt-SmlStrg-Gas-lte75kBtuh-60G-0p80EF</v>
      </c>
      <c r="C29" t="str">
        <f t="shared" si="1"/>
        <v>Efficient water heater: Stor_EF Gas (EF=0.80) replaces Gas water heater</v>
      </c>
      <c r="D29" t="s">
        <v>45</v>
      </c>
      <c r="E29" t="s">
        <v>114</v>
      </c>
      <c r="F29" s="52" t="s">
        <v>115</v>
      </c>
      <c r="G29" t="str">
        <f t="shared" si="3"/>
        <v>NG-WtrHt-SmlStrg-Gas-lte75kBtuh-60G-0p80EF</v>
      </c>
      <c r="H29" t="s">
        <v>40</v>
      </c>
      <c r="I29" t="s">
        <v>116</v>
      </c>
      <c r="J29" t="s">
        <v>41</v>
      </c>
      <c r="K29">
        <v>0</v>
      </c>
      <c r="L29">
        <v>0</v>
      </c>
      <c r="M29" t="s">
        <v>41</v>
      </c>
      <c r="O29" t="s">
        <v>47</v>
      </c>
      <c r="Q29" t="s">
        <v>444</v>
      </c>
      <c r="R29" t="s">
        <v>117</v>
      </c>
      <c r="S29" t="s">
        <v>42</v>
      </c>
      <c r="T29" t="s">
        <v>118</v>
      </c>
      <c r="U29" t="s">
        <v>119</v>
      </c>
      <c r="V29" t="s">
        <v>120</v>
      </c>
      <c r="W29" t="s">
        <v>156</v>
      </c>
      <c r="Y29" t="s">
        <v>122</v>
      </c>
      <c r="Z29" t="str">
        <f t="shared" si="4"/>
        <v>Small Storage 60 gallon Gas water heater, EF varies by vintage</v>
      </c>
      <c r="AD29" t="str">
        <f t="shared" si="2"/>
        <v>Stor_EF-Gas-060gal-0.754EF</v>
      </c>
      <c r="AE29" t="str">
        <f t="shared" si="2"/>
        <v>Stor_EF-Gas-060gal-0.80EF</v>
      </c>
      <c r="AF29" t="s">
        <v>53</v>
      </c>
      <c r="AH29" t="s">
        <v>47</v>
      </c>
      <c r="AI29" t="s">
        <v>47</v>
      </c>
      <c r="AK29" t="s">
        <v>123</v>
      </c>
      <c r="AM29" t="s">
        <v>122</v>
      </c>
      <c r="AP29" s="4">
        <v>42110</v>
      </c>
      <c r="AT29" s="13">
        <f t="shared" si="6"/>
        <v>24</v>
      </c>
      <c r="AU29" t="s">
        <v>182</v>
      </c>
      <c r="AV29" s="1" t="s">
        <v>117</v>
      </c>
      <c r="AW29" s="1" t="s">
        <v>158</v>
      </c>
      <c r="AX29" s="1">
        <v>60</v>
      </c>
      <c r="AY29" t="s">
        <v>180</v>
      </c>
      <c r="AZ29" t="s">
        <v>183</v>
      </c>
      <c r="BA29" s="1">
        <v>1</v>
      </c>
      <c r="BB29" s="1" t="s">
        <v>128</v>
      </c>
      <c r="BC29" s="53" t="b">
        <v>1</v>
      </c>
      <c r="BD29" s="7" t="s">
        <v>104</v>
      </c>
      <c r="BE29" s="7" t="str">
        <f>VLOOKUP(AY29,Technologies!$B$7:$F$67,2,FALSE)</f>
        <v>Stor_EF</v>
      </c>
      <c r="BF29" s="7" t="str">
        <f>VLOOKUP(AZ29,Technologies!$B$7:$F$67,2,FALSE)</f>
        <v>Stor_EF</v>
      </c>
      <c r="BG29" s="54">
        <f>VLOOKUP(AZ29,Technologies!$B$7:$F$67,5,FALSE)</f>
        <v>0.8</v>
      </c>
    </row>
    <row r="30" spans="1:59" x14ac:dyDescent="0.25">
      <c r="A30" s="13">
        <f t="shared" si="5"/>
        <v>425</v>
      </c>
      <c r="B30" t="str">
        <f t="shared" si="0"/>
        <v>NG-WtrHt-SmlStrg-Gas-lte75kBtuh-60G-0p82EF</v>
      </c>
      <c r="C30" t="str">
        <f t="shared" si="1"/>
        <v>Efficient water heater: Stor_EF Gas (EF=0.82) replaces Gas water heater</v>
      </c>
      <c r="D30" t="s">
        <v>45</v>
      </c>
      <c r="E30" t="s">
        <v>114</v>
      </c>
      <c r="F30" s="52" t="s">
        <v>115</v>
      </c>
      <c r="G30" t="str">
        <f t="shared" si="3"/>
        <v>NG-WtrHt-SmlStrg-Gas-lte75kBtuh-60G-0p82EF</v>
      </c>
      <c r="H30" t="s">
        <v>40</v>
      </c>
      <c r="I30" t="s">
        <v>116</v>
      </c>
      <c r="J30" t="s">
        <v>41</v>
      </c>
      <c r="K30">
        <v>0</v>
      </c>
      <c r="L30">
        <v>0</v>
      </c>
      <c r="M30" t="s">
        <v>41</v>
      </c>
      <c r="O30" t="s">
        <v>47</v>
      </c>
      <c r="Q30" t="s">
        <v>444</v>
      </c>
      <c r="R30" t="s">
        <v>117</v>
      </c>
      <c r="S30" t="s">
        <v>42</v>
      </c>
      <c r="T30" t="s">
        <v>118</v>
      </c>
      <c r="U30" t="s">
        <v>119</v>
      </c>
      <c r="V30" t="s">
        <v>120</v>
      </c>
      <c r="W30" t="s">
        <v>156</v>
      </c>
      <c r="Y30" t="s">
        <v>122</v>
      </c>
      <c r="Z30" t="str">
        <f t="shared" si="4"/>
        <v>Small Storage 60 gallon Gas water heater, EF varies by vintage</v>
      </c>
      <c r="AD30" t="str">
        <f t="shared" si="2"/>
        <v>Stor_EF-Gas-060gal-0.754EF</v>
      </c>
      <c r="AE30" t="str">
        <f t="shared" si="2"/>
        <v>Stor_EF-Gas-060gal-0.82EF</v>
      </c>
      <c r="AF30" t="s">
        <v>53</v>
      </c>
      <c r="AH30" t="s">
        <v>47</v>
      </c>
      <c r="AI30" t="s">
        <v>47</v>
      </c>
      <c r="AK30" t="s">
        <v>123</v>
      </c>
      <c r="AM30" t="s">
        <v>122</v>
      </c>
      <c r="AP30" s="4">
        <v>42110</v>
      </c>
      <c r="AT30" s="13">
        <f t="shared" si="6"/>
        <v>25</v>
      </c>
      <c r="AU30" t="s">
        <v>184</v>
      </c>
      <c r="AV30" s="1" t="s">
        <v>117</v>
      </c>
      <c r="AW30" s="1" t="s">
        <v>158</v>
      </c>
      <c r="AX30" s="1">
        <v>60</v>
      </c>
      <c r="AY30" t="s">
        <v>180</v>
      </c>
      <c r="AZ30" t="s">
        <v>185</v>
      </c>
      <c r="BA30" s="1">
        <v>1</v>
      </c>
      <c r="BB30" s="1" t="s">
        <v>128</v>
      </c>
      <c r="BC30" s="53" t="b">
        <v>1</v>
      </c>
      <c r="BD30" s="7" t="s">
        <v>104</v>
      </c>
      <c r="BE30" s="7" t="str">
        <f>VLOOKUP(AY30,Technologies!$B$7:$F$67,2,FALSE)</f>
        <v>Stor_EF</v>
      </c>
      <c r="BF30" s="7" t="str">
        <f>VLOOKUP(AZ30,Technologies!$B$7:$F$67,2,FALSE)</f>
        <v>Stor_EF</v>
      </c>
      <c r="BG30" s="54">
        <f>VLOOKUP(AZ30,Technologies!$B$7:$F$67,5,FALSE)</f>
        <v>0.82</v>
      </c>
    </row>
    <row r="31" spans="1:59" x14ac:dyDescent="0.25">
      <c r="A31" s="13">
        <f t="shared" si="5"/>
        <v>426</v>
      </c>
      <c r="B31" t="str">
        <f t="shared" si="0"/>
        <v>NG-WtrHt-SmlStrg-Gas-lte75kBtuh-75G-0p78EF</v>
      </c>
      <c r="C31" t="str">
        <f t="shared" si="1"/>
        <v>Efficient water heater: Stor_EF Gas (EF=0.78) replaces Gas water heater</v>
      </c>
      <c r="D31" t="s">
        <v>45</v>
      </c>
      <c r="E31" t="s">
        <v>114</v>
      </c>
      <c r="F31" s="52" t="s">
        <v>115</v>
      </c>
      <c r="G31" t="str">
        <f t="shared" si="3"/>
        <v>NG-WtrHt-SmlStrg-Gas-lte75kBtuh-75G-0p78EF</v>
      </c>
      <c r="H31" t="s">
        <v>40</v>
      </c>
      <c r="I31" t="s">
        <v>116</v>
      </c>
      <c r="J31" t="s">
        <v>41</v>
      </c>
      <c r="K31">
        <v>0</v>
      </c>
      <c r="L31">
        <v>0</v>
      </c>
      <c r="M31" t="s">
        <v>41</v>
      </c>
      <c r="O31" t="s">
        <v>47</v>
      </c>
      <c r="Q31" t="s">
        <v>444</v>
      </c>
      <c r="R31" t="s">
        <v>117</v>
      </c>
      <c r="S31" t="s">
        <v>42</v>
      </c>
      <c r="T31" t="s">
        <v>118</v>
      </c>
      <c r="U31" t="s">
        <v>119</v>
      </c>
      <c r="V31" t="s">
        <v>120</v>
      </c>
      <c r="W31" t="s">
        <v>156</v>
      </c>
      <c r="Y31" t="s">
        <v>122</v>
      </c>
      <c r="Z31" t="str">
        <f t="shared" si="4"/>
        <v>Small Storage 75 gallon Gas water heater, EF varies by vintage</v>
      </c>
      <c r="AD31" t="str">
        <f t="shared" si="2"/>
        <v>Stor_EF-Gas-075gal-0.743EF</v>
      </c>
      <c r="AE31" t="str">
        <f t="shared" si="2"/>
        <v>Stor_EF-Gas-075gal-0.78EF</v>
      </c>
      <c r="AF31" t="s">
        <v>53</v>
      </c>
      <c r="AH31" t="s">
        <v>47</v>
      </c>
      <c r="AI31" t="s">
        <v>47</v>
      </c>
      <c r="AK31" t="s">
        <v>123</v>
      </c>
      <c r="AM31" t="s">
        <v>122</v>
      </c>
      <c r="AP31" s="4">
        <v>42110</v>
      </c>
      <c r="AT31" s="13">
        <f t="shared" si="6"/>
        <v>26</v>
      </c>
      <c r="AU31" t="s">
        <v>186</v>
      </c>
      <c r="AV31" s="1" t="s">
        <v>117</v>
      </c>
      <c r="AW31" s="1" t="s">
        <v>158</v>
      </c>
      <c r="AX31" s="1">
        <v>75</v>
      </c>
      <c r="AY31" t="s">
        <v>187</v>
      </c>
      <c r="AZ31" t="s">
        <v>188</v>
      </c>
      <c r="BA31" s="1">
        <v>1</v>
      </c>
      <c r="BB31" s="1" t="s">
        <v>128</v>
      </c>
      <c r="BC31" s="53" t="b">
        <v>1</v>
      </c>
      <c r="BD31" s="7" t="s">
        <v>104</v>
      </c>
      <c r="BE31" s="7" t="str">
        <f>VLOOKUP(AY31,Technologies!$B$7:$F$67,2,FALSE)</f>
        <v>Stor_EF</v>
      </c>
      <c r="BF31" s="7" t="str">
        <f>VLOOKUP(AZ31,Technologies!$B$7:$F$67,2,FALSE)</f>
        <v>Stor_EF</v>
      </c>
      <c r="BG31" s="54">
        <f>VLOOKUP(AZ31,Technologies!$B$7:$F$67,5,FALSE)</f>
        <v>0.78</v>
      </c>
    </row>
    <row r="32" spans="1:59" x14ac:dyDescent="0.25">
      <c r="A32" s="13">
        <f t="shared" si="5"/>
        <v>427</v>
      </c>
      <c r="B32" t="str">
        <f t="shared" si="0"/>
        <v>NG-WtrHt-SmlStrg-Gas-lte75kBtuh-75G-0p80EF</v>
      </c>
      <c r="C32" t="str">
        <f t="shared" si="1"/>
        <v>Efficient water heater: Stor_EF Gas (EF=0.80) replaces Gas water heater</v>
      </c>
      <c r="D32" t="s">
        <v>45</v>
      </c>
      <c r="E32" t="s">
        <v>114</v>
      </c>
      <c r="F32" s="52" t="s">
        <v>115</v>
      </c>
      <c r="G32" t="str">
        <f t="shared" si="3"/>
        <v>NG-WtrHt-SmlStrg-Gas-lte75kBtuh-75G-0p80EF</v>
      </c>
      <c r="H32" t="s">
        <v>40</v>
      </c>
      <c r="I32" t="s">
        <v>116</v>
      </c>
      <c r="J32" t="s">
        <v>41</v>
      </c>
      <c r="K32">
        <v>0</v>
      </c>
      <c r="L32">
        <v>0</v>
      </c>
      <c r="M32" t="s">
        <v>41</v>
      </c>
      <c r="O32" t="s">
        <v>47</v>
      </c>
      <c r="Q32" t="s">
        <v>444</v>
      </c>
      <c r="R32" t="s">
        <v>117</v>
      </c>
      <c r="S32" t="s">
        <v>42</v>
      </c>
      <c r="T32" t="s">
        <v>118</v>
      </c>
      <c r="U32" t="s">
        <v>119</v>
      </c>
      <c r="V32" t="s">
        <v>120</v>
      </c>
      <c r="W32" t="s">
        <v>156</v>
      </c>
      <c r="Y32" t="s">
        <v>122</v>
      </c>
      <c r="Z32" t="str">
        <f t="shared" si="4"/>
        <v>Small Storage 75 gallon Gas water heater, EF varies by vintage</v>
      </c>
      <c r="AD32" t="str">
        <f t="shared" si="2"/>
        <v>Stor_EF-Gas-075gal-0.743EF</v>
      </c>
      <c r="AE32" t="str">
        <f t="shared" si="2"/>
        <v>Stor_EF-Gas-075gal-0.80EF</v>
      </c>
      <c r="AF32" t="s">
        <v>53</v>
      </c>
      <c r="AH32" t="s">
        <v>47</v>
      </c>
      <c r="AI32" t="s">
        <v>47</v>
      </c>
      <c r="AK32" t="s">
        <v>123</v>
      </c>
      <c r="AM32" t="s">
        <v>122</v>
      </c>
      <c r="AP32" s="4">
        <v>42110</v>
      </c>
      <c r="AT32" s="13">
        <f t="shared" si="6"/>
        <v>27</v>
      </c>
      <c r="AU32" t="s">
        <v>189</v>
      </c>
      <c r="AV32" s="1" t="s">
        <v>117</v>
      </c>
      <c r="AW32" s="1" t="s">
        <v>158</v>
      </c>
      <c r="AX32" s="1">
        <v>75</v>
      </c>
      <c r="AY32" t="s">
        <v>187</v>
      </c>
      <c r="AZ32" t="s">
        <v>190</v>
      </c>
      <c r="BA32" s="1">
        <v>1</v>
      </c>
      <c r="BB32" s="1" t="s">
        <v>128</v>
      </c>
      <c r="BC32" s="53" t="b">
        <v>1</v>
      </c>
      <c r="BD32" s="7" t="s">
        <v>104</v>
      </c>
      <c r="BE32" s="7" t="str">
        <f>VLOOKUP(AY32,Technologies!$B$7:$F$67,2,FALSE)</f>
        <v>Stor_EF</v>
      </c>
      <c r="BF32" s="7" t="str">
        <f>VLOOKUP(AZ32,Technologies!$B$7:$F$67,2,FALSE)</f>
        <v>Stor_EF</v>
      </c>
      <c r="BG32" s="54">
        <f>VLOOKUP(AZ32,Technologies!$B$7:$F$67,5,FALSE)</f>
        <v>0.8</v>
      </c>
    </row>
    <row r="33" spans="1:59" x14ac:dyDescent="0.25">
      <c r="A33" s="13">
        <f t="shared" si="5"/>
        <v>428</v>
      </c>
      <c r="B33" t="str">
        <f t="shared" si="0"/>
        <v>NG-WtrHt-SmlStrg-Gas-lte75kBtuh-75G-0p82EF</v>
      </c>
      <c r="C33" t="str">
        <f t="shared" si="1"/>
        <v>Efficient water heater: Stor_EF Gas (EF=0.82) replaces Gas water heater</v>
      </c>
      <c r="D33" t="s">
        <v>45</v>
      </c>
      <c r="E33" t="s">
        <v>114</v>
      </c>
      <c r="F33" s="52" t="s">
        <v>115</v>
      </c>
      <c r="G33" t="str">
        <f t="shared" si="3"/>
        <v>NG-WtrHt-SmlStrg-Gas-lte75kBtuh-75G-0p82EF</v>
      </c>
      <c r="H33" t="s">
        <v>40</v>
      </c>
      <c r="I33" t="s">
        <v>116</v>
      </c>
      <c r="J33" t="s">
        <v>41</v>
      </c>
      <c r="K33">
        <v>0</v>
      </c>
      <c r="L33">
        <v>0</v>
      </c>
      <c r="M33" t="s">
        <v>41</v>
      </c>
      <c r="O33" t="s">
        <v>47</v>
      </c>
      <c r="Q33" t="s">
        <v>444</v>
      </c>
      <c r="R33" t="s">
        <v>117</v>
      </c>
      <c r="S33" t="s">
        <v>42</v>
      </c>
      <c r="T33" t="s">
        <v>118</v>
      </c>
      <c r="U33" t="s">
        <v>119</v>
      </c>
      <c r="V33" t="s">
        <v>120</v>
      </c>
      <c r="W33" t="s">
        <v>156</v>
      </c>
      <c r="Y33" t="s">
        <v>122</v>
      </c>
      <c r="Z33" t="str">
        <f t="shared" si="4"/>
        <v>Small Storage 75 gallon Gas water heater, EF varies by vintage</v>
      </c>
      <c r="AD33" t="str">
        <f t="shared" si="2"/>
        <v>Stor_EF-Gas-075gal-0.743EF</v>
      </c>
      <c r="AE33" t="str">
        <f t="shared" si="2"/>
        <v>Stor_EF-Gas-075gal-0.82EF</v>
      </c>
      <c r="AF33" t="s">
        <v>53</v>
      </c>
      <c r="AH33" t="s">
        <v>47</v>
      </c>
      <c r="AI33" t="s">
        <v>47</v>
      </c>
      <c r="AK33" t="s">
        <v>123</v>
      </c>
      <c r="AM33" t="s">
        <v>122</v>
      </c>
      <c r="AP33" s="4">
        <v>42110</v>
      </c>
      <c r="AT33" s="13">
        <f t="shared" si="6"/>
        <v>28</v>
      </c>
      <c r="AU33" t="s">
        <v>191</v>
      </c>
      <c r="AV33" s="1" t="s">
        <v>117</v>
      </c>
      <c r="AW33" s="1" t="s">
        <v>158</v>
      </c>
      <c r="AX33" s="1">
        <v>75</v>
      </c>
      <c r="AY33" t="s">
        <v>187</v>
      </c>
      <c r="AZ33" t="s">
        <v>192</v>
      </c>
      <c r="BA33" s="1">
        <v>1</v>
      </c>
      <c r="BB33" s="1" t="s">
        <v>128</v>
      </c>
      <c r="BC33" s="53" t="b">
        <v>1</v>
      </c>
      <c r="BD33" s="7" t="s">
        <v>104</v>
      </c>
      <c r="BE33" s="7" t="str">
        <f>VLOOKUP(AY33,Technologies!$B$7:$F$67,2,FALSE)</f>
        <v>Stor_EF</v>
      </c>
      <c r="BF33" s="7" t="str">
        <f>VLOOKUP(AZ33,Technologies!$B$7:$F$67,2,FALSE)</f>
        <v>Stor_EF</v>
      </c>
      <c r="BG33" s="54">
        <f>VLOOKUP(AZ33,Technologies!$B$7:$F$67,5,FALSE)</f>
        <v>0.82</v>
      </c>
    </row>
    <row r="34" spans="1:59" x14ac:dyDescent="0.25">
      <c r="A34" s="13">
        <f t="shared" si="5"/>
        <v>429</v>
      </c>
      <c r="B34" t="str">
        <f t="shared" si="0"/>
        <v>NG-WtrHt-SmlInst-Gas-150kBtuh-lt2G-0p82EF</v>
      </c>
      <c r="C34" t="str">
        <f t="shared" si="1"/>
        <v>Efficient water heater: Instant_EF Gas (EF=0.82) replaces Gas water heater</v>
      </c>
      <c r="D34" t="s">
        <v>45</v>
      </c>
      <c r="E34" t="s">
        <v>114</v>
      </c>
      <c r="F34" s="52" t="s">
        <v>115</v>
      </c>
      <c r="G34" t="str">
        <f t="shared" si="3"/>
        <v>NG-WtrHt-SmlInst-Gas-150kBtuh-lt2G-0p82EF</v>
      </c>
      <c r="H34" t="s">
        <v>40</v>
      </c>
      <c r="I34" t="s">
        <v>116</v>
      </c>
      <c r="J34" t="s">
        <v>41</v>
      </c>
      <c r="K34">
        <v>0</v>
      </c>
      <c r="L34">
        <v>0</v>
      </c>
      <c r="M34" t="s">
        <v>41</v>
      </c>
      <c r="O34" t="s">
        <v>47</v>
      </c>
      <c r="Q34" t="s">
        <v>444</v>
      </c>
      <c r="R34" t="s">
        <v>117</v>
      </c>
      <c r="S34" t="s">
        <v>42</v>
      </c>
      <c r="T34" t="s">
        <v>118</v>
      </c>
      <c r="U34" t="s">
        <v>119</v>
      </c>
      <c r="V34" t="s">
        <v>120</v>
      </c>
      <c r="W34" t="s">
        <v>193</v>
      </c>
      <c r="Y34" t="s">
        <v>194</v>
      </c>
      <c r="Z34" t="str">
        <f t="shared" si="4"/>
        <v>Small Storage 75 gallon Gas water heater, EF varies by vintage</v>
      </c>
      <c r="AD34" t="str">
        <f t="shared" si="2"/>
        <v>Stor_EF-Gas-075gal-0.743EF</v>
      </c>
      <c r="AE34" t="str">
        <f t="shared" si="2"/>
        <v>Inst_EF-Gas-150kBtuh-0p82EF</v>
      </c>
      <c r="AF34" t="s">
        <v>53</v>
      </c>
      <c r="AH34" t="s">
        <v>47</v>
      </c>
      <c r="AI34" t="s">
        <v>47</v>
      </c>
      <c r="AK34" t="s">
        <v>123</v>
      </c>
      <c r="AM34" t="s">
        <v>122</v>
      </c>
      <c r="AP34" s="4">
        <v>42110</v>
      </c>
      <c r="AT34" s="13">
        <f t="shared" si="6"/>
        <v>29</v>
      </c>
      <c r="AU34" t="s">
        <v>195</v>
      </c>
      <c r="AV34" s="1" t="s">
        <v>117</v>
      </c>
      <c r="AW34" s="1" t="s">
        <v>158</v>
      </c>
      <c r="AX34" s="1">
        <v>75</v>
      </c>
      <c r="AY34" t="s">
        <v>187</v>
      </c>
      <c r="AZ34" t="s">
        <v>196</v>
      </c>
      <c r="BA34" s="1">
        <v>1</v>
      </c>
      <c r="BB34" s="1" t="s">
        <v>128</v>
      </c>
      <c r="BC34" s="53" t="b">
        <v>1</v>
      </c>
      <c r="BD34" s="7" t="s">
        <v>104</v>
      </c>
      <c r="BE34" s="7" t="str">
        <f>VLOOKUP(AY34,Technologies!$B$7:$F$67,2,FALSE)</f>
        <v>Stor_EF</v>
      </c>
      <c r="BF34" s="7" t="str">
        <f>VLOOKUP(AZ34,Technologies!$B$7:$F$67,2,FALSE)</f>
        <v>Instant_EF</v>
      </c>
      <c r="BG34" s="54">
        <f>VLOOKUP(AZ34,Technologies!$B$7:$F$67,5,FALSE)</f>
        <v>0.82</v>
      </c>
    </row>
    <row r="35" spans="1:59" x14ac:dyDescent="0.25">
      <c r="A35" s="13">
        <f t="shared" si="5"/>
        <v>430</v>
      </c>
      <c r="B35" t="str">
        <f t="shared" si="0"/>
        <v>NG-WtrHt-SmlInst-Gas-150kBtuh-lt2G-0p92EF</v>
      </c>
      <c r="C35" t="str">
        <f t="shared" si="1"/>
        <v>Efficient water heater: Instant_EF Gas (EF=0.92) replaces Gas water heater</v>
      </c>
      <c r="D35" t="s">
        <v>45</v>
      </c>
      <c r="E35" t="s">
        <v>114</v>
      </c>
      <c r="F35" s="52" t="s">
        <v>115</v>
      </c>
      <c r="G35" t="str">
        <f t="shared" si="3"/>
        <v>NG-WtrHt-SmlInst-Gas-150kBtuh-lt2G-0p92EF</v>
      </c>
      <c r="H35" t="s">
        <v>40</v>
      </c>
      <c r="I35" t="s">
        <v>116</v>
      </c>
      <c r="J35" t="s">
        <v>41</v>
      </c>
      <c r="K35">
        <v>0</v>
      </c>
      <c r="L35">
        <v>0</v>
      </c>
      <c r="M35" t="s">
        <v>41</v>
      </c>
      <c r="O35" t="s">
        <v>47</v>
      </c>
      <c r="Q35" t="s">
        <v>444</v>
      </c>
      <c r="R35" t="s">
        <v>117</v>
      </c>
      <c r="S35" t="s">
        <v>42</v>
      </c>
      <c r="T35" t="s">
        <v>118</v>
      </c>
      <c r="U35" t="s">
        <v>119</v>
      </c>
      <c r="V35" t="s">
        <v>120</v>
      </c>
      <c r="W35" t="s">
        <v>193</v>
      </c>
      <c r="Y35" t="s">
        <v>194</v>
      </c>
      <c r="Z35" t="str">
        <f t="shared" si="4"/>
        <v>Small Storage 75 gallon Gas water heater, EF varies by vintage</v>
      </c>
      <c r="AD35" t="str">
        <f t="shared" si="2"/>
        <v>Stor_EF-Gas-075gal-0.743EF</v>
      </c>
      <c r="AE35" t="str">
        <f t="shared" si="2"/>
        <v>Inst_EF-Gas-150kBtuh-0p92EF</v>
      </c>
      <c r="AF35" t="s">
        <v>53</v>
      </c>
      <c r="AH35" t="s">
        <v>47</v>
      </c>
      <c r="AI35" t="s">
        <v>47</v>
      </c>
      <c r="AK35" t="s">
        <v>123</v>
      </c>
      <c r="AM35" t="s">
        <v>122</v>
      </c>
      <c r="AP35" s="4">
        <v>42110</v>
      </c>
      <c r="AT35" s="13">
        <f t="shared" si="6"/>
        <v>30</v>
      </c>
      <c r="AU35" t="s">
        <v>197</v>
      </c>
      <c r="AV35" s="1" t="s">
        <v>117</v>
      </c>
      <c r="AW35" s="1" t="s">
        <v>158</v>
      </c>
      <c r="AX35" s="1">
        <v>75</v>
      </c>
      <c r="AY35" t="s">
        <v>187</v>
      </c>
      <c r="AZ35" t="s">
        <v>198</v>
      </c>
      <c r="BA35" s="1">
        <v>1</v>
      </c>
      <c r="BB35" s="1" t="s">
        <v>128</v>
      </c>
      <c r="BC35" s="53" t="b">
        <v>1</v>
      </c>
      <c r="BD35" s="7" t="s">
        <v>104</v>
      </c>
      <c r="BE35" s="7" t="str">
        <f>VLOOKUP(AY35,Technologies!$B$7:$F$67,2,FALSE)</f>
        <v>Stor_EF</v>
      </c>
      <c r="BF35" s="7" t="str">
        <f>VLOOKUP(AZ35,Technologies!$B$7:$F$67,2,FALSE)</f>
        <v>Instant_EF</v>
      </c>
      <c r="BG35" s="54">
        <f>VLOOKUP(AZ35,Technologies!$B$7:$F$67,5,FALSE)</f>
        <v>0.92</v>
      </c>
    </row>
    <row r="36" spans="1:59" x14ac:dyDescent="0.25">
      <c r="A36" s="13">
        <f t="shared" si="5"/>
        <v>431</v>
      </c>
      <c r="B36" t="str">
        <f t="shared" si="0"/>
        <v>RE-WtrHt-SmlStrg-HP-lte12kW-30G-2p00EF</v>
      </c>
      <c r="C36" t="str">
        <f t="shared" si="1"/>
        <v>Efficient water heater: HP_EF Elec (EF=2.00) replaces Elec water heater</v>
      </c>
      <c r="D36" t="s">
        <v>45</v>
      </c>
      <c r="E36" t="s">
        <v>114</v>
      </c>
      <c r="F36" s="52" t="s">
        <v>115</v>
      </c>
      <c r="G36" t="str">
        <f t="shared" si="3"/>
        <v>RE-WtrHt-SmlStrg-HP-lte12kW-30G-2p00EF</v>
      </c>
      <c r="H36" t="s">
        <v>40</v>
      </c>
      <c r="I36" t="s">
        <v>116</v>
      </c>
      <c r="J36" t="s">
        <v>41</v>
      </c>
      <c r="K36">
        <v>0</v>
      </c>
      <c r="L36">
        <v>0</v>
      </c>
      <c r="M36" t="s">
        <v>41</v>
      </c>
      <c r="O36" t="s">
        <v>47</v>
      </c>
      <c r="Q36" t="s">
        <v>444</v>
      </c>
      <c r="R36" t="s">
        <v>43</v>
      </c>
      <c r="S36" t="s">
        <v>42</v>
      </c>
      <c r="T36" t="s">
        <v>118</v>
      </c>
      <c r="U36" t="s">
        <v>119</v>
      </c>
      <c r="V36" t="s">
        <v>120</v>
      </c>
      <c r="W36" t="s">
        <v>121</v>
      </c>
      <c r="Y36" t="s">
        <v>199</v>
      </c>
      <c r="Z36" t="str">
        <f t="shared" si="4"/>
        <v>Small Storage 30 gallon Elec water heater, EF varies by vintage</v>
      </c>
      <c r="AD36" t="str">
        <f t="shared" si="2"/>
        <v>Stor_EF-Elec-030gal-0.951EF</v>
      </c>
      <c r="AE36" t="str">
        <f t="shared" si="2"/>
        <v>Stor_EF-ElecHP-030gal-2.00EF</v>
      </c>
      <c r="AF36" t="s">
        <v>53</v>
      </c>
      <c r="AH36" t="s">
        <v>47</v>
      </c>
      <c r="AI36" t="s">
        <v>47</v>
      </c>
      <c r="AK36" t="s">
        <v>123</v>
      </c>
      <c r="AM36" t="s">
        <v>122</v>
      </c>
      <c r="AP36" s="4">
        <v>42110</v>
      </c>
      <c r="AT36" s="13">
        <f t="shared" si="6"/>
        <v>31</v>
      </c>
      <c r="AU36" t="s">
        <v>200</v>
      </c>
      <c r="AV36" s="1" t="s">
        <v>43</v>
      </c>
      <c r="AW36" s="1" t="s">
        <v>125</v>
      </c>
      <c r="AX36" s="1">
        <v>30</v>
      </c>
      <c r="AY36" t="s">
        <v>126</v>
      </c>
      <c r="AZ36" t="s">
        <v>127</v>
      </c>
      <c r="BA36" s="1">
        <v>1</v>
      </c>
      <c r="BB36" s="1" t="s">
        <v>128</v>
      </c>
      <c r="BC36" s="53" t="b">
        <v>1</v>
      </c>
      <c r="BD36" s="7" t="s">
        <v>104</v>
      </c>
      <c r="BE36" s="7" t="str">
        <f>VLOOKUP(AY36,Technologies!$B$7:$F$67,2,FALSE)</f>
        <v>Stor_EF</v>
      </c>
      <c r="BF36" s="7" t="str">
        <f>VLOOKUP(AZ36,Technologies!$B$7:$F$67,2,FALSE)</f>
        <v>HP_EF</v>
      </c>
      <c r="BG36" s="54">
        <f>VLOOKUP(AZ36,Technologies!$B$7:$F$67,5,FALSE)</f>
        <v>2</v>
      </c>
    </row>
    <row r="37" spans="1:59" x14ac:dyDescent="0.25">
      <c r="A37" s="13">
        <f t="shared" si="5"/>
        <v>432</v>
      </c>
      <c r="B37" t="str">
        <f t="shared" si="0"/>
        <v>RE-WtrHt-SmlStrg-HP-lte12kW-30G-2p20EF</v>
      </c>
      <c r="C37" t="str">
        <f t="shared" si="1"/>
        <v>Efficient water heater: HP_EF Elec (EF=2.20) replaces Elec water heater</v>
      </c>
      <c r="D37" t="s">
        <v>45</v>
      </c>
      <c r="E37" t="s">
        <v>114</v>
      </c>
      <c r="F37" s="52" t="s">
        <v>115</v>
      </c>
      <c r="G37" t="str">
        <f t="shared" si="3"/>
        <v>RE-WtrHt-SmlStrg-HP-lte12kW-30G-2p20EF</v>
      </c>
      <c r="H37" t="s">
        <v>40</v>
      </c>
      <c r="I37" t="s">
        <v>116</v>
      </c>
      <c r="J37" t="s">
        <v>41</v>
      </c>
      <c r="K37">
        <v>0</v>
      </c>
      <c r="L37">
        <v>0</v>
      </c>
      <c r="M37" t="s">
        <v>41</v>
      </c>
      <c r="O37" t="s">
        <v>47</v>
      </c>
      <c r="Q37" t="s">
        <v>444</v>
      </c>
      <c r="R37" t="s">
        <v>43</v>
      </c>
      <c r="S37" t="s">
        <v>42</v>
      </c>
      <c r="T37" t="s">
        <v>118</v>
      </c>
      <c r="U37" t="s">
        <v>119</v>
      </c>
      <c r="V37" t="s">
        <v>120</v>
      </c>
      <c r="W37" t="s">
        <v>121</v>
      </c>
      <c r="Y37" t="s">
        <v>199</v>
      </c>
      <c r="Z37" t="str">
        <f t="shared" si="4"/>
        <v>Small Storage 30 gallon Elec water heater, EF varies by vintage</v>
      </c>
      <c r="AD37" t="str">
        <f t="shared" si="2"/>
        <v>Stor_EF-Elec-030gal-0.951EF</v>
      </c>
      <c r="AE37" t="str">
        <f t="shared" si="2"/>
        <v>Stor_EF-ElecHP-030gal-2.20EF</v>
      </c>
      <c r="AF37" t="s">
        <v>53</v>
      </c>
      <c r="AH37" t="s">
        <v>47</v>
      </c>
      <c r="AI37" t="s">
        <v>47</v>
      </c>
      <c r="AK37" t="s">
        <v>123</v>
      </c>
      <c r="AM37" t="s">
        <v>122</v>
      </c>
      <c r="AP37" s="4">
        <v>42110</v>
      </c>
      <c r="AT37" s="13">
        <f t="shared" si="6"/>
        <v>32</v>
      </c>
      <c r="AU37" t="s">
        <v>201</v>
      </c>
      <c r="AV37" s="1" t="s">
        <v>43</v>
      </c>
      <c r="AW37" s="1" t="s">
        <v>125</v>
      </c>
      <c r="AX37" s="1">
        <v>30</v>
      </c>
      <c r="AY37" t="s">
        <v>126</v>
      </c>
      <c r="AZ37" t="s">
        <v>130</v>
      </c>
      <c r="BA37" s="1">
        <v>1</v>
      </c>
      <c r="BB37" s="1" t="s">
        <v>128</v>
      </c>
      <c r="BC37" s="53" t="b">
        <v>1</v>
      </c>
      <c r="BD37" s="7" t="s">
        <v>104</v>
      </c>
      <c r="BE37" s="7" t="str">
        <f>VLOOKUP(AY37,Technologies!$B$7:$F$67,2,FALSE)</f>
        <v>Stor_EF</v>
      </c>
      <c r="BF37" s="7" t="str">
        <f>VLOOKUP(AZ37,Technologies!$B$7:$F$67,2,FALSE)</f>
        <v>HP_EF</v>
      </c>
      <c r="BG37" s="54">
        <f>VLOOKUP(AZ37,Technologies!$B$7:$F$67,5,FALSE)</f>
        <v>2.2000000000000002</v>
      </c>
    </row>
    <row r="38" spans="1:59" x14ac:dyDescent="0.25">
      <c r="A38" s="13">
        <f t="shared" si="5"/>
        <v>433</v>
      </c>
      <c r="B38" t="str">
        <f t="shared" si="0"/>
        <v>RE-WtrHt-SmlStrg-HP-lte12kW-30G-2p40EF</v>
      </c>
      <c r="C38" t="str">
        <f t="shared" si="1"/>
        <v>Efficient water heater: HP_EF Elec (EF=2.40) replaces Elec water heater</v>
      </c>
      <c r="D38" t="s">
        <v>45</v>
      </c>
      <c r="E38" t="s">
        <v>114</v>
      </c>
      <c r="F38" s="52" t="s">
        <v>115</v>
      </c>
      <c r="G38" t="str">
        <f t="shared" si="3"/>
        <v>RE-WtrHt-SmlStrg-HP-lte12kW-30G-2p40EF</v>
      </c>
      <c r="H38" t="s">
        <v>40</v>
      </c>
      <c r="I38" t="s">
        <v>116</v>
      </c>
      <c r="J38" t="s">
        <v>41</v>
      </c>
      <c r="K38">
        <v>0</v>
      </c>
      <c r="L38">
        <v>0</v>
      </c>
      <c r="M38" t="s">
        <v>41</v>
      </c>
      <c r="O38" t="s">
        <v>47</v>
      </c>
      <c r="Q38" t="s">
        <v>444</v>
      </c>
      <c r="R38" t="s">
        <v>43</v>
      </c>
      <c r="S38" t="s">
        <v>42</v>
      </c>
      <c r="T38" t="s">
        <v>118</v>
      </c>
      <c r="U38" t="s">
        <v>119</v>
      </c>
      <c r="V38" t="s">
        <v>120</v>
      </c>
      <c r="W38" t="s">
        <v>121</v>
      </c>
      <c r="Y38" t="s">
        <v>199</v>
      </c>
      <c r="Z38" t="str">
        <f t="shared" si="4"/>
        <v>Small Storage 30 gallon Elec water heater, EF varies by vintage</v>
      </c>
      <c r="AD38" t="str">
        <f t="shared" ref="AD38:AE65" si="7">+AY38</f>
        <v>Stor_EF-Elec-030gal-0.951EF</v>
      </c>
      <c r="AE38" t="str">
        <f t="shared" si="7"/>
        <v>Stor_EF-ElecHP-030gal-2.40EF</v>
      </c>
      <c r="AF38" t="s">
        <v>53</v>
      </c>
      <c r="AH38" t="s">
        <v>47</v>
      </c>
      <c r="AI38" t="s">
        <v>47</v>
      </c>
      <c r="AK38" t="s">
        <v>123</v>
      </c>
      <c r="AM38" t="s">
        <v>122</v>
      </c>
      <c r="AP38" s="4">
        <v>42110</v>
      </c>
      <c r="AT38" s="13">
        <f t="shared" si="6"/>
        <v>33</v>
      </c>
      <c r="AU38" t="s">
        <v>202</v>
      </c>
      <c r="AV38" s="1" t="s">
        <v>43</v>
      </c>
      <c r="AW38" s="1" t="s">
        <v>125</v>
      </c>
      <c r="AX38" s="1">
        <v>30</v>
      </c>
      <c r="AY38" t="s">
        <v>126</v>
      </c>
      <c r="AZ38" t="s">
        <v>132</v>
      </c>
      <c r="BA38" s="1">
        <v>1</v>
      </c>
      <c r="BB38" s="1" t="s">
        <v>128</v>
      </c>
      <c r="BC38" s="53" t="b">
        <v>1</v>
      </c>
      <c r="BD38" s="7" t="s">
        <v>104</v>
      </c>
      <c r="BE38" s="7" t="str">
        <f>VLOOKUP(AY38,Technologies!$B$7:$F$67,2,FALSE)</f>
        <v>Stor_EF</v>
      </c>
      <c r="BF38" s="7" t="str">
        <f>VLOOKUP(AZ38,Technologies!$B$7:$F$67,2,FALSE)</f>
        <v>HP_EF</v>
      </c>
      <c r="BG38" s="54">
        <f>VLOOKUP(AZ38,Technologies!$B$7:$F$67,5,FALSE)</f>
        <v>2.4</v>
      </c>
    </row>
    <row r="39" spans="1:59" x14ac:dyDescent="0.25">
      <c r="A39" s="13">
        <f t="shared" si="5"/>
        <v>434</v>
      </c>
      <c r="B39" t="str">
        <f t="shared" si="0"/>
        <v>RE-WtrHt-SmlStrg-HP-lte12kW-40G-2p00EF</v>
      </c>
      <c r="C39" t="str">
        <f t="shared" si="1"/>
        <v>Efficient water heater: HP_EF Elec (EF=2.00) replaces Elec water heater</v>
      </c>
      <c r="D39" t="s">
        <v>45</v>
      </c>
      <c r="E39" t="s">
        <v>114</v>
      </c>
      <c r="F39" s="52" t="s">
        <v>115</v>
      </c>
      <c r="G39" t="str">
        <f t="shared" si="3"/>
        <v>RE-WtrHt-SmlStrg-HP-lte12kW-40G-2p00EF</v>
      </c>
      <c r="H39" t="s">
        <v>40</v>
      </c>
      <c r="I39" t="s">
        <v>116</v>
      </c>
      <c r="J39" t="s">
        <v>41</v>
      </c>
      <c r="K39">
        <v>0</v>
      </c>
      <c r="L39">
        <v>0</v>
      </c>
      <c r="M39" t="s">
        <v>41</v>
      </c>
      <c r="O39" t="s">
        <v>47</v>
      </c>
      <c r="Q39" t="s">
        <v>444</v>
      </c>
      <c r="R39" t="s">
        <v>43</v>
      </c>
      <c r="S39" t="s">
        <v>42</v>
      </c>
      <c r="T39" t="s">
        <v>118</v>
      </c>
      <c r="U39" t="s">
        <v>119</v>
      </c>
      <c r="V39" t="s">
        <v>120</v>
      </c>
      <c r="W39" t="s">
        <v>121</v>
      </c>
      <c r="Y39" t="s">
        <v>199</v>
      </c>
      <c r="Z39" t="str">
        <f t="shared" si="4"/>
        <v>Small Storage 40 gallon Elec water heater, EF varies by vintage</v>
      </c>
      <c r="AD39" t="str">
        <f t="shared" si="7"/>
        <v>Stor_EF-Elec-040gal-0.948EF</v>
      </c>
      <c r="AE39" t="str">
        <f t="shared" si="7"/>
        <v>Stor_EF-ElecHP-040gal-2.00EF</v>
      </c>
      <c r="AF39" t="s">
        <v>53</v>
      </c>
      <c r="AH39" t="s">
        <v>47</v>
      </c>
      <c r="AI39" t="s">
        <v>47</v>
      </c>
      <c r="AK39" t="s">
        <v>123</v>
      </c>
      <c r="AM39" t="s">
        <v>122</v>
      </c>
      <c r="AP39" s="4">
        <v>42110</v>
      </c>
      <c r="AT39" s="13">
        <f t="shared" si="6"/>
        <v>34</v>
      </c>
      <c r="AU39" t="s">
        <v>203</v>
      </c>
      <c r="AV39" s="1" t="s">
        <v>43</v>
      </c>
      <c r="AW39" s="1" t="s">
        <v>125</v>
      </c>
      <c r="AX39" s="1">
        <v>40</v>
      </c>
      <c r="AY39" t="s">
        <v>134</v>
      </c>
      <c r="AZ39" t="s">
        <v>135</v>
      </c>
      <c r="BA39" s="1">
        <v>1</v>
      </c>
      <c r="BB39" s="1" t="s">
        <v>128</v>
      </c>
      <c r="BC39" s="53" t="b">
        <v>1</v>
      </c>
      <c r="BD39" s="7" t="s">
        <v>104</v>
      </c>
      <c r="BE39" s="7" t="str">
        <f>VLOOKUP(AY39,Technologies!$B$7:$F$67,2,FALSE)</f>
        <v>Stor_EF</v>
      </c>
      <c r="BF39" s="7" t="str">
        <f>VLOOKUP(AZ39,Technologies!$B$7:$F$67,2,FALSE)</f>
        <v>HP_EF</v>
      </c>
      <c r="BG39" s="54">
        <f>VLOOKUP(AZ39,Technologies!$B$7:$F$67,5,FALSE)</f>
        <v>2</v>
      </c>
    </row>
    <row r="40" spans="1:59" x14ac:dyDescent="0.25">
      <c r="A40" s="13">
        <f t="shared" si="5"/>
        <v>435</v>
      </c>
      <c r="B40" t="str">
        <f t="shared" si="0"/>
        <v>RE-WtrHt-SmlStrg-HP-lte12kW-40G-2p20EF</v>
      </c>
      <c r="C40" t="str">
        <f t="shared" si="1"/>
        <v>Efficient water heater: HP_EF Elec (EF=2.20) replaces Elec water heater</v>
      </c>
      <c r="D40" t="s">
        <v>45</v>
      </c>
      <c r="E40" t="s">
        <v>114</v>
      </c>
      <c r="F40" s="52" t="s">
        <v>115</v>
      </c>
      <c r="G40" t="str">
        <f t="shared" si="3"/>
        <v>RE-WtrHt-SmlStrg-HP-lte12kW-40G-2p20EF</v>
      </c>
      <c r="H40" t="s">
        <v>40</v>
      </c>
      <c r="I40" t="s">
        <v>116</v>
      </c>
      <c r="J40" t="s">
        <v>41</v>
      </c>
      <c r="K40">
        <v>0</v>
      </c>
      <c r="L40">
        <v>0</v>
      </c>
      <c r="M40" t="s">
        <v>41</v>
      </c>
      <c r="O40" t="s">
        <v>47</v>
      </c>
      <c r="Q40" t="s">
        <v>444</v>
      </c>
      <c r="R40" t="s">
        <v>43</v>
      </c>
      <c r="S40" t="s">
        <v>42</v>
      </c>
      <c r="T40" t="s">
        <v>118</v>
      </c>
      <c r="U40" t="s">
        <v>119</v>
      </c>
      <c r="V40" t="s">
        <v>120</v>
      </c>
      <c r="W40" t="s">
        <v>121</v>
      </c>
      <c r="Y40" t="s">
        <v>199</v>
      </c>
      <c r="Z40" t="str">
        <f t="shared" si="4"/>
        <v>Small Storage 40 gallon Elec water heater, EF varies by vintage</v>
      </c>
      <c r="AD40" t="str">
        <f t="shared" si="7"/>
        <v>Stor_EF-Elec-040gal-0.948EF</v>
      </c>
      <c r="AE40" t="str">
        <f t="shared" si="7"/>
        <v>Stor_EF-ElecHP-040gal-2.20EF</v>
      </c>
      <c r="AF40" t="s">
        <v>53</v>
      </c>
      <c r="AH40" t="s">
        <v>47</v>
      </c>
      <c r="AI40" t="s">
        <v>47</v>
      </c>
      <c r="AK40" t="s">
        <v>123</v>
      </c>
      <c r="AM40" t="s">
        <v>122</v>
      </c>
      <c r="AP40" s="4">
        <v>42110</v>
      </c>
      <c r="AT40" s="13">
        <f t="shared" si="6"/>
        <v>35</v>
      </c>
      <c r="AU40" t="s">
        <v>204</v>
      </c>
      <c r="AV40" s="1" t="s">
        <v>43</v>
      </c>
      <c r="AW40" s="1" t="s">
        <v>125</v>
      </c>
      <c r="AX40" s="1">
        <v>40</v>
      </c>
      <c r="AY40" t="s">
        <v>134</v>
      </c>
      <c r="AZ40" t="s">
        <v>137</v>
      </c>
      <c r="BA40" s="1">
        <v>1</v>
      </c>
      <c r="BB40" s="1" t="s">
        <v>128</v>
      </c>
      <c r="BC40" s="53" t="b">
        <v>1</v>
      </c>
      <c r="BD40" s="7" t="s">
        <v>104</v>
      </c>
      <c r="BE40" s="7" t="str">
        <f>VLOOKUP(AY40,Technologies!$B$7:$F$67,2,FALSE)</f>
        <v>Stor_EF</v>
      </c>
      <c r="BF40" s="7" t="str">
        <f>VLOOKUP(AZ40,Technologies!$B$7:$F$67,2,FALSE)</f>
        <v>HP_EF</v>
      </c>
      <c r="BG40" s="54">
        <f>VLOOKUP(AZ40,Technologies!$B$7:$F$67,5,FALSE)</f>
        <v>2.2000000000000002</v>
      </c>
    </row>
    <row r="41" spans="1:59" x14ac:dyDescent="0.25">
      <c r="A41" s="13">
        <f t="shared" si="5"/>
        <v>436</v>
      </c>
      <c r="B41" t="str">
        <f t="shared" si="0"/>
        <v>RE-WtrHt-SmlStrg-HP-lte12kW-40G-2p40EF</v>
      </c>
      <c r="C41" t="str">
        <f t="shared" si="1"/>
        <v>Efficient water heater: HP_EF Elec (EF=2.40) replaces Elec water heater</v>
      </c>
      <c r="D41" t="s">
        <v>45</v>
      </c>
      <c r="E41" t="s">
        <v>114</v>
      </c>
      <c r="F41" s="52" t="s">
        <v>115</v>
      </c>
      <c r="G41" t="str">
        <f t="shared" si="3"/>
        <v>RE-WtrHt-SmlStrg-HP-lte12kW-40G-2p40EF</v>
      </c>
      <c r="H41" t="s">
        <v>40</v>
      </c>
      <c r="I41" t="s">
        <v>116</v>
      </c>
      <c r="J41" t="s">
        <v>41</v>
      </c>
      <c r="K41">
        <v>0</v>
      </c>
      <c r="L41">
        <v>0</v>
      </c>
      <c r="M41" t="s">
        <v>41</v>
      </c>
      <c r="O41" t="s">
        <v>47</v>
      </c>
      <c r="Q41" t="s">
        <v>444</v>
      </c>
      <c r="R41" t="s">
        <v>43</v>
      </c>
      <c r="S41" t="s">
        <v>42</v>
      </c>
      <c r="T41" t="s">
        <v>118</v>
      </c>
      <c r="U41" t="s">
        <v>119</v>
      </c>
      <c r="V41" t="s">
        <v>120</v>
      </c>
      <c r="W41" t="s">
        <v>121</v>
      </c>
      <c r="Y41" t="s">
        <v>199</v>
      </c>
      <c r="Z41" t="str">
        <f t="shared" si="4"/>
        <v>Small Storage 40 gallon Elec water heater, EF varies by vintage</v>
      </c>
      <c r="AD41" t="str">
        <f t="shared" si="7"/>
        <v>Stor_EF-Elec-040gal-0.948EF</v>
      </c>
      <c r="AE41" t="str">
        <f t="shared" si="7"/>
        <v>Stor_EF-ElecHP-040gal-2.40EF</v>
      </c>
      <c r="AF41" t="s">
        <v>53</v>
      </c>
      <c r="AH41" t="s">
        <v>47</v>
      </c>
      <c r="AI41" t="s">
        <v>47</v>
      </c>
      <c r="AK41" t="s">
        <v>123</v>
      </c>
      <c r="AM41" t="s">
        <v>122</v>
      </c>
      <c r="AP41" s="4">
        <v>42110</v>
      </c>
      <c r="AT41" s="13">
        <f t="shared" si="6"/>
        <v>36</v>
      </c>
      <c r="AU41" t="s">
        <v>205</v>
      </c>
      <c r="AV41" s="1" t="s">
        <v>43</v>
      </c>
      <c r="AW41" s="1" t="s">
        <v>125</v>
      </c>
      <c r="AX41" s="1">
        <v>40</v>
      </c>
      <c r="AY41" t="s">
        <v>134</v>
      </c>
      <c r="AZ41" t="s">
        <v>139</v>
      </c>
      <c r="BA41" s="1">
        <v>1</v>
      </c>
      <c r="BB41" s="1" t="s">
        <v>128</v>
      </c>
      <c r="BC41" s="53" t="b">
        <v>1</v>
      </c>
      <c r="BD41" s="7" t="s">
        <v>104</v>
      </c>
      <c r="BE41" s="7" t="str">
        <f>VLOOKUP(AY41,Technologies!$B$7:$F$67,2,FALSE)</f>
        <v>Stor_EF</v>
      </c>
      <c r="BF41" s="7" t="str">
        <f>VLOOKUP(AZ41,Technologies!$B$7:$F$67,2,FALSE)</f>
        <v>HP_EF</v>
      </c>
      <c r="BG41" s="54">
        <f>VLOOKUP(AZ41,Technologies!$B$7:$F$67,5,FALSE)</f>
        <v>2.4</v>
      </c>
    </row>
    <row r="42" spans="1:59" x14ac:dyDescent="0.25">
      <c r="A42" s="13">
        <f t="shared" si="5"/>
        <v>437</v>
      </c>
      <c r="B42" t="str">
        <f t="shared" si="0"/>
        <v>RE-WtrHt-SmlStrg-HP-lte12kW-50G-2p00EF</v>
      </c>
      <c r="C42" t="str">
        <f t="shared" si="1"/>
        <v>Efficient water heater: HP_EF Elec (EF=2.00) replaces Elec water heater</v>
      </c>
      <c r="D42" t="s">
        <v>45</v>
      </c>
      <c r="E42" t="s">
        <v>114</v>
      </c>
      <c r="F42" s="52" t="s">
        <v>115</v>
      </c>
      <c r="G42" t="str">
        <f t="shared" si="3"/>
        <v>RE-WtrHt-SmlStrg-HP-lte12kW-50G-2p00EF</v>
      </c>
      <c r="H42" t="s">
        <v>40</v>
      </c>
      <c r="I42" t="s">
        <v>116</v>
      </c>
      <c r="J42" t="s">
        <v>41</v>
      </c>
      <c r="K42">
        <v>0</v>
      </c>
      <c r="L42">
        <v>0</v>
      </c>
      <c r="M42" t="s">
        <v>41</v>
      </c>
      <c r="O42" t="s">
        <v>47</v>
      </c>
      <c r="Q42" t="s">
        <v>444</v>
      </c>
      <c r="R42" t="s">
        <v>43</v>
      </c>
      <c r="S42" t="s">
        <v>42</v>
      </c>
      <c r="T42" t="s">
        <v>118</v>
      </c>
      <c r="U42" t="s">
        <v>119</v>
      </c>
      <c r="V42" t="s">
        <v>120</v>
      </c>
      <c r="W42" t="s">
        <v>121</v>
      </c>
      <c r="Y42" t="s">
        <v>199</v>
      </c>
      <c r="Z42" t="str">
        <f t="shared" si="4"/>
        <v>Small Storage 50 gallon Elec water heater, EF varies by vintage</v>
      </c>
      <c r="AD42" t="str">
        <f t="shared" si="7"/>
        <v>Stor_EF-Elec-050gal-0.945EF</v>
      </c>
      <c r="AE42" t="str">
        <f t="shared" si="7"/>
        <v>Stor_EF-ElecHP-050gal-2.00EF</v>
      </c>
      <c r="AF42" t="s">
        <v>53</v>
      </c>
      <c r="AH42" t="s">
        <v>47</v>
      </c>
      <c r="AI42" t="s">
        <v>47</v>
      </c>
      <c r="AK42" t="s">
        <v>123</v>
      </c>
      <c r="AM42" t="s">
        <v>122</v>
      </c>
      <c r="AP42" s="4">
        <v>42110</v>
      </c>
      <c r="AT42" s="13">
        <f t="shared" si="6"/>
        <v>37</v>
      </c>
      <c r="AU42" t="s">
        <v>206</v>
      </c>
      <c r="AV42" s="1" t="s">
        <v>43</v>
      </c>
      <c r="AW42" s="1" t="s">
        <v>125</v>
      </c>
      <c r="AX42" s="1">
        <v>50</v>
      </c>
      <c r="AY42" t="s">
        <v>141</v>
      </c>
      <c r="AZ42" t="s">
        <v>142</v>
      </c>
      <c r="BA42" s="1">
        <v>1</v>
      </c>
      <c r="BB42" s="1" t="s">
        <v>128</v>
      </c>
      <c r="BC42" s="53" t="b">
        <v>1</v>
      </c>
      <c r="BD42" s="7" t="s">
        <v>104</v>
      </c>
      <c r="BE42" s="7" t="str">
        <f>VLOOKUP(AY42,Technologies!$B$7:$F$67,2,FALSE)</f>
        <v>Stor_EF</v>
      </c>
      <c r="BF42" s="7" t="str">
        <f>VLOOKUP(AZ42,Technologies!$B$7:$F$67,2,FALSE)</f>
        <v>HP_EF</v>
      </c>
      <c r="BG42" s="54">
        <f>VLOOKUP(AZ42,Technologies!$B$7:$F$67,5,FALSE)</f>
        <v>2</v>
      </c>
    </row>
    <row r="43" spans="1:59" x14ac:dyDescent="0.25">
      <c r="A43" s="13">
        <f t="shared" si="5"/>
        <v>438</v>
      </c>
      <c r="B43" t="str">
        <f t="shared" si="0"/>
        <v>RE-WtrHt-SmlStrg-HP-lte12kW-50G-2p20EF</v>
      </c>
      <c r="C43" t="str">
        <f t="shared" si="1"/>
        <v>Efficient water heater: HP_EF Elec (EF=2.20) replaces Elec water heater</v>
      </c>
      <c r="D43" t="s">
        <v>45</v>
      </c>
      <c r="E43" t="s">
        <v>114</v>
      </c>
      <c r="F43" s="52" t="s">
        <v>115</v>
      </c>
      <c r="G43" t="str">
        <f t="shared" si="3"/>
        <v>RE-WtrHt-SmlStrg-HP-lte12kW-50G-2p20EF</v>
      </c>
      <c r="H43" t="s">
        <v>40</v>
      </c>
      <c r="I43" t="s">
        <v>116</v>
      </c>
      <c r="J43" t="s">
        <v>41</v>
      </c>
      <c r="K43">
        <v>0</v>
      </c>
      <c r="L43">
        <v>0</v>
      </c>
      <c r="M43" t="s">
        <v>41</v>
      </c>
      <c r="O43" t="s">
        <v>47</v>
      </c>
      <c r="Q43" t="s">
        <v>444</v>
      </c>
      <c r="R43" t="s">
        <v>43</v>
      </c>
      <c r="S43" t="s">
        <v>42</v>
      </c>
      <c r="T43" t="s">
        <v>118</v>
      </c>
      <c r="U43" t="s">
        <v>119</v>
      </c>
      <c r="V43" t="s">
        <v>120</v>
      </c>
      <c r="W43" t="s">
        <v>121</v>
      </c>
      <c r="Y43" t="s">
        <v>199</v>
      </c>
      <c r="Z43" t="str">
        <f t="shared" si="4"/>
        <v>Small Storage 50 gallon Elec water heater, EF varies by vintage</v>
      </c>
      <c r="AD43" t="str">
        <f t="shared" si="7"/>
        <v>Stor_EF-Elec-050gal-0.945EF</v>
      </c>
      <c r="AE43" t="str">
        <f t="shared" si="7"/>
        <v>Stor_EF-ElecHP-050gal-2.20EF</v>
      </c>
      <c r="AF43" t="s">
        <v>53</v>
      </c>
      <c r="AH43" t="s">
        <v>47</v>
      </c>
      <c r="AI43" t="s">
        <v>47</v>
      </c>
      <c r="AK43" t="s">
        <v>123</v>
      </c>
      <c r="AM43" t="s">
        <v>122</v>
      </c>
      <c r="AP43" s="4">
        <v>42110</v>
      </c>
      <c r="AT43" s="13">
        <f t="shared" si="6"/>
        <v>38</v>
      </c>
      <c r="AU43" t="s">
        <v>207</v>
      </c>
      <c r="AV43" s="1" t="s">
        <v>43</v>
      </c>
      <c r="AW43" s="1" t="s">
        <v>125</v>
      </c>
      <c r="AX43" s="1">
        <v>50</v>
      </c>
      <c r="AY43" t="s">
        <v>141</v>
      </c>
      <c r="AZ43" t="s">
        <v>144</v>
      </c>
      <c r="BA43" s="1">
        <v>1</v>
      </c>
      <c r="BB43" s="1" t="s">
        <v>128</v>
      </c>
      <c r="BC43" s="53" t="b">
        <v>1</v>
      </c>
      <c r="BD43" s="7" t="s">
        <v>104</v>
      </c>
      <c r="BE43" s="7" t="str">
        <f>VLOOKUP(AY43,Technologies!$B$7:$F$67,2,FALSE)</f>
        <v>Stor_EF</v>
      </c>
      <c r="BF43" s="7" t="str">
        <f>VLOOKUP(AZ43,Technologies!$B$7:$F$67,2,FALSE)</f>
        <v>HP_EF</v>
      </c>
      <c r="BG43" s="54">
        <f>VLOOKUP(AZ43,Technologies!$B$7:$F$67,5,FALSE)</f>
        <v>2.2000000000000002</v>
      </c>
    </row>
    <row r="44" spans="1:59" x14ac:dyDescent="0.25">
      <c r="A44" s="13">
        <f t="shared" si="5"/>
        <v>439</v>
      </c>
      <c r="B44" t="str">
        <f t="shared" si="0"/>
        <v>RE-WtrHt-SmlStrg-HP-lte12kW-50G-2p40EF</v>
      </c>
      <c r="C44" t="str">
        <f t="shared" si="1"/>
        <v>Efficient water heater: HP_EF Elec (EF=2.20) replaces Elec water heater</v>
      </c>
      <c r="D44" t="s">
        <v>45</v>
      </c>
      <c r="E44" t="s">
        <v>114</v>
      </c>
      <c r="F44" s="52" t="s">
        <v>115</v>
      </c>
      <c r="G44" t="str">
        <f t="shared" si="3"/>
        <v>RE-WtrHt-SmlStrg-HP-lte12kW-50G-2p40EF</v>
      </c>
      <c r="H44" t="s">
        <v>40</v>
      </c>
      <c r="I44" t="s">
        <v>116</v>
      </c>
      <c r="J44" t="s">
        <v>41</v>
      </c>
      <c r="K44">
        <v>0</v>
      </c>
      <c r="L44">
        <v>0</v>
      </c>
      <c r="M44" t="s">
        <v>41</v>
      </c>
      <c r="O44" t="s">
        <v>47</v>
      </c>
      <c r="Q44" t="s">
        <v>444</v>
      </c>
      <c r="R44" t="s">
        <v>43</v>
      </c>
      <c r="S44" t="s">
        <v>42</v>
      </c>
      <c r="T44" t="s">
        <v>118</v>
      </c>
      <c r="U44" t="s">
        <v>119</v>
      </c>
      <c r="V44" t="s">
        <v>120</v>
      </c>
      <c r="W44" t="s">
        <v>121</v>
      </c>
      <c r="Y44" t="s">
        <v>199</v>
      </c>
      <c r="Z44" t="str">
        <f t="shared" si="4"/>
        <v>Small Storage 50 gallon Elec water heater, EF varies by vintage</v>
      </c>
      <c r="AD44" t="str">
        <f t="shared" si="7"/>
        <v>Stor_EF-Elec-050gal-0.945EF</v>
      </c>
      <c r="AE44" t="str">
        <f t="shared" si="7"/>
        <v>Stor_EF-ElecHP-050gal-2.20EF</v>
      </c>
      <c r="AF44" t="s">
        <v>53</v>
      </c>
      <c r="AH44" t="s">
        <v>47</v>
      </c>
      <c r="AI44" t="s">
        <v>47</v>
      </c>
      <c r="AK44" t="s">
        <v>123</v>
      </c>
      <c r="AM44" t="s">
        <v>122</v>
      </c>
      <c r="AP44" s="4">
        <v>42110</v>
      </c>
      <c r="AT44" s="13">
        <f t="shared" si="6"/>
        <v>39</v>
      </c>
      <c r="AU44" t="s">
        <v>208</v>
      </c>
      <c r="AV44" s="1" t="s">
        <v>43</v>
      </c>
      <c r="AW44" s="1" t="s">
        <v>125</v>
      </c>
      <c r="AX44" s="1">
        <v>50</v>
      </c>
      <c r="AY44" t="s">
        <v>141</v>
      </c>
      <c r="AZ44" t="s">
        <v>144</v>
      </c>
      <c r="BA44" s="1">
        <v>1</v>
      </c>
      <c r="BB44" s="1" t="s">
        <v>128</v>
      </c>
      <c r="BC44" s="53" t="b">
        <v>1</v>
      </c>
      <c r="BD44" s="7" t="s">
        <v>104</v>
      </c>
      <c r="BE44" s="7" t="str">
        <f>VLOOKUP(AY44,Technologies!$B$7:$F$67,2,FALSE)</f>
        <v>Stor_EF</v>
      </c>
      <c r="BF44" s="7" t="str">
        <f>VLOOKUP(AZ44,Technologies!$B$7:$F$67,2,FALSE)</f>
        <v>HP_EF</v>
      </c>
      <c r="BG44" s="54">
        <f>VLOOKUP(AZ44,Technologies!$B$7:$F$67,5,FALSE)</f>
        <v>2.2000000000000002</v>
      </c>
    </row>
    <row r="45" spans="1:59" x14ac:dyDescent="0.25">
      <c r="A45" s="13">
        <f t="shared" si="5"/>
        <v>440</v>
      </c>
      <c r="B45" t="str">
        <f t="shared" si="0"/>
        <v>RE-WtrHt-SmlStrg-HP-lte12kW-60G-2p20EF</v>
      </c>
      <c r="C45" t="str">
        <f t="shared" si="1"/>
        <v>Efficient water heater: HP_EF Elec (EF=2.20) replaces Elec water heater</v>
      </c>
      <c r="D45" t="s">
        <v>45</v>
      </c>
      <c r="E45" t="s">
        <v>114</v>
      </c>
      <c r="F45" s="52" t="s">
        <v>115</v>
      </c>
      <c r="G45" t="str">
        <f t="shared" si="3"/>
        <v>RE-WtrHt-SmlStrg-HP-lte12kW-60G-2p20EF</v>
      </c>
      <c r="H45" t="s">
        <v>40</v>
      </c>
      <c r="I45" t="s">
        <v>116</v>
      </c>
      <c r="J45" t="s">
        <v>41</v>
      </c>
      <c r="K45">
        <v>0</v>
      </c>
      <c r="L45">
        <v>0</v>
      </c>
      <c r="M45" t="s">
        <v>41</v>
      </c>
      <c r="O45" t="s">
        <v>47</v>
      </c>
      <c r="Q45" t="s">
        <v>444</v>
      </c>
      <c r="R45" t="s">
        <v>43</v>
      </c>
      <c r="S45" t="s">
        <v>42</v>
      </c>
      <c r="T45" t="s">
        <v>118</v>
      </c>
      <c r="U45" t="s">
        <v>119</v>
      </c>
      <c r="V45" t="s">
        <v>120</v>
      </c>
      <c r="W45" t="s">
        <v>121</v>
      </c>
      <c r="Y45" t="s">
        <v>199</v>
      </c>
      <c r="Z45" t="str">
        <f t="shared" si="4"/>
        <v>Small Storage 60 gallon Elec water heater, EF varies by vintage</v>
      </c>
      <c r="AD45" t="str">
        <f t="shared" si="7"/>
        <v>Stor_EF-ElecHP-060gal-1.98EF</v>
      </c>
      <c r="AE45" t="str">
        <f t="shared" si="7"/>
        <v>Stor_EF-ElecHP-060gal-2.20EF</v>
      </c>
      <c r="AF45" t="s">
        <v>53</v>
      </c>
      <c r="AH45" t="s">
        <v>47</v>
      </c>
      <c r="AI45" t="s">
        <v>47</v>
      </c>
      <c r="AK45" t="s">
        <v>123</v>
      </c>
      <c r="AM45" t="s">
        <v>122</v>
      </c>
      <c r="AP45" s="4">
        <v>42110</v>
      </c>
      <c r="AT45" s="13">
        <f t="shared" si="6"/>
        <v>40</v>
      </c>
      <c r="AU45" t="s">
        <v>209</v>
      </c>
      <c r="AV45" s="1" t="s">
        <v>43</v>
      </c>
      <c r="AW45" s="1" t="s">
        <v>125</v>
      </c>
      <c r="AX45" s="1">
        <v>60</v>
      </c>
      <c r="AY45" t="s">
        <v>147</v>
      </c>
      <c r="AZ45" t="s">
        <v>148</v>
      </c>
      <c r="BA45" s="1">
        <v>1</v>
      </c>
      <c r="BB45" s="1" t="s">
        <v>128</v>
      </c>
      <c r="BC45" s="53" t="b">
        <v>1</v>
      </c>
      <c r="BD45" s="7" t="s">
        <v>104</v>
      </c>
      <c r="BE45" s="7" t="str">
        <f>VLOOKUP(AY45,Technologies!$B$7:$F$67,2,FALSE)</f>
        <v>HP_EF</v>
      </c>
      <c r="BF45" s="7" t="str">
        <f>VLOOKUP(AZ45,Technologies!$B$7:$F$67,2,FALSE)</f>
        <v>HP_EF</v>
      </c>
      <c r="BG45" s="54">
        <f>VLOOKUP(AZ45,Technologies!$B$7:$F$67,5,FALSE)</f>
        <v>2.2000000000000002</v>
      </c>
    </row>
    <row r="46" spans="1:59" x14ac:dyDescent="0.25">
      <c r="A46" s="13">
        <f t="shared" si="5"/>
        <v>441</v>
      </c>
      <c r="B46" t="str">
        <f t="shared" si="0"/>
        <v>RE-WtrHt-SmlStrg-HP-lte12kW-60G-2p40EF</v>
      </c>
      <c r="C46" t="str">
        <f t="shared" si="1"/>
        <v>Efficient water heater: HP_EF Elec (EF=2.40) replaces Elec water heater</v>
      </c>
      <c r="D46" t="s">
        <v>45</v>
      </c>
      <c r="E46" t="s">
        <v>114</v>
      </c>
      <c r="F46" s="52" t="s">
        <v>115</v>
      </c>
      <c r="G46" t="str">
        <f t="shared" si="3"/>
        <v>RE-WtrHt-SmlStrg-HP-lte12kW-60G-2p40EF</v>
      </c>
      <c r="H46" t="s">
        <v>40</v>
      </c>
      <c r="I46" t="s">
        <v>116</v>
      </c>
      <c r="J46" t="s">
        <v>41</v>
      </c>
      <c r="K46">
        <v>0</v>
      </c>
      <c r="L46">
        <v>0</v>
      </c>
      <c r="M46" t="s">
        <v>41</v>
      </c>
      <c r="O46" t="s">
        <v>47</v>
      </c>
      <c r="Q46" t="s">
        <v>444</v>
      </c>
      <c r="R46" t="s">
        <v>43</v>
      </c>
      <c r="S46" t="s">
        <v>42</v>
      </c>
      <c r="T46" t="s">
        <v>118</v>
      </c>
      <c r="U46" t="s">
        <v>119</v>
      </c>
      <c r="V46" t="s">
        <v>120</v>
      </c>
      <c r="W46" t="s">
        <v>121</v>
      </c>
      <c r="Y46" t="s">
        <v>199</v>
      </c>
      <c r="Z46" t="str">
        <f t="shared" si="4"/>
        <v>Small Storage 60 gallon Elec water heater, EF varies by vintage</v>
      </c>
      <c r="AD46" t="str">
        <f t="shared" si="7"/>
        <v>Stor_EF-ElecHP-060gal-1.98EF</v>
      </c>
      <c r="AE46" t="str">
        <f t="shared" si="7"/>
        <v>Stor_EF-ElecHP-060gal-2.40EF</v>
      </c>
      <c r="AF46" t="s">
        <v>53</v>
      </c>
      <c r="AH46" t="s">
        <v>47</v>
      </c>
      <c r="AI46" t="s">
        <v>47</v>
      </c>
      <c r="AK46" t="s">
        <v>123</v>
      </c>
      <c r="AM46" t="s">
        <v>122</v>
      </c>
      <c r="AP46" s="4">
        <v>42110</v>
      </c>
      <c r="AT46" s="13">
        <f t="shared" si="6"/>
        <v>41</v>
      </c>
      <c r="AU46" t="s">
        <v>210</v>
      </c>
      <c r="AV46" s="1" t="s">
        <v>43</v>
      </c>
      <c r="AW46" s="1" t="s">
        <v>125</v>
      </c>
      <c r="AX46" s="1">
        <v>60</v>
      </c>
      <c r="AY46" t="s">
        <v>147</v>
      </c>
      <c r="AZ46" t="s">
        <v>150</v>
      </c>
      <c r="BA46" s="1">
        <v>1</v>
      </c>
      <c r="BB46" s="1" t="s">
        <v>128</v>
      </c>
      <c r="BC46" s="53" t="b">
        <v>1</v>
      </c>
      <c r="BD46" s="7" t="s">
        <v>104</v>
      </c>
      <c r="BE46" s="7" t="str">
        <f>VLOOKUP(AY46,Technologies!$B$7:$F$67,2,FALSE)</f>
        <v>HP_EF</v>
      </c>
      <c r="BF46" s="7" t="str">
        <f>VLOOKUP(AZ46,Technologies!$B$7:$F$67,2,FALSE)</f>
        <v>HP_EF</v>
      </c>
      <c r="BG46" s="54">
        <f>VLOOKUP(AZ46,Technologies!$B$7:$F$67,5,FALSE)</f>
        <v>2.4</v>
      </c>
    </row>
    <row r="47" spans="1:59" x14ac:dyDescent="0.25">
      <c r="A47" s="13">
        <f t="shared" si="5"/>
        <v>442</v>
      </c>
      <c r="B47" t="str">
        <f t="shared" si="0"/>
        <v>RE-WtrHt-SmlStrg-HP-lte12kW-75G-2p20EF</v>
      </c>
      <c r="C47" t="str">
        <f t="shared" si="1"/>
        <v>Efficient water heater: HP_EF Elec (EF=2.20) replaces Elec water heater</v>
      </c>
      <c r="D47" t="s">
        <v>45</v>
      </c>
      <c r="E47" t="s">
        <v>114</v>
      </c>
      <c r="F47" s="52" t="s">
        <v>115</v>
      </c>
      <c r="G47" t="str">
        <f t="shared" si="3"/>
        <v>RE-WtrHt-SmlStrg-HP-lte12kW-75G-2p20EF</v>
      </c>
      <c r="H47" t="s">
        <v>40</v>
      </c>
      <c r="I47" t="s">
        <v>116</v>
      </c>
      <c r="J47" t="s">
        <v>41</v>
      </c>
      <c r="K47">
        <v>0</v>
      </c>
      <c r="L47">
        <v>0</v>
      </c>
      <c r="M47" t="s">
        <v>41</v>
      </c>
      <c r="O47" t="s">
        <v>47</v>
      </c>
      <c r="Q47" t="s">
        <v>444</v>
      </c>
      <c r="R47" t="s">
        <v>43</v>
      </c>
      <c r="S47" t="s">
        <v>42</v>
      </c>
      <c r="T47" t="s">
        <v>118</v>
      </c>
      <c r="U47" t="s">
        <v>119</v>
      </c>
      <c r="V47" t="s">
        <v>120</v>
      </c>
      <c r="W47" t="s">
        <v>121</v>
      </c>
      <c r="Y47" t="s">
        <v>199</v>
      </c>
      <c r="Z47" t="str">
        <f t="shared" si="4"/>
        <v>Small Storage 75 gallon Elec water heater, EF varies by vintage</v>
      </c>
      <c r="AD47" t="str">
        <f t="shared" si="7"/>
        <v>Stor_EF-ElecHP-075gal-1.96EF</v>
      </c>
      <c r="AE47" t="str">
        <f t="shared" si="7"/>
        <v>Stor_EF-ElecHP-075gal-2.20EF</v>
      </c>
      <c r="AF47" t="s">
        <v>53</v>
      </c>
      <c r="AH47" t="s">
        <v>47</v>
      </c>
      <c r="AI47" t="s">
        <v>47</v>
      </c>
      <c r="AK47" t="s">
        <v>123</v>
      </c>
      <c r="AM47" t="s">
        <v>122</v>
      </c>
      <c r="AP47" s="4">
        <v>42110</v>
      </c>
      <c r="AT47" s="13">
        <f t="shared" si="6"/>
        <v>42</v>
      </c>
      <c r="AU47" t="s">
        <v>211</v>
      </c>
      <c r="AV47" s="1" t="s">
        <v>43</v>
      </c>
      <c r="AW47" s="1" t="s">
        <v>125</v>
      </c>
      <c r="AX47" s="1">
        <v>75</v>
      </c>
      <c r="AY47" t="s">
        <v>152</v>
      </c>
      <c r="AZ47" t="s">
        <v>153</v>
      </c>
      <c r="BA47" s="1">
        <v>1</v>
      </c>
      <c r="BB47" s="1" t="s">
        <v>128</v>
      </c>
      <c r="BC47" s="53" t="b">
        <v>1</v>
      </c>
      <c r="BD47" s="7" t="s">
        <v>104</v>
      </c>
      <c r="BE47" s="7" t="str">
        <f>VLOOKUP(AY47,Technologies!$B$7:$F$67,2,FALSE)</f>
        <v>HP_EF</v>
      </c>
      <c r="BF47" s="7" t="str">
        <f>VLOOKUP(AZ47,Technologies!$B$7:$F$67,2,FALSE)</f>
        <v>HP_EF</v>
      </c>
      <c r="BG47" s="54">
        <f>VLOOKUP(AZ47,Technologies!$B$7:$F$67,5,FALSE)</f>
        <v>2.2000000000000002</v>
      </c>
    </row>
    <row r="48" spans="1:59" x14ac:dyDescent="0.25">
      <c r="A48" s="13">
        <f t="shared" si="5"/>
        <v>443</v>
      </c>
      <c r="B48" t="str">
        <f t="shared" si="0"/>
        <v>RE-WtrHt-SmlStrg-HP-lte12kW-75G-2p40EF</v>
      </c>
      <c r="C48" t="str">
        <f t="shared" si="1"/>
        <v>Efficient water heater: HP_EF Elec (EF=2.40) replaces Elec water heater</v>
      </c>
      <c r="D48" t="s">
        <v>45</v>
      </c>
      <c r="E48" t="s">
        <v>114</v>
      </c>
      <c r="F48" s="52" t="s">
        <v>115</v>
      </c>
      <c r="G48" t="str">
        <f t="shared" si="3"/>
        <v>RE-WtrHt-SmlStrg-HP-lte12kW-75G-2p40EF</v>
      </c>
      <c r="H48" t="s">
        <v>40</v>
      </c>
      <c r="I48" t="s">
        <v>116</v>
      </c>
      <c r="J48" t="s">
        <v>41</v>
      </c>
      <c r="K48">
        <v>0</v>
      </c>
      <c r="L48">
        <v>0</v>
      </c>
      <c r="M48" t="s">
        <v>41</v>
      </c>
      <c r="O48" t="s">
        <v>47</v>
      </c>
      <c r="Q48" t="s">
        <v>444</v>
      </c>
      <c r="R48" t="s">
        <v>43</v>
      </c>
      <c r="S48" t="s">
        <v>42</v>
      </c>
      <c r="T48" t="s">
        <v>118</v>
      </c>
      <c r="U48" t="s">
        <v>119</v>
      </c>
      <c r="V48" t="s">
        <v>120</v>
      </c>
      <c r="W48" t="s">
        <v>156</v>
      </c>
      <c r="Y48" t="s">
        <v>199</v>
      </c>
      <c r="Z48" t="str">
        <f t="shared" si="4"/>
        <v>Small Storage 75 gallon Elec water heater, EF varies by vintage</v>
      </c>
      <c r="AD48" t="str">
        <f t="shared" si="7"/>
        <v>Stor_EF-ElecHP-075gal-1.96EF</v>
      </c>
      <c r="AE48" t="str">
        <f t="shared" si="7"/>
        <v>Stor_EF-ElecHP-075gal-2.40EF</v>
      </c>
      <c r="AF48" t="s">
        <v>53</v>
      </c>
      <c r="AH48" t="s">
        <v>47</v>
      </c>
      <c r="AI48" t="s">
        <v>47</v>
      </c>
      <c r="AK48" t="s">
        <v>123</v>
      </c>
      <c r="AM48" t="s">
        <v>122</v>
      </c>
      <c r="AP48" s="4">
        <v>42110</v>
      </c>
      <c r="AT48" s="13">
        <f t="shared" si="6"/>
        <v>43</v>
      </c>
      <c r="AU48" t="s">
        <v>212</v>
      </c>
      <c r="AV48" s="1" t="s">
        <v>43</v>
      </c>
      <c r="AW48" s="1" t="s">
        <v>125</v>
      </c>
      <c r="AX48" s="1">
        <v>75</v>
      </c>
      <c r="AY48" t="s">
        <v>152</v>
      </c>
      <c r="AZ48" t="s">
        <v>155</v>
      </c>
      <c r="BA48" s="1">
        <v>1</v>
      </c>
      <c r="BB48" s="1" t="s">
        <v>128</v>
      </c>
      <c r="BC48" s="53" t="b">
        <v>1</v>
      </c>
      <c r="BD48" s="7" t="s">
        <v>104</v>
      </c>
      <c r="BE48" s="7" t="str">
        <f>VLOOKUP(AY48,Technologies!$B$7:$F$67,2,FALSE)</f>
        <v>HP_EF</v>
      </c>
      <c r="BF48" s="7" t="str">
        <f>VLOOKUP(AZ48,Technologies!$B$7:$F$67,2,FALSE)</f>
        <v>HP_EF</v>
      </c>
      <c r="BG48" s="54">
        <f>VLOOKUP(AZ48,Technologies!$B$7:$F$67,5,FALSE)</f>
        <v>2.4</v>
      </c>
    </row>
    <row r="49" spans="1:59" x14ac:dyDescent="0.25">
      <c r="A49" s="13">
        <f t="shared" si="5"/>
        <v>444</v>
      </c>
      <c r="B49" t="str">
        <f t="shared" si="0"/>
        <v>RG-WtrHt-SmlStrg-Gas-lte75kBtuh-30G-0p65EF</v>
      </c>
      <c r="C49" t="str">
        <f t="shared" si="1"/>
        <v>Efficient water heater: Stor_EF Gas (EF=0.65) replaces Gas water heater</v>
      </c>
      <c r="D49" t="s">
        <v>45</v>
      </c>
      <c r="E49" t="s">
        <v>114</v>
      </c>
      <c r="F49" s="52" t="s">
        <v>115</v>
      </c>
      <c r="G49" t="str">
        <f t="shared" si="3"/>
        <v>RG-WtrHt-SmlStrg-Gas-lte75kBtuh-30G-0p65EF</v>
      </c>
      <c r="H49" t="s">
        <v>40</v>
      </c>
      <c r="I49" t="s">
        <v>116</v>
      </c>
      <c r="J49" t="s">
        <v>41</v>
      </c>
      <c r="K49">
        <v>0</v>
      </c>
      <c r="L49">
        <v>0</v>
      </c>
      <c r="M49" t="s">
        <v>41</v>
      </c>
      <c r="O49" t="s">
        <v>47</v>
      </c>
      <c r="Q49" t="s">
        <v>444</v>
      </c>
      <c r="R49" t="s">
        <v>43</v>
      </c>
      <c r="S49" t="s">
        <v>42</v>
      </c>
      <c r="T49" t="s">
        <v>118</v>
      </c>
      <c r="U49" t="s">
        <v>119</v>
      </c>
      <c r="V49" t="s">
        <v>120</v>
      </c>
      <c r="W49" t="s">
        <v>156</v>
      </c>
      <c r="Y49" t="s">
        <v>213</v>
      </c>
      <c r="Z49" t="str">
        <f t="shared" si="4"/>
        <v>Small Storage 30 gallon Gas water heater, EF varies by vintage</v>
      </c>
      <c r="AD49" t="str">
        <f t="shared" si="7"/>
        <v>Stor_EF-Gas-030gal-0.630EF</v>
      </c>
      <c r="AE49" t="str">
        <f t="shared" si="7"/>
        <v>Stor_EF-Gas-030gal-0.65EF</v>
      </c>
      <c r="AF49" t="s">
        <v>53</v>
      </c>
      <c r="AH49" t="s">
        <v>47</v>
      </c>
      <c r="AI49" t="s">
        <v>47</v>
      </c>
      <c r="AK49" t="s">
        <v>123</v>
      </c>
      <c r="AM49" t="s">
        <v>122</v>
      </c>
      <c r="AP49" s="4">
        <v>42110</v>
      </c>
      <c r="AT49" s="13">
        <f t="shared" si="6"/>
        <v>44</v>
      </c>
      <c r="AU49" t="s">
        <v>214</v>
      </c>
      <c r="AV49" s="1" t="s">
        <v>43</v>
      </c>
      <c r="AW49" s="1" t="s">
        <v>158</v>
      </c>
      <c r="AX49" s="1">
        <v>30</v>
      </c>
      <c r="AY49" t="s">
        <v>159</v>
      </c>
      <c r="AZ49" t="s">
        <v>160</v>
      </c>
      <c r="BA49" s="1">
        <v>1</v>
      </c>
      <c r="BB49" s="1" t="s">
        <v>128</v>
      </c>
      <c r="BC49" s="53" t="b">
        <v>1</v>
      </c>
      <c r="BD49" s="7" t="s">
        <v>104</v>
      </c>
      <c r="BE49" s="7" t="str">
        <f>VLOOKUP(AY49,Technologies!$B$7:$F$67,2,FALSE)</f>
        <v>Stor_EF</v>
      </c>
      <c r="BF49" s="7" t="str">
        <f>VLOOKUP(AZ49,Technologies!$B$7:$F$67,2,FALSE)</f>
        <v>Stor_EF</v>
      </c>
      <c r="BG49" s="54">
        <f>VLOOKUP(AZ49,Technologies!$B$7:$F$67,5,FALSE)</f>
        <v>0.65</v>
      </c>
    </row>
    <row r="50" spans="1:59" x14ac:dyDescent="0.25">
      <c r="A50" s="13">
        <f t="shared" si="5"/>
        <v>445</v>
      </c>
      <c r="B50" t="str">
        <f t="shared" si="0"/>
        <v>RG-WtrHt-SmlStrg-Gas-lte75kBtuh-30G-0p70EF</v>
      </c>
      <c r="C50" t="str">
        <f t="shared" si="1"/>
        <v>Efficient water heater: Stor_EF Gas (EF=0.70) replaces Gas water heater</v>
      </c>
      <c r="D50" t="s">
        <v>45</v>
      </c>
      <c r="E50" t="s">
        <v>114</v>
      </c>
      <c r="F50" s="52" t="s">
        <v>115</v>
      </c>
      <c r="G50" t="str">
        <f t="shared" si="3"/>
        <v>RG-WtrHt-SmlStrg-Gas-lte75kBtuh-30G-0p70EF</v>
      </c>
      <c r="H50" t="s">
        <v>40</v>
      </c>
      <c r="I50" t="s">
        <v>116</v>
      </c>
      <c r="J50" t="s">
        <v>41</v>
      </c>
      <c r="K50">
        <v>0</v>
      </c>
      <c r="L50">
        <v>0</v>
      </c>
      <c r="M50" t="s">
        <v>41</v>
      </c>
      <c r="O50" t="s">
        <v>47</v>
      </c>
      <c r="Q50" t="s">
        <v>444</v>
      </c>
      <c r="R50" t="s">
        <v>43</v>
      </c>
      <c r="S50" t="s">
        <v>42</v>
      </c>
      <c r="T50" t="s">
        <v>118</v>
      </c>
      <c r="U50" t="s">
        <v>119</v>
      </c>
      <c r="V50" t="s">
        <v>120</v>
      </c>
      <c r="W50" t="s">
        <v>156</v>
      </c>
      <c r="Y50" t="s">
        <v>213</v>
      </c>
      <c r="Z50" t="str">
        <f t="shared" si="4"/>
        <v>Small Storage 30 gallon Gas water heater, EF varies by vintage</v>
      </c>
      <c r="AD50" t="str">
        <f t="shared" si="7"/>
        <v>Stor_EF-Gas-030gal-0.630EF</v>
      </c>
      <c r="AE50" t="str">
        <f t="shared" si="7"/>
        <v>Stor_EF-Gas-030gal-0.70EF</v>
      </c>
      <c r="AF50" t="s">
        <v>53</v>
      </c>
      <c r="AH50" t="s">
        <v>47</v>
      </c>
      <c r="AI50" t="s">
        <v>47</v>
      </c>
      <c r="AK50" t="s">
        <v>123</v>
      </c>
      <c r="AM50" t="s">
        <v>122</v>
      </c>
      <c r="AP50" s="4">
        <v>42110</v>
      </c>
      <c r="AT50" s="13">
        <f t="shared" si="6"/>
        <v>45</v>
      </c>
      <c r="AU50" t="s">
        <v>215</v>
      </c>
      <c r="AV50" s="1" t="s">
        <v>43</v>
      </c>
      <c r="AW50" s="1" t="s">
        <v>158</v>
      </c>
      <c r="AX50" s="1">
        <v>30</v>
      </c>
      <c r="AY50" t="s">
        <v>159</v>
      </c>
      <c r="AZ50" t="s">
        <v>162</v>
      </c>
      <c r="BA50" s="1">
        <v>1</v>
      </c>
      <c r="BB50" s="1" t="s">
        <v>128</v>
      </c>
      <c r="BC50" s="53" t="b">
        <v>1</v>
      </c>
      <c r="BD50" s="7" t="s">
        <v>104</v>
      </c>
      <c r="BE50" s="7" t="str">
        <f>VLOOKUP(AY50,Technologies!$B$7:$F$67,2,FALSE)</f>
        <v>Stor_EF</v>
      </c>
      <c r="BF50" s="7" t="str">
        <f>VLOOKUP(AZ50,Technologies!$B$7:$F$67,2,FALSE)</f>
        <v>Stor_EF</v>
      </c>
      <c r="BG50" s="54">
        <f>VLOOKUP(AZ50,Technologies!$B$7:$F$67,5,FALSE)</f>
        <v>0.7</v>
      </c>
    </row>
    <row r="51" spans="1:59" x14ac:dyDescent="0.25">
      <c r="A51" s="13">
        <f t="shared" si="5"/>
        <v>446</v>
      </c>
      <c r="B51" t="str">
        <f t="shared" si="0"/>
        <v>RG-WtrHt-SmlStrg-Gas-lte75kBtuh-30G-0p72EF</v>
      </c>
      <c r="C51" t="str">
        <f t="shared" si="1"/>
        <v>Efficient water heater: Stor_EF Gas (EF=0.72) replaces Gas water heater</v>
      </c>
      <c r="D51" t="s">
        <v>45</v>
      </c>
      <c r="E51" t="s">
        <v>114</v>
      </c>
      <c r="F51" s="52" t="s">
        <v>115</v>
      </c>
      <c r="G51" t="str">
        <f t="shared" si="3"/>
        <v>RG-WtrHt-SmlStrg-Gas-lte75kBtuh-30G-0p72EF</v>
      </c>
      <c r="H51" t="s">
        <v>40</v>
      </c>
      <c r="I51" t="s">
        <v>116</v>
      </c>
      <c r="J51" t="s">
        <v>41</v>
      </c>
      <c r="K51">
        <v>0</v>
      </c>
      <c r="L51">
        <v>0</v>
      </c>
      <c r="M51" t="s">
        <v>41</v>
      </c>
      <c r="O51" t="s">
        <v>47</v>
      </c>
      <c r="Q51" t="s">
        <v>444</v>
      </c>
      <c r="R51" t="s">
        <v>43</v>
      </c>
      <c r="S51" t="s">
        <v>42</v>
      </c>
      <c r="T51" t="s">
        <v>118</v>
      </c>
      <c r="U51" t="s">
        <v>119</v>
      </c>
      <c r="V51" t="s">
        <v>120</v>
      </c>
      <c r="W51" t="s">
        <v>156</v>
      </c>
      <c r="Y51" t="s">
        <v>213</v>
      </c>
      <c r="Z51" t="str">
        <f t="shared" si="4"/>
        <v>Small Storage 30 gallon Gas water heater, EF varies by vintage</v>
      </c>
      <c r="AD51" t="str">
        <f t="shared" si="7"/>
        <v>Stor_EF-Gas-030gal-0.630EF</v>
      </c>
      <c r="AE51" t="str">
        <f t="shared" si="7"/>
        <v>Stor_EF-Gas-030gal-0.72EF</v>
      </c>
      <c r="AF51" t="s">
        <v>53</v>
      </c>
      <c r="AH51" t="s">
        <v>47</v>
      </c>
      <c r="AI51" t="s">
        <v>47</v>
      </c>
      <c r="AK51" t="s">
        <v>123</v>
      </c>
      <c r="AM51" t="s">
        <v>122</v>
      </c>
      <c r="AP51" s="4">
        <v>42110</v>
      </c>
      <c r="AT51" s="13">
        <f t="shared" si="6"/>
        <v>46</v>
      </c>
      <c r="AU51" t="s">
        <v>216</v>
      </c>
      <c r="AV51" s="1" t="s">
        <v>43</v>
      </c>
      <c r="AW51" s="1" t="s">
        <v>158</v>
      </c>
      <c r="AX51" s="1">
        <v>30</v>
      </c>
      <c r="AY51" t="s">
        <v>159</v>
      </c>
      <c r="AZ51" t="s">
        <v>164</v>
      </c>
      <c r="BA51" s="1">
        <v>1</v>
      </c>
      <c r="BB51" s="1" t="s">
        <v>128</v>
      </c>
      <c r="BC51" s="53" t="b">
        <v>1</v>
      </c>
      <c r="BD51" s="7" t="s">
        <v>104</v>
      </c>
      <c r="BE51" s="7" t="str">
        <f>VLOOKUP(AY51,Technologies!$B$7:$F$67,2,FALSE)</f>
        <v>Stor_EF</v>
      </c>
      <c r="BF51" s="7" t="str">
        <f>VLOOKUP(AZ51,Technologies!$B$7:$F$67,2,FALSE)</f>
        <v>Stor_EF</v>
      </c>
      <c r="BG51" s="54">
        <f>VLOOKUP(AZ51,Technologies!$B$7:$F$67,5,FALSE)</f>
        <v>0.72</v>
      </c>
    </row>
    <row r="52" spans="1:59" x14ac:dyDescent="0.25">
      <c r="A52" s="13">
        <f t="shared" si="5"/>
        <v>447</v>
      </c>
      <c r="B52" t="str">
        <f t="shared" si="0"/>
        <v>RG-WtrHt-SmlStrg-Gas-lte75kBtuh-40G-0p65EF</v>
      </c>
      <c r="C52" t="str">
        <f t="shared" si="1"/>
        <v>Efficient water heater: Stor_EF Gas (EF=0.65) replaces Gas water heater</v>
      </c>
      <c r="D52" t="s">
        <v>45</v>
      </c>
      <c r="E52" t="s">
        <v>114</v>
      </c>
      <c r="F52" s="52" t="s">
        <v>115</v>
      </c>
      <c r="G52" t="str">
        <f t="shared" si="3"/>
        <v>RG-WtrHt-SmlStrg-Gas-lte75kBtuh-40G-0p65EF</v>
      </c>
      <c r="H52" t="s">
        <v>40</v>
      </c>
      <c r="I52" t="s">
        <v>116</v>
      </c>
      <c r="J52" t="s">
        <v>41</v>
      </c>
      <c r="K52">
        <v>0</v>
      </c>
      <c r="L52">
        <v>0</v>
      </c>
      <c r="M52" t="s">
        <v>41</v>
      </c>
      <c r="O52" t="s">
        <v>47</v>
      </c>
      <c r="Q52" t="s">
        <v>444</v>
      </c>
      <c r="R52" t="s">
        <v>43</v>
      </c>
      <c r="S52" t="s">
        <v>42</v>
      </c>
      <c r="T52" t="s">
        <v>118</v>
      </c>
      <c r="U52" t="s">
        <v>119</v>
      </c>
      <c r="V52" t="s">
        <v>120</v>
      </c>
      <c r="W52" t="s">
        <v>156</v>
      </c>
      <c r="Y52" t="s">
        <v>213</v>
      </c>
      <c r="Z52" t="str">
        <f t="shared" si="4"/>
        <v>Small Storage 40 gallon Gas water heater, EF varies by vintage</v>
      </c>
      <c r="AD52" t="str">
        <f t="shared" si="7"/>
        <v>Stor_EF-Gas-040gal-0.615EF</v>
      </c>
      <c r="AE52" t="str">
        <f t="shared" si="7"/>
        <v>Stor_EF-Gas-040gal-0.65EF</v>
      </c>
      <c r="AF52" t="s">
        <v>53</v>
      </c>
      <c r="AH52" t="s">
        <v>47</v>
      </c>
      <c r="AI52" t="s">
        <v>47</v>
      </c>
      <c r="AK52" t="s">
        <v>123</v>
      </c>
      <c r="AM52" t="s">
        <v>122</v>
      </c>
      <c r="AP52" s="4">
        <v>42110</v>
      </c>
      <c r="AT52" s="13">
        <f t="shared" si="6"/>
        <v>47</v>
      </c>
      <c r="AU52" t="s">
        <v>217</v>
      </c>
      <c r="AV52" s="1" t="s">
        <v>43</v>
      </c>
      <c r="AW52" s="1" t="s">
        <v>158</v>
      </c>
      <c r="AX52" s="1">
        <v>40</v>
      </c>
      <c r="AY52" t="s">
        <v>166</v>
      </c>
      <c r="AZ52" t="s">
        <v>167</v>
      </c>
      <c r="BA52" s="1">
        <v>1</v>
      </c>
      <c r="BB52" s="1" t="s">
        <v>128</v>
      </c>
      <c r="BC52" s="53" t="b">
        <v>1</v>
      </c>
      <c r="BD52" s="7" t="s">
        <v>104</v>
      </c>
      <c r="BE52" s="7" t="str">
        <f>VLOOKUP(AY52,Technologies!$B$7:$F$67,2,FALSE)</f>
        <v>Stor_EF</v>
      </c>
      <c r="BF52" s="7" t="str">
        <f>VLOOKUP(AZ52,Technologies!$B$7:$F$67,2,FALSE)</f>
        <v>Stor_EF</v>
      </c>
      <c r="BG52" s="54">
        <f>VLOOKUP(AZ52,Technologies!$B$7:$F$67,5,FALSE)</f>
        <v>0.65</v>
      </c>
    </row>
    <row r="53" spans="1:59" x14ac:dyDescent="0.25">
      <c r="A53" s="13">
        <f t="shared" si="5"/>
        <v>448</v>
      </c>
      <c r="B53" t="str">
        <f t="shared" si="0"/>
        <v>RG-WtrHt-SmlStrg-Gas-lte75kBtuh-40G-0p70EF</v>
      </c>
      <c r="C53" t="str">
        <f t="shared" si="1"/>
        <v>Efficient water heater: Stor_EF Gas (EF=0.70) replaces Gas water heater</v>
      </c>
      <c r="D53" t="s">
        <v>45</v>
      </c>
      <c r="E53" t="s">
        <v>114</v>
      </c>
      <c r="F53" s="52" t="s">
        <v>115</v>
      </c>
      <c r="G53" t="str">
        <f t="shared" si="3"/>
        <v>RG-WtrHt-SmlStrg-Gas-lte75kBtuh-40G-0p70EF</v>
      </c>
      <c r="H53" t="s">
        <v>40</v>
      </c>
      <c r="I53" t="s">
        <v>116</v>
      </c>
      <c r="J53" t="s">
        <v>41</v>
      </c>
      <c r="K53">
        <v>0</v>
      </c>
      <c r="L53">
        <v>0</v>
      </c>
      <c r="M53" t="s">
        <v>41</v>
      </c>
      <c r="O53" t="s">
        <v>47</v>
      </c>
      <c r="Q53" t="s">
        <v>444</v>
      </c>
      <c r="R53" t="s">
        <v>43</v>
      </c>
      <c r="S53" t="s">
        <v>42</v>
      </c>
      <c r="T53" t="s">
        <v>118</v>
      </c>
      <c r="U53" t="s">
        <v>119</v>
      </c>
      <c r="V53" t="s">
        <v>120</v>
      </c>
      <c r="W53" t="s">
        <v>156</v>
      </c>
      <c r="Y53" t="s">
        <v>213</v>
      </c>
      <c r="Z53" t="str">
        <f t="shared" si="4"/>
        <v>Small Storage 40 gallon Gas water heater, EF varies by vintage</v>
      </c>
      <c r="AD53" t="str">
        <f t="shared" si="7"/>
        <v>Stor_EF-Gas-040gal-0.615EF</v>
      </c>
      <c r="AE53" t="str">
        <f t="shared" si="7"/>
        <v>Stor_EF-Gas-040gal-0.70EF</v>
      </c>
      <c r="AF53" t="s">
        <v>53</v>
      </c>
      <c r="AH53" t="s">
        <v>47</v>
      </c>
      <c r="AI53" t="s">
        <v>47</v>
      </c>
      <c r="AK53" t="s">
        <v>123</v>
      </c>
      <c r="AM53" t="s">
        <v>122</v>
      </c>
      <c r="AP53" s="4">
        <v>42110</v>
      </c>
      <c r="AT53" s="13">
        <f t="shared" si="6"/>
        <v>48</v>
      </c>
      <c r="AU53" t="s">
        <v>218</v>
      </c>
      <c r="AV53" s="1" t="s">
        <v>43</v>
      </c>
      <c r="AW53" s="1" t="s">
        <v>158</v>
      </c>
      <c r="AX53" s="1">
        <v>40</v>
      </c>
      <c r="AY53" t="s">
        <v>166</v>
      </c>
      <c r="AZ53" t="s">
        <v>169</v>
      </c>
      <c r="BA53" s="1">
        <v>1</v>
      </c>
      <c r="BB53" s="1" t="s">
        <v>128</v>
      </c>
      <c r="BC53" s="53" t="b">
        <v>1</v>
      </c>
      <c r="BD53" s="7" t="s">
        <v>104</v>
      </c>
      <c r="BE53" s="7" t="str">
        <f>VLOOKUP(AY53,Technologies!$B$7:$F$67,2,FALSE)</f>
        <v>Stor_EF</v>
      </c>
      <c r="BF53" s="7" t="str">
        <f>VLOOKUP(AZ53,Technologies!$B$7:$F$67,2,FALSE)</f>
        <v>Stor_EF</v>
      </c>
      <c r="BG53" s="54">
        <f>VLOOKUP(AZ53,Technologies!$B$7:$F$67,5,FALSE)</f>
        <v>0.7</v>
      </c>
    </row>
    <row r="54" spans="1:59" x14ac:dyDescent="0.25">
      <c r="A54" s="13">
        <f t="shared" si="5"/>
        <v>449</v>
      </c>
      <c r="B54" t="str">
        <f t="shared" si="0"/>
        <v>RG-WtrHt-SmlStrg-Gas-lte75kBtuh-40G-0p72EF</v>
      </c>
      <c r="C54" t="str">
        <f t="shared" si="1"/>
        <v>Efficient water heater: Stor_EF Gas (EF=0.82) replaces Gas water heater</v>
      </c>
      <c r="D54" t="s">
        <v>45</v>
      </c>
      <c r="E54" t="s">
        <v>114</v>
      </c>
      <c r="F54" s="52" t="s">
        <v>115</v>
      </c>
      <c r="G54" t="str">
        <f t="shared" si="3"/>
        <v>RG-WtrHt-SmlStrg-Gas-lte75kBtuh-40G-0p72EF</v>
      </c>
      <c r="H54" t="s">
        <v>40</v>
      </c>
      <c r="I54" t="s">
        <v>116</v>
      </c>
      <c r="J54" t="s">
        <v>41</v>
      </c>
      <c r="K54">
        <v>0</v>
      </c>
      <c r="L54">
        <v>0</v>
      </c>
      <c r="M54" t="s">
        <v>41</v>
      </c>
      <c r="O54" t="s">
        <v>47</v>
      </c>
      <c r="Q54" t="s">
        <v>444</v>
      </c>
      <c r="R54" t="s">
        <v>43</v>
      </c>
      <c r="S54" t="s">
        <v>42</v>
      </c>
      <c r="T54" t="s">
        <v>118</v>
      </c>
      <c r="U54" t="s">
        <v>119</v>
      </c>
      <c r="V54" t="s">
        <v>120</v>
      </c>
      <c r="W54" t="s">
        <v>156</v>
      </c>
      <c r="Y54" t="s">
        <v>213</v>
      </c>
      <c r="Z54" t="str">
        <f t="shared" si="4"/>
        <v>Small Storage 40 gallon Gas water heater, EF varies by vintage</v>
      </c>
      <c r="AD54" t="str">
        <f t="shared" si="7"/>
        <v>Stor_EF-Gas-040gal-0.615EF</v>
      </c>
      <c r="AE54" t="str">
        <f t="shared" si="7"/>
        <v>Stor_EF-Gas-040gal-0.82EF</v>
      </c>
      <c r="AF54" t="s">
        <v>53</v>
      </c>
      <c r="AH54" t="s">
        <v>47</v>
      </c>
      <c r="AI54" t="s">
        <v>47</v>
      </c>
      <c r="AK54" t="s">
        <v>123</v>
      </c>
      <c r="AM54" t="s">
        <v>122</v>
      </c>
      <c r="AP54" s="4">
        <v>42110</v>
      </c>
      <c r="AT54" s="13">
        <f t="shared" si="6"/>
        <v>49</v>
      </c>
      <c r="AU54" t="s">
        <v>219</v>
      </c>
      <c r="AV54" s="1" t="s">
        <v>43</v>
      </c>
      <c r="AW54" s="1" t="s">
        <v>158</v>
      </c>
      <c r="AX54" s="1">
        <v>40</v>
      </c>
      <c r="AY54" t="s">
        <v>166</v>
      </c>
      <c r="AZ54" t="s">
        <v>171</v>
      </c>
      <c r="BA54" s="1">
        <v>1</v>
      </c>
      <c r="BB54" s="1" t="s">
        <v>128</v>
      </c>
      <c r="BC54" s="53" t="b">
        <v>1</v>
      </c>
      <c r="BD54" s="7" t="s">
        <v>104</v>
      </c>
      <c r="BE54" s="7" t="str">
        <f>VLOOKUP(AY54,Technologies!$B$7:$F$67,2,FALSE)</f>
        <v>Stor_EF</v>
      </c>
      <c r="BF54" s="7" t="str">
        <f>VLOOKUP(AZ54,Technologies!$B$7:$F$67,2,FALSE)</f>
        <v>Stor_EF</v>
      </c>
      <c r="BG54" s="54">
        <f>VLOOKUP(AZ54,Technologies!$B$7:$F$67,5,FALSE)</f>
        <v>0.82</v>
      </c>
    </row>
    <row r="55" spans="1:59" x14ac:dyDescent="0.25">
      <c r="A55" s="13">
        <f t="shared" si="5"/>
        <v>450</v>
      </c>
      <c r="B55" t="str">
        <f t="shared" si="0"/>
        <v>RG-WtrHt-SmlStrg-Gas-lte75kBtuh-50G-0p62EF</v>
      </c>
      <c r="C55" t="str">
        <f t="shared" si="1"/>
        <v>Efficient water heater: Stor_EF Gas (EF=0.67) replaces Gas water heater</v>
      </c>
      <c r="D55" t="s">
        <v>45</v>
      </c>
      <c r="E55" t="s">
        <v>114</v>
      </c>
      <c r="F55" s="52" t="s">
        <v>115</v>
      </c>
      <c r="G55" t="str">
        <f t="shared" si="3"/>
        <v>RG-WtrHt-SmlStrg-Gas-lte75kBtuh-50G-0p62EF</v>
      </c>
      <c r="H55" t="s">
        <v>40</v>
      </c>
      <c r="I55" t="s">
        <v>116</v>
      </c>
      <c r="J55" t="s">
        <v>41</v>
      </c>
      <c r="K55">
        <v>0</v>
      </c>
      <c r="L55">
        <v>0</v>
      </c>
      <c r="M55" t="s">
        <v>41</v>
      </c>
      <c r="O55" t="s">
        <v>47</v>
      </c>
      <c r="Q55" t="s">
        <v>444</v>
      </c>
      <c r="R55" t="s">
        <v>43</v>
      </c>
      <c r="S55" t="s">
        <v>42</v>
      </c>
      <c r="T55" t="s">
        <v>118</v>
      </c>
      <c r="U55" t="s">
        <v>119</v>
      </c>
      <c r="V55" t="s">
        <v>120</v>
      </c>
      <c r="W55" t="s">
        <v>156</v>
      </c>
      <c r="Y55" t="s">
        <v>213</v>
      </c>
      <c r="Z55" t="str">
        <f t="shared" si="4"/>
        <v>Small Storage 50 gallon Gas water heater, EF varies by vintage</v>
      </c>
      <c r="AD55" t="str">
        <f t="shared" si="7"/>
        <v>Stor_EF-Gas-050gal-0.600EF</v>
      </c>
      <c r="AE55" t="str">
        <f t="shared" si="7"/>
        <v>Stor_EF-Gas-050gal-0.67EF</v>
      </c>
      <c r="AF55" t="s">
        <v>53</v>
      </c>
      <c r="AH55" t="s">
        <v>47</v>
      </c>
      <c r="AI55" t="s">
        <v>47</v>
      </c>
      <c r="AK55" t="s">
        <v>123</v>
      </c>
      <c r="AM55" t="s">
        <v>122</v>
      </c>
      <c r="AP55" s="4">
        <v>42110</v>
      </c>
      <c r="AT55" s="13">
        <f t="shared" si="6"/>
        <v>50</v>
      </c>
      <c r="AU55" t="s">
        <v>220</v>
      </c>
      <c r="AV55" s="1" t="s">
        <v>43</v>
      </c>
      <c r="AW55" s="1" t="s">
        <v>158</v>
      </c>
      <c r="AX55" s="1">
        <v>50</v>
      </c>
      <c r="AY55" t="s">
        <v>173</v>
      </c>
      <c r="AZ55" t="s">
        <v>174</v>
      </c>
      <c r="BA55" s="1">
        <v>1</v>
      </c>
      <c r="BB55" s="1" t="s">
        <v>128</v>
      </c>
      <c r="BC55" s="53" t="b">
        <v>1</v>
      </c>
      <c r="BD55" s="7" t="s">
        <v>104</v>
      </c>
      <c r="BE55" s="7" t="str">
        <f>VLOOKUP(AY55,Technologies!$B$7:$F$67,2,FALSE)</f>
        <v>Stor_EF</v>
      </c>
      <c r="BF55" s="7" t="str">
        <f>VLOOKUP(AZ55,Technologies!$B$7:$F$67,2,FALSE)</f>
        <v>Stor_EF</v>
      </c>
      <c r="BG55" s="54">
        <f>VLOOKUP(AZ55,Technologies!$B$7:$F$67,5,FALSE)</f>
        <v>0.67</v>
      </c>
    </row>
    <row r="56" spans="1:59" x14ac:dyDescent="0.25">
      <c r="A56" s="13">
        <f t="shared" si="5"/>
        <v>451</v>
      </c>
      <c r="B56" t="str">
        <f t="shared" si="0"/>
        <v>RG-WtrHt-SmlStrg-Gas-lte75kBtuh-50G-0p67EF</v>
      </c>
      <c r="C56" t="str">
        <f t="shared" si="1"/>
        <v>Efficient water heater: Stor_EF Gas (EF=0.70) replaces Gas water heater</v>
      </c>
      <c r="D56" t="s">
        <v>45</v>
      </c>
      <c r="E56" t="s">
        <v>114</v>
      </c>
      <c r="F56" s="52" t="s">
        <v>115</v>
      </c>
      <c r="G56" t="str">
        <f t="shared" si="3"/>
        <v>RG-WtrHt-SmlStrg-Gas-lte75kBtuh-50G-0p67EF</v>
      </c>
      <c r="H56" t="s">
        <v>40</v>
      </c>
      <c r="I56" t="s">
        <v>116</v>
      </c>
      <c r="J56" t="s">
        <v>41</v>
      </c>
      <c r="K56">
        <v>0</v>
      </c>
      <c r="L56">
        <v>0</v>
      </c>
      <c r="M56" t="s">
        <v>41</v>
      </c>
      <c r="O56" t="s">
        <v>47</v>
      </c>
      <c r="Q56" t="s">
        <v>444</v>
      </c>
      <c r="R56" t="s">
        <v>43</v>
      </c>
      <c r="S56" t="s">
        <v>42</v>
      </c>
      <c r="T56" t="s">
        <v>118</v>
      </c>
      <c r="U56" t="s">
        <v>119</v>
      </c>
      <c r="V56" t="s">
        <v>120</v>
      </c>
      <c r="W56" t="s">
        <v>156</v>
      </c>
      <c r="Y56" t="s">
        <v>213</v>
      </c>
      <c r="Z56" t="str">
        <f t="shared" si="4"/>
        <v>Small Storage 50 gallon Gas water heater, EF varies by vintage</v>
      </c>
      <c r="AD56" t="str">
        <f t="shared" si="7"/>
        <v>Stor_EF-Gas-050gal-0.600EF</v>
      </c>
      <c r="AE56" t="str">
        <f t="shared" si="7"/>
        <v>Stor_EF-Gas-050gal-0.70EF</v>
      </c>
      <c r="AF56" t="s">
        <v>53</v>
      </c>
      <c r="AH56" t="s">
        <v>47</v>
      </c>
      <c r="AI56" t="s">
        <v>47</v>
      </c>
      <c r="AK56" t="s">
        <v>123</v>
      </c>
      <c r="AM56" t="s">
        <v>122</v>
      </c>
      <c r="AP56" s="4">
        <v>42110</v>
      </c>
      <c r="AT56" s="13">
        <f t="shared" si="6"/>
        <v>51</v>
      </c>
      <c r="AU56" t="s">
        <v>221</v>
      </c>
      <c r="AV56" s="1" t="s">
        <v>43</v>
      </c>
      <c r="AW56" s="1" t="s">
        <v>158</v>
      </c>
      <c r="AX56" s="1">
        <v>50</v>
      </c>
      <c r="AY56" t="s">
        <v>173</v>
      </c>
      <c r="AZ56" t="s">
        <v>176</v>
      </c>
      <c r="BA56" s="1">
        <v>1</v>
      </c>
      <c r="BB56" s="1" t="s">
        <v>128</v>
      </c>
      <c r="BC56" s="53" t="b">
        <v>1</v>
      </c>
      <c r="BD56" s="7" t="s">
        <v>104</v>
      </c>
      <c r="BE56" s="7" t="str">
        <f>VLOOKUP(AY56,Technologies!$B$7:$F$67,2,FALSE)</f>
        <v>Stor_EF</v>
      </c>
      <c r="BF56" s="7" t="str">
        <f>VLOOKUP(AZ56,Technologies!$B$7:$F$67,2,FALSE)</f>
        <v>Stor_EF</v>
      </c>
      <c r="BG56" s="54">
        <f>VLOOKUP(AZ56,Technologies!$B$7:$F$67,5,FALSE)</f>
        <v>0.7</v>
      </c>
    </row>
    <row r="57" spans="1:59" x14ac:dyDescent="0.25">
      <c r="A57" s="13">
        <f t="shared" si="5"/>
        <v>452</v>
      </c>
      <c r="B57" t="str">
        <f t="shared" si="0"/>
        <v>RG-WtrHt-SmlStrg-Gas-lte75kBtuh-50G-0p70EF</v>
      </c>
      <c r="C57" t="str">
        <f t="shared" si="1"/>
        <v>Efficient water heater: Stor_EF Gas (EF=0.82) replaces Gas water heater</v>
      </c>
      <c r="D57" t="s">
        <v>45</v>
      </c>
      <c r="E57" t="s">
        <v>114</v>
      </c>
      <c r="F57" s="52" t="s">
        <v>115</v>
      </c>
      <c r="G57" t="str">
        <f t="shared" si="3"/>
        <v>RG-WtrHt-SmlStrg-Gas-lte75kBtuh-50G-0p70EF</v>
      </c>
      <c r="H57" t="s">
        <v>40</v>
      </c>
      <c r="I57" t="s">
        <v>116</v>
      </c>
      <c r="J57" t="s">
        <v>41</v>
      </c>
      <c r="K57">
        <v>0</v>
      </c>
      <c r="L57">
        <v>0</v>
      </c>
      <c r="M57" t="s">
        <v>41</v>
      </c>
      <c r="O57" t="s">
        <v>47</v>
      </c>
      <c r="Q57" t="s">
        <v>444</v>
      </c>
      <c r="R57" t="s">
        <v>43</v>
      </c>
      <c r="S57" t="s">
        <v>42</v>
      </c>
      <c r="T57" t="s">
        <v>118</v>
      </c>
      <c r="U57" t="s">
        <v>119</v>
      </c>
      <c r="V57" t="s">
        <v>120</v>
      </c>
      <c r="W57" t="s">
        <v>156</v>
      </c>
      <c r="Y57" t="s">
        <v>213</v>
      </c>
      <c r="Z57" t="str">
        <f t="shared" si="4"/>
        <v>Small Storage 50 gallon Gas water heater, EF varies by vintage</v>
      </c>
      <c r="AD57" t="str">
        <f t="shared" si="7"/>
        <v>Stor_EF-Gas-050gal-0.600EF</v>
      </c>
      <c r="AE57" t="str">
        <f t="shared" si="7"/>
        <v>Stor_EF-Gas-050gal-0.82EF</v>
      </c>
      <c r="AF57" t="s">
        <v>53</v>
      </c>
      <c r="AH57" t="s">
        <v>47</v>
      </c>
      <c r="AI57" t="s">
        <v>47</v>
      </c>
      <c r="AK57" t="s">
        <v>123</v>
      </c>
      <c r="AM57" t="s">
        <v>122</v>
      </c>
      <c r="AP57" s="4">
        <v>42110</v>
      </c>
      <c r="AT57" s="13">
        <f t="shared" si="6"/>
        <v>52</v>
      </c>
      <c r="AU57" t="s">
        <v>222</v>
      </c>
      <c r="AV57" s="1" t="s">
        <v>43</v>
      </c>
      <c r="AW57" s="1" t="s">
        <v>158</v>
      </c>
      <c r="AX57" s="1">
        <v>50</v>
      </c>
      <c r="AY57" t="s">
        <v>173</v>
      </c>
      <c r="AZ57" t="s">
        <v>178</v>
      </c>
      <c r="BA57" s="1">
        <v>1</v>
      </c>
      <c r="BB57" s="1" t="s">
        <v>128</v>
      </c>
      <c r="BC57" s="53" t="b">
        <v>1</v>
      </c>
      <c r="BD57" s="7" t="s">
        <v>104</v>
      </c>
      <c r="BE57" s="7" t="str">
        <f>VLOOKUP(AY57,Technologies!$B$7:$F$67,2,FALSE)</f>
        <v>Stor_EF</v>
      </c>
      <c r="BF57" s="7" t="str">
        <f>VLOOKUP(AZ57,Technologies!$B$7:$F$67,2,FALSE)</f>
        <v>Stor_EF</v>
      </c>
      <c r="BG57" s="54">
        <f>VLOOKUP(AZ57,Technologies!$B$7:$F$67,5,FALSE)</f>
        <v>0.82</v>
      </c>
    </row>
    <row r="58" spans="1:59" x14ac:dyDescent="0.25">
      <c r="A58" s="13">
        <f t="shared" si="5"/>
        <v>453</v>
      </c>
      <c r="B58" t="str">
        <f t="shared" si="0"/>
        <v>RG-WtrHt-SmlStrg-Gas-lte75kBtuh-60G-0p78EF</v>
      </c>
      <c r="C58" t="str">
        <f t="shared" si="1"/>
        <v>Efficient water heater: Stor_EF Gas (EF=0.78) replaces Gas water heater</v>
      </c>
      <c r="D58" t="s">
        <v>45</v>
      </c>
      <c r="E58" t="s">
        <v>114</v>
      </c>
      <c r="F58" s="52" t="s">
        <v>115</v>
      </c>
      <c r="G58" t="str">
        <f t="shared" si="3"/>
        <v>RG-WtrHt-SmlStrg-Gas-lte75kBtuh-60G-0p78EF</v>
      </c>
      <c r="H58" t="s">
        <v>40</v>
      </c>
      <c r="I58" t="s">
        <v>116</v>
      </c>
      <c r="J58" t="s">
        <v>41</v>
      </c>
      <c r="K58">
        <v>0</v>
      </c>
      <c r="L58">
        <v>0</v>
      </c>
      <c r="M58" t="s">
        <v>41</v>
      </c>
      <c r="O58" t="s">
        <v>47</v>
      </c>
      <c r="Q58" t="s">
        <v>444</v>
      </c>
      <c r="R58" t="s">
        <v>43</v>
      </c>
      <c r="S58" t="s">
        <v>42</v>
      </c>
      <c r="T58" t="s">
        <v>118</v>
      </c>
      <c r="U58" t="s">
        <v>119</v>
      </c>
      <c r="V58" t="s">
        <v>120</v>
      </c>
      <c r="W58" t="s">
        <v>156</v>
      </c>
      <c r="Y58" t="s">
        <v>213</v>
      </c>
      <c r="Z58" t="str">
        <f t="shared" si="4"/>
        <v>Small Storage 60 gallon Gas water heater, EF varies by vintage</v>
      </c>
      <c r="AD58" t="str">
        <f t="shared" si="7"/>
        <v>Stor_EF-Gas-060gal-0.754EF</v>
      </c>
      <c r="AE58" t="str">
        <f t="shared" si="7"/>
        <v>Stor_EF-Gas-060gal-0.78EF</v>
      </c>
      <c r="AF58" t="s">
        <v>53</v>
      </c>
      <c r="AH58" t="s">
        <v>47</v>
      </c>
      <c r="AI58" t="s">
        <v>47</v>
      </c>
      <c r="AK58" t="s">
        <v>123</v>
      </c>
      <c r="AM58" t="s">
        <v>122</v>
      </c>
      <c r="AP58" s="4">
        <v>42110</v>
      </c>
      <c r="AT58" s="13">
        <f t="shared" si="6"/>
        <v>53</v>
      </c>
      <c r="AU58" t="s">
        <v>223</v>
      </c>
      <c r="AV58" s="1" t="s">
        <v>43</v>
      </c>
      <c r="AW58" s="1" t="s">
        <v>158</v>
      </c>
      <c r="AX58" s="1">
        <v>60</v>
      </c>
      <c r="AY58" t="s">
        <v>180</v>
      </c>
      <c r="AZ58" t="s">
        <v>181</v>
      </c>
      <c r="BA58" s="1">
        <v>1</v>
      </c>
      <c r="BB58" s="1" t="s">
        <v>128</v>
      </c>
      <c r="BC58" s="53" t="b">
        <v>1</v>
      </c>
      <c r="BD58" s="7" t="s">
        <v>104</v>
      </c>
      <c r="BE58" s="7" t="str">
        <f>VLOOKUP(AY58,Technologies!$B$7:$F$67,2,FALSE)</f>
        <v>Stor_EF</v>
      </c>
      <c r="BF58" s="7" t="str">
        <f>VLOOKUP(AZ58,Technologies!$B$7:$F$67,2,FALSE)</f>
        <v>Stor_EF</v>
      </c>
      <c r="BG58" s="54">
        <f>VLOOKUP(AZ58,Technologies!$B$7:$F$67,5,FALSE)</f>
        <v>0.78</v>
      </c>
    </row>
    <row r="59" spans="1:59" x14ac:dyDescent="0.25">
      <c r="A59" s="13">
        <f t="shared" si="5"/>
        <v>454</v>
      </c>
      <c r="B59" t="str">
        <f t="shared" si="0"/>
        <v>RG-WtrHt-SmlStrg-Gas-lte75kBtuh-60G-0p80EF</v>
      </c>
      <c r="C59" t="str">
        <f t="shared" si="1"/>
        <v>Efficient water heater: Stor_EF Gas (EF=0.80) replaces Gas water heater</v>
      </c>
      <c r="D59" t="s">
        <v>45</v>
      </c>
      <c r="E59" t="s">
        <v>114</v>
      </c>
      <c r="F59" s="52" t="s">
        <v>115</v>
      </c>
      <c r="G59" t="str">
        <f t="shared" si="3"/>
        <v>RG-WtrHt-SmlStrg-Gas-lte75kBtuh-60G-0p80EF</v>
      </c>
      <c r="H59" t="s">
        <v>40</v>
      </c>
      <c r="I59" t="s">
        <v>116</v>
      </c>
      <c r="J59" t="s">
        <v>41</v>
      </c>
      <c r="K59">
        <v>0</v>
      </c>
      <c r="L59">
        <v>0</v>
      </c>
      <c r="M59" t="s">
        <v>41</v>
      </c>
      <c r="O59" t="s">
        <v>47</v>
      </c>
      <c r="Q59" t="s">
        <v>444</v>
      </c>
      <c r="R59" t="s">
        <v>43</v>
      </c>
      <c r="S59" t="s">
        <v>42</v>
      </c>
      <c r="T59" t="s">
        <v>118</v>
      </c>
      <c r="U59" t="s">
        <v>119</v>
      </c>
      <c r="V59" t="s">
        <v>120</v>
      </c>
      <c r="W59" t="s">
        <v>156</v>
      </c>
      <c r="Y59" t="s">
        <v>213</v>
      </c>
      <c r="Z59" t="str">
        <f t="shared" si="4"/>
        <v>Small Storage 60 gallon Gas water heater, EF varies by vintage</v>
      </c>
      <c r="AD59" t="str">
        <f t="shared" si="7"/>
        <v>Stor_EF-Gas-060gal-0.754EF</v>
      </c>
      <c r="AE59" t="str">
        <f t="shared" si="7"/>
        <v>Stor_EF-Gas-060gal-0.80EF</v>
      </c>
      <c r="AF59" t="s">
        <v>53</v>
      </c>
      <c r="AH59" t="s">
        <v>47</v>
      </c>
      <c r="AI59" t="s">
        <v>47</v>
      </c>
      <c r="AK59" t="s">
        <v>123</v>
      </c>
      <c r="AM59" t="s">
        <v>122</v>
      </c>
      <c r="AP59" s="4">
        <v>42110</v>
      </c>
      <c r="AT59" s="13">
        <f t="shared" si="6"/>
        <v>54</v>
      </c>
      <c r="AU59" t="s">
        <v>224</v>
      </c>
      <c r="AV59" s="1" t="s">
        <v>43</v>
      </c>
      <c r="AW59" s="1" t="s">
        <v>158</v>
      </c>
      <c r="AX59" s="1">
        <v>60</v>
      </c>
      <c r="AY59" t="s">
        <v>180</v>
      </c>
      <c r="AZ59" t="s">
        <v>183</v>
      </c>
      <c r="BA59" s="1">
        <v>1</v>
      </c>
      <c r="BB59" s="1" t="s">
        <v>128</v>
      </c>
      <c r="BC59" s="53" t="b">
        <v>1</v>
      </c>
      <c r="BD59" s="7" t="s">
        <v>104</v>
      </c>
      <c r="BE59" s="7" t="str">
        <f>VLOOKUP(AY59,Technologies!$B$7:$F$67,2,FALSE)</f>
        <v>Stor_EF</v>
      </c>
      <c r="BF59" s="7" t="str">
        <f>VLOOKUP(AZ59,Technologies!$B$7:$F$67,2,FALSE)</f>
        <v>Stor_EF</v>
      </c>
      <c r="BG59" s="54">
        <f>VLOOKUP(AZ59,Technologies!$B$7:$F$67,5,FALSE)</f>
        <v>0.8</v>
      </c>
    </row>
    <row r="60" spans="1:59" x14ac:dyDescent="0.25">
      <c r="A60" s="13">
        <f t="shared" si="5"/>
        <v>455</v>
      </c>
      <c r="B60" t="str">
        <f t="shared" si="0"/>
        <v>RG-WtrHt-SmlStrg-Gas-lte75kBtuh-60G-0p82EF</v>
      </c>
      <c r="C60" t="str">
        <f t="shared" si="1"/>
        <v>Efficient water heater: Stor_EF Gas (EF=0.82) replaces Gas water heater</v>
      </c>
      <c r="D60" t="s">
        <v>45</v>
      </c>
      <c r="E60" t="s">
        <v>114</v>
      </c>
      <c r="F60" s="52" t="s">
        <v>115</v>
      </c>
      <c r="G60" t="str">
        <f t="shared" si="3"/>
        <v>RG-WtrHt-SmlStrg-Gas-lte75kBtuh-60G-0p82EF</v>
      </c>
      <c r="H60" t="s">
        <v>40</v>
      </c>
      <c r="I60" t="s">
        <v>116</v>
      </c>
      <c r="J60" t="s">
        <v>41</v>
      </c>
      <c r="K60">
        <v>0</v>
      </c>
      <c r="L60">
        <v>0</v>
      </c>
      <c r="M60" t="s">
        <v>41</v>
      </c>
      <c r="O60" t="s">
        <v>47</v>
      </c>
      <c r="Q60" t="s">
        <v>444</v>
      </c>
      <c r="R60" t="s">
        <v>43</v>
      </c>
      <c r="S60" t="s">
        <v>42</v>
      </c>
      <c r="T60" t="s">
        <v>118</v>
      </c>
      <c r="U60" t="s">
        <v>119</v>
      </c>
      <c r="V60" t="s">
        <v>120</v>
      </c>
      <c r="W60" t="s">
        <v>156</v>
      </c>
      <c r="Y60" t="s">
        <v>213</v>
      </c>
      <c r="Z60" t="str">
        <f t="shared" si="4"/>
        <v>Small Storage 60 gallon Gas water heater, EF varies by vintage</v>
      </c>
      <c r="AD60" t="str">
        <f t="shared" si="7"/>
        <v>Stor_EF-Gas-060gal-0.754EF</v>
      </c>
      <c r="AE60" t="str">
        <f t="shared" si="7"/>
        <v>Stor_EF-Gas-060gal-0.82EF</v>
      </c>
      <c r="AF60" t="s">
        <v>53</v>
      </c>
      <c r="AH60" t="s">
        <v>47</v>
      </c>
      <c r="AI60" t="s">
        <v>47</v>
      </c>
      <c r="AK60" t="s">
        <v>123</v>
      </c>
      <c r="AM60" t="s">
        <v>122</v>
      </c>
      <c r="AP60" s="4">
        <v>42110</v>
      </c>
      <c r="AT60" s="13">
        <f t="shared" si="6"/>
        <v>55</v>
      </c>
      <c r="AU60" t="s">
        <v>225</v>
      </c>
      <c r="AV60" s="1" t="s">
        <v>43</v>
      </c>
      <c r="AW60" s="1" t="s">
        <v>158</v>
      </c>
      <c r="AX60" s="1">
        <v>60</v>
      </c>
      <c r="AY60" t="s">
        <v>180</v>
      </c>
      <c r="AZ60" t="s">
        <v>185</v>
      </c>
      <c r="BA60" s="1">
        <v>1</v>
      </c>
      <c r="BB60" s="1" t="s">
        <v>128</v>
      </c>
      <c r="BC60" s="53" t="b">
        <v>1</v>
      </c>
      <c r="BD60" s="7" t="s">
        <v>104</v>
      </c>
      <c r="BE60" s="7" t="str">
        <f>VLOOKUP(AY60,Technologies!$B$7:$F$67,2,FALSE)</f>
        <v>Stor_EF</v>
      </c>
      <c r="BF60" s="7" t="str">
        <f>VLOOKUP(AZ60,Technologies!$B$7:$F$67,2,FALSE)</f>
        <v>Stor_EF</v>
      </c>
      <c r="BG60" s="54">
        <f>VLOOKUP(AZ60,Technologies!$B$7:$F$67,5,FALSE)</f>
        <v>0.82</v>
      </c>
    </row>
    <row r="61" spans="1:59" x14ac:dyDescent="0.25">
      <c r="A61" s="13">
        <f t="shared" si="5"/>
        <v>456</v>
      </c>
      <c r="B61" t="str">
        <f t="shared" si="0"/>
        <v>RG-WtrHt-SmlStrg-Gas-lte75kBtuh-75G-0p78EF</v>
      </c>
      <c r="C61" t="str">
        <f t="shared" si="1"/>
        <v>Efficient water heater: Stor_EF Gas (EF=0.78) replaces Gas water heater</v>
      </c>
      <c r="D61" t="s">
        <v>45</v>
      </c>
      <c r="E61" t="s">
        <v>114</v>
      </c>
      <c r="F61" s="52" t="s">
        <v>115</v>
      </c>
      <c r="G61" t="str">
        <f t="shared" si="3"/>
        <v>RG-WtrHt-SmlStrg-Gas-lte75kBtuh-75G-0p78EF</v>
      </c>
      <c r="H61" t="s">
        <v>40</v>
      </c>
      <c r="I61" t="s">
        <v>116</v>
      </c>
      <c r="J61" t="s">
        <v>41</v>
      </c>
      <c r="K61">
        <v>0</v>
      </c>
      <c r="L61">
        <v>0</v>
      </c>
      <c r="M61" t="s">
        <v>41</v>
      </c>
      <c r="O61" t="s">
        <v>47</v>
      </c>
      <c r="Q61" t="s">
        <v>444</v>
      </c>
      <c r="R61" t="s">
        <v>43</v>
      </c>
      <c r="S61" t="s">
        <v>42</v>
      </c>
      <c r="T61" t="s">
        <v>118</v>
      </c>
      <c r="U61" t="s">
        <v>119</v>
      </c>
      <c r="V61" t="s">
        <v>120</v>
      </c>
      <c r="W61" t="s">
        <v>156</v>
      </c>
      <c r="Y61" t="s">
        <v>213</v>
      </c>
      <c r="Z61" t="str">
        <f t="shared" si="4"/>
        <v>Small Storage 75 gallon Gas water heater, EF varies by vintage</v>
      </c>
      <c r="AD61" t="str">
        <f t="shared" si="7"/>
        <v>Stor_EF-Gas-075gal-0.743EF</v>
      </c>
      <c r="AE61" t="str">
        <f t="shared" si="7"/>
        <v>Stor_EF-Gas-075gal-0.78EF</v>
      </c>
      <c r="AF61" t="s">
        <v>53</v>
      </c>
      <c r="AH61" t="s">
        <v>47</v>
      </c>
      <c r="AI61" t="s">
        <v>47</v>
      </c>
      <c r="AK61" t="s">
        <v>123</v>
      </c>
      <c r="AM61" t="s">
        <v>122</v>
      </c>
      <c r="AP61" s="4">
        <v>42110</v>
      </c>
      <c r="AT61" s="13">
        <f t="shared" si="6"/>
        <v>56</v>
      </c>
      <c r="AU61" t="s">
        <v>226</v>
      </c>
      <c r="AV61" s="1" t="s">
        <v>43</v>
      </c>
      <c r="AW61" s="1" t="s">
        <v>158</v>
      </c>
      <c r="AX61" s="1">
        <v>75</v>
      </c>
      <c r="AY61" t="s">
        <v>187</v>
      </c>
      <c r="AZ61" t="s">
        <v>188</v>
      </c>
      <c r="BA61" s="1">
        <v>1</v>
      </c>
      <c r="BB61" s="1" t="s">
        <v>128</v>
      </c>
      <c r="BC61" s="53" t="b">
        <v>1</v>
      </c>
      <c r="BD61" s="7" t="s">
        <v>104</v>
      </c>
      <c r="BE61" s="7" t="str">
        <f>VLOOKUP(AY61,Technologies!$B$7:$F$67,2,FALSE)</f>
        <v>Stor_EF</v>
      </c>
      <c r="BF61" s="7" t="str">
        <f>VLOOKUP(AZ61,Technologies!$B$7:$F$67,2,FALSE)</f>
        <v>Stor_EF</v>
      </c>
      <c r="BG61" s="54">
        <f>VLOOKUP(AZ61,Technologies!$B$7:$F$67,5,FALSE)</f>
        <v>0.78</v>
      </c>
    </row>
    <row r="62" spans="1:59" x14ac:dyDescent="0.25">
      <c r="A62" s="13">
        <f t="shared" si="5"/>
        <v>457</v>
      </c>
      <c r="B62" t="str">
        <f t="shared" si="0"/>
        <v>RG-WtrHt-SmlStrg-Gas-lte75kBtuh-75G-0p80EF</v>
      </c>
      <c r="C62" t="str">
        <f t="shared" si="1"/>
        <v>Efficient water heater: Stor_EF Gas (EF=0.80) replaces Gas water heater</v>
      </c>
      <c r="D62" t="s">
        <v>45</v>
      </c>
      <c r="E62" t="s">
        <v>114</v>
      </c>
      <c r="F62" s="52" t="s">
        <v>115</v>
      </c>
      <c r="G62" t="str">
        <f t="shared" si="3"/>
        <v>RG-WtrHt-SmlStrg-Gas-lte75kBtuh-75G-0p80EF</v>
      </c>
      <c r="H62" t="s">
        <v>40</v>
      </c>
      <c r="I62" t="s">
        <v>116</v>
      </c>
      <c r="J62" t="s">
        <v>41</v>
      </c>
      <c r="K62">
        <v>0</v>
      </c>
      <c r="L62">
        <v>0</v>
      </c>
      <c r="M62" t="s">
        <v>41</v>
      </c>
      <c r="O62" t="s">
        <v>47</v>
      </c>
      <c r="Q62" t="s">
        <v>444</v>
      </c>
      <c r="R62" t="s">
        <v>43</v>
      </c>
      <c r="S62" t="s">
        <v>42</v>
      </c>
      <c r="T62" t="s">
        <v>118</v>
      </c>
      <c r="U62" t="s">
        <v>119</v>
      </c>
      <c r="V62" t="s">
        <v>120</v>
      </c>
      <c r="W62" t="s">
        <v>156</v>
      </c>
      <c r="Y62" t="s">
        <v>213</v>
      </c>
      <c r="Z62" t="str">
        <f t="shared" si="4"/>
        <v>Small Storage 75 gallon Gas water heater, EF varies by vintage</v>
      </c>
      <c r="AD62" t="str">
        <f t="shared" si="7"/>
        <v>Stor_EF-Gas-075gal-0.743EF</v>
      </c>
      <c r="AE62" t="str">
        <f t="shared" si="7"/>
        <v>Stor_EF-Gas-075gal-0.80EF</v>
      </c>
      <c r="AF62" t="s">
        <v>53</v>
      </c>
      <c r="AH62" t="s">
        <v>47</v>
      </c>
      <c r="AI62" t="s">
        <v>47</v>
      </c>
      <c r="AK62" t="s">
        <v>123</v>
      </c>
      <c r="AM62" t="s">
        <v>122</v>
      </c>
      <c r="AP62" s="4">
        <v>42110</v>
      </c>
      <c r="AT62" s="13">
        <f t="shared" si="6"/>
        <v>57</v>
      </c>
      <c r="AU62" t="s">
        <v>227</v>
      </c>
      <c r="AV62" s="1" t="s">
        <v>43</v>
      </c>
      <c r="AW62" s="1" t="s">
        <v>158</v>
      </c>
      <c r="AX62" s="1">
        <v>75</v>
      </c>
      <c r="AY62" t="s">
        <v>187</v>
      </c>
      <c r="AZ62" t="s">
        <v>190</v>
      </c>
      <c r="BA62" s="1">
        <v>1</v>
      </c>
      <c r="BB62" s="1" t="s">
        <v>128</v>
      </c>
      <c r="BC62" s="53" t="b">
        <v>1</v>
      </c>
      <c r="BD62" s="7" t="s">
        <v>104</v>
      </c>
      <c r="BE62" s="7" t="str">
        <f>VLOOKUP(AY62,Technologies!$B$7:$F$67,2,FALSE)</f>
        <v>Stor_EF</v>
      </c>
      <c r="BF62" s="7" t="str">
        <f>VLOOKUP(AZ62,Technologies!$B$7:$F$67,2,FALSE)</f>
        <v>Stor_EF</v>
      </c>
      <c r="BG62" s="54">
        <f>VLOOKUP(AZ62,Technologies!$B$7:$F$67,5,FALSE)</f>
        <v>0.8</v>
      </c>
    </row>
    <row r="63" spans="1:59" x14ac:dyDescent="0.25">
      <c r="A63" s="13">
        <f t="shared" si="5"/>
        <v>458</v>
      </c>
      <c r="B63" t="str">
        <f t="shared" si="0"/>
        <v>RG-WtrHt-SmlStrg-Gas-lte75kBtuh-75G-0p82EF</v>
      </c>
      <c r="C63" t="str">
        <f t="shared" si="1"/>
        <v>Efficient water heater: Stor_EF Gas (EF=0.82) replaces Gas water heater</v>
      </c>
      <c r="D63" t="s">
        <v>45</v>
      </c>
      <c r="E63" t="s">
        <v>114</v>
      </c>
      <c r="F63" s="52" t="s">
        <v>115</v>
      </c>
      <c r="G63" t="str">
        <f t="shared" si="3"/>
        <v>RG-WtrHt-SmlStrg-Gas-lte75kBtuh-75G-0p82EF</v>
      </c>
      <c r="H63" t="s">
        <v>40</v>
      </c>
      <c r="I63" t="s">
        <v>116</v>
      </c>
      <c r="J63" t="s">
        <v>41</v>
      </c>
      <c r="K63">
        <v>0</v>
      </c>
      <c r="L63">
        <v>0</v>
      </c>
      <c r="M63" t="s">
        <v>41</v>
      </c>
      <c r="O63" t="s">
        <v>47</v>
      </c>
      <c r="Q63" t="s">
        <v>444</v>
      </c>
      <c r="R63" t="s">
        <v>43</v>
      </c>
      <c r="S63" t="s">
        <v>42</v>
      </c>
      <c r="T63" t="s">
        <v>118</v>
      </c>
      <c r="U63" t="s">
        <v>119</v>
      </c>
      <c r="V63" t="s">
        <v>120</v>
      </c>
      <c r="W63" t="s">
        <v>156</v>
      </c>
      <c r="Y63" t="s">
        <v>213</v>
      </c>
      <c r="Z63" t="str">
        <f t="shared" si="4"/>
        <v>Small Storage 75 gallon Gas water heater, EF varies by vintage</v>
      </c>
      <c r="AD63" t="str">
        <f t="shared" si="7"/>
        <v>Stor_EF-Gas-075gal-0.743EF</v>
      </c>
      <c r="AE63" t="str">
        <f t="shared" si="7"/>
        <v>Stor_EF-Gas-075gal-0.82EF</v>
      </c>
      <c r="AF63" t="s">
        <v>53</v>
      </c>
      <c r="AH63" t="s">
        <v>47</v>
      </c>
      <c r="AI63" t="s">
        <v>47</v>
      </c>
      <c r="AK63" t="s">
        <v>123</v>
      </c>
      <c r="AM63" t="s">
        <v>122</v>
      </c>
      <c r="AP63" s="4">
        <v>42110</v>
      </c>
      <c r="AT63" s="13">
        <f t="shared" si="6"/>
        <v>58</v>
      </c>
      <c r="AU63" t="s">
        <v>228</v>
      </c>
      <c r="AV63" s="1" t="s">
        <v>43</v>
      </c>
      <c r="AW63" s="1" t="s">
        <v>158</v>
      </c>
      <c r="AX63" s="1">
        <v>75</v>
      </c>
      <c r="AY63" t="s">
        <v>187</v>
      </c>
      <c r="AZ63" t="s">
        <v>192</v>
      </c>
      <c r="BA63" s="1">
        <v>1</v>
      </c>
      <c r="BB63" s="1" t="s">
        <v>128</v>
      </c>
      <c r="BC63" s="53" t="b">
        <v>1</v>
      </c>
      <c r="BD63" s="7" t="s">
        <v>104</v>
      </c>
      <c r="BE63" s="7" t="str">
        <f>VLOOKUP(AY63,Technologies!$B$7:$F$67,2,FALSE)</f>
        <v>Stor_EF</v>
      </c>
      <c r="BF63" s="7" t="str">
        <f>VLOOKUP(AZ63,Technologies!$B$7:$F$67,2,FALSE)</f>
        <v>Stor_EF</v>
      </c>
      <c r="BG63" s="54">
        <f>VLOOKUP(AZ63,Technologies!$B$7:$F$67,5,FALSE)</f>
        <v>0.82</v>
      </c>
    </row>
    <row r="64" spans="1:59" x14ac:dyDescent="0.25">
      <c r="A64" s="13">
        <f t="shared" si="5"/>
        <v>459</v>
      </c>
      <c r="B64" t="str">
        <f t="shared" si="0"/>
        <v>RG-WtrHt-SmlInst-Gas-150kBtuh-lt2G-0p82EF</v>
      </c>
      <c r="C64" t="str">
        <f t="shared" si="1"/>
        <v>Efficient water heater: Instant_EF Gas (EF=0.82) replaces Gas water heater</v>
      </c>
      <c r="D64" t="s">
        <v>45</v>
      </c>
      <c r="E64" t="s">
        <v>114</v>
      </c>
      <c r="F64" s="52" t="s">
        <v>115</v>
      </c>
      <c r="G64" t="str">
        <f t="shared" si="3"/>
        <v>RG-WtrHt-SmlInst-Gas-150kBtuh-lt2G-0p82EF</v>
      </c>
      <c r="H64" t="s">
        <v>40</v>
      </c>
      <c r="I64" t="s">
        <v>116</v>
      </c>
      <c r="J64" t="s">
        <v>41</v>
      </c>
      <c r="K64">
        <v>0</v>
      </c>
      <c r="L64">
        <v>0</v>
      </c>
      <c r="M64" t="s">
        <v>41</v>
      </c>
      <c r="O64" t="s">
        <v>47</v>
      </c>
      <c r="Q64" t="s">
        <v>444</v>
      </c>
      <c r="R64" t="s">
        <v>43</v>
      </c>
      <c r="S64" t="s">
        <v>42</v>
      </c>
      <c r="T64" t="s">
        <v>118</v>
      </c>
      <c r="U64" t="s">
        <v>119</v>
      </c>
      <c r="V64" t="s">
        <v>120</v>
      </c>
      <c r="W64" t="s">
        <v>193</v>
      </c>
      <c r="Y64" t="s">
        <v>229</v>
      </c>
      <c r="Z64" t="str">
        <f t="shared" si="4"/>
        <v>Small Storage 75 gallon Gas water heater, EF varies by vintage</v>
      </c>
      <c r="AD64" t="str">
        <f t="shared" si="7"/>
        <v>Stor_EF-Gas-075gal-0.743EF</v>
      </c>
      <c r="AE64" t="str">
        <f t="shared" si="7"/>
        <v>Inst_EF-Gas-150kBtuh-0p82EF</v>
      </c>
      <c r="AF64" t="s">
        <v>53</v>
      </c>
      <c r="AH64" t="s">
        <v>47</v>
      </c>
      <c r="AI64" t="s">
        <v>47</v>
      </c>
      <c r="AK64" t="s">
        <v>123</v>
      </c>
      <c r="AM64" t="s">
        <v>122</v>
      </c>
      <c r="AP64" s="4">
        <v>42110</v>
      </c>
      <c r="AT64" s="13">
        <f t="shared" si="6"/>
        <v>59</v>
      </c>
      <c r="AU64" t="s">
        <v>230</v>
      </c>
      <c r="AV64" s="1" t="s">
        <v>43</v>
      </c>
      <c r="AW64" s="1" t="s">
        <v>158</v>
      </c>
      <c r="AX64" s="1">
        <v>75</v>
      </c>
      <c r="AY64" t="s">
        <v>187</v>
      </c>
      <c r="AZ64" t="s">
        <v>196</v>
      </c>
      <c r="BA64" s="1">
        <v>1</v>
      </c>
      <c r="BB64" s="1" t="s">
        <v>128</v>
      </c>
      <c r="BC64" s="53" t="b">
        <v>1</v>
      </c>
      <c r="BD64" s="7" t="s">
        <v>104</v>
      </c>
      <c r="BE64" s="7" t="str">
        <f>VLOOKUP(AY64,Technologies!$B$7:$F$67,2,FALSE)</f>
        <v>Stor_EF</v>
      </c>
      <c r="BF64" s="7" t="str">
        <f>VLOOKUP(AZ64,Technologies!$B$7:$F$67,2,FALSE)</f>
        <v>Instant_EF</v>
      </c>
      <c r="BG64" s="54">
        <f>VLOOKUP(AZ64,Technologies!$B$7:$F$67,5,FALSE)</f>
        <v>0.82</v>
      </c>
    </row>
    <row r="65" spans="1:59" x14ac:dyDescent="0.25">
      <c r="A65" s="13">
        <f t="shared" si="5"/>
        <v>460</v>
      </c>
      <c r="B65" t="str">
        <f t="shared" si="0"/>
        <v>RG-WtrHt-SmlInst-Gas-150kBtuh-lt2G-0p92EF</v>
      </c>
      <c r="C65" t="str">
        <f t="shared" si="1"/>
        <v>Efficient water heater: Instant_EF Gas (EF=0.92) replaces Gas water heater</v>
      </c>
      <c r="D65" t="s">
        <v>45</v>
      </c>
      <c r="E65" t="s">
        <v>114</v>
      </c>
      <c r="F65" s="52" t="s">
        <v>115</v>
      </c>
      <c r="G65" t="str">
        <f t="shared" si="3"/>
        <v>RG-WtrHt-SmlInst-Gas-150kBtuh-lt2G-0p92EF</v>
      </c>
      <c r="H65" t="s">
        <v>40</v>
      </c>
      <c r="I65" t="s">
        <v>116</v>
      </c>
      <c r="J65" t="s">
        <v>41</v>
      </c>
      <c r="K65">
        <v>0</v>
      </c>
      <c r="L65">
        <v>0</v>
      </c>
      <c r="M65" t="s">
        <v>41</v>
      </c>
      <c r="O65" t="s">
        <v>47</v>
      </c>
      <c r="Q65" t="s">
        <v>444</v>
      </c>
      <c r="R65" t="s">
        <v>43</v>
      </c>
      <c r="S65" t="s">
        <v>42</v>
      </c>
      <c r="T65" t="s">
        <v>118</v>
      </c>
      <c r="U65" t="s">
        <v>119</v>
      </c>
      <c r="V65" t="s">
        <v>120</v>
      </c>
      <c r="W65" t="s">
        <v>193</v>
      </c>
      <c r="Y65" t="s">
        <v>229</v>
      </c>
      <c r="Z65" t="str">
        <f t="shared" si="4"/>
        <v>Small Storage 75 gallon Gas water heater, EF varies by vintage</v>
      </c>
      <c r="AD65" t="str">
        <f t="shared" si="7"/>
        <v>Stor_EF-Gas-075gal-0.743EF</v>
      </c>
      <c r="AE65" t="str">
        <f t="shared" si="7"/>
        <v>Inst_EF-Gas-150kBtuh-0p92EF</v>
      </c>
      <c r="AF65" t="s">
        <v>53</v>
      </c>
      <c r="AH65" t="s">
        <v>47</v>
      </c>
      <c r="AI65" t="s">
        <v>47</v>
      </c>
      <c r="AK65" t="s">
        <v>123</v>
      </c>
      <c r="AM65" t="s">
        <v>122</v>
      </c>
      <c r="AP65" s="4">
        <v>42110</v>
      </c>
      <c r="AT65" s="13">
        <f t="shared" si="6"/>
        <v>60</v>
      </c>
      <c r="AU65" t="s">
        <v>231</v>
      </c>
      <c r="AV65" s="1" t="s">
        <v>43</v>
      </c>
      <c r="AW65" s="1" t="s">
        <v>158</v>
      </c>
      <c r="AX65" s="1">
        <v>75</v>
      </c>
      <c r="AY65" t="s">
        <v>187</v>
      </c>
      <c r="AZ65" t="s">
        <v>198</v>
      </c>
      <c r="BA65" s="1">
        <v>1</v>
      </c>
      <c r="BB65" s="1" t="s">
        <v>128</v>
      </c>
      <c r="BC65" s="53" t="b">
        <v>1</v>
      </c>
      <c r="BD65" s="7" t="s">
        <v>104</v>
      </c>
      <c r="BE65" s="7" t="str">
        <f>VLOOKUP(AY65,Technologies!$B$7:$F$67,2,FALSE)</f>
        <v>Stor_EF</v>
      </c>
      <c r="BF65" s="7" t="str">
        <f>VLOOKUP(AZ65,Technologies!$B$7:$F$67,2,FALSE)</f>
        <v>Instant_EF</v>
      </c>
      <c r="BG65" s="54">
        <f>VLOOKUP(AZ65,Technologies!$B$7:$F$67,5,FALSE)</f>
        <v>0.92</v>
      </c>
    </row>
    <row r="66" spans="1:59" x14ac:dyDescent="0.25">
      <c r="BC66" s="53"/>
    </row>
    <row r="67" spans="1:59" x14ac:dyDescent="0.25">
      <c r="B67" s="25"/>
    </row>
    <row r="68" spans="1:59" x14ac:dyDescent="0.25">
      <c r="B68" s="25"/>
    </row>
    <row r="69" spans="1:59" x14ac:dyDescent="0.25">
      <c r="B69" s="25"/>
    </row>
    <row r="70" spans="1:59" x14ac:dyDescent="0.25">
      <c r="B70" s="25"/>
    </row>
    <row r="71" spans="1:59" x14ac:dyDescent="0.25">
      <c r="B71" s="25"/>
    </row>
    <row r="72" spans="1:59" x14ac:dyDescent="0.25">
      <c r="B72" s="25"/>
    </row>
    <row r="73" spans="1:59" x14ac:dyDescent="0.25">
      <c r="B73" s="25"/>
    </row>
    <row r="74" spans="1:59" x14ac:dyDescent="0.25">
      <c r="B74" s="25"/>
    </row>
    <row r="75" spans="1:59" x14ac:dyDescent="0.25">
      <c r="B75" s="25"/>
    </row>
    <row r="76" spans="1:59" x14ac:dyDescent="0.25">
      <c r="B76" s="25"/>
    </row>
    <row r="77" spans="1:59" x14ac:dyDescent="0.25">
      <c r="B77" s="25"/>
    </row>
    <row r="78" spans="1:59" x14ac:dyDescent="0.25">
      <c r="B78" s="25"/>
    </row>
    <row r="79" spans="1:59" x14ac:dyDescent="0.25">
      <c r="B79" s="25"/>
    </row>
    <row r="80" spans="1:59" x14ac:dyDescent="0.25">
      <c r="B80" s="25"/>
    </row>
    <row r="81" spans="2:2" x14ac:dyDescent="0.25">
      <c r="B81" s="25"/>
    </row>
    <row r="82" spans="2:2" x14ac:dyDescent="0.25">
      <c r="B82" s="25"/>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25"/>
    </row>
    <row r="94" spans="2:2" x14ac:dyDescent="0.25">
      <c r="B94" s="25"/>
    </row>
    <row r="95" spans="2:2" x14ac:dyDescent="0.25">
      <c r="B95" s="25"/>
    </row>
    <row r="96" spans="2:2" x14ac:dyDescent="0.25">
      <c r="B96" s="25"/>
    </row>
    <row r="97" spans="2:2" x14ac:dyDescent="0.25">
      <c r="B97" s="25"/>
    </row>
    <row r="98" spans="2:2" x14ac:dyDescent="0.25">
      <c r="B98" s="25"/>
    </row>
    <row r="99" spans="2:2" x14ac:dyDescent="0.25">
      <c r="B99" s="25"/>
    </row>
    <row r="100" spans="2:2" x14ac:dyDescent="0.25">
      <c r="B100" s="25"/>
    </row>
    <row r="101" spans="2:2" x14ac:dyDescent="0.25">
      <c r="B101" s="25"/>
    </row>
    <row r="102" spans="2:2" x14ac:dyDescent="0.25">
      <c r="B102" s="25"/>
    </row>
    <row r="103" spans="2:2" x14ac:dyDescent="0.25">
      <c r="B103" s="25"/>
    </row>
    <row r="104" spans="2:2" x14ac:dyDescent="0.25">
      <c r="B104" s="25"/>
    </row>
    <row r="105" spans="2:2" x14ac:dyDescent="0.25">
      <c r="B105" s="25"/>
    </row>
    <row r="106" spans="2:2" x14ac:dyDescent="0.25">
      <c r="B106" s="25"/>
    </row>
    <row r="107" spans="2:2" x14ac:dyDescent="0.25">
      <c r="B107" s="25"/>
    </row>
    <row r="108" spans="2:2" x14ac:dyDescent="0.25">
      <c r="B108" s="25"/>
    </row>
    <row r="109" spans="2:2" x14ac:dyDescent="0.25">
      <c r="B109" s="25"/>
    </row>
    <row r="110" spans="2:2" x14ac:dyDescent="0.25">
      <c r="B110" s="25"/>
    </row>
    <row r="111" spans="2:2" x14ac:dyDescent="0.25">
      <c r="B111" s="25"/>
    </row>
    <row r="112" spans="2:2" x14ac:dyDescent="0.25">
      <c r="B112" s="25"/>
    </row>
    <row r="113" spans="2:2" x14ac:dyDescent="0.25">
      <c r="B113" s="25"/>
    </row>
    <row r="114" spans="2:2" x14ac:dyDescent="0.25">
      <c r="B114" s="25"/>
    </row>
    <row r="115" spans="2:2" x14ac:dyDescent="0.25">
      <c r="B115" s="25"/>
    </row>
    <row r="116" spans="2:2" x14ac:dyDescent="0.25">
      <c r="B116" s="25"/>
    </row>
    <row r="117" spans="2:2" x14ac:dyDescent="0.25">
      <c r="B117" s="25"/>
    </row>
    <row r="118" spans="2:2" x14ac:dyDescent="0.25">
      <c r="B118" s="25"/>
    </row>
    <row r="119" spans="2:2" x14ac:dyDescent="0.25">
      <c r="B119" s="25"/>
    </row>
    <row r="120" spans="2:2" x14ac:dyDescent="0.25">
      <c r="B120" s="25"/>
    </row>
    <row r="121" spans="2:2" x14ac:dyDescent="0.25">
      <c r="B121" s="25"/>
    </row>
    <row r="122" spans="2:2" x14ac:dyDescent="0.25">
      <c r="B122" s="25"/>
    </row>
    <row r="123" spans="2:2" x14ac:dyDescent="0.25">
      <c r="B123" s="25"/>
    </row>
    <row r="124" spans="2:2" x14ac:dyDescent="0.25">
      <c r="B124" s="25"/>
    </row>
    <row r="125" spans="2:2" x14ac:dyDescent="0.25">
      <c r="B125" s="25"/>
    </row>
    <row r="126" spans="2:2" x14ac:dyDescent="0.25">
      <c r="B126" s="25"/>
    </row>
  </sheetData>
  <mergeCells count="2">
    <mergeCell ref="BD3:BG3"/>
    <mergeCell ref="AW4:AX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W93"/>
  <sheetViews>
    <sheetView workbookViewId="0">
      <pane ySplit="6" topLeftCell="A7" activePane="bottomLeft" state="frozen"/>
      <selection pane="bottomLeft" activeCell="D5" sqref="D5"/>
    </sheetView>
  </sheetViews>
  <sheetFormatPr defaultRowHeight="15" x14ac:dyDescent="0.25"/>
  <cols>
    <col min="2" max="2" width="35.7109375" customWidth="1"/>
    <col min="3" max="3" width="10.85546875" customWidth="1"/>
    <col min="5" max="5" width="8.140625" style="7" customWidth="1"/>
    <col min="6" max="6" width="9.140625" style="7"/>
    <col min="7" max="8" width="10.28515625" style="7" customWidth="1"/>
    <col min="9" max="10" width="9.140625" style="7"/>
    <col min="11" max="11" width="8.28515625" style="7" customWidth="1"/>
    <col min="12" max="12" width="9.140625" style="7"/>
    <col min="13" max="17" width="11.140625" style="7" customWidth="1"/>
    <col min="18" max="18" width="107.140625" style="7" bestFit="1" customWidth="1"/>
    <col min="19" max="19" width="23.85546875" bestFit="1" customWidth="1"/>
    <col min="21" max="21" width="39.5703125" bestFit="1" customWidth="1"/>
    <col min="22" max="22" width="47.5703125" bestFit="1" customWidth="1"/>
    <col min="23" max="23" width="22" bestFit="1" customWidth="1"/>
  </cols>
  <sheetData>
    <row r="2" spans="1:23" ht="18" thickBot="1" x14ac:dyDescent="0.35">
      <c r="B2" s="49" t="s">
        <v>232</v>
      </c>
      <c r="C2" s="49"/>
    </row>
    <row r="3" spans="1:23" ht="15.75" thickTop="1" x14ac:dyDescent="0.25">
      <c r="B3" t="s">
        <v>364</v>
      </c>
    </row>
    <row r="5" spans="1:23" x14ac:dyDescent="0.25">
      <c r="D5" s="53">
        <v>85</v>
      </c>
      <c r="E5" s="102">
        <v>166</v>
      </c>
      <c r="F5" s="102">
        <v>58</v>
      </c>
      <c r="G5" s="102">
        <v>1070</v>
      </c>
      <c r="H5" s="102">
        <v>1071</v>
      </c>
      <c r="I5" s="102">
        <f>+H5+1</f>
        <v>1072</v>
      </c>
      <c r="J5" s="102">
        <f>+I5+1</f>
        <v>1073</v>
      </c>
      <c r="K5" s="102">
        <f>+Q5+1</f>
        <v>1078</v>
      </c>
      <c r="L5" s="102">
        <f>+K5+1</f>
        <v>1079</v>
      </c>
      <c r="M5" s="102">
        <f>+L5+1</f>
        <v>1080</v>
      </c>
      <c r="N5" s="102">
        <f>+J5+1</f>
        <v>1074</v>
      </c>
      <c r="O5" s="102">
        <f>+N5+1</f>
        <v>1075</v>
      </c>
      <c r="P5" s="102">
        <f t="shared" ref="P5:Q5" si="0">+O5+1</f>
        <v>1076</v>
      </c>
      <c r="Q5" s="102">
        <f t="shared" si="0"/>
        <v>1077</v>
      </c>
      <c r="S5">
        <v>8</v>
      </c>
    </row>
    <row r="6" spans="1:23" x14ac:dyDescent="0.25">
      <c r="A6" s="13" t="s">
        <v>2</v>
      </c>
      <c r="B6" t="s">
        <v>233</v>
      </c>
      <c r="C6" s="7" t="s">
        <v>26</v>
      </c>
      <c r="D6" s="7" t="s">
        <v>373</v>
      </c>
      <c r="E6" s="7" t="s">
        <v>385</v>
      </c>
      <c r="F6" s="7" t="s">
        <v>374</v>
      </c>
      <c r="G6" s="7" t="s">
        <v>383</v>
      </c>
      <c r="H6" s="7" t="s">
        <v>375</v>
      </c>
      <c r="I6" s="7" t="s">
        <v>234</v>
      </c>
      <c r="J6" s="7" t="s">
        <v>235</v>
      </c>
      <c r="K6" s="7" t="s">
        <v>380</v>
      </c>
      <c r="L6" s="7" t="s">
        <v>381</v>
      </c>
      <c r="M6" s="7" t="s">
        <v>382</v>
      </c>
      <c r="N6" s="7" t="s">
        <v>376</v>
      </c>
      <c r="O6" s="7" t="s">
        <v>377</v>
      </c>
      <c r="P6" s="7" t="s">
        <v>378</v>
      </c>
      <c r="Q6" s="7" t="s">
        <v>379</v>
      </c>
      <c r="R6" s="7" t="s">
        <v>4</v>
      </c>
      <c r="S6" s="7" t="s">
        <v>39</v>
      </c>
      <c r="T6" s="13"/>
      <c r="U6" s="7" t="s">
        <v>453</v>
      </c>
      <c r="V6" s="7" t="s">
        <v>454</v>
      </c>
    </row>
    <row r="7" spans="1:23" x14ac:dyDescent="0.25">
      <c r="A7" s="13">
        <v>1</v>
      </c>
      <c r="B7" t="s">
        <v>236</v>
      </c>
      <c r="C7" t="s">
        <v>156</v>
      </c>
      <c r="D7" s="7" t="s">
        <v>125</v>
      </c>
      <c r="E7" s="7">
        <v>30</v>
      </c>
      <c r="F7" s="55">
        <v>0.89040000000000008</v>
      </c>
      <c r="G7" s="7">
        <v>0</v>
      </c>
      <c r="H7" s="7">
        <v>4.5</v>
      </c>
      <c r="I7" s="55">
        <v>0.98</v>
      </c>
      <c r="J7" s="57">
        <v>3.1227999999999998</v>
      </c>
      <c r="N7" s="7">
        <v>0</v>
      </c>
      <c r="O7" s="7">
        <v>0</v>
      </c>
      <c r="P7" s="7">
        <v>0</v>
      </c>
      <c r="Q7" s="7">
        <v>0</v>
      </c>
      <c r="R7" s="7" t="str">
        <f>"Small storage "&amp;IF(C7="HP_EF","HP",D7)&amp;" water heater: "&amp;E7&amp;" gallon, EF = "&amp;TEXT(F7,"0.00")&amp;", RE = "&amp;I7&amp;", Cap = "&amp;IF(D7="Elec",H7&amp;" kW",G7&amp;"kBTUh")&amp;", UA = "&amp;TEXT(J7,"0.00")&amp;" BTU/hr-F"&amp;IF(N7&gt;0,", AuxW: "&amp;N7,"")&amp;IF(O7&gt;0,", VentW: "&amp;O7,"")&amp;IF(P7&gt;0,", AuxBTUh: "&amp;P7,"")</f>
        <v>Small storage Elec water heater: 30 gallon, EF = 0.89, RE = 0.98, Cap = 4.5 kW, UA = 3.12 BTU/hr-F</v>
      </c>
      <c r="S7" t="s">
        <v>237</v>
      </c>
      <c r="T7" s="53" t="s">
        <v>116</v>
      </c>
      <c r="U7" t="str">
        <f>"Small storage "&amp;IF(C7="HP_EF","HP",D7)&amp;" water heater: "&amp;E7&amp;" gallon; "</f>
        <v xml:space="preserve">Small storage Elec water heater: 30 gallon; </v>
      </c>
      <c r="V7" t="str">
        <f>"EF = "&amp;TEXT(F7,"0.00")&amp;", RE = "&amp;I7&amp;", Cap = "&amp;IF(D7="Elec",H7&amp;" kW",G7&amp;"kBTUh")&amp;", UA = "&amp;TEXT(J7,"0.00")&amp;" BTU/hr-F"&amp;IF(N7&gt;0,", AuxW: "&amp;N7,"")&amp;IF(O7&gt;0,", VentW: "&amp;O7,"")&amp;IF(P7&gt;0,", AuxBTUh: "&amp;P7,"")</f>
        <v>EF = 0.89, RE = 0.98, Cap = 4.5 kW, UA = 3.12 BTU/hr-F</v>
      </c>
      <c r="W7" s="106"/>
    </row>
    <row r="8" spans="1:23" x14ac:dyDescent="0.25">
      <c r="A8" s="13">
        <v>2</v>
      </c>
      <c r="B8" t="s">
        <v>238</v>
      </c>
      <c r="C8" t="s">
        <v>156</v>
      </c>
      <c r="D8" s="7" t="s">
        <v>125</v>
      </c>
      <c r="E8" s="7">
        <v>30</v>
      </c>
      <c r="F8" s="55">
        <v>0.9304</v>
      </c>
      <c r="G8" s="7">
        <v>0</v>
      </c>
      <c r="H8" s="7">
        <v>4.5</v>
      </c>
      <c r="I8" s="55">
        <v>0.98</v>
      </c>
      <c r="J8" s="57">
        <v>1.8977999999999999</v>
      </c>
      <c r="N8" s="7">
        <v>0</v>
      </c>
      <c r="O8" s="7">
        <v>0</v>
      </c>
      <c r="P8" s="7">
        <v>0</v>
      </c>
      <c r="Q8" s="7">
        <v>0</v>
      </c>
      <c r="R8" s="7" t="str">
        <f t="shared" ref="R8:R65" si="1">"Small storage "&amp;IF(C8="HP_EF","HP",D8)&amp;" water heater: "&amp;E8&amp;" gallon, EF = "&amp;TEXT(F8,"0.00")&amp;", RE = "&amp;I8&amp;", Cap = "&amp;IF(D8="Elec",H8&amp;" kW",G8&amp;"kBTUh")&amp;", UA = "&amp;TEXT(J8,"0.00")&amp;" BTU/hr-F"&amp;IF(N8&gt;0,", AuxW: "&amp;N8,"")&amp;IF(O8&gt;0,", VentW: "&amp;O8,"")&amp;IF(P8&gt;0,", AuxBTUh: "&amp;P8,"")</f>
        <v>Small storage Elec water heater: 30 gallon, EF = 0.93, RE = 0.98, Cap = 4.5 kW, UA = 1.90 BTU/hr-F</v>
      </c>
      <c r="S8" t="s">
        <v>237</v>
      </c>
      <c r="T8" s="53" t="s">
        <v>116</v>
      </c>
      <c r="U8" t="str">
        <f t="shared" ref="U8:U65" si="2">"Small storage "&amp;IF(C8="HP_EF","HP",D8)&amp;" water heater: "&amp;E8&amp;" gallon; "</f>
        <v xml:space="preserve">Small storage Elec water heater: 30 gallon; </v>
      </c>
      <c r="V8" t="str">
        <f t="shared" ref="V8:V65" si="3">"EF = "&amp;TEXT(F8,"0.00")&amp;", RE = "&amp;I8&amp;", Cap = "&amp;IF(D8="Elec",H8&amp;" kW",G8&amp;"kBTUh")&amp;", UA = "&amp;TEXT(J8,"0.00")&amp;" BTU/hr-F"&amp;IF(N8&gt;0,", AuxW: "&amp;N8,"")&amp;IF(O8&gt;0,", VentW: "&amp;O8,"")&amp;IF(P8&gt;0,", AuxBTUh: "&amp;P8,"")</f>
        <v>EF = 0.93, RE = 0.98, Cap = 4.5 kW, UA = 1.90 BTU/hr-F</v>
      </c>
      <c r="W8" s="106"/>
    </row>
    <row r="9" spans="1:23" x14ac:dyDescent="0.25">
      <c r="A9" s="13">
        <v>3</v>
      </c>
      <c r="B9" t="s">
        <v>126</v>
      </c>
      <c r="C9" t="s">
        <v>156</v>
      </c>
      <c r="D9" t="s">
        <v>125</v>
      </c>
      <c r="E9" s="7">
        <v>30</v>
      </c>
      <c r="F9" s="55">
        <v>0.95099999999999996</v>
      </c>
      <c r="G9" s="7">
        <v>0</v>
      </c>
      <c r="H9" s="7">
        <v>4.5</v>
      </c>
      <c r="I9" s="55">
        <v>0.98</v>
      </c>
      <c r="J9" s="57">
        <v>1.3071999999999999</v>
      </c>
      <c r="N9" s="7">
        <v>0</v>
      </c>
      <c r="O9" s="7">
        <v>0</v>
      </c>
      <c r="P9" s="7">
        <v>0</v>
      </c>
      <c r="Q9" s="7">
        <v>0</v>
      </c>
      <c r="R9" s="7" t="str">
        <f t="shared" si="1"/>
        <v>Small storage Elec water heater: 30 gallon, EF = 0.95, RE = 0.98, Cap = 4.5 kW, UA = 1.31 BTU/hr-F</v>
      </c>
      <c r="S9" t="s">
        <v>239</v>
      </c>
      <c r="T9" s="53" t="s">
        <v>116</v>
      </c>
      <c r="U9" t="str">
        <f t="shared" si="2"/>
        <v xml:space="preserve">Small storage Elec water heater: 30 gallon; </v>
      </c>
      <c r="V9" t="str">
        <f t="shared" si="3"/>
        <v>EF = 0.95, RE = 0.98, Cap = 4.5 kW, UA = 1.31 BTU/hr-F</v>
      </c>
      <c r="W9" s="106"/>
    </row>
    <row r="10" spans="1:23" x14ac:dyDescent="0.25">
      <c r="A10" s="13">
        <v>4</v>
      </c>
      <c r="B10" t="s">
        <v>240</v>
      </c>
      <c r="C10" t="s">
        <v>156</v>
      </c>
      <c r="D10" s="7" t="s">
        <v>125</v>
      </c>
      <c r="E10" s="7">
        <v>40</v>
      </c>
      <c r="F10" s="55">
        <v>0.87720000000000009</v>
      </c>
      <c r="G10" s="7">
        <v>0</v>
      </c>
      <c r="H10" s="7">
        <v>4.5</v>
      </c>
      <c r="I10" s="55">
        <v>0.98</v>
      </c>
      <c r="J10" s="57">
        <v>3.5516000000000001</v>
      </c>
      <c r="N10" s="7">
        <v>0</v>
      </c>
      <c r="O10" s="7">
        <v>0</v>
      </c>
      <c r="P10" s="7">
        <v>0</v>
      </c>
      <c r="Q10" s="7">
        <v>0</v>
      </c>
      <c r="R10" s="7" t="str">
        <f t="shared" si="1"/>
        <v>Small storage Elec water heater: 40 gallon, EF = 0.88, RE = 0.98, Cap = 4.5 kW, UA = 3.55 BTU/hr-F</v>
      </c>
      <c r="S10" t="s">
        <v>237</v>
      </c>
      <c r="T10" s="53" t="s">
        <v>116</v>
      </c>
      <c r="U10" t="str">
        <f t="shared" si="2"/>
        <v xml:space="preserve">Small storage Elec water heater: 40 gallon; </v>
      </c>
      <c r="V10" t="str">
        <f t="shared" si="3"/>
        <v>EF = 0.88, RE = 0.98, Cap = 4.5 kW, UA = 3.55 BTU/hr-F</v>
      </c>
      <c r="W10" s="106"/>
    </row>
    <row r="11" spans="1:23" x14ac:dyDescent="0.25">
      <c r="A11" s="13">
        <v>5</v>
      </c>
      <c r="B11" t="s">
        <v>241</v>
      </c>
      <c r="C11" t="s">
        <v>156</v>
      </c>
      <c r="D11" s="7" t="s">
        <v>125</v>
      </c>
      <c r="E11" s="7">
        <v>40</v>
      </c>
      <c r="F11" s="55">
        <v>0.91720000000000002</v>
      </c>
      <c r="G11" s="7">
        <v>0</v>
      </c>
      <c r="H11" s="7">
        <v>4.5</v>
      </c>
      <c r="I11" s="55">
        <v>0.98</v>
      </c>
      <c r="J11" s="57">
        <v>2.2902999999999998</v>
      </c>
      <c r="N11" s="7">
        <v>0</v>
      </c>
      <c r="O11" s="7">
        <v>0</v>
      </c>
      <c r="P11" s="7">
        <v>0</v>
      </c>
      <c r="Q11" s="7">
        <v>0</v>
      </c>
      <c r="R11" s="7" t="str">
        <f t="shared" si="1"/>
        <v>Small storage Elec water heater: 40 gallon, EF = 0.92, RE = 0.98, Cap = 4.5 kW, UA = 2.29 BTU/hr-F</v>
      </c>
      <c r="S11" t="s">
        <v>237</v>
      </c>
      <c r="T11" s="53" t="s">
        <v>116</v>
      </c>
      <c r="U11" t="str">
        <f t="shared" si="2"/>
        <v xml:space="preserve">Small storage Elec water heater: 40 gallon; </v>
      </c>
      <c r="V11" t="str">
        <f t="shared" si="3"/>
        <v>EF = 0.92, RE = 0.98, Cap = 4.5 kW, UA = 2.29 BTU/hr-F</v>
      </c>
      <c r="W11" s="106"/>
    </row>
    <row r="12" spans="1:23" x14ac:dyDescent="0.25">
      <c r="A12" s="13">
        <v>6</v>
      </c>
      <c r="B12" t="s">
        <v>134</v>
      </c>
      <c r="C12" t="s">
        <v>156</v>
      </c>
      <c r="D12" t="s">
        <v>125</v>
      </c>
      <c r="E12" s="7">
        <v>40</v>
      </c>
      <c r="F12" s="55">
        <v>0.94799999999999995</v>
      </c>
      <c r="G12" s="7">
        <v>0</v>
      </c>
      <c r="H12" s="7">
        <v>4.5</v>
      </c>
      <c r="I12" s="55">
        <v>0.98</v>
      </c>
      <c r="J12" s="57">
        <v>1.3915999999999999</v>
      </c>
      <c r="N12" s="7">
        <v>0</v>
      </c>
      <c r="O12" s="7">
        <v>0</v>
      </c>
      <c r="P12" s="7">
        <v>0</v>
      </c>
      <c r="Q12" s="7">
        <v>0</v>
      </c>
      <c r="R12" s="7" t="str">
        <f t="shared" si="1"/>
        <v>Small storage Elec water heater: 40 gallon, EF = 0.95, RE = 0.98, Cap = 4.5 kW, UA = 1.39 BTU/hr-F</v>
      </c>
      <c r="S12" t="s">
        <v>239</v>
      </c>
      <c r="T12" s="53" t="s">
        <v>116</v>
      </c>
      <c r="U12" t="str">
        <f t="shared" si="2"/>
        <v xml:space="preserve">Small storage Elec water heater: 40 gallon; </v>
      </c>
      <c r="V12" t="str">
        <f t="shared" si="3"/>
        <v>EF = 0.95, RE = 0.98, Cap = 4.5 kW, UA = 1.39 BTU/hr-F</v>
      </c>
      <c r="W12" s="106"/>
    </row>
    <row r="13" spans="1:23" x14ac:dyDescent="0.25">
      <c r="A13" s="13">
        <v>7</v>
      </c>
      <c r="B13" t="s">
        <v>242</v>
      </c>
      <c r="C13" t="s">
        <v>156</v>
      </c>
      <c r="D13" s="7" t="s">
        <v>125</v>
      </c>
      <c r="E13" s="7">
        <v>50</v>
      </c>
      <c r="F13" s="55">
        <v>0.8640000000000001</v>
      </c>
      <c r="G13" s="7">
        <v>0</v>
      </c>
      <c r="H13" s="7">
        <v>5</v>
      </c>
      <c r="I13" s="55">
        <v>0.98</v>
      </c>
      <c r="J13" s="57">
        <v>3.9933999999999998</v>
      </c>
      <c r="N13" s="7">
        <v>0</v>
      </c>
      <c r="O13" s="7">
        <v>0</v>
      </c>
      <c r="P13" s="7">
        <v>0</v>
      </c>
      <c r="Q13" s="7">
        <v>0</v>
      </c>
      <c r="R13" s="7" t="str">
        <f t="shared" si="1"/>
        <v>Small storage Elec water heater: 50 gallon, EF = 0.86, RE = 0.98, Cap = 5 kW, UA = 3.99 BTU/hr-F</v>
      </c>
      <c r="S13" t="s">
        <v>237</v>
      </c>
      <c r="T13" s="53" t="s">
        <v>116</v>
      </c>
      <c r="U13" t="str">
        <f t="shared" si="2"/>
        <v xml:space="preserve">Small storage Elec water heater: 50 gallon; </v>
      </c>
      <c r="V13" t="str">
        <f t="shared" si="3"/>
        <v>EF = 0.86, RE = 0.98, Cap = 5 kW, UA = 3.99 BTU/hr-F</v>
      </c>
      <c r="W13" s="106"/>
    </row>
    <row r="14" spans="1:23" x14ac:dyDescent="0.25">
      <c r="A14" s="13">
        <v>8</v>
      </c>
      <c r="B14" t="s">
        <v>243</v>
      </c>
      <c r="C14" t="s">
        <v>156</v>
      </c>
      <c r="D14" s="7" t="s">
        <v>125</v>
      </c>
      <c r="E14" s="7">
        <v>50</v>
      </c>
      <c r="F14" s="55">
        <v>0.90399999999999991</v>
      </c>
      <c r="G14" s="7">
        <v>0</v>
      </c>
      <c r="H14" s="7">
        <v>5</v>
      </c>
      <c r="I14" s="55">
        <v>0.98</v>
      </c>
      <c r="J14" s="57">
        <v>2.6941999999999999</v>
      </c>
      <c r="N14" s="7">
        <v>0</v>
      </c>
      <c r="O14" s="7">
        <v>0</v>
      </c>
      <c r="P14" s="7">
        <v>0</v>
      </c>
      <c r="Q14" s="7">
        <v>0</v>
      </c>
      <c r="R14" s="7" t="str">
        <f t="shared" si="1"/>
        <v>Small storage Elec water heater: 50 gallon, EF = 0.90, RE = 0.98, Cap = 5 kW, UA = 2.69 BTU/hr-F</v>
      </c>
      <c r="S14" t="s">
        <v>237</v>
      </c>
      <c r="T14" s="53" t="s">
        <v>116</v>
      </c>
      <c r="U14" t="str">
        <f t="shared" si="2"/>
        <v xml:space="preserve">Small storage Elec water heater: 50 gallon; </v>
      </c>
      <c r="V14" t="str">
        <f t="shared" si="3"/>
        <v>EF = 0.90, RE = 0.98, Cap = 5 kW, UA = 2.69 BTU/hr-F</v>
      </c>
      <c r="W14" s="106"/>
    </row>
    <row r="15" spans="1:23" x14ac:dyDescent="0.25">
      <c r="A15" s="13">
        <v>9</v>
      </c>
      <c r="B15" t="s">
        <v>141</v>
      </c>
      <c r="C15" t="s">
        <v>156</v>
      </c>
      <c r="D15" t="s">
        <v>125</v>
      </c>
      <c r="E15" s="7">
        <v>50</v>
      </c>
      <c r="F15" s="55">
        <v>0.94499999999999995</v>
      </c>
      <c r="G15" s="7">
        <v>0</v>
      </c>
      <c r="H15" s="7">
        <v>4.5</v>
      </c>
      <c r="I15" s="55">
        <v>0.98</v>
      </c>
      <c r="J15" s="57">
        <v>1.4765999999999999</v>
      </c>
      <c r="N15" s="7">
        <v>0</v>
      </c>
      <c r="O15" s="7">
        <v>0</v>
      </c>
      <c r="P15" s="7">
        <v>0</v>
      </c>
      <c r="Q15" s="7">
        <v>0</v>
      </c>
      <c r="R15" s="7" t="str">
        <f t="shared" si="1"/>
        <v>Small storage Elec water heater: 50 gallon, EF = 0.95, RE = 0.98, Cap = 4.5 kW, UA = 1.48 BTU/hr-F</v>
      </c>
      <c r="S15" t="s">
        <v>239</v>
      </c>
      <c r="T15" s="53" t="s">
        <v>116</v>
      </c>
      <c r="U15" t="str">
        <f t="shared" si="2"/>
        <v xml:space="preserve">Small storage Elec water heater: 50 gallon; </v>
      </c>
      <c r="V15" t="str">
        <f t="shared" si="3"/>
        <v>EF = 0.95, RE = 0.98, Cap = 4.5 kW, UA = 1.48 BTU/hr-F</v>
      </c>
      <c r="W15" s="106"/>
    </row>
    <row r="16" spans="1:23" x14ac:dyDescent="0.25">
      <c r="A16" s="13">
        <v>10</v>
      </c>
      <c r="B16" t="s">
        <v>244</v>
      </c>
      <c r="C16" t="s">
        <v>156</v>
      </c>
      <c r="D16" s="7" t="s">
        <v>125</v>
      </c>
      <c r="E16" s="7">
        <v>60</v>
      </c>
      <c r="F16" s="55">
        <v>0.8508</v>
      </c>
      <c r="G16" s="7">
        <v>0</v>
      </c>
      <c r="H16" s="7">
        <v>5.5</v>
      </c>
      <c r="I16" s="55">
        <v>0.98</v>
      </c>
      <c r="J16" s="57">
        <v>4.4489999999999998</v>
      </c>
      <c r="N16" s="7">
        <v>0</v>
      </c>
      <c r="O16" s="7">
        <v>0</v>
      </c>
      <c r="P16" s="7">
        <v>0</v>
      </c>
      <c r="Q16" s="7">
        <v>0</v>
      </c>
      <c r="R16" s="7" t="str">
        <f t="shared" si="1"/>
        <v>Small storage Elec water heater: 60 gallon, EF = 0.85, RE = 0.98, Cap = 5.5 kW, UA = 4.45 BTU/hr-F</v>
      </c>
      <c r="S16" t="s">
        <v>237</v>
      </c>
      <c r="T16" s="53" t="s">
        <v>116</v>
      </c>
      <c r="U16" t="str">
        <f t="shared" si="2"/>
        <v xml:space="preserve">Small storage Elec water heater: 60 gallon; </v>
      </c>
      <c r="V16" t="str">
        <f t="shared" si="3"/>
        <v>EF = 0.85, RE = 0.98, Cap = 5.5 kW, UA = 4.45 BTU/hr-F</v>
      </c>
      <c r="W16" s="106"/>
    </row>
    <row r="17" spans="1:23" x14ac:dyDescent="0.25">
      <c r="A17" s="13">
        <v>11</v>
      </c>
      <c r="B17" t="s">
        <v>245</v>
      </c>
      <c r="C17" t="s">
        <v>156</v>
      </c>
      <c r="D17" s="7" t="s">
        <v>125</v>
      </c>
      <c r="E17" s="7">
        <v>60</v>
      </c>
      <c r="F17" s="55">
        <v>0.89080000000000004</v>
      </c>
      <c r="G17" s="7">
        <v>0</v>
      </c>
      <c r="H17" s="7">
        <v>5.5</v>
      </c>
      <c r="I17" s="55">
        <v>0.98</v>
      </c>
      <c r="J17" s="57">
        <v>3.11</v>
      </c>
      <c r="N17" s="7">
        <v>0</v>
      </c>
      <c r="O17" s="7">
        <v>0</v>
      </c>
      <c r="P17" s="7">
        <v>0</v>
      </c>
      <c r="Q17" s="7">
        <v>0</v>
      </c>
      <c r="R17" s="7" t="str">
        <f t="shared" si="1"/>
        <v>Small storage Elec water heater: 60 gallon, EF = 0.89, RE = 0.98, Cap = 5.5 kW, UA = 3.11 BTU/hr-F</v>
      </c>
      <c r="S17" t="s">
        <v>237</v>
      </c>
      <c r="T17" s="53" t="s">
        <v>116</v>
      </c>
      <c r="U17" t="str">
        <f t="shared" si="2"/>
        <v xml:space="preserve">Small storage Elec water heater: 60 gallon; </v>
      </c>
      <c r="V17" t="str">
        <f t="shared" si="3"/>
        <v>EF = 0.89, RE = 0.98, Cap = 5.5 kW, UA = 3.11 BTU/hr-F</v>
      </c>
      <c r="W17" s="106"/>
    </row>
    <row r="18" spans="1:23" x14ac:dyDescent="0.25">
      <c r="A18" s="13">
        <v>12</v>
      </c>
      <c r="B18" t="s">
        <v>246</v>
      </c>
      <c r="C18" t="s">
        <v>156</v>
      </c>
      <c r="D18" s="7" t="s">
        <v>125</v>
      </c>
      <c r="E18" s="7">
        <v>75</v>
      </c>
      <c r="F18" s="55">
        <v>0.83100000000000007</v>
      </c>
      <c r="G18" s="7">
        <v>0</v>
      </c>
      <c r="H18" s="7">
        <v>5.5</v>
      </c>
      <c r="I18" s="55">
        <v>0.98</v>
      </c>
      <c r="J18" s="57">
        <v>5.1595000000000004</v>
      </c>
      <c r="N18" s="7">
        <v>0</v>
      </c>
      <c r="O18" s="7">
        <v>0</v>
      </c>
      <c r="P18" s="7">
        <v>0</v>
      </c>
      <c r="Q18" s="7">
        <v>0</v>
      </c>
      <c r="R18" s="7" t="str">
        <f t="shared" si="1"/>
        <v>Small storage Elec water heater: 75 gallon, EF = 0.83, RE = 0.98, Cap = 5.5 kW, UA = 5.16 BTU/hr-F</v>
      </c>
      <c r="S18" t="s">
        <v>237</v>
      </c>
      <c r="T18" s="53" t="s">
        <v>116</v>
      </c>
      <c r="U18" t="str">
        <f t="shared" si="2"/>
        <v xml:space="preserve">Small storage Elec water heater: 75 gallon; </v>
      </c>
      <c r="V18" t="str">
        <f t="shared" si="3"/>
        <v>EF = 0.83, RE = 0.98, Cap = 5.5 kW, UA = 5.16 BTU/hr-F</v>
      </c>
      <c r="W18" s="106"/>
    </row>
    <row r="19" spans="1:23" x14ac:dyDescent="0.25">
      <c r="A19" s="13">
        <v>13</v>
      </c>
      <c r="B19" t="s">
        <v>247</v>
      </c>
      <c r="C19" t="s">
        <v>156</v>
      </c>
      <c r="D19" s="7" t="s">
        <v>125</v>
      </c>
      <c r="E19" s="7">
        <v>75</v>
      </c>
      <c r="F19" s="55">
        <v>0.871</v>
      </c>
      <c r="G19" s="7">
        <v>0</v>
      </c>
      <c r="H19" s="7">
        <v>5.5</v>
      </c>
      <c r="I19" s="55">
        <v>0.98</v>
      </c>
      <c r="J19" s="57">
        <v>3.7574000000000001</v>
      </c>
      <c r="N19" s="7">
        <v>0</v>
      </c>
      <c r="O19" s="7">
        <v>0</v>
      </c>
      <c r="P19" s="7">
        <v>0</v>
      </c>
      <c r="Q19" s="7">
        <v>0</v>
      </c>
      <c r="R19" s="7" t="str">
        <f t="shared" si="1"/>
        <v>Small storage Elec water heater: 75 gallon, EF = 0.87, RE = 0.98, Cap = 5.5 kW, UA = 3.76 BTU/hr-F</v>
      </c>
      <c r="S19" t="s">
        <v>237</v>
      </c>
      <c r="T19" s="53" t="s">
        <v>116</v>
      </c>
      <c r="U19" t="str">
        <f t="shared" si="2"/>
        <v xml:space="preserve">Small storage Elec water heater: 75 gallon; </v>
      </c>
      <c r="V19" t="str">
        <f t="shared" si="3"/>
        <v>EF = 0.87, RE = 0.98, Cap = 5.5 kW, UA = 3.76 BTU/hr-F</v>
      </c>
      <c r="W19" s="106"/>
    </row>
    <row r="20" spans="1:23" x14ac:dyDescent="0.25">
      <c r="A20" s="13">
        <v>14</v>
      </c>
      <c r="B20" t="s">
        <v>127</v>
      </c>
      <c r="C20" t="s">
        <v>121</v>
      </c>
      <c r="D20" t="s">
        <v>125</v>
      </c>
      <c r="E20" s="7">
        <v>30</v>
      </c>
      <c r="F20" s="55">
        <v>2</v>
      </c>
      <c r="G20" s="7">
        <v>0</v>
      </c>
      <c r="H20" s="7">
        <v>4.5</v>
      </c>
      <c r="I20" s="55">
        <v>0.98</v>
      </c>
      <c r="J20" s="57">
        <v>4.2</v>
      </c>
      <c r="K20" s="7">
        <v>45</v>
      </c>
      <c r="L20" s="7">
        <v>115</v>
      </c>
      <c r="M20" s="56">
        <v>15</v>
      </c>
      <c r="N20" s="7">
        <v>0</v>
      </c>
      <c r="O20" s="7">
        <v>0</v>
      </c>
      <c r="P20" s="7">
        <v>0</v>
      </c>
      <c r="Q20" s="7">
        <v>0</v>
      </c>
      <c r="R20" s="7" t="str">
        <f t="shared" si="1"/>
        <v>Small storage HP water heater: 30 gallon, EF = 2.00, RE = 0.98, Cap = 4.5 kW, UA = 4.20 BTU/hr-F</v>
      </c>
      <c r="S20" t="s">
        <v>248</v>
      </c>
      <c r="T20" s="53" t="s">
        <v>116</v>
      </c>
      <c r="U20" t="str">
        <f t="shared" si="2"/>
        <v xml:space="preserve">Small storage HP water heater: 30 gallon; </v>
      </c>
      <c r="V20" t="str">
        <f t="shared" si="3"/>
        <v>EF = 2.00, RE = 0.98, Cap = 4.5 kW, UA = 4.20 BTU/hr-F</v>
      </c>
      <c r="W20" s="106"/>
    </row>
    <row r="21" spans="1:23" x14ac:dyDescent="0.25">
      <c r="A21" s="13">
        <v>15</v>
      </c>
      <c r="B21" t="s">
        <v>130</v>
      </c>
      <c r="C21" t="s">
        <v>121</v>
      </c>
      <c r="D21" t="s">
        <v>125</v>
      </c>
      <c r="E21" s="7">
        <v>30</v>
      </c>
      <c r="F21" s="55">
        <v>2.2000000000000002</v>
      </c>
      <c r="G21" s="7">
        <v>0</v>
      </c>
      <c r="H21" s="7">
        <v>4.5</v>
      </c>
      <c r="I21" s="55">
        <v>0.98</v>
      </c>
      <c r="J21" s="57">
        <v>4.2</v>
      </c>
      <c r="K21" s="7">
        <v>45</v>
      </c>
      <c r="L21" s="7">
        <v>115</v>
      </c>
      <c r="M21" s="56">
        <v>15</v>
      </c>
      <c r="N21" s="7">
        <v>0</v>
      </c>
      <c r="O21" s="7">
        <v>0</v>
      </c>
      <c r="P21" s="7">
        <v>0</v>
      </c>
      <c r="Q21" s="7">
        <v>0</v>
      </c>
      <c r="R21" s="7" t="str">
        <f t="shared" si="1"/>
        <v>Small storage HP water heater: 30 gallon, EF = 2.20, RE = 0.98, Cap = 4.5 kW, UA = 4.20 BTU/hr-F</v>
      </c>
      <c r="S21" t="s">
        <v>248</v>
      </c>
      <c r="T21" s="53" t="s">
        <v>116</v>
      </c>
      <c r="U21" t="str">
        <f t="shared" si="2"/>
        <v xml:space="preserve">Small storage HP water heater: 30 gallon; </v>
      </c>
      <c r="V21" t="str">
        <f t="shared" si="3"/>
        <v>EF = 2.20, RE = 0.98, Cap = 4.5 kW, UA = 4.20 BTU/hr-F</v>
      </c>
      <c r="W21" s="106"/>
    </row>
    <row r="22" spans="1:23" x14ac:dyDescent="0.25">
      <c r="A22" s="13">
        <v>16</v>
      </c>
      <c r="B22" t="s">
        <v>132</v>
      </c>
      <c r="C22" t="s">
        <v>121</v>
      </c>
      <c r="D22" t="s">
        <v>125</v>
      </c>
      <c r="E22" s="7">
        <v>30</v>
      </c>
      <c r="F22" s="55">
        <v>2.4</v>
      </c>
      <c r="G22" s="7">
        <v>0</v>
      </c>
      <c r="H22" s="7">
        <v>4.5</v>
      </c>
      <c r="I22" s="55">
        <v>0.98</v>
      </c>
      <c r="J22" s="57">
        <v>4.2</v>
      </c>
      <c r="K22" s="7">
        <v>45</v>
      </c>
      <c r="L22" s="7">
        <v>115</v>
      </c>
      <c r="M22" s="56">
        <v>15</v>
      </c>
      <c r="N22" s="7">
        <v>0</v>
      </c>
      <c r="O22" s="7">
        <v>0</v>
      </c>
      <c r="P22" s="7">
        <v>0</v>
      </c>
      <c r="Q22" s="7">
        <v>0</v>
      </c>
      <c r="R22" s="7" t="str">
        <f t="shared" si="1"/>
        <v>Small storage HP water heater: 30 gallon, EF = 2.40, RE = 0.98, Cap = 4.5 kW, UA = 4.20 BTU/hr-F</v>
      </c>
      <c r="S22" t="s">
        <v>248</v>
      </c>
      <c r="T22" s="53" t="s">
        <v>116</v>
      </c>
      <c r="U22" t="str">
        <f t="shared" si="2"/>
        <v xml:space="preserve">Small storage HP water heater: 30 gallon; </v>
      </c>
      <c r="V22" t="str">
        <f t="shared" si="3"/>
        <v>EF = 2.40, RE = 0.98, Cap = 4.5 kW, UA = 4.20 BTU/hr-F</v>
      </c>
      <c r="W22" s="106"/>
    </row>
    <row r="23" spans="1:23" x14ac:dyDescent="0.25">
      <c r="A23" s="13">
        <v>17</v>
      </c>
      <c r="B23" t="s">
        <v>135</v>
      </c>
      <c r="C23" t="s">
        <v>121</v>
      </c>
      <c r="D23" t="s">
        <v>125</v>
      </c>
      <c r="E23" s="7">
        <v>40</v>
      </c>
      <c r="F23" s="55">
        <v>2</v>
      </c>
      <c r="G23" s="7">
        <v>0</v>
      </c>
      <c r="H23" s="7">
        <v>4.5</v>
      </c>
      <c r="I23" s="55">
        <v>0.98</v>
      </c>
      <c r="J23" s="57">
        <v>4.2</v>
      </c>
      <c r="K23" s="7">
        <v>45</v>
      </c>
      <c r="L23" s="7">
        <v>115</v>
      </c>
      <c r="M23" s="56">
        <v>16.7</v>
      </c>
      <c r="N23" s="7">
        <v>0</v>
      </c>
      <c r="O23" s="7">
        <v>0</v>
      </c>
      <c r="P23" s="7">
        <v>0</v>
      </c>
      <c r="Q23" s="7">
        <v>0</v>
      </c>
      <c r="R23" s="7" t="str">
        <f t="shared" si="1"/>
        <v>Small storage HP water heater: 40 gallon, EF = 2.00, RE = 0.98, Cap = 4.5 kW, UA = 4.20 BTU/hr-F</v>
      </c>
      <c r="S23" t="s">
        <v>248</v>
      </c>
      <c r="T23" s="53" t="s">
        <v>116</v>
      </c>
      <c r="U23" t="str">
        <f t="shared" si="2"/>
        <v xml:space="preserve">Small storage HP water heater: 40 gallon; </v>
      </c>
      <c r="V23" t="str">
        <f t="shared" si="3"/>
        <v>EF = 2.00, RE = 0.98, Cap = 4.5 kW, UA = 4.20 BTU/hr-F</v>
      </c>
      <c r="W23" s="106"/>
    </row>
    <row r="24" spans="1:23" x14ac:dyDescent="0.25">
      <c r="A24" s="13">
        <v>18</v>
      </c>
      <c r="B24" t="s">
        <v>137</v>
      </c>
      <c r="C24" t="s">
        <v>121</v>
      </c>
      <c r="D24" t="s">
        <v>125</v>
      </c>
      <c r="E24" s="7">
        <v>40</v>
      </c>
      <c r="F24" s="55">
        <v>2.2000000000000002</v>
      </c>
      <c r="G24" s="7">
        <v>0</v>
      </c>
      <c r="H24" s="7">
        <v>4.5</v>
      </c>
      <c r="I24" s="55">
        <v>0.98</v>
      </c>
      <c r="J24" s="57">
        <v>4.2</v>
      </c>
      <c r="K24" s="7">
        <v>45</v>
      </c>
      <c r="L24" s="7">
        <v>115</v>
      </c>
      <c r="M24" s="56">
        <v>16.7</v>
      </c>
      <c r="N24" s="7">
        <v>0</v>
      </c>
      <c r="O24" s="7">
        <v>0</v>
      </c>
      <c r="P24" s="7">
        <v>0</v>
      </c>
      <c r="Q24" s="7">
        <v>0</v>
      </c>
      <c r="R24" s="7" t="str">
        <f t="shared" si="1"/>
        <v>Small storage HP water heater: 40 gallon, EF = 2.20, RE = 0.98, Cap = 4.5 kW, UA = 4.20 BTU/hr-F</v>
      </c>
      <c r="S24" t="s">
        <v>248</v>
      </c>
      <c r="T24" s="53" t="s">
        <v>116</v>
      </c>
      <c r="U24" t="str">
        <f t="shared" si="2"/>
        <v xml:space="preserve">Small storage HP water heater: 40 gallon; </v>
      </c>
      <c r="V24" t="str">
        <f t="shared" si="3"/>
        <v>EF = 2.20, RE = 0.98, Cap = 4.5 kW, UA = 4.20 BTU/hr-F</v>
      </c>
      <c r="W24" s="106"/>
    </row>
    <row r="25" spans="1:23" x14ac:dyDescent="0.25">
      <c r="A25" s="13">
        <v>19</v>
      </c>
      <c r="B25" t="s">
        <v>139</v>
      </c>
      <c r="C25" t="s">
        <v>121</v>
      </c>
      <c r="D25" t="s">
        <v>125</v>
      </c>
      <c r="E25" s="7">
        <v>40</v>
      </c>
      <c r="F25" s="55">
        <v>2.4</v>
      </c>
      <c r="G25" s="7">
        <v>0</v>
      </c>
      <c r="H25" s="7">
        <v>4.5</v>
      </c>
      <c r="I25" s="55">
        <v>0.98</v>
      </c>
      <c r="J25" s="57">
        <v>4.2</v>
      </c>
      <c r="K25" s="7">
        <v>45</v>
      </c>
      <c r="L25" s="7">
        <v>115</v>
      </c>
      <c r="M25" s="56">
        <v>16.7</v>
      </c>
      <c r="N25" s="7">
        <v>0</v>
      </c>
      <c r="O25" s="7">
        <v>0</v>
      </c>
      <c r="P25" s="7">
        <v>0</v>
      </c>
      <c r="Q25" s="7">
        <v>0</v>
      </c>
      <c r="R25" s="7" t="str">
        <f t="shared" si="1"/>
        <v>Small storage HP water heater: 40 gallon, EF = 2.40, RE = 0.98, Cap = 4.5 kW, UA = 4.20 BTU/hr-F</v>
      </c>
      <c r="S25" t="s">
        <v>248</v>
      </c>
      <c r="T25" s="53" t="s">
        <v>116</v>
      </c>
      <c r="U25" t="str">
        <f t="shared" si="2"/>
        <v xml:space="preserve">Small storage HP water heater: 40 gallon; </v>
      </c>
      <c r="V25" t="str">
        <f t="shared" si="3"/>
        <v>EF = 2.40, RE = 0.98, Cap = 4.5 kW, UA = 4.20 BTU/hr-F</v>
      </c>
      <c r="W25" s="106"/>
    </row>
    <row r="26" spans="1:23" x14ac:dyDescent="0.25">
      <c r="A26" s="13">
        <v>20</v>
      </c>
      <c r="B26" t="s">
        <v>142</v>
      </c>
      <c r="C26" t="s">
        <v>121</v>
      </c>
      <c r="D26" t="s">
        <v>125</v>
      </c>
      <c r="E26" s="7">
        <v>50</v>
      </c>
      <c r="F26" s="55">
        <v>2</v>
      </c>
      <c r="G26" s="7">
        <v>0</v>
      </c>
      <c r="H26" s="7">
        <v>5</v>
      </c>
      <c r="I26" s="55">
        <v>0.98</v>
      </c>
      <c r="J26" s="57">
        <v>4.2</v>
      </c>
      <c r="K26" s="7">
        <v>45</v>
      </c>
      <c r="L26" s="7">
        <v>115</v>
      </c>
      <c r="M26" s="56">
        <v>18.3</v>
      </c>
      <c r="N26" s="7">
        <v>0</v>
      </c>
      <c r="O26" s="7">
        <v>0</v>
      </c>
      <c r="P26" s="7">
        <v>0</v>
      </c>
      <c r="Q26" s="7">
        <v>0</v>
      </c>
      <c r="R26" s="7" t="str">
        <f t="shared" si="1"/>
        <v>Small storage HP water heater: 50 gallon, EF = 2.00, RE = 0.98, Cap = 5 kW, UA = 4.20 BTU/hr-F</v>
      </c>
      <c r="S26" t="s">
        <v>248</v>
      </c>
      <c r="T26" s="53" t="s">
        <v>116</v>
      </c>
      <c r="U26" t="str">
        <f t="shared" si="2"/>
        <v xml:space="preserve">Small storage HP water heater: 50 gallon; </v>
      </c>
      <c r="V26" t="str">
        <f t="shared" si="3"/>
        <v>EF = 2.00, RE = 0.98, Cap = 5 kW, UA = 4.20 BTU/hr-F</v>
      </c>
      <c r="W26" s="106"/>
    </row>
    <row r="27" spans="1:23" x14ac:dyDescent="0.25">
      <c r="A27" s="13">
        <v>21</v>
      </c>
      <c r="B27" t="s">
        <v>144</v>
      </c>
      <c r="C27" t="s">
        <v>121</v>
      </c>
      <c r="D27" t="s">
        <v>125</v>
      </c>
      <c r="E27" s="7">
        <v>50</v>
      </c>
      <c r="F27" s="55">
        <v>2.2000000000000002</v>
      </c>
      <c r="G27" s="7">
        <v>0</v>
      </c>
      <c r="H27" s="7">
        <v>5</v>
      </c>
      <c r="I27" s="55">
        <v>0.98</v>
      </c>
      <c r="J27" s="57">
        <v>4.2</v>
      </c>
      <c r="K27" s="7">
        <v>45</v>
      </c>
      <c r="L27" s="7">
        <v>115</v>
      </c>
      <c r="M27" s="56">
        <v>18.3</v>
      </c>
      <c r="N27" s="7">
        <v>0</v>
      </c>
      <c r="O27" s="7">
        <v>0</v>
      </c>
      <c r="P27" s="7">
        <v>0</v>
      </c>
      <c r="Q27" s="7">
        <v>0</v>
      </c>
      <c r="R27" s="7" t="str">
        <f t="shared" si="1"/>
        <v>Small storage HP water heater: 50 gallon, EF = 2.20, RE = 0.98, Cap = 5 kW, UA = 4.20 BTU/hr-F</v>
      </c>
      <c r="S27" t="s">
        <v>248</v>
      </c>
      <c r="T27" s="53" t="s">
        <v>116</v>
      </c>
      <c r="U27" t="str">
        <f t="shared" si="2"/>
        <v xml:space="preserve">Small storage HP water heater: 50 gallon; </v>
      </c>
      <c r="V27" t="str">
        <f t="shared" si="3"/>
        <v>EF = 2.20, RE = 0.98, Cap = 5 kW, UA = 4.20 BTU/hr-F</v>
      </c>
      <c r="W27" s="106"/>
    </row>
    <row r="28" spans="1:23" x14ac:dyDescent="0.25">
      <c r="A28" s="13">
        <v>22</v>
      </c>
      <c r="B28" t="s">
        <v>249</v>
      </c>
      <c r="C28" t="s">
        <v>121</v>
      </c>
      <c r="D28" t="s">
        <v>125</v>
      </c>
      <c r="E28" s="7">
        <v>50</v>
      </c>
      <c r="F28" s="55">
        <v>2.4</v>
      </c>
      <c r="G28" s="7">
        <v>0</v>
      </c>
      <c r="H28" s="7">
        <v>5</v>
      </c>
      <c r="I28" s="55">
        <v>0.98</v>
      </c>
      <c r="J28" s="57">
        <v>4.2</v>
      </c>
      <c r="K28" s="7">
        <v>45</v>
      </c>
      <c r="L28" s="7">
        <v>115</v>
      </c>
      <c r="M28" s="56">
        <v>18.3</v>
      </c>
      <c r="N28" s="7">
        <v>0</v>
      </c>
      <c r="O28" s="7">
        <v>0</v>
      </c>
      <c r="P28" s="7">
        <v>0</v>
      </c>
      <c r="Q28" s="7">
        <v>0</v>
      </c>
      <c r="R28" s="7" t="str">
        <f t="shared" si="1"/>
        <v>Small storage HP water heater: 50 gallon, EF = 2.40, RE = 0.98, Cap = 5 kW, UA = 4.20 BTU/hr-F</v>
      </c>
      <c r="S28" t="s">
        <v>248</v>
      </c>
      <c r="T28" s="53" t="s">
        <v>116</v>
      </c>
      <c r="U28" t="str">
        <f t="shared" si="2"/>
        <v xml:space="preserve">Small storage HP water heater: 50 gallon; </v>
      </c>
      <c r="V28" t="str">
        <f t="shared" si="3"/>
        <v>EF = 2.40, RE = 0.98, Cap = 5 kW, UA = 4.20 BTU/hr-F</v>
      </c>
      <c r="W28" s="106"/>
    </row>
    <row r="29" spans="1:23" x14ac:dyDescent="0.25">
      <c r="A29" s="13">
        <v>23</v>
      </c>
      <c r="B29" t="s">
        <v>147</v>
      </c>
      <c r="C29" t="s">
        <v>121</v>
      </c>
      <c r="D29" s="7" t="s">
        <v>125</v>
      </c>
      <c r="E29" s="7">
        <v>60</v>
      </c>
      <c r="F29" s="55">
        <v>1.98</v>
      </c>
      <c r="G29" s="7">
        <v>0</v>
      </c>
      <c r="H29" s="7">
        <v>5.5</v>
      </c>
      <c r="I29" s="55">
        <v>0.98</v>
      </c>
      <c r="J29" s="57">
        <v>4.2</v>
      </c>
      <c r="K29" s="7">
        <v>45</v>
      </c>
      <c r="L29" s="7">
        <v>115</v>
      </c>
      <c r="M29" s="56">
        <v>20</v>
      </c>
      <c r="N29" s="7">
        <v>0</v>
      </c>
      <c r="O29" s="7">
        <v>0</v>
      </c>
      <c r="P29" s="7">
        <v>0</v>
      </c>
      <c r="Q29" s="7">
        <v>0</v>
      </c>
      <c r="R29" s="7" t="str">
        <f t="shared" si="1"/>
        <v>Small storage HP water heater: 60 gallon, EF = 1.98, RE = 0.98, Cap = 5.5 kW, UA = 4.20 BTU/hr-F</v>
      </c>
      <c r="S29" t="s">
        <v>239</v>
      </c>
      <c r="T29" s="53" t="s">
        <v>116</v>
      </c>
      <c r="U29" t="str">
        <f t="shared" si="2"/>
        <v xml:space="preserve">Small storage HP water heater: 60 gallon; </v>
      </c>
      <c r="V29" t="str">
        <f t="shared" si="3"/>
        <v>EF = 1.98, RE = 0.98, Cap = 5.5 kW, UA = 4.20 BTU/hr-F</v>
      </c>
      <c r="W29" s="106"/>
    </row>
    <row r="30" spans="1:23" x14ac:dyDescent="0.25">
      <c r="A30" s="13">
        <v>24</v>
      </c>
      <c r="B30" t="s">
        <v>148</v>
      </c>
      <c r="C30" t="s">
        <v>121</v>
      </c>
      <c r="D30" t="s">
        <v>125</v>
      </c>
      <c r="E30" s="7">
        <v>60</v>
      </c>
      <c r="F30" s="55">
        <v>2.2000000000000002</v>
      </c>
      <c r="G30" s="7">
        <v>0</v>
      </c>
      <c r="H30" s="7">
        <v>5.5</v>
      </c>
      <c r="I30" s="55">
        <v>0.98</v>
      </c>
      <c r="J30" s="57">
        <v>4.2</v>
      </c>
      <c r="K30" s="7">
        <v>45</v>
      </c>
      <c r="L30" s="7">
        <v>115</v>
      </c>
      <c r="M30" s="56">
        <v>20</v>
      </c>
      <c r="N30" s="7">
        <v>0</v>
      </c>
      <c r="O30" s="7">
        <v>0</v>
      </c>
      <c r="P30" s="7">
        <v>0</v>
      </c>
      <c r="Q30" s="7">
        <v>0</v>
      </c>
      <c r="R30" s="7" t="str">
        <f t="shared" si="1"/>
        <v>Small storage HP water heater: 60 gallon, EF = 2.20, RE = 0.98, Cap = 5.5 kW, UA = 4.20 BTU/hr-F</v>
      </c>
      <c r="S30" t="s">
        <v>248</v>
      </c>
      <c r="T30" s="53" t="s">
        <v>116</v>
      </c>
      <c r="U30" t="str">
        <f t="shared" si="2"/>
        <v xml:space="preserve">Small storage HP water heater: 60 gallon; </v>
      </c>
      <c r="V30" t="str">
        <f t="shared" si="3"/>
        <v>EF = 2.20, RE = 0.98, Cap = 5.5 kW, UA = 4.20 BTU/hr-F</v>
      </c>
      <c r="W30" s="106"/>
    </row>
    <row r="31" spans="1:23" x14ac:dyDescent="0.25">
      <c r="A31" s="13">
        <v>25</v>
      </c>
      <c r="B31" t="s">
        <v>150</v>
      </c>
      <c r="C31" t="s">
        <v>121</v>
      </c>
      <c r="D31" t="s">
        <v>125</v>
      </c>
      <c r="E31" s="7">
        <v>60</v>
      </c>
      <c r="F31" s="55">
        <v>2.4</v>
      </c>
      <c r="G31" s="7">
        <v>0</v>
      </c>
      <c r="H31" s="7">
        <v>5.5</v>
      </c>
      <c r="I31" s="55">
        <v>0.98</v>
      </c>
      <c r="J31" s="57">
        <v>4.2</v>
      </c>
      <c r="K31" s="7">
        <v>45</v>
      </c>
      <c r="L31" s="7">
        <v>115</v>
      </c>
      <c r="M31" s="56">
        <v>20</v>
      </c>
      <c r="N31" s="7">
        <v>0</v>
      </c>
      <c r="O31" s="7">
        <v>0</v>
      </c>
      <c r="P31" s="7">
        <v>0</v>
      </c>
      <c r="Q31" s="7">
        <v>0</v>
      </c>
      <c r="R31" s="7" t="str">
        <f t="shared" si="1"/>
        <v>Small storage HP water heater: 60 gallon, EF = 2.40, RE = 0.98, Cap = 5.5 kW, UA = 4.20 BTU/hr-F</v>
      </c>
      <c r="S31" t="s">
        <v>248</v>
      </c>
      <c r="T31" s="53" t="s">
        <v>116</v>
      </c>
      <c r="U31" t="str">
        <f t="shared" si="2"/>
        <v xml:space="preserve">Small storage HP water heater: 60 gallon; </v>
      </c>
      <c r="V31" t="str">
        <f t="shared" si="3"/>
        <v>EF = 2.40, RE = 0.98, Cap = 5.5 kW, UA = 4.20 BTU/hr-F</v>
      </c>
      <c r="W31" s="106"/>
    </row>
    <row r="32" spans="1:23" x14ac:dyDescent="0.25">
      <c r="A32" s="13">
        <v>26</v>
      </c>
      <c r="B32" t="s">
        <v>152</v>
      </c>
      <c r="C32" t="s">
        <v>121</v>
      </c>
      <c r="D32" s="7" t="s">
        <v>125</v>
      </c>
      <c r="E32" s="7">
        <v>75</v>
      </c>
      <c r="F32" s="55">
        <v>1.96</v>
      </c>
      <c r="G32" s="7">
        <v>0</v>
      </c>
      <c r="H32" s="7">
        <v>5.5</v>
      </c>
      <c r="I32" s="55">
        <v>0.98</v>
      </c>
      <c r="J32" s="57">
        <v>4.2</v>
      </c>
      <c r="K32" s="7">
        <v>45</v>
      </c>
      <c r="L32" s="7">
        <v>115</v>
      </c>
      <c r="M32" s="56">
        <v>25</v>
      </c>
      <c r="N32" s="7">
        <v>0</v>
      </c>
      <c r="O32" s="7">
        <v>0</v>
      </c>
      <c r="P32" s="7">
        <v>0</v>
      </c>
      <c r="Q32" s="7">
        <v>0</v>
      </c>
      <c r="R32" s="7" t="str">
        <f t="shared" si="1"/>
        <v>Small storage HP water heater: 75 gallon, EF = 1.96, RE = 0.98, Cap = 5.5 kW, UA = 4.20 BTU/hr-F</v>
      </c>
      <c r="S32" t="s">
        <v>239</v>
      </c>
      <c r="T32" s="53" t="s">
        <v>116</v>
      </c>
      <c r="U32" t="str">
        <f t="shared" si="2"/>
        <v xml:space="preserve">Small storage HP water heater: 75 gallon; </v>
      </c>
      <c r="V32" t="str">
        <f t="shared" si="3"/>
        <v>EF = 1.96, RE = 0.98, Cap = 5.5 kW, UA = 4.20 BTU/hr-F</v>
      </c>
      <c r="W32" s="106"/>
    </row>
    <row r="33" spans="1:23" x14ac:dyDescent="0.25">
      <c r="A33" s="13">
        <v>27</v>
      </c>
      <c r="B33" t="s">
        <v>153</v>
      </c>
      <c r="C33" t="s">
        <v>121</v>
      </c>
      <c r="D33" t="s">
        <v>125</v>
      </c>
      <c r="E33" s="7">
        <v>75</v>
      </c>
      <c r="F33" s="55">
        <v>2.2000000000000002</v>
      </c>
      <c r="G33" s="7">
        <v>0</v>
      </c>
      <c r="H33" s="7">
        <v>5.5</v>
      </c>
      <c r="I33" s="55">
        <v>0.98</v>
      </c>
      <c r="J33" s="57">
        <v>4.2</v>
      </c>
      <c r="K33" s="7">
        <v>45</v>
      </c>
      <c r="L33" s="7">
        <v>115</v>
      </c>
      <c r="M33" s="56">
        <v>25</v>
      </c>
      <c r="N33" s="7">
        <v>0</v>
      </c>
      <c r="O33" s="7">
        <v>0</v>
      </c>
      <c r="P33" s="7">
        <v>0</v>
      </c>
      <c r="Q33" s="7">
        <v>0</v>
      </c>
      <c r="R33" s="7" t="str">
        <f t="shared" si="1"/>
        <v>Small storage HP water heater: 75 gallon, EF = 2.20, RE = 0.98, Cap = 5.5 kW, UA = 4.20 BTU/hr-F</v>
      </c>
      <c r="S33" t="s">
        <v>248</v>
      </c>
      <c r="T33" s="53" t="s">
        <v>116</v>
      </c>
      <c r="U33" t="str">
        <f t="shared" si="2"/>
        <v xml:space="preserve">Small storage HP water heater: 75 gallon; </v>
      </c>
      <c r="V33" t="str">
        <f t="shared" si="3"/>
        <v>EF = 2.20, RE = 0.98, Cap = 5.5 kW, UA = 4.20 BTU/hr-F</v>
      </c>
      <c r="W33" s="106"/>
    </row>
    <row r="34" spans="1:23" x14ac:dyDescent="0.25">
      <c r="A34" s="13">
        <v>28</v>
      </c>
      <c r="B34" t="s">
        <v>155</v>
      </c>
      <c r="C34" t="s">
        <v>121</v>
      </c>
      <c r="D34" t="s">
        <v>125</v>
      </c>
      <c r="E34" s="7">
        <v>75</v>
      </c>
      <c r="F34" s="55">
        <v>2.4</v>
      </c>
      <c r="G34" s="7">
        <v>0</v>
      </c>
      <c r="H34" s="7">
        <v>5.5</v>
      </c>
      <c r="I34" s="55">
        <v>0.98</v>
      </c>
      <c r="J34" s="57">
        <v>4.2</v>
      </c>
      <c r="K34" s="7">
        <v>45</v>
      </c>
      <c r="L34" s="7">
        <v>115</v>
      </c>
      <c r="M34" s="56">
        <v>25</v>
      </c>
      <c r="N34" s="7">
        <v>0</v>
      </c>
      <c r="O34" s="7">
        <v>0</v>
      </c>
      <c r="P34" s="7">
        <v>0</v>
      </c>
      <c r="Q34" s="7">
        <v>0</v>
      </c>
      <c r="R34" s="7" t="str">
        <f t="shared" si="1"/>
        <v>Small storage HP water heater: 75 gallon, EF = 2.40, RE = 0.98, Cap = 5.5 kW, UA = 4.20 BTU/hr-F</v>
      </c>
      <c r="S34" t="s">
        <v>248</v>
      </c>
      <c r="T34" s="53" t="s">
        <v>116</v>
      </c>
      <c r="U34" t="str">
        <f t="shared" si="2"/>
        <v xml:space="preserve">Small storage HP water heater: 75 gallon; </v>
      </c>
      <c r="V34" t="str">
        <f t="shared" si="3"/>
        <v>EF = 2.40, RE = 0.98, Cap = 5.5 kW, UA = 4.20 BTU/hr-F</v>
      </c>
      <c r="W34" s="106"/>
    </row>
    <row r="35" spans="1:23" x14ac:dyDescent="0.25">
      <c r="A35" s="13">
        <v>29</v>
      </c>
      <c r="B35" t="s">
        <v>250</v>
      </c>
      <c r="C35" t="s">
        <v>156</v>
      </c>
      <c r="D35" t="s">
        <v>158</v>
      </c>
      <c r="E35" s="7">
        <v>30</v>
      </c>
      <c r="F35" s="55">
        <v>0.56999999999999995</v>
      </c>
      <c r="G35" s="7">
        <v>30</v>
      </c>
      <c r="H35" s="7">
        <v>0</v>
      </c>
      <c r="I35" s="55">
        <v>0.75800000000000001</v>
      </c>
      <c r="J35" s="57">
        <v>9.2970000000000006</v>
      </c>
      <c r="N35" s="7">
        <v>0</v>
      </c>
      <c r="O35" s="7">
        <v>0</v>
      </c>
      <c r="P35" s="7">
        <v>350</v>
      </c>
      <c r="Q35" s="7">
        <v>0.67</v>
      </c>
      <c r="R35" s="7" t="str">
        <f t="shared" si="1"/>
        <v>Small storage Gas water heater: 30 gallon, EF = 0.57, RE = 0.758, Cap = 30kBTUh, UA = 9.30 BTU/hr-F, AuxBTUh: 350</v>
      </c>
      <c r="S35" t="s">
        <v>237</v>
      </c>
      <c r="T35" s="53" t="s">
        <v>116</v>
      </c>
      <c r="U35" t="str">
        <f t="shared" si="2"/>
        <v xml:space="preserve">Small storage Gas water heater: 30 gallon; </v>
      </c>
      <c r="V35" t="str">
        <f t="shared" si="3"/>
        <v>EF = 0.57, RE = 0.758, Cap = 30kBTUh, UA = 9.30 BTU/hr-F, AuxBTUh: 350</v>
      </c>
      <c r="W35" s="106"/>
    </row>
    <row r="36" spans="1:23" x14ac:dyDescent="0.25">
      <c r="A36" s="13">
        <v>30</v>
      </c>
      <c r="B36" t="s">
        <v>251</v>
      </c>
      <c r="C36" t="s">
        <v>156</v>
      </c>
      <c r="D36" t="s">
        <v>158</v>
      </c>
      <c r="E36" s="7">
        <v>30</v>
      </c>
      <c r="F36" s="55">
        <v>0.57999999999999996</v>
      </c>
      <c r="G36" s="7">
        <v>30</v>
      </c>
      <c r="H36" s="7">
        <v>0</v>
      </c>
      <c r="I36" s="55">
        <v>0.75800000000000001</v>
      </c>
      <c r="J36" s="57">
        <v>8.6341999999999999</v>
      </c>
      <c r="N36" s="7">
        <v>0</v>
      </c>
      <c r="O36" s="7">
        <v>0</v>
      </c>
      <c r="P36" s="7">
        <v>350</v>
      </c>
      <c r="Q36" s="7">
        <v>0.67</v>
      </c>
      <c r="R36" s="7" t="str">
        <f t="shared" si="1"/>
        <v>Small storage Gas water heater: 30 gallon, EF = 0.58, RE = 0.758, Cap = 30kBTUh, UA = 8.63 BTU/hr-F, AuxBTUh: 350</v>
      </c>
      <c r="S36" t="s">
        <v>237</v>
      </c>
      <c r="T36" s="53" t="s">
        <v>116</v>
      </c>
      <c r="U36" t="str">
        <f t="shared" si="2"/>
        <v xml:space="preserve">Small storage Gas water heater: 30 gallon; </v>
      </c>
      <c r="V36" t="str">
        <f t="shared" si="3"/>
        <v>EF = 0.58, RE = 0.758, Cap = 30kBTUh, UA = 8.63 BTU/hr-F, AuxBTUh: 350</v>
      </c>
      <c r="W36" s="106"/>
    </row>
    <row r="37" spans="1:23" x14ac:dyDescent="0.25">
      <c r="A37" s="13">
        <v>31</v>
      </c>
      <c r="B37" t="s">
        <v>252</v>
      </c>
      <c r="C37" t="s">
        <v>156</v>
      </c>
      <c r="D37" t="s">
        <v>158</v>
      </c>
      <c r="E37" s="7">
        <v>30</v>
      </c>
      <c r="F37" s="55">
        <v>0.61299999999999999</v>
      </c>
      <c r="G37" s="7">
        <v>30</v>
      </c>
      <c r="H37" s="7">
        <v>0</v>
      </c>
      <c r="I37" s="55">
        <v>0.75800000000000001</v>
      </c>
      <c r="J37" s="57">
        <v>6.6158999999999999</v>
      </c>
      <c r="N37" s="7">
        <v>0</v>
      </c>
      <c r="O37" s="7">
        <v>0</v>
      </c>
      <c r="P37" s="7">
        <v>350</v>
      </c>
      <c r="Q37" s="7">
        <v>0.67</v>
      </c>
      <c r="R37" s="7" t="str">
        <f t="shared" si="1"/>
        <v>Small storage Gas water heater: 30 gallon, EF = 0.61, RE = 0.758, Cap = 30kBTUh, UA = 6.62 BTU/hr-F, AuxBTUh: 350</v>
      </c>
      <c r="S37" t="s">
        <v>237</v>
      </c>
      <c r="T37" s="53" t="s">
        <v>116</v>
      </c>
      <c r="U37" t="str">
        <f t="shared" si="2"/>
        <v xml:space="preserve">Small storage Gas water heater: 30 gallon; </v>
      </c>
      <c r="V37" t="str">
        <f t="shared" si="3"/>
        <v>EF = 0.61, RE = 0.758, Cap = 30kBTUh, UA = 6.62 BTU/hr-F, AuxBTUh: 350</v>
      </c>
      <c r="W37" s="106"/>
    </row>
    <row r="38" spans="1:23" x14ac:dyDescent="0.25">
      <c r="A38" s="13">
        <v>32</v>
      </c>
      <c r="B38" t="s">
        <v>159</v>
      </c>
      <c r="C38" t="s">
        <v>156</v>
      </c>
      <c r="D38" t="s">
        <v>158</v>
      </c>
      <c r="E38" s="7">
        <v>30</v>
      </c>
      <c r="F38" s="55">
        <v>0.63</v>
      </c>
      <c r="G38" s="7">
        <v>30</v>
      </c>
      <c r="H38" s="7">
        <v>0</v>
      </c>
      <c r="I38" s="55">
        <v>0.81</v>
      </c>
      <c r="J38" s="57">
        <v>7.9691999999999998</v>
      </c>
      <c r="N38" s="7">
        <v>0</v>
      </c>
      <c r="O38" s="7">
        <v>0</v>
      </c>
      <c r="P38" s="7">
        <v>350</v>
      </c>
      <c r="Q38" s="7">
        <v>0.67</v>
      </c>
      <c r="R38" s="7" t="str">
        <f t="shared" si="1"/>
        <v>Small storage Gas water heater: 30 gallon, EF = 0.63, RE = 0.81, Cap = 30kBTUh, UA = 7.97 BTU/hr-F, AuxBTUh: 350</v>
      </c>
      <c r="S38" t="s">
        <v>239</v>
      </c>
      <c r="T38" s="53" t="s">
        <v>116</v>
      </c>
      <c r="U38" t="str">
        <f t="shared" si="2"/>
        <v xml:space="preserve">Small storage Gas water heater: 30 gallon; </v>
      </c>
      <c r="V38" t="str">
        <f t="shared" si="3"/>
        <v>EF = 0.63, RE = 0.81, Cap = 30kBTUh, UA = 7.97 BTU/hr-F, AuxBTUh: 350</v>
      </c>
      <c r="W38" s="106"/>
    </row>
    <row r="39" spans="1:23" x14ac:dyDescent="0.25">
      <c r="A39" s="13">
        <v>33</v>
      </c>
      <c r="B39" t="s">
        <v>160</v>
      </c>
      <c r="C39" t="s">
        <v>156</v>
      </c>
      <c r="D39" t="s">
        <v>158</v>
      </c>
      <c r="E39" s="7">
        <v>30</v>
      </c>
      <c r="F39" s="55">
        <v>0.65</v>
      </c>
      <c r="G39" s="7">
        <v>30</v>
      </c>
      <c r="H39" s="7">
        <v>0</v>
      </c>
      <c r="I39" s="55">
        <v>0.81</v>
      </c>
      <c r="J39" s="57">
        <v>6.8448000000000002</v>
      </c>
      <c r="N39" s="7">
        <v>0</v>
      </c>
      <c r="O39" s="7">
        <v>0</v>
      </c>
      <c r="P39" s="7">
        <v>350</v>
      </c>
      <c r="Q39" s="7">
        <v>0.67</v>
      </c>
      <c r="R39" s="7" t="str">
        <f t="shared" si="1"/>
        <v>Small storage Gas water heater: 30 gallon, EF = 0.65, RE = 0.81, Cap = 30kBTUh, UA = 6.84 BTU/hr-F, AuxBTUh: 350</v>
      </c>
      <c r="S39" t="s">
        <v>248</v>
      </c>
      <c r="T39" s="53" t="s">
        <v>116</v>
      </c>
      <c r="U39" t="str">
        <f t="shared" si="2"/>
        <v xml:space="preserve">Small storage Gas water heater: 30 gallon; </v>
      </c>
      <c r="V39" t="str">
        <f t="shared" si="3"/>
        <v>EF = 0.65, RE = 0.81, Cap = 30kBTUh, UA = 6.84 BTU/hr-F, AuxBTUh: 350</v>
      </c>
      <c r="W39" s="106"/>
    </row>
    <row r="40" spans="1:23" x14ac:dyDescent="0.25">
      <c r="A40" s="13">
        <v>34</v>
      </c>
      <c r="B40" t="s">
        <v>162</v>
      </c>
      <c r="C40" t="s">
        <v>156</v>
      </c>
      <c r="D40" t="s">
        <v>158</v>
      </c>
      <c r="E40" s="7">
        <v>30</v>
      </c>
      <c r="F40" s="55">
        <v>0.7</v>
      </c>
      <c r="G40" s="7">
        <v>30</v>
      </c>
      <c r="H40" s="7">
        <v>0</v>
      </c>
      <c r="I40" s="55">
        <v>0.81</v>
      </c>
      <c r="J40" s="57">
        <v>4.3398000000000003</v>
      </c>
      <c r="N40" s="7">
        <v>0</v>
      </c>
      <c r="O40" s="7">
        <v>0</v>
      </c>
      <c r="P40" s="7">
        <v>350</v>
      </c>
      <c r="Q40" s="7">
        <v>0.67</v>
      </c>
      <c r="R40" s="7" t="str">
        <f t="shared" si="1"/>
        <v>Small storage Gas water heater: 30 gallon, EF = 0.70, RE = 0.81, Cap = 30kBTUh, UA = 4.34 BTU/hr-F, AuxBTUh: 350</v>
      </c>
      <c r="S40" t="s">
        <v>248</v>
      </c>
      <c r="T40" s="53" t="s">
        <v>116</v>
      </c>
      <c r="U40" t="str">
        <f t="shared" si="2"/>
        <v xml:space="preserve">Small storage Gas water heater: 30 gallon; </v>
      </c>
      <c r="V40" t="str">
        <f t="shared" si="3"/>
        <v>EF = 0.70, RE = 0.81, Cap = 30kBTUh, UA = 4.34 BTU/hr-F, AuxBTUh: 350</v>
      </c>
      <c r="W40" s="106"/>
    </row>
    <row r="41" spans="1:23" x14ac:dyDescent="0.25">
      <c r="A41" s="13">
        <v>35</v>
      </c>
      <c r="B41" t="s">
        <v>164</v>
      </c>
      <c r="C41" t="s">
        <v>156</v>
      </c>
      <c r="D41" t="s">
        <v>158</v>
      </c>
      <c r="E41" s="7">
        <v>30</v>
      </c>
      <c r="F41" s="55">
        <v>0.72</v>
      </c>
      <c r="G41" s="7">
        <v>30</v>
      </c>
      <c r="H41" s="7">
        <v>0</v>
      </c>
      <c r="I41" s="55">
        <v>0.83</v>
      </c>
      <c r="J41" s="57">
        <v>4.2088999999999999</v>
      </c>
      <c r="N41" s="7">
        <v>0</v>
      </c>
      <c r="O41" s="7">
        <v>0</v>
      </c>
      <c r="P41" s="7">
        <v>350</v>
      </c>
      <c r="Q41" s="7">
        <v>0.67</v>
      </c>
      <c r="R41" s="7" t="str">
        <f t="shared" si="1"/>
        <v>Small storage Gas water heater: 30 gallon, EF = 0.72, RE = 0.83, Cap = 30kBTUh, UA = 4.21 BTU/hr-F, AuxBTUh: 350</v>
      </c>
      <c r="S41" t="s">
        <v>248</v>
      </c>
      <c r="T41" s="53" t="s">
        <v>116</v>
      </c>
      <c r="U41" t="str">
        <f t="shared" si="2"/>
        <v xml:space="preserve">Small storage Gas water heater: 30 gallon; </v>
      </c>
      <c r="V41" t="str">
        <f t="shared" si="3"/>
        <v>EF = 0.72, RE = 0.83, Cap = 30kBTUh, UA = 4.21 BTU/hr-F, AuxBTUh: 350</v>
      </c>
      <c r="W41" s="106"/>
    </row>
    <row r="42" spans="1:23" x14ac:dyDescent="0.25">
      <c r="A42" s="13">
        <v>36</v>
      </c>
      <c r="B42" t="s">
        <v>253</v>
      </c>
      <c r="C42" t="s">
        <v>156</v>
      </c>
      <c r="D42" t="s">
        <v>158</v>
      </c>
      <c r="E42" s="7">
        <v>40</v>
      </c>
      <c r="F42" s="55">
        <v>0.56999999999999995</v>
      </c>
      <c r="G42" s="7">
        <v>40</v>
      </c>
      <c r="H42" s="7">
        <v>0</v>
      </c>
      <c r="I42" s="55">
        <v>0.75800000000000001</v>
      </c>
      <c r="J42" s="57">
        <v>9.0454000000000008</v>
      </c>
      <c r="N42" s="7">
        <v>0</v>
      </c>
      <c r="O42" s="7">
        <v>0</v>
      </c>
      <c r="P42" s="7">
        <v>350</v>
      </c>
      <c r="Q42" s="7">
        <v>0.67</v>
      </c>
      <c r="R42" s="7" t="str">
        <f t="shared" si="1"/>
        <v>Small storage Gas water heater: 40 gallon, EF = 0.57, RE = 0.758, Cap = 40kBTUh, UA = 9.05 BTU/hr-F, AuxBTUh: 350</v>
      </c>
      <c r="S42" t="s">
        <v>237</v>
      </c>
      <c r="T42" s="53" t="s">
        <v>116</v>
      </c>
      <c r="U42" t="str">
        <f t="shared" si="2"/>
        <v xml:space="preserve">Small storage Gas water heater: 40 gallon; </v>
      </c>
      <c r="V42" t="str">
        <f t="shared" si="3"/>
        <v>EF = 0.57, RE = 0.758, Cap = 40kBTUh, UA = 9.05 BTU/hr-F, AuxBTUh: 350</v>
      </c>
      <c r="W42" s="106"/>
    </row>
    <row r="43" spans="1:23" x14ac:dyDescent="0.25">
      <c r="A43" s="13">
        <v>37</v>
      </c>
      <c r="B43" t="s">
        <v>254</v>
      </c>
      <c r="C43" t="s">
        <v>156</v>
      </c>
      <c r="D43" t="s">
        <v>158</v>
      </c>
      <c r="E43" s="7">
        <v>40</v>
      </c>
      <c r="F43" s="55">
        <v>0.57999999999999996</v>
      </c>
      <c r="G43" s="7">
        <v>40</v>
      </c>
      <c r="H43" s="7">
        <v>0</v>
      </c>
      <c r="I43" s="55">
        <v>0.75800000000000001</v>
      </c>
      <c r="J43" s="57">
        <v>8.4047999999999998</v>
      </c>
      <c r="N43" s="7">
        <v>0</v>
      </c>
      <c r="O43" s="7">
        <v>0</v>
      </c>
      <c r="P43" s="7">
        <v>350</v>
      </c>
      <c r="Q43" s="7">
        <v>0.67</v>
      </c>
      <c r="R43" s="7" t="str">
        <f t="shared" si="1"/>
        <v>Small storage Gas water heater: 40 gallon, EF = 0.58, RE = 0.758, Cap = 40kBTUh, UA = 8.40 BTU/hr-F, AuxBTUh: 350</v>
      </c>
      <c r="S43" t="s">
        <v>237</v>
      </c>
      <c r="T43" s="53" t="s">
        <v>116</v>
      </c>
      <c r="U43" t="str">
        <f t="shared" si="2"/>
        <v xml:space="preserve">Small storage Gas water heater: 40 gallon; </v>
      </c>
      <c r="V43" t="str">
        <f t="shared" si="3"/>
        <v>EF = 0.58, RE = 0.758, Cap = 40kBTUh, UA = 8.40 BTU/hr-F, AuxBTUh: 350</v>
      </c>
      <c r="W43" s="106"/>
    </row>
    <row r="44" spans="1:23" x14ac:dyDescent="0.25">
      <c r="A44" s="13">
        <v>38</v>
      </c>
      <c r="B44" t="s">
        <v>255</v>
      </c>
      <c r="C44" t="s">
        <v>156</v>
      </c>
      <c r="D44" t="s">
        <v>158</v>
      </c>
      <c r="E44" s="7">
        <v>40</v>
      </c>
      <c r="F44" s="55">
        <v>0.59399999999999997</v>
      </c>
      <c r="G44" s="7">
        <v>40</v>
      </c>
      <c r="H44" s="7">
        <v>0</v>
      </c>
      <c r="I44" s="55">
        <v>0.75800000000000001</v>
      </c>
      <c r="J44" s="57">
        <v>7.5471000000000004</v>
      </c>
      <c r="N44" s="7">
        <v>0</v>
      </c>
      <c r="O44" s="7">
        <v>0</v>
      </c>
      <c r="P44" s="7">
        <v>350</v>
      </c>
      <c r="Q44" s="7">
        <v>0.67</v>
      </c>
      <c r="R44" s="7" t="str">
        <f t="shared" si="1"/>
        <v>Small storage Gas water heater: 40 gallon, EF = 0.59, RE = 0.758, Cap = 40kBTUh, UA = 7.55 BTU/hr-F, AuxBTUh: 350</v>
      </c>
      <c r="S44" t="s">
        <v>237</v>
      </c>
      <c r="T44" s="53" t="s">
        <v>116</v>
      </c>
      <c r="U44" t="str">
        <f t="shared" si="2"/>
        <v xml:space="preserve">Small storage Gas water heater: 40 gallon; </v>
      </c>
      <c r="V44" t="str">
        <f t="shared" si="3"/>
        <v>EF = 0.59, RE = 0.758, Cap = 40kBTUh, UA = 7.55 BTU/hr-F, AuxBTUh: 350</v>
      </c>
      <c r="W44" s="106"/>
    </row>
    <row r="45" spans="1:23" x14ac:dyDescent="0.25">
      <c r="A45" s="13">
        <v>39</v>
      </c>
      <c r="B45" t="s">
        <v>166</v>
      </c>
      <c r="C45" t="s">
        <v>156</v>
      </c>
      <c r="D45" t="s">
        <v>158</v>
      </c>
      <c r="E45" s="7">
        <v>40</v>
      </c>
      <c r="F45" s="55">
        <v>0.61499999999999999</v>
      </c>
      <c r="G45" s="7">
        <v>40</v>
      </c>
      <c r="H45" s="7">
        <v>0</v>
      </c>
      <c r="I45" s="55">
        <v>0.76</v>
      </c>
      <c r="J45" s="57">
        <v>6.4278000000000004</v>
      </c>
      <c r="N45" s="7">
        <v>0</v>
      </c>
      <c r="O45" s="7">
        <v>0</v>
      </c>
      <c r="P45" s="7">
        <v>350</v>
      </c>
      <c r="Q45" s="7">
        <v>0.67</v>
      </c>
      <c r="R45" s="7" t="str">
        <f t="shared" si="1"/>
        <v>Small storage Gas water heater: 40 gallon, EF = 0.62, RE = 0.76, Cap = 40kBTUh, UA = 6.43 BTU/hr-F, AuxBTUh: 350</v>
      </c>
      <c r="S45" t="s">
        <v>239</v>
      </c>
      <c r="T45" s="53" t="s">
        <v>116</v>
      </c>
      <c r="U45" t="str">
        <f t="shared" si="2"/>
        <v xml:space="preserve">Small storage Gas water heater: 40 gallon; </v>
      </c>
      <c r="V45" t="str">
        <f t="shared" si="3"/>
        <v>EF = 0.62, RE = 0.76, Cap = 40kBTUh, UA = 6.43 BTU/hr-F, AuxBTUh: 350</v>
      </c>
      <c r="W45" s="106"/>
    </row>
    <row r="46" spans="1:23" x14ac:dyDescent="0.25">
      <c r="A46" s="13">
        <v>40</v>
      </c>
      <c r="B46" t="s">
        <v>167</v>
      </c>
      <c r="C46" t="s">
        <v>156</v>
      </c>
      <c r="D46" t="s">
        <v>158</v>
      </c>
      <c r="E46" s="7">
        <v>40</v>
      </c>
      <c r="F46" s="55">
        <v>0.65</v>
      </c>
      <c r="G46" s="7">
        <v>40</v>
      </c>
      <c r="H46" s="7">
        <v>0</v>
      </c>
      <c r="I46" s="55">
        <v>0.76</v>
      </c>
      <c r="J46" s="57">
        <v>4.5952000000000002</v>
      </c>
      <c r="N46" s="7">
        <v>0</v>
      </c>
      <c r="O46" s="7">
        <v>0</v>
      </c>
      <c r="P46" s="7">
        <v>350</v>
      </c>
      <c r="Q46" s="7">
        <v>0.67</v>
      </c>
      <c r="R46" s="7" t="str">
        <f t="shared" si="1"/>
        <v>Small storage Gas water heater: 40 gallon, EF = 0.65, RE = 0.76, Cap = 40kBTUh, UA = 4.60 BTU/hr-F, AuxBTUh: 350</v>
      </c>
      <c r="S46" t="s">
        <v>248</v>
      </c>
      <c r="T46" s="53" t="s">
        <v>116</v>
      </c>
      <c r="U46" t="str">
        <f t="shared" si="2"/>
        <v xml:space="preserve">Small storage Gas water heater: 40 gallon; </v>
      </c>
      <c r="V46" t="str">
        <f t="shared" si="3"/>
        <v>EF = 0.65, RE = 0.76, Cap = 40kBTUh, UA = 4.60 BTU/hr-F, AuxBTUh: 350</v>
      </c>
      <c r="W46" s="106"/>
    </row>
    <row r="47" spans="1:23" x14ac:dyDescent="0.25">
      <c r="A47" s="13">
        <v>41</v>
      </c>
      <c r="B47" t="s">
        <v>169</v>
      </c>
      <c r="C47" t="s">
        <v>156</v>
      </c>
      <c r="D47" t="s">
        <v>158</v>
      </c>
      <c r="E47" s="7">
        <v>40</v>
      </c>
      <c r="F47" s="55">
        <v>0.7</v>
      </c>
      <c r="G47" s="7">
        <v>40</v>
      </c>
      <c r="H47" s="7">
        <v>0</v>
      </c>
      <c r="I47" s="55">
        <v>0.82</v>
      </c>
      <c r="J47" s="57">
        <v>4.6315999999999997</v>
      </c>
      <c r="N47" s="7">
        <v>0</v>
      </c>
      <c r="O47" s="7">
        <v>0</v>
      </c>
      <c r="P47" s="7">
        <v>350</v>
      </c>
      <c r="Q47" s="7">
        <v>0.67</v>
      </c>
      <c r="R47" s="7" t="str">
        <f t="shared" si="1"/>
        <v>Small storage Gas water heater: 40 gallon, EF = 0.70, RE = 0.82, Cap = 40kBTUh, UA = 4.63 BTU/hr-F, AuxBTUh: 350</v>
      </c>
      <c r="S47" t="s">
        <v>248</v>
      </c>
      <c r="T47" s="53" t="s">
        <v>116</v>
      </c>
      <c r="U47" t="str">
        <f t="shared" si="2"/>
        <v xml:space="preserve">Small storage Gas water heater: 40 gallon; </v>
      </c>
      <c r="V47" t="str">
        <f t="shared" si="3"/>
        <v>EF = 0.70, RE = 0.82, Cap = 40kBTUh, UA = 4.63 BTU/hr-F, AuxBTUh: 350</v>
      </c>
      <c r="W47" s="106"/>
    </row>
    <row r="48" spans="1:23" x14ac:dyDescent="0.25">
      <c r="A48" s="13">
        <v>42</v>
      </c>
      <c r="B48" t="s">
        <v>171</v>
      </c>
      <c r="C48" t="s">
        <v>156</v>
      </c>
      <c r="D48" t="s">
        <v>158</v>
      </c>
      <c r="E48" s="7">
        <v>40</v>
      </c>
      <c r="F48" s="55">
        <v>0.82</v>
      </c>
      <c r="G48" s="7">
        <v>40</v>
      </c>
      <c r="H48" s="7">
        <v>0</v>
      </c>
      <c r="I48" s="55">
        <v>0.9</v>
      </c>
      <c r="J48" s="57">
        <v>2.6110000000000002</v>
      </c>
      <c r="N48" s="7">
        <v>0</v>
      </c>
      <c r="O48" s="7">
        <v>50</v>
      </c>
      <c r="P48" s="7">
        <v>350</v>
      </c>
      <c r="Q48" s="7">
        <v>0.67</v>
      </c>
      <c r="R48" s="7" t="str">
        <f t="shared" si="1"/>
        <v>Small storage Gas water heater: 40 gallon, EF = 0.82, RE = 0.9, Cap = 40kBTUh, UA = 2.61 BTU/hr-F, VentW: 50, AuxBTUh: 350</v>
      </c>
      <c r="S48" t="s">
        <v>248</v>
      </c>
      <c r="T48" s="53" t="s">
        <v>116</v>
      </c>
      <c r="U48" t="str">
        <f t="shared" si="2"/>
        <v xml:space="preserve">Small storage Gas water heater: 40 gallon; </v>
      </c>
      <c r="V48" t="str">
        <f t="shared" si="3"/>
        <v>EF = 0.82, RE = 0.9, Cap = 40kBTUh, UA = 2.61 BTU/hr-F, VentW: 50, AuxBTUh: 350</v>
      </c>
      <c r="W48" s="106"/>
    </row>
    <row r="49" spans="1:23" x14ac:dyDescent="0.25">
      <c r="A49" s="13">
        <v>43</v>
      </c>
      <c r="B49" t="s">
        <v>256</v>
      </c>
      <c r="C49" t="s">
        <v>156</v>
      </c>
      <c r="D49" t="s">
        <v>158</v>
      </c>
      <c r="E49" s="7">
        <v>50</v>
      </c>
      <c r="F49" s="55">
        <v>0.56999999999999995</v>
      </c>
      <c r="G49" s="7">
        <v>40</v>
      </c>
      <c r="H49" s="7">
        <v>0</v>
      </c>
      <c r="I49" s="55">
        <v>0.76300000000000001</v>
      </c>
      <c r="J49" s="57">
        <v>9.2859999999999996</v>
      </c>
      <c r="N49" s="7">
        <v>0</v>
      </c>
      <c r="O49" s="7">
        <v>0</v>
      </c>
      <c r="P49" s="7">
        <v>350</v>
      </c>
      <c r="Q49" s="7">
        <v>0.67</v>
      </c>
      <c r="R49" s="7" t="str">
        <f t="shared" si="1"/>
        <v>Small storage Gas water heater: 50 gallon, EF = 0.57, RE = 0.763, Cap = 40kBTUh, UA = 9.29 BTU/hr-F, AuxBTUh: 350</v>
      </c>
      <c r="S49" t="s">
        <v>237</v>
      </c>
      <c r="T49" s="53" t="s">
        <v>116</v>
      </c>
      <c r="U49" t="str">
        <f t="shared" si="2"/>
        <v xml:space="preserve">Small storage Gas water heater: 50 gallon; </v>
      </c>
      <c r="V49" t="str">
        <f t="shared" si="3"/>
        <v>EF = 0.57, RE = 0.763, Cap = 40kBTUh, UA = 9.29 BTU/hr-F, AuxBTUh: 350</v>
      </c>
      <c r="W49" s="106"/>
    </row>
    <row r="50" spans="1:23" x14ac:dyDescent="0.25">
      <c r="A50" s="13">
        <v>44</v>
      </c>
      <c r="B50" t="s">
        <v>257</v>
      </c>
      <c r="C50" t="s">
        <v>156</v>
      </c>
      <c r="D50" t="s">
        <v>158</v>
      </c>
      <c r="E50" s="7">
        <v>50</v>
      </c>
      <c r="F50" s="55">
        <v>0.57499999999999996</v>
      </c>
      <c r="G50" s="7">
        <v>40</v>
      </c>
      <c r="H50" s="7">
        <v>0</v>
      </c>
      <c r="I50" s="55">
        <v>0.76300000000000001</v>
      </c>
      <c r="J50" s="57">
        <v>8.9603999999999999</v>
      </c>
      <c r="N50" s="7">
        <v>0</v>
      </c>
      <c r="O50" s="7">
        <v>0</v>
      </c>
      <c r="P50" s="7">
        <v>350</v>
      </c>
      <c r="Q50" s="7">
        <v>0.67</v>
      </c>
      <c r="R50" s="7" t="str">
        <f t="shared" si="1"/>
        <v>Small storage Gas water heater: 50 gallon, EF = 0.58, RE = 0.763, Cap = 40kBTUh, UA = 8.96 BTU/hr-F, AuxBTUh: 350</v>
      </c>
      <c r="S50" t="s">
        <v>237</v>
      </c>
      <c r="T50" s="53" t="s">
        <v>116</v>
      </c>
      <c r="U50" t="str">
        <f t="shared" si="2"/>
        <v xml:space="preserve">Small storage Gas water heater: 50 gallon; </v>
      </c>
      <c r="V50" t="str">
        <f t="shared" si="3"/>
        <v>EF = 0.58, RE = 0.763, Cap = 40kBTUh, UA = 8.96 BTU/hr-F, AuxBTUh: 350</v>
      </c>
      <c r="W50" s="106"/>
    </row>
    <row r="51" spans="1:23" x14ac:dyDescent="0.25">
      <c r="A51" s="13">
        <v>45</v>
      </c>
      <c r="B51" t="s">
        <v>173</v>
      </c>
      <c r="C51" t="s">
        <v>156</v>
      </c>
      <c r="D51" t="s">
        <v>158</v>
      </c>
      <c r="E51" s="7">
        <v>50</v>
      </c>
      <c r="F51" s="55">
        <v>0.6</v>
      </c>
      <c r="G51" s="7">
        <v>40</v>
      </c>
      <c r="H51" s="7">
        <v>0</v>
      </c>
      <c r="I51" s="55">
        <v>0.76300000000000001</v>
      </c>
      <c r="J51" s="57">
        <v>7.4203000000000001</v>
      </c>
      <c r="N51" s="7">
        <v>0</v>
      </c>
      <c r="O51" s="7">
        <v>0</v>
      </c>
      <c r="P51" s="7">
        <v>350</v>
      </c>
      <c r="Q51" s="7">
        <v>0.67</v>
      </c>
      <c r="R51" s="7" t="str">
        <f t="shared" si="1"/>
        <v>Small storage Gas water heater: 50 gallon, EF = 0.60, RE = 0.763, Cap = 40kBTUh, UA = 7.42 BTU/hr-F, AuxBTUh: 350</v>
      </c>
      <c r="S51" t="s">
        <v>239</v>
      </c>
      <c r="T51" s="53" t="s">
        <v>116</v>
      </c>
      <c r="U51" t="str">
        <f t="shared" si="2"/>
        <v xml:space="preserve">Small storage Gas water heater: 50 gallon; </v>
      </c>
      <c r="V51" t="str">
        <f t="shared" si="3"/>
        <v>EF = 0.60, RE = 0.763, Cap = 40kBTUh, UA = 7.42 BTU/hr-F, AuxBTUh: 350</v>
      </c>
      <c r="W51" s="106"/>
    </row>
    <row r="52" spans="1:23" x14ac:dyDescent="0.25">
      <c r="A52" s="13">
        <v>46</v>
      </c>
      <c r="B52" t="s">
        <v>174</v>
      </c>
      <c r="C52" t="s">
        <v>156</v>
      </c>
      <c r="D52" t="s">
        <v>158</v>
      </c>
      <c r="E52" s="7">
        <v>50</v>
      </c>
      <c r="F52" s="55">
        <v>0.67</v>
      </c>
      <c r="G52" s="7">
        <v>40</v>
      </c>
      <c r="H52" s="7">
        <v>0</v>
      </c>
      <c r="I52" s="55">
        <v>0.79</v>
      </c>
      <c r="J52" s="57">
        <v>4.8531000000000004</v>
      </c>
      <c r="N52" s="7">
        <v>0</v>
      </c>
      <c r="O52" s="7">
        <v>0</v>
      </c>
      <c r="P52" s="7">
        <v>350</v>
      </c>
      <c r="Q52" s="7">
        <v>0.67</v>
      </c>
      <c r="R52" s="7" t="str">
        <f t="shared" si="1"/>
        <v>Small storage Gas water heater: 50 gallon, EF = 0.67, RE = 0.79, Cap = 40kBTUh, UA = 4.85 BTU/hr-F, AuxBTUh: 350</v>
      </c>
      <c r="S52" t="s">
        <v>248</v>
      </c>
      <c r="T52" s="53" t="s">
        <v>116</v>
      </c>
      <c r="U52" t="str">
        <f t="shared" si="2"/>
        <v xml:space="preserve">Small storage Gas water heater: 50 gallon; </v>
      </c>
      <c r="V52" t="str">
        <f t="shared" si="3"/>
        <v>EF = 0.67, RE = 0.79, Cap = 40kBTUh, UA = 4.85 BTU/hr-F, AuxBTUh: 350</v>
      </c>
      <c r="W52" s="106"/>
    </row>
    <row r="53" spans="1:23" x14ac:dyDescent="0.25">
      <c r="A53" s="13">
        <v>47</v>
      </c>
      <c r="B53" t="s">
        <v>176</v>
      </c>
      <c r="C53" t="s">
        <v>156</v>
      </c>
      <c r="D53" t="s">
        <v>158</v>
      </c>
      <c r="E53" s="7">
        <v>50</v>
      </c>
      <c r="F53" s="55">
        <v>0.7</v>
      </c>
      <c r="G53" s="7">
        <v>40</v>
      </c>
      <c r="H53" s="7">
        <v>0</v>
      </c>
      <c r="I53" s="55">
        <v>0.82</v>
      </c>
      <c r="J53" s="57">
        <v>4.6315999999999997</v>
      </c>
      <c r="N53" s="7">
        <v>0</v>
      </c>
      <c r="O53" s="7">
        <v>0</v>
      </c>
      <c r="P53" s="7">
        <v>350</v>
      </c>
      <c r="Q53" s="7">
        <v>0.67</v>
      </c>
      <c r="R53" s="7" t="str">
        <f t="shared" si="1"/>
        <v>Small storage Gas water heater: 50 gallon, EF = 0.70, RE = 0.82, Cap = 40kBTUh, UA = 4.63 BTU/hr-F, AuxBTUh: 350</v>
      </c>
      <c r="S53" t="s">
        <v>248</v>
      </c>
      <c r="T53" s="53" t="s">
        <v>116</v>
      </c>
      <c r="U53" t="str">
        <f t="shared" si="2"/>
        <v xml:space="preserve">Small storage Gas water heater: 50 gallon; </v>
      </c>
      <c r="V53" t="str">
        <f t="shared" si="3"/>
        <v>EF = 0.70, RE = 0.82, Cap = 40kBTUh, UA = 4.63 BTU/hr-F, AuxBTUh: 350</v>
      </c>
      <c r="W53" s="106"/>
    </row>
    <row r="54" spans="1:23" x14ac:dyDescent="0.25">
      <c r="A54" s="13">
        <v>48</v>
      </c>
      <c r="B54" t="s">
        <v>178</v>
      </c>
      <c r="C54" t="s">
        <v>156</v>
      </c>
      <c r="D54" t="s">
        <v>158</v>
      </c>
      <c r="E54" s="7">
        <v>50</v>
      </c>
      <c r="F54" s="55">
        <v>0.82</v>
      </c>
      <c r="G54" s="7">
        <v>40</v>
      </c>
      <c r="H54" s="7">
        <v>0</v>
      </c>
      <c r="I54" s="55">
        <v>0.9</v>
      </c>
      <c r="J54" s="57">
        <v>2.6110000000000002</v>
      </c>
      <c r="N54" s="7">
        <v>0</v>
      </c>
      <c r="O54" s="7">
        <v>50</v>
      </c>
      <c r="P54" s="7">
        <v>350</v>
      </c>
      <c r="Q54" s="7">
        <v>0.67</v>
      </c>
      <c r="R54" s="7" t="str">
        <f t="shared" si="1"/>
        <v>Small storage Gas water heater: 50 gallon, EF = 0.82, RE = 0.9, Cap = 40kBTUh, UA = 2.61 BTU/hr-F, VentW: 50, AuxBTUh: 350</v>
      </c>
      <c r="S54" t="s">
        <v>248</v>
      </c>
      <c r="T54" s="53" t="s">
        <v>116</v>
      </c>
      <c r="U54" t="str">
        <f t="shared" si="2"/>
        <v xml:space="preserve">Small storage Gas water heater: 50 gallon; </v>
      </c>
      <c r="V54" t="str">
        <f t="shared" si="3"/>
        <v>EF = 0.82, RE = 0.9, Cap = 40kBTUh, UA = 2.61 BTU/hr-F, VentW: 50, AuxBTUh: 350</v>
      </c>
      <c r="W54" s="106"/>
    </row>
    <row r="55" spans="1:23" x14ac:dyDescent="0.25">
      <c r="A55" s="13">
        <v>49</v>
      </c>
      <c r="B55" t="s">
        <v>258</v>
      </c>
      <c r="C55" t="s">
        <v>156</v>
      </c>
      <c r="D55" t="s">
        <v>158</v>
      </c>
      <c r="E55" s="7">
        <v>60</v>
      </c>
      <c r="F55" s="55">
        <v>0.55600000000000005</v>
      </c>
      <c r="G55" s="7">
        <v>55</v>
      </c>
      <c r="H55" s="7">
        <v>0</v>
      </c>
      <c r="I55" s="55">
        <v>0.76</v>
      </c>
      <c r="J55" s="57">
        <v>9.8587000000000007</v>
      </c>
      <c r="N55" s="7">
        <v>0</v>
      </c>
      <c r="O55" s="7">
        <v>0</v>
      </c>
      <c r="P55" s="7">
        <v>350</v>
      </c>
      <c r="Q55" s="7">
        <v>0.67</v>
      </c>
      <c r="R55" s="7" t="str">
        <f t="shared" si="1"/>
        <v>Small storage Gas water heater: 60 gallon, EF = 0.56, RE = 0.76, Cap = 55kBTUh, UA = 9.86 BTU/hr-F, AuxBTUh: 350</v>
      </c>
      <c r="S55" t="s">
        <v>237</v>
      </c>
      <c r="T55" s="53" t="s">
        <v>116</v>
      </c>
      <c r="U55" t="str">
        <f t="shared" si="2"/>
        <v xml:space="preserve">Small storage Gas water heater: 60 gallon; </v>
      </c>
      <c r="V55" t="str">
        <f t="shared" si="3"/>
        <v>EF = 0.56, RE = 0.76, Cap = 55kBTUh, UA = 9.86 BTU/hr-F, AuxBTUh: 350</v>
      </c>
      <c r="W55" s="106"/>
    </row>
    <row r="56" spans="1:23" x14ac:dyDescent="0.25">
      <c r="A56" s="13">
        <v>50</v>
      </c>
      <c r="B56" t="s">
        <v>180</v>
      </c>
      <c r="C56" t="s">
        <v>156</v>
      </c>
      <c r="D56" t="s">
        <v>158</v>
      </c>
      <c r="E56" s="7">
        <v>60</v>
      </c>
      <c r="F56" s="55">
        <v>0.754</v>
      </c>
      <c r="G56" s="7">
        <v>40</v>
      </c>
      <c r="H56" s="7">
        <v>0</v>
      </c>
      <c r="I56" s="55">
        <v>0.85</v>
      </c>
      <c r="J56" s="57">
        <v>3.4239000000000002</v>
      </c>
      <c r="N56" s="7">
        <v>0</v>
      </c>
      <c r="O56" s="7">
        <v>50</v>
      </c>
      <c r="P56" s="7">
        <v>350</v>
      </c>
      <c r="Q56" s="7">
        <v>0.67</v>
      </c>
      <c r="R56" s="7" t="str">
        <f t="shared" si="1"/>
        <v>Small storage Gas water heater: 60 gallon, EF = 0.75, RE = 0.85, Cap = 40kBTUh, UA = 3.42 BTU/hr-F, VentW: 50, AuxBTUh: 350</v>
      </c>
      <c r="S56" t="s">
        <v>239</v>
      </c>
      <c r="T56" s="53" t="s">
        <v>116</v>
      </c>
      <c r="U56" t="str">
        <f t="shared" si="2"/>
        <v xml:space="preserve">Small storage Gas water heater: 60 gallon; </v>
      </c>
      <c r="V56" t="str">
        <f t="shared" si="3"/>
        <v>EF = 0.75, RE = 0.85, Cap = 40kBTUh, UA = 3.42 BTU/hr-F, VentW: 50, AuxBTUh: 350</v>
      </c>
      <c r="W56" s="106"/>
    </row>
    <row r="57" spans="1:23" x14ac:dyDescent="0.25">
      <c r="A57" s="13">
        <v>51</v>
      </c>
      <c r="B57" t="s">
        <v>181</v>
      </c>
      <c r="C57" t="s">
        <v>156</v>
      </c>
      <c r="D57" t="s">
        <v>158</v>
      </c>
      <c r="E57" s="7">
        <v>60</v>
      </c>
      <c r="F57" s="55">
        <v>0.78</v>
      </c>
      <c r="G57" s="7">
        <v>40</v>
      </c>
      <c r="H57" s="7">
        <v>0</v>
      </c>
      <c r="I57" s="55">
        <v>0.9</v>
      </c>
      <c r="J57" s="57">
        <v>4.1289999999999996</v>
      </c>
      <c r="N57" s="7">
        <v>0</v>
      </c>
      <c r="O57" s="7">
        <v>50</v>
      </c>
      <c r="P57" s="7">
        <v>350</v>
      </c>
      <c r="Q57" s="7">
        <v>0.67</v>
      </c>
      <c r="R57" s="7" t="str">
        <f t="shared" si="1"/>
        <v>Small storage Gas water heater: 60 gallon, EF = 0.78, RE = 0.9, Cap = 40kBTUh, UA = 4.13 BTU/hr-F, VentW: 50, AuxBTUh: 350</v>
      </c>
      <c r="S57" t="s">
        <v>248</v>
      </c>
      <c r="T57" s="53" t="s">
        <v>116</v>
      </c>
      <c r="U57" t="str">
        <f t="shared" si="2"/>
        <v xml:space="preserve">Small storage Gas water heater: 60 gallon; </v>
      </c>
      <c r="V57" t="str">
        <f t="shared" si="3"/>
        <v>EF = 0.78, RE = 0.9, Cap = 40kBTUh, UA = 4.13 BTU/hr-F, VentW: 50, AuxBTUh: 350</v>
      </c>
      <c r="W57" s="106"/>
    </row>
    <row r="58" spans="1:23" x14ac:dyDescent="0.25">
      <c r="A58" s="13">
        <v>52</v>
      </c>
      <c r="B58" t="s">
        <v>183</v>
      </c>
      <c r="C58" t="s">
        <v>156</v>
      </c>
      <c r="D58" t="s">
        <v>158</v>
      </c>
      <c r="E58" s="7">
        <v>60</v>
      </c>
      <c r="F58" s="55">
        <v>0.8</v>
      </c>
      <c r="G58" s="7">
        <v>40</v>
      </c>
      <c r="H58" s="7">
        <v>0</v>
      </c>
      <c r="I58" s="55">
        <v>0.92</v>
      </c>
      <c r="J58" s="57">
        <v>4.0198999999999998</v>
      </c>
      <c r="N58" s="7">
        <v>0</v>
      </c>
      <c r="O58" s="7">
        <v>50</v>
      </c>
      <c r="P58" s="7">
        <v>350</v>
      </c>
      <c r="Q58" s="7">
        <v>0.67</v>
      </c>
      <c r="R58" s="7" t="str">
        <f t="shared" si="1"/>
        <v>Small storage Gas water heater: 60 gallon, EF = 0.80, RE = 0.92, Cap = 40kBTUh, UA = 4.02 BTU/hr-F, VentW: 50, AuxBTUh: 350</v>
      </c>
      <c r="S58" t="s">
        <v>248</v>
      </c>
      <c r="T58" s="53" t="s">
        <v>116</v>
      </c>
      <c r="U58" t="str">
        <f t="shared" si="2"/>
        <v xml:space="preserve">Small storage Gas water heater: 60 gallon; </v>
      </c>
      <c r="V58" t="str">
        <f t="shared" si="3"/>
        <v>EF = 0.80, RE = 0.92, Cap = 40kBTUh, UA = 4.02 BTU/hr-F, VentW: 50, AuxBTUh: 350</v>
      </c>
      <c r="W58" s="106"/>
    </row>
    <row r="59" spans="1:23" x14ac:dyDescent="0.25">
      <c r="A59" s="13">
        <v>53</v>
      </c>
      <c r="B59" t="s">
        <v>185</v>
      </c>
      <c r="C59" t="s">
        <v>156</v>
      </c>
      <c r="D59" t="s">
        <v>158</v>
      </c>
      <c r="E59" s="7">
        <v>60</v>
      </c>
      <c r="F59" s="55">
        <v>0.82</v>
      </c>
      <c r="G59" s="7">
        <v>40</v>
      </c>
      <c r="H59" s="7">
        <v>0</v>
      </c>
      <c r="I59" s="55">
        <v>0.92</v>
      </c>
      <c r="J59" s="57">
        <v>3.2637</v>
      </c>
      <c r="N59" s="7">
        <v>0</v>
      </c>
      <c r="O59" s="7">
        <v>50</v>
      </c>
      <c r="P59" s="7">
        <v>350</v>
      </c>
      <c r="Q59" s="7">
        <v>0.67</v>
      </c>
      <c r="R59" s="7" t="str">
        <f t="shared" si="1"/>
        <v>Small storage Gas water heater: 60 gallon, EF = 0.82, RE = 0.92, Cap = 40kBTUh, UA = 3.26 BTU/hr-F, VentW: 50, AuxBTUh: 350</v>
      </c>
      <c r="S59" t="s">
        <v>248</v>
      </c>
      <c r="T59" s="53" t="s">
        <v>116</v>
      </c>
      <c r="U59" t="str">
        <f t="shared" si="2"/>
        <v xml:space="preserve">Small storage Gas water heater: 60 gallon; </v>
      </c>
      <c r="V59" t="str">
        <f t="shared" si="3"/>
        <v>EF = 0.82, RE = 0.92, Cap = 40kBTUh, UA = 3.26 BTU/hr-F, VentW: 50, AuxBTUh: 350</v>
      </c>
      <c r="W59" s="106"/>
    </row>
    <row r="60" spans="1:23" x14ac:dyDescent="0.25">
      <c r="A60" s="13">
        <v>54</v>
      </c>
      <c r="B60" t="s">
        <v>259</v>
      </c>
      <c r="C60" t="s">
        <v>156</v>
      </c>
      <c r="D60" t="s">
        <v>158</v>
      </c>
      <c r="E60" s="7">
        <v>75</v>
      </c>
      <c r="F60" s="55">
        <v>0.48</v>
      </c>
      <c r="G60" s="7">
        <v>70</v>
      </c>
      <c r="H60" s="7">
        <v>0</v>
      </c>
      <c r="I60" s="55">
        <v>0.76</v>
      </c>
      <c r="J60" s="57">
        <v>15.590999999999999</v>
      </c>
      <c r="N60" s="7">
        <v>0</v>
      </c>
      <c r="O60" s="7">
        <v>0</v>
      </c>
      <c r="P60" s="7">
        <v>350</v>
      </c>
      <c r="Q60" s="7">
        <v>0.67</v>
      </c>
      <c r="R60" s="7" t="str">
        <f t="shared" si="1"/>
        <v>Small storage Gas water heater: 75 gallon, EF = 0.48, RE = 0.76, Cap = 70kBTUh, UA = 15.59 BTU/hr-F, AuxBTUh: 350</v>
      </c>
      <c r="S60" t="s">
        <v>237</v>
      </c>
      <c r="T60" s="53" t="s">
        <v>116</v>
      </c>
      <c r="U60" t="str">
        <f t="shared" si="2"/>
        <v xml:space="preserve">Small storage Gas water heater: 75 gallon; </v>
      </c>
      <c r="V60" t="str">
        <f t="shared" si="3"/>
        <v>EF = 0.48, RE = 0.76, Cap = 70kBTUh, UA = 15.59 BTU/hr-F, AuxBTUh: 350</v>
      </c>
      <c r="W60" s="106"/>
    </row>
    <row r="61" spans="1:23" x14ac:dyDescent="0.25">
      <c r="A61" s="13">
        <v>55</v>
      </c>
      <c r="B61" t="s">
        <v>260</v>
      </c>
      <c r="C61" t="s">
        <v>156</v>
      </c>
      <c r="D61" t="s">
        <v>158</v>
      </c>
      <c r="E61" s="7">
        <v>75</v>
      </c>
      <c r="F61" s="55">
        <v>0.52800000000000002</v>
      </c>
      <c r="G61" s="7">
        <v>70</v>
      </c>
      <c r="H61" s="7">
        <v>0</v>
      </c>
      <c r="I61" s="55">
        <v>0.76</v>
      </c>
      <c r="J61" s="57">
        <v>11.6868</v>
      </c>
      <c r="N61" s="7">
        <v>0</v>
      </c>
      <c r="O61" s="7">
        <v>0</v>
      </c>
      <c r="P61" s="7">
        <v>350</v>
      </c>
      <c r="Q61" s="7">
        <v>0.67</v>
      </c>
      <c r="R61" s="7" t="str">
        <f t="shared" si="1"/>
        <v>Small storage Gas water heater: 75 gallon, EF = 0.53, RE = 0.76, Cap = 70kBTUh, UA = 11.69 BTU/hr-F, AuxBTUh: 350</v>
      </c>
      <c r="S61" t="s">
        <v>237</v>
      </c>
      <c r="T61" s="53" t="s">
        <v>116</v>
      </c>
      <c r="U61" t="str">
        <f t="shared" si="2"/>
        <v xml:space="preserve">Small storage Gas water heater: 75 gallon; </v>
      </c>
      <c r="V61" t="str">
        <f t="shared" si="3"/>
        <v>EF = 0.53, RE = 0.76, Cap = 70kBTUh, UA = 11.69 BTU/hr-F, AuxBTUh: 350</v>
      </c>
      <c r="W61" s="106"/>
    </row>
    <row r="62" spans="1:23" x14ac:dyDescent="0.25">
      <c r="A62" s="13">
        <v>56</v>
      </c>
      <c r="B62" t="s">
        <v>187</v>
      </c>
      <c r="C62" t="s">
        <v>156</v>
      </c>
      <c r="D62" t="s">
        <v>158</v>
      </c>
      <c r="E62" s="7">
        <v>75</v>
      </c>
      <c r="F62" s="55">
        <v>0.74299999999999999</v>
      </c>
      <c r="G62" s="7">
        <v>70</v>
      </c>
      <c r="H62" s="7">
        <v>0</v>
      </c>
      <c r="I62" s="55">
        <v>0.88</v>
      </c>
      <c r="J62" s="57">
        <v>4.8362999999999996</v>
      </c>
      <c r="N62" s="7">
        <v>0</v>
      </c>
      <c r="O62" s="7">
        <v>50</v>
      </c>
      <c r="P62" s="7">
        <v>350</v>
      </c>
      <c r="Q62" s="7">
        <v>0.67</v>
      </c>
      <c r="R62" s="7" t="str">
        <f t="shared" si="1"/>
        <v>Small storage Gas water heater: 75 gallon, EF = 0.74, RE = 0.88, Cap = 70kBTUh, UA = 4.84 BTU/hr-F, VentW: 50, AuxBTUh: 350</v>
      </c>
      <c r="S62" t="s">
        <v>239</v>
      </c>
      <c r="T62" s="53" t="s">
        <v>116</v>
      </c>
      <c r="U62" t="str">
        <f t="shared" si="2"/>
        <v xml:space="preserve">Small storage Gas water heater: 75 gallon; </v>
      </c>
      <c r="V62" t="str">
        <f t="shared" si="3"/>
        <v>EF = 0.74, RE = 0.88, Cap = 70kBTUh, UA = 4.84 BTU/hr-F, VentW: 50, AuxBTUh: 350</v>
      </c>
      <c r="W62" s="106"/>
    </row>
    <row r="63" spans="1:23" x14ac:dyDescent="0.25">
      <c r="A63" s="13">
        <v>57</v>
      </c>
      <c r="B63" t="s">
        <v>188</v>
      </c>
      <c r="C63" t="s">
        <v>156</v>
      </c>
      <c r="D63" t="s">
        <v>158</v>
      </c>
      <c r="E63" s="7">
        <v>75</v>
      </c>
      <c r="F63" s="55">
        <v>0.78</v>
      </c>
      <c r="G63" s="7">
        <v>70</v>
      </c>
      <c r="H63" s="7">
        <v>0</v>
      </c>
      <c r="I63" s="55">
        <v>0.9</v>
      </c>
      <c r="J63" s="57">
        <v>4.0286999999999997</v>
      </c>
      <c r="N63" s="7">
        <v>0</v>
      </c>
      <c r="O63" s="7">
        <v>50</v>
      </c>
      <c r="P63" s="7">
        <v>350</v>
      </c>
      <c r="Q63" s="7">
        <v>0.67</v>
      </c>
      <c r="R63" s="7" t="str">
        <f t="shared" si="1"/>
        <v>Small storage Gas water heater: 75 gallon, EF = 0.78, RE = 0.9, Cap = 70kBTUh, UA = 4.03 BTU/hr-F, VentW: 50, AuxBTUh: 350</v>
      </c>
      <c r="S63" t="s">
        <v>248</v>
      </c>
      <c r="T63" s="53" t="s">
        <v>116</v>
      </c>
      <c r="U63" t="str">
        <f t="shared" si="2"/>
        <v xml:space="preserve">Small storage Gas water heater: 75 gallon; </v>
      </c>
      <c r="V63" t="str">
        <f t="shared" si="3"/>
        <v>EF = 0.78, RE = 0.9, Cap = 70kBTUh, UA = 4.03 BTU/hr-F, VentW: 50, AuxBTUh: 350</v>
      </c>
      <c r="W63" s="106"/>
    </row>
    <row r="64" spans="1:23" x14ac:dyDescent="0.25">
      <c r="A64" s="13">
        <v>58</v>
      </c>
      <c r="B64" t="s">
        <v>190</v>
      </c>
      <c r="C64" t="s">
        <v>156</v>
      </c>
      <c r="D64" t="s">
        <v>158</v>
      </c>
      <c r="E64" s="7">
        <v>75</v>
      </c>
      <c r="F64" s="55">
        <v>0.8</v>
      </c>
      <c r="G64" s="7">
        <v>70</v>
      </c>
      <c r="H64" s="7">
        <v>0</v>
      </c>
      <c r="I64" s="55">
        <v>0.92</v>
      </c>
      <c r="J64" s="57">
        <v>3.9247999999999998</v>
      </c>
      <c r="N64" s="7">
        <v>0</v>
      </c>
      <c r="O64" s="7">
        <v>50</v>
      </c>
      <c r="P64" s="7">
        <v>350</v>
      </c>
      <c r="Q64" s="7">
        <v>0.67</v>
      </c>
      <c r="R64" s="7" t="str">
        <f t="shared" si="1"/>
        <v>Small storage Gas water heater: 75 gallon, EF = 0.80, RE = 0.92, Cap = 70kBTUh, UA = 3.92 BTU/hr-F, VentW: 50, AuxBTUh: 350</v>
      </c>
      <c r="S64" t="s">
        <v>248</v>
      </c>
      <c r="T64" s="53" t="s">
        <v>116</v>
      </c>
      <c r="U64" t="str">
        <f t="shared" si="2"/>
        <v xml:space="preserve">Small storage Gas water heater: 75 gallon; </v>
      </c>
      <c r="V64" t="str">
        <f t="shared" si="3"/>
        <v>EF = 0.80, RE = 0.92, Cap = 70kBTUh, UA = 3.92 BTU/hr-F, VentW: 50, AuxBTUh: 350</v>
      </c>
      <c r="W64" s="106"/>
    </row>
    <row r="65" spans="1:23" x14ac:dyDescent="0.25">
      <c r="A65" s="13">
        <v>59</v>
      </c>
      <c r="B65" t="s">
        <v>192</v>
      </c>
      <c r="C65" t="s">
        <v>156</v>
      </c>
      <c r="D65" t="s">
        <v>158</v>
      </c>
      <c r="E65" s="7">
        <v>75</v>
      </c>
      <c r="F65" s="55">
        <v>0.82</v>
      </c>
      <c r="G65" s="7">
        <v>70</v>
      </c>
      <c r="H65" s="7">
        <v>0</v>
      </c>
      <c r="I65" s="55">
        <v>0.94</v>
      </c>
      <c r="J65" s="57">
        <v>3.8260999999999998</v>
      </c>
      <c r="N65" s="7">
        <v>0</v>
      </c>
      <c r="O65" s="7">
        <v>50</v>
      </c>
      <c r="P65" s="7">
        <v>350</v>
      </c>
      <c r="Q65" s="7">
        <v>0.67</v>
      </c>
      <c r="R65" s="7" t="str">
        <f t="shared" si="1"/>
        <v>Small storage Gas water heater: 75 gallon, EF = 0.82, RE = 0.94, Cap = 70kBTUh, UA = 3.83 BTU/hr-F, VentW: 50, AuxBTUh: 350</v>
      </c>
      <c r="S65" t="s">
        <v>248</v>
      </c>
      <c r="T65" s="53" t="s">
        <v>116</v>
      </c>
      <c r="U65" t="str">
        <f t="shared" si="2"/>
        <v xml:space="preserve">Small storage Gas water heater: 75 gallon; </v>
      </c>
      <c r="V65" t="str">
        <f t="shared" si="3"/>
        <v>EF = 0.82, RE = 0.94, Cap = 70kBTUh, UA = 3.83 BTU/hr-F, VentW: 50, AuxBTUh: 350</v>
      </c>
      <c r="W65" s="106"/>
    </row>
    <row r="66" spans="1:23" x14ac:dyDescent="0.25">
      <c r="A66" s="13">
        <v>60</v>
      </c>
      <c r="B66" t="s">
        <v>196</v>
      </c>
      <c r="C66" t="s">
        <v>193</v>
      </c>
      <c r="D66" t="s">
        <v>158</v>
      </c>
      <c r="E66" s="7">
        <v>75</v>
      </c>
      <c r="F66" s="7">
        <v>0.82</v>
      </c>
      <c r="G66" s="7">
        <v>150</v>
      </c>
      <c r="H66" s="7">
        <v>0</v>
      </c>
      <c r="I66" s="7">
        <v>0.82</v>
      </c>
      <c r="J66" s="57">
        <v>0</v>
      </c>
      <c r="N66" s="7">
        <v>0</v>
      </c>
      <c r="O66" s="7">
        <v>0</v>
      </c>
      <c r="P66" s="7">
        <v>350</v>
      </c>
      <c r="Q66" s="7">
        <v>0.67</v>
      </c>
      <c r="R66" s="109" t="str">
        <f>"Instantaneous "&amp;IF(C66="HP_EF","HP",D66)&amp;" water heater: EF = "&amp;TEXT(F66,"0.00")&amp;", RE = "&amp;I66&amp;", Cap = "&amp;IF(D66="Elec",H66&amp;" kW",G66&amp;"kBTUh")&amp;IF(N66&gt;0,", AuxW: "&amp;N66,"")&amp;IF(O66&gt;0,", VentW: "&amp;O66,"")&amp;IF(P66&gt;0,", AuxBTUh: "&amp;P66,"")</f>
        <v>Instantaneous Gas water heater: EF = 0.82, RE = 0.82, Cap = 150kBTUh, AuxBTUh: 350</v>
      </c>
      <c r="S66" t="s">
        <v>248</v>
      </c>
      <c r="T66" s="53" t="s">
        <v>116</v>
      </c>
      <c r="U66" s="110" t="str">
        <f>"Instantaneous "&amp;IF(C66="HP_EF","HP",D66)&amp;" water heater: "&amp;E66&amp;" gallon; "</f>
        <v xml:space="preserve">Instantaneous Gas water heater: 75 gallon; </v>
      </c>
      <c r="V66" s="110" t="str">
        <f>"EF = "&amp;TEXT(F66,"0.00")&amp;", RE = "&amp;I66&amp;", Cap = "&amp;IF(D66="Elec",H66&amp;" kW",G66&amp;"kBTUh")&amp;IF(N66&gt;0,", AuxW: "&amp;N66,"")&amp;IF(O66&gt;0,", VentW: "&amp;O66,"")&amp;IF(P66&gt;0,", AuxBTUh: "&amp;P66,"")</f>
        <v>EF = 0.82, RE = 0.82, Cap = 150kBTUh, AuxBTUh: 350</v>
      </c>
      <c r="W66" s="106"/>
    </row>
    <row r="67" spans="1:23" x14ac:dyDescent="0.25">
      <c r="A67" s="13">
        <v>61</v>
      </c>
      <c r="B67" t="s">
        <v>198</v>
      </c>
      <c r="C67" t="s">
        <v>193</v>
      </c>
      <c r="D67" t="s">
        <v>158</v>
      </c>
      <c r="E67" s="7">
        <v>75</v>
      </c>
      <c r="F67" s="7">
        <v>0.92</v>
      </c>
      <c r="G67" s="7">
        <v>150</v>
      </c>
      <c r="H67" s="7">
        <v>0</v>
      </c>
      <c r="I67" s="7">
        <v>0.92</v>
      </c>
      <c r="J67" s="57">
        <v>0</v>
      </c>
      <c r="N67" s="7">
        <v>0</v>
      </c>
      <c r="O67" s="7">
        <v>50</v>
      </c>
      <c r="P67" s="7">
        <v>350</v>
      </c>
      <c r="Q67" s="7">
        <v>0.67</v>
      </c>
      <c r="R67" s="109" t="str">
        <f>"Instantaneous "&amp;IF(C67="HP_EF","HP",D67)&amp;" water heater: EF = "&amp;TEXT(F67,"0.00")&amp;", RE = "&amp;I67&amp;", Cap = "&amp;IF(D67="Elec",H67&amp;" kW",G67&amp;"kBTUh")&amp;IF(N67&gt;0,", AuxW: "&amp;N67,"")&amp;IF(O67&gt;0,", VentW: "&amp;O67,"")&amp;IF(P67&gt;0,", AuxBTUh: "&amp;P67,"")</f>
        <v>Instantaneous Gas water heater: EF = 0.92, RE = 0.92, Cap = 150kBTUh, VentW: 50, AuxBTUh: 350</v>
      </c>
      <c r="S67" t="s">
        <v>248</v>
      </c>
      <c r="T67" s="53" t="s">
        <v>116</v>
      </c>
      <c r="U67" s="110" t="str">
        <f>"Instantaneous "&amp;IF(C67="HP_EF","HP",D67)&amp;" water heater: "&amp;E67&amp;" gallon; "</f>
        <v xml:space="preserve">Instantaneous Gas water heater: 75 gallon; </v>
      </c>
      <c r="V67" s="110" t="str">
        <f>"EF = "&amp;TEXT(F67,"0.00")&amp;", RE = "&amp;I67&amp;", Cap = "&amp;IF(D67="Elec",H67&amp;" kW",G67&amp;"kBTUh")&amp;IF(N67&gt;0,", AuxW: "&amp;N67,"")&amp;IF(O67&gt;0,", VentW: "&amp;O67,"")&amp;IF(P67&gt;0,", AuxBTUh: "&amp;P67,"")</f>
        <v>EF = 0.92, RE = 0.92, Cap = 150kBTUh, VentW: 50, AuxBTUh: 350</v>
      </c>
      <c r="W67" s="106"/>
    </row>
    <row r="68" spans="1:23" x14ac:dyDescent="0.25">
      <c r="A68" s="13"/>
      <c r="F68" s="55"/>
      <c r="I68" s="55"/>
      <c r="J68" s="54"/>
      <c r="T68" s="53"/>
    </row>
    <row r="69" spans="1:23" x14ac:dyDescent="0.25">
      <c r="A69" s="13"/>
      <c r="F69" s="55"/>
      <c r="I69" s="55"/>
      <c r="J69" s="54"/>
      <c r="T69" s="53"/>
    </row>
    <row r="70" spans="1:23" x14ac:dyDescent="0.25">
      <c r="A70" s="13"/>
      <c r="F70" s="55"/>
      <c r="I70" s="55"/>
      <c r="J70" s="54"/>
      <c r="T70" s="57"/>
    </row>
    <row r="71" spans="1:23" x14ac:dyDescent="0.25">
      <c r="A71" s="13"/>
      <c r="F71" s="55"/>
      <c r="I71" s="55"/>
      <c r="J71" s="54"/>
      <c r="T71" s="57"/>
    </row>
    <row r="72" spans="1:23" x14ac:dyDescent="0.25">
      <c r="A72" s="13"/>
      <c r="F72" s="55"/>
      <c r="I72" s="55"/>
      <c r="J72" s="54"/>
      <c r="T72" s="57"/>
    </row>
    <row r="73" spans="1:23" x14ac:dyDescent="0.25">
      <c r="A73" s="13"/>
      <c r="F73" s="55"/>
      <c r="I73" s="55"/>
      <c r="J73" s="54"/>
      <c r="T73" s="57"/>
    </row>
    <row r="74" spans="1:23" x14ac:dyDescent="0.25">
      <c r="A74" s="13"/>
      <c r="F74" s="55"/>
      <c r="I74" s="55"/>
      <c r="J74" s="54"/>
      <c r="T74" s="57"/>
    </row>
    <row r="75" spans="1:23" x14ac:dyDescent="0.25">
      <c r="A75" s="13"/>
      <c r="F75" s="55"/>
      <c r="I75" s="55"/>
      <c r="J75" s="54"/>
      <c r="T75" s="57"/>
    </row>
    <row r="76" spans="1:23" x14ac:dyDescent="0.25">
      <c r="A76" s="13"/>
      <c r="F76" s="55"/>
      <c r="I76" s="55"/>
      <c r="J76" s="54"/>
      <c r="T76" s="57"/>
    </row>
    <row r="77" spans="1:23" x14ac:dyDescent="0.25">
      <c r="A77" s="13"/>
      <c r="F77" s="55"/>
      <c r="I77" s="55"/>
      <c r="J77" s="54"/>
      <c r="T77" s="57"/>
    </row>
    <row r="78" spans="1:23" x14ac:dyDescent="0.25">
      <c r="A78" s="13"/>
      <c r="F78" s="55"/>
      <c r="I78" s="55"/>
      <c r="J78" s="54"/>
      <c r="T78" s="57"/>
    </row>
    <row r="79" spans="1:23" x14ac:dyDescent="0.25">
      <c r="A79" s="13"/>
      <c r="F79" s="55"/>
      <c r="I79" s="55"/>
      <c r="J79" s="54"/>
    </row>
    <row r="80" spans="1:23" x14ac:dyDescent="0.25">
      <c r="A80" s="13"/>
      <c r="F80" s="55"/>
      <c r="I80" s="55"/>
      <c r="J80" s="54"/>
    </row>
    <row r="81" spans="10:10" x14ac:dyDescent="0.25">
      <c r="J81" s="54"/>
    </row>
    <row r="82" spans="10:10" x14ac:dyDescent="0.25">
      <c r="J82" s="54"/>
    </row>
    <row r="83" spans="10:10" x14ac:dyDescent="0.25">
      <c r="J83" s="54"/>
    </row>
    <row r="84" spans="10:10" x14ac:dyDescent="0.25">
      <c r="J84" s="54"/>
    </row>
    <row r="85" spans="10:10" x14ac:dyDescent="0.25">
      <c r="J85" s="54"/>
    </row>
    <row r="86" spans="10:10" x14ac:dyDescent="0.25">
      <c r="J86" s="54"/>
    </row>
    <row r="87" spans="10:10" x14ac:dyDescent="0.25">
      <c r="J87" s="54"/>
    </row>
    <row r="88" spans="10:10" x14ac:dyDescent="0.25">
      <c r="J88" s="54"/>
    </row>
    <row r="89" spans="10:10" x14ac:dyDescent="0.25">
      <c r="J89" s="54"/>
    </row>
    <row r="90" spans="10:10" x14ac:dyDescent="0.25">
      <c r="J90" s="54"/>
    </row>
    <row r="91" spans="10:10" x14ac:dyDescent="0.25">
      <c r="J91" s="54"/>
    </row>
    <row r="92" spans="10:10" x14ac:dyDescent="0.25">
      <c r="J92" s="54"/>
    </row>
    <row r="93" spans="10:10" x14ac:dyDescent="0.25">
      <c r="J93" s="54"/>
    </row>
  </sheetData>
  <autoFilter ref="B6:G67"/>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H31"/>
  <sheetViews>
    <sheetView workbookViewId="0"/>
  </sheetViews>
  <sheetFormatPr defaultRowHeight="15" x14ac:dyDescent="0.25"/>
  <cols>
    <col min="2" max="2" width="18.7109375" customWidth="1"/>
    <col min="3" max="3" width="26" customWidth="1"/>
    <col min="4" max="4" width="51.5703125" customWidth="1"/>
  </cols>
  <sheetData>
    <row r="2" spans="2:8" ht="19.5" thickBot="1" x14ac:dyDescent="0.35">
      <c r="B2" s="11" t="s">
        <v>96</v>
      </c>
      <c r="C2" s="11"/>
      <c r="D2" s="11"/>
      <c r="E2" s="11"/>
    </row>
    <row r="3" spans="2:8" ht="15.75" thickTop="1" x14ac:dyDescent="0.25">
      <c r="B3" s="9" t="s">
        <v>343</v>
      </c>
    </row>
    <row r="4" spans="2:8" x14ac:dyDescent="0.25">
      <c r="B4" s="9"/>
    </row>
    <row r="5" spans="2:8" x14ac:dyDescent="0.25">
      <c r="B5" s="17" t="s">
        <v>1</v>
      </c>
    </row>
    <row r="6" spans="2:8" x14ac:dyDescent="0.25">
      <c r="B6" s="18" t="s">
        <v>65</v>
      </c>
    </row>
    <row r="7" spans="2:8" x14ac:dyDescent="0.25">
      <c r="C7" s="126" t="s">
        <v>66</v>
      </c>
      <c r="D7" s="127"/>
      <c r="E7" s="128" t="s">
        <v>67</v>
      </c>
      <c r="F7" s="129"/>
      <c r="G7" s="130"/>
    </row>
    <row r="8" spans="2:8" ht="15.75" thickBot="1" x14ac:dyDescent="0.3">
      <c r="B8" s="19" t="s">
        <v>0</v>
      </c>
      <c r="C8" s="20" t="s">
        <v>68</v>
      </c>
      <c r="D8" s="19" t="s">
        <v>69</v>
      </c>
      <c r="E8" s="21" t="s">
        <v>70</v>
      </c>
      <c r="F8" s="22" t="s">
        <v>71</v>
      </c>
      <c r="G8" s="23" t="s">
        <v>72</v>
      </c>
    </row>
    <row r="9" spans="2:8" ht="38.25" x14ac:dyDescent="0.25">
      <c r="B9" s="131" t="s">
        <v>73</v>
      </c>
      <c r="C9" s="133" t="s">
        <v>74</v>
      </c>
      <c r="D9" s="24" t="s">
        <v>75</v>
      </c>
      <c r="E9" s="25">
        <v>30</v>
      </c>
      <c r="F9" s="26">
        <f>0.67-0.0019*E9</f>
        <v>0.61299999999999999</v>
      </c>
      <c r="G9" s="27">
        <f>0.675-0.0015*E9</f>
        <v>0.63</v>
      </c>
    </row>
    <row r="10" spans="2:8" x14ac:dyDescent="0.25">
      <c r="B10" s="131"/>
      <c r="C10" s="133"/>
      <c r="D10" s="24" t="s">
        <v>76</v>
      </c>
      <c r="E10" s="25"/>
      <c r="F10" s="26"/>
      <c r="G10" s="27"/>
    </row>
    <row r="11" spans="2:8" ht="25.5" x14ac:dyDescent="0.25">
      <c r="B11" s="132"/>
      <c r="C11" s="134"/>
      <c r="D11" s="28" t="s">
        <v>77</v>
      </c>
      <c r="E11" s="5">
        <v>60</v>
      </c>
      <c r="F11" s="29">
        <f>0.67-0.0019*E11</f>
        <v>0.55600000000000005</v>
      </c>
      <c r="G11" s="30">
        <f>0.8012-0.00078*E11</f>
        <v>0.75440000000000007</v>
      </c>
      <c r="H11" s="3" t="s">
        <v>98</v>
      </c>
    </row>
    <row r="12" spans="2:8" ht="25.5" hidden="1" x14ac:dyDescent="0.25">
      <c r="B12" s="31" t="s">
        <v>78</v>
      </c>
      <c r="C12" s="32" t="s">
        <v>79</v>
      </c>
      <c r="D12" s="24" t="s">
        <v>80</v>
      </c>
      <c r="E12" s="25"/>
      <c r="F12" s="26"/>
      <c r="G12" s="27"/>
    </row>
    <row r="13" spans="2:8" ht="38.25" x14ac:dyDescent="0.25">
      <c r="B13" s="135" t="s">
        <v>81</v>
      </c>
      <c r="C13" s="136" t="s">
        <v>82</v>
      </c>
      <c r="D13" s="33" t="s">
        <v>83</v>
      </c>
      <c r="E13" s="34">
        <v>30</v>
      </c>
      <c r="F13" s="35">
        <f>0.97-0.00132*E13</f>
        <v>0.9304</v>
      </c>
      <c r="G13" s="36">
        <f>0.96-E13*0.0003</f>
        <v>0.95099999999999996</v>
      </c>
    </row>
    <row r="14" spans="2:8" x14ac:dyDescent="0.25">
      <c r="B14" s="131"/>
      <c r="C14" s="133"/>
      <c r="D14" s="24" t="s">
        <v>76</v>
      </c>
      <c r="E14" s="25"/>
      <c r="F14" s="26"/>
      <c r="G14" s="27"/>
    </row>
    <row r="15" spans="2:8" ht="25.5" x14ac:dyDescent="0.25">
      <c r="B15" s="132"/>
      <c r="C15" s="134"/>
      <c r="D15" s="28" t="s">
        <v>84</v>
      </c>
      <c r="E15" s="5">
        <v>60</v>
      </c>
      <c r="F15" s="29">
        <f>0.97-0.00132*E15</f>
        <v>0.89080000000000004</v>
      </c>
      <c r="G15" s="30">
        <f>2.057-E15*0.00132</f>
        <v>1.9778</v>
      </c>
      <c r="H15" s="3" t="s">
        <v>97</v>
      </c>
    </row>
    <row r="16" spans="2:8" ht="25.5" hidden="1" x14ac:dyDescent="0.25">
      <c r="B16" s="31" t="s">
        <v>85</v>
      </c>
      <c r="C16" s="32" t="s">
        <v>86</v>
      </c>
      <c r="D16" s="24" t="s">
        <v>87</v>
      </c>
      <c r="E16" s="25"/>
      <c r="F16" s="25"/>
      <c r="G16" s="37"/>
    </row>
    <row r="17" spans="2:7" ht="25.5" x14ac:dyDescent="0.25">
      <c r="B17" s="38" t="s">
        <v>88</v>
      </c>
      <c r="C17" s="39" t="s">
        <v>89</v>
      </c>
      <c r="D17" s="40" t="s">
        <v>90</v>
      </c>
      <c r="E17" s="41">
        <v>2</v>
      </c>
      <c r="F17" s="42">
        <f>0.62-0.0019*E17</f>
        <v>0.61619999999999997</v>
      </c>
      <c r="G17" s="43">
        <f>0.82-0.0019*E17</f>
        <v>0.81619999999999993</v>
      </c>
    </row>
    <row r="18" spans="2:7" ht="38.25" x14ac:dyDescent="0.25">
      <c r="B18" s="38" t="s">
        <v>91</v>
      </c>
      <c r="C18" s="44" t="s">
        <v>86</v>
      </c>
      <c r="D18" s="45" t="s">
        <v>92</v>
      </c>
      <c r="E18" s="137" t="s">
        <v>93</v>
      </c>
      <c r="F18" s="138"/>
      <c r="G18" s="139"/>
    </row>
    <row r="19" spans="2:7" x14ac:dyDescent="0.25">
      <c r="B19" s="16"/>
    </row>
    <row r="20" spans="2:7" x14ac:dyDescent="0.25">
      <c r="B20" s="17" t="s">
        <v>94</v>
      </c>
    </row>
    <row r="25" spans="2:7" x14ac:dyDescent="0.25">
      <c r="D25" s="46" t="s">
        <v>95</v>
      </c>
      <c r="E25" s="129" t="s">
        <v>67</v>
      </c>
      <c r="F25" s="129"/>
      <c r="G25" s="130"/>
    </row>
    <row r="26" spans="2:7" ht="15.75" thickBot="1" x14ac:dyDescent="0.3">
      <c r="D26" s="47" t="s">
        <v>0</v>
      </c>
      <c r="E26" s="22" t="s">
        <v>70</v>
      </c>
      <c r="F26" s="22" t="s">
        <v>71</v>
      </c>
      <c r="G26" s="23" t="s">
        <v>72</v>
      </c>
    </row>
    <row r="27" spans="2:7" x14ac:dyDescent="0.25">
      <c r="D27" s="140" t="s">
        <v>73</v>
      </c>
      <c r="E27" s="25">
        <v>30</v>
      </c>
      <c r="F27" s="26">
        <f>0.67-0.0019*E27</f>
        <v>0.61299999999999999</v>
      </c>
      <c r="G27" s="27">
        <f>0.675-0.0015*E27</f>
        <v>0.63</v>
      </c>
    </row>
    <row r="28" spans="2:7" x14ac:dyDescent="0.25">
      <c r="D28" s="132"/>
      <c r="E28" s="5">
        <v>60</v>
      </c>
      <c r="F28" s="29">
        <f>0.67-0.0019*E28</f>
        <v>0.55600000000000005</v>
      </c>
      <c r="G28" s="30">
        <f>0.8012-0.00078*E28</f>
        <v>0.75440000000000007</v>
      </c>
    </row>
    <row r="29" spans="2:7" x14ac:dyDescent="0.25">
      <c r="D29" s="135" t="s">
        <v>81</v>
      </c>
      <c r="E29" s="34">
        <v>30</v>
      </c>
      <c r="F29" s="35">
        <f>0.97-0.00132*E29</f>
        <v>0.9304</v>
      </c>
      <c r="G29" s="48">
        <f>0.96-E29*0.0003</f>
        <v>0.95099999999999996</v>
      </c>
    </row>
    <row r="30" spans="2:7" x14ac:dyDescent="0.25">
      <c r="D30" s="132"/>
      <c r="E30" s="5">
        <v>60</v>
      </c>
      <c r="F30" s="29">
        <f>0.97-0.00132*E30</f>
        <v>0.89080000000000004</v>
      </c>
      <c r="G30" s="30">
        <f>2.057-E30*0.00132</f>
        <v>1.9778</v>
      </c>
    </row>
    <row r="31" spans="2:7" x14ac:dyDescent="0.25">
      <c r="D31" s="38" t="s">
        <v>88</v>
      </c>
      <c r="E31" s="41">
        <v>2</v>
      </c>
      <c r="F31" s="42">
        <f>0.62-0.0019*E31</f>
        <v>0.61619999999999997</v>
      </c>
      <c r="G31" s="43">
        <f>0.82-0.0019*E31</f>
        <v>0.81619999999999993</v>
      </c>
    </row>
  </sheetData>
  <mergeCells count="10">
    <mergeCell ref="C7:D7"/>
    <mergeCell ref="E7:G7"/>
    <mergeCell ref="B9:B11"/>
    <mergeCell ref="C9:C11"/>
    <mergeCell ref="D29:D30"/>
    <mergeCell ref="B13:B15"/>
    <mergeCell ref="C13:C15"/>
    <mergeCell ref="E18:G18"/>
    <mergeCell ref="E25:G25"/>
    <mergeCell ref="D27:D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80"/>
  <sheetViews>
    <sheetView workbookViewId="0"/>
  </sheetViews>
  <sheetFormatPr defaultRowHeight="15" x14ac:dyDescent="0.25"/>
  <cols>
    <col min="3" max="3" width="30.85546875" bestFit="1" customWidth="1"/>
    <col min="4" max="4" width="12.7109375" customWidth="1"/>
    <col min="5" max="5" width="23.85546875" bestFit="1" customWidth="1"/>
    <col min="6" max="6" width="89.140625" customWidth="1"/>
    <col min="7" max="7" width="10.42578125" customWidth="1"/>
  </cols>
  <sheetData>
    <row r="1" spans="1:7" x14ac:dyDescent="0.25">
      <c r="A1" t="s">
        <v>2</v>
      </c>
      <c r="B1" t="s">
        <v>367</v>
      </c>
      <c r="C1" t="s">
        <v>368</v>
      </c>
      <c r="D1" t="s">
        <v>369</v>
      </c>
      <c r="E1" t="s">
        <v>370</v>
      </c>
      <c r="F1" t="s">
        <v>4</v>
      </c>
      <c r="G1" t="s">
        <v>371</v>
      </c>
    </row>
    <row r="2" spans="1:7" x14ac:dyDescent="0.25">
      <c r="A2">
        <v>1001</v>
      </c>
      <c r="B2">
        <f>VLOOKUP(Technologies!C7,key!$C$4:$D$6,2,FALSE)</f>
        <v>67</v>
      </c>
      <c r="C2" t="str">
        <f>Technologies!B7</f>
        <v>Stor_EF-Elec-030gal-0.89EF</v>
      </c>
      <c r="D2" t="s">
        <v>389</v>
      </c>
      <c r="E2" t="str">
        <f>+Technologies!S7</f>
        <v>pre-existing technology</v>
      </c>
      <c r="F2" s="7" t="str">
        <f>+Technologies!R7</f>
        <v>Small storage Elec water heater: 30 gallon, EF = 0.89, RE = 0.98, Cap = 4.5 kW, UA = 3.12 BTU/hr-F</v>
      </c>
      <c r="G2" t="s">
        <v>116</v>
      </c>
    </row>
    <row r="3" spans="1:7" x14ac:dyDescent="0.25">
      <c r="A3">
        <f>+A2+1</f>
        <v>1002</v>
      </c>
      <c r="B3">
        <f>VLOOKUP(Technologies!C8,key!$C$4:$D$6,2,FALSE)</f>
        <v>67</v>
      </c>
      <c r="C3" t="str">
        <f>Technologies!B8</f>
        <v>Stor_EF-Elec-030gal-0.93EF</v>
      </c>
      <c r="D3" t="s">
        <v>45</v>
      </c>
      <c r="E3" t="str">
        <f>+Technologies!S8</f>
        <v>pre-existing technology</v>
      </c>
      <c r="F3" s="7" t="str">
        <f>+Technologies!R8</f>
        <v>Small storage Elec water heater: 30 gallon, EF = 0.93, RE = 0.98, Cap = 4.5 kW, UA = 1.90 BTU/hr-F</v>
      </c>
      <c r="G3" t="s">
        <v>116</v>
      </c>
    </row>
    <row r="4" spans="1:7" x14ac:dyDescent="0.25">
      <c r="A4">
        <f t="shared" ref="A4:A62" si="0">+A3+1</f>
        <v>1003</v>
      </c>
      <c r="B4">
        <f>VLOOKUP(Technologies!C9,key!$C$4:$D$6,2,FALSE)</f>
        <v>67</v>
      </c>
      <c r="C4" t="str">
        <f>Technologies!B9</f>
        <v>Stor_EF-Elec-030gal-0.951EF</v>
      </c>
      <c r="D4" t="s">
        <v>45</v>
      </c>
      <c r="E4" t="str">
        <f>+Technologies!S9</f>
        <v>2015 code technology</v>
      </c>
      <c r="F4" s="7" t="str">
        <f>+Technologies!R9</f>
        <v>Small storage Elec water heater: 30 gallon, EF = 0.95, RE = 0.98, Cap = 4.5 kW, UA = 1.31 BTU/hr-F</v>
      </c>
      <c r="G4" t="s">
        <v>116</v>
      </c>
    </row>
    <row r="5" spans="1:7" x14ac:dyDescent="0.25">
      <c r="A5">
        <f t="shared" si="0"/>
        <v>1004</v>
      </c>
      <c r="B5">
        <f>VLOOKUP(Technologies!C10,key!$C$4:$D$6,2,FALSE)</f>
        <v>67</v>
      </c>
      <c r="C5" t="str">
        <f>Technologies!B10</f>
        <v>Stor_EF-Elec-040gal-0.88EF</v>
      </c>
      <c r="D5" t="s">
        <v>389</v>
      </c>
      <c r="E5" t="str">
        <f>+Technologies!S10</f>
        <v>pre-existing technology</v>
      </c>
      <c r="F5" s="7" t="str">
        <f>+Technologies!R10</f>
        <v>Small storage Elec water heater: 40 gallon, EF = 0.88, RE = 0.98, Cap = 4.5 kW, UA = 3.55 BTU/hr-F</v>
      </c>
      <c r="G5" t="s">
        <v>116</v>
      </c>
    </row>
    <row r="6" spans="1:7" x14ac:dyDescent="0.25">
      <c r="A6">
        <f t="shared" si="0"/>
        <v>1005</v>
      </c>
      <c r="B6">
        <f>VLOOKUP(Technologies!C11,key!$C$4:$D$6,2,FALSE)</f>
        <v>67</v>
      </c>
      <c r="C6" t="str">
        <f>Technologies!B11</f>
        <v>Stor_EF-Elec-040gal-0.92EF</v>
      </c>
      <c r="D6" t="s">
        <v>45</v>
      </c>
      <c r="E6" t="str">
        <f>+Technologies!S11</f>
        <v>pre-existing technology</v>
      </c>
      <c r="F6" s="7" t="str">
        <f>+Technologies!R11</f>
        <v>Small storage Elec water heater: 40 gallon, EF = 0.92, RE = 0.98, Cap = 4.5 kW, UA = 2.29 BTU/hr-F</v>
      </c>
      <c r="G6" t="s">
        <v>116</v>
      </c>
    </row>
    <row r="7" spans="1:7" x14ac:dyDescent="0.25">
      <c r="A7">
        <f t="shared" si="0"/>
        <v>1006</v>
      </c>
      <c r="B7">
        <f>VLOOKUP(Technologies!C12,key!$C$4:$D$6,2,FALSE)</f>
        <v>67</v>
      </c>
      <c r="C7" t="str">
        <f>Technologies!B12</f>
        <v>Stor_EF-Elec-040gal-0.948EF</v>
      </c>
      <c r="D7" t="s">
        <v>45</v>
      </c>
      <c r="E7" t="str">
        <f>+Technologies!S12</f>
        <v>2015 code technology</v>
      </c>
      <c r="F7" s="7" t="str">
        <f>+Technologies!R12</f>
        <v>Small storage Elec water heater: 40 gallon, EF = 0.95, RE = 0.98, Cap = 4.5 kW, UA = 1.39 BTU/hr-F</v>
      </c>
      <c r="G7" t="s">
        <v>116</v>
      </c>
    </row>
    <row r="8" spans="1:7" x14ac:dyDescent="0.25">
      <c r="A8">
        <f t="shared" si="0"/>
        <v>1007</v>
      </c>
      <c r="B8">
        <f>VLOOKUP(Technologies!C13,key!$C$4:$D$6,2,FALSE)</f>
        <v>67</v>
      </c>
      <c r="C8" t="str">
        <f>Technologies!B13</f>
        <v>Stor_EF-Elec-050gal-0.86EF</v>
      </c>
      <c r="D8" t="s">
        <v>389</v>
      </c>
      <c r="E8" t="str">
        <f>+Technologies!S13</f>
        <v>pre-existing technology</v>
      </c>
      <c r="F8" s="7" t="str">
        <f>+Technologies!R13</f>
        <v>Small storage Elec water heater: 50 gallon, EF = 0.86, RE = 0.98, Cap = 5 kW, UA = 3.99 BTU/hr-F</v>
      </c>
      <c r="G8" t="s">
        <v>116</v>
      </c>
    </row>
    <row r="9" spans="1:7" x14ac:dyDescent="0.25">
      <c r="A9">
        <f t="shared" si="0"/>
        <v>1008</v>
      </c>
      <c r="B9">
        <f>VLOOKUP(Technologies!C14,key!$C$4:$D$6,2,FALSE)</f>
        <v>67</v>
      </c>
      <c r="C9" t="str">
        <f>Technologies!B14</f>
        <v>Stor_EF-Elec-050gal-0.90EF</v>
      </c>
      <c r="D9" t="s">
        <v>45</v>
      </c>
      <c r="E9" t="str">
        <f>+Technologies!S14</f>
        <v>pre-existing technology</v>
      </c>
      <c r="F9" s="7" t="str">
        <f>+Technologies!R14</f>
        <v>Small storage Elec water heater: 50 gallon, EF = 0.90, RE = 0.98, Cap = 5 kW, UA = 2.69 BTU/hr-F</v>
      </c>
      <c r="G9" t="s">
        <v>116</v>
      </c>
    </row>
    <row r="10" spans="1:7" x14ac:dyDescent="0.25">
      <c r="A10">
        <f t="shared" si="0"/>
        <v>1009</v>
      </c>
      <c r="B10">
        <f>VLOOKUP(Technologies!C15,key!$C$4:$D$6,2,FALSE)</f>
        <v>67</v>
      </c>
      <c r="C10" t="str">
        <f>Technologies!B15</f>
        <v>Stor_EF-Elec-050gal-0.945EF</v>
      </c>
      <c r="D10" t="s">
        <v>45</v>
      </c>
      <c r="E10" t="str">
        <f>+Technologies!S15</f>
        <v>2015 code technology</v>
      </c>
      <c r="F10" s="7" t="str">
        <f>+Technologies!R15</f>
        <v>Small storage Elec water heater: 50 gallon, EF = 0.95, RE = 0.98, Cap = 4.5 kW, UA = 1.48 BTU/hr-F</v>
      </c>
      <c r="G10" t="s">
        <v>116</v>
      </c>
    </row>
    <row r="11" spans="1:7" x14ac:dyDescent="0.25">
      <c r="A11">
        <f t="shared" si="0"/>
        <v>1010</v>
      </c>
      <c r="B11">
        <f>VLOOKUP(Technologies!C16,key!$C$4:$D$6,2,FALSE)</f>
        <v>67</v>
      </c>
      <c r="C11" t="str">
        <f>Technologies!B16</f>
        <v>Stor_EF-Elec-060gal-0.85EF</v>
      </c>
      <c r="D11" t="s">
        <v>389</v>
      </c>
      <c r="E11" t="str">
        <f>+Technologies!S16</f>
        <v>pre-existing technology</v>
      </c>
      <c r="F11" s="7" t="str">
        <f>+Technologies!R16</f>
        <v>Small storage Elec water heater: 60 gallon, EF = 0.85, RE = 0.98, Cap = 5.5 kW, UA = 4.45 BTU/hr-F</v>
      </c>
      <c r="G11" t="s">
        <v>116</v>
      </c>
    </row>
    <row r="12" spans="1:7" x14ac:dyDescent="0.25">
      <c r="A12">
        <f t="shared" si="0"/>
        <v>1011</v>
      </c>
      <c r="B12">
        <f>VLOOKUP(Technologies!C17,key!$C$4:$D$6,2,FALSE)</f>
        <v>67</v>
      </c>
      <c r="C12" t="str">
        <f>Technologies!B17</f>
        <v>Stor_EF-Elec-060gal-0.89EF</v>
      </c>
      <c r="D12" t="s">
        <v>45</v>
      </c>
      <c r="E12" t="str">
        <f>+Technologies!S17</f>
        <v>pre-existing technology</v>
      </c>
      <c r="F12" s="7" t="str">
        <f>+Technologies!R17</f>
        <v>Small storage Elec water heater: 60 gallon, EF = 0.89, RE = 0.98, Cap = 5.5 kW, UA = 3.11 BTU/hr-F</v>
      </c>
      <c r="G12" t="s">
        <v>116</v>
      </c>
    </row>
    <row r="13" spans="1:7" x14ac:dyDescent="0.25">
      <c r="A13">
        <f t="shared" si="0"/>
        <v>1012</v>
      </c>
      <c r="B13">
        <f>VLOOKUP(Technologies!C18,key!$C$4:$D$6,2,FALSE)</f>
        <v>67</v>
      </c>
      <c r="C13" t="str">
        <f>Technologies!B18</f>
        <v>Stor_EF-Elec-075gal-0.83EF</v>
      </c>
      <c r="D13" t="s">
        <v>389</v>
      </c>
      <c r="E13" t="str">
        <f>+Technologies!S18</f>
        <v>pre-existing technology</v>
      </c>
      <c r="F13" s="7" t="str">
        <f>+Technologies!R18</f>
        <v>Small storage Elec water heater: 75 gallon, EF = 0.83, RE = 0.98, Cap = 5.5 kW, UA = 5.16 BTU/hr-F</v>
      </c>
      <c r="G13" t="s">
        <v>116</v>
      </c>
    </row>
    <row r="14" spans="1:7" x14ac:dyDescent="0.25">
      <c r="A14">
        <f t="shared" si="0"/>
        <v>1013</v>
      </c>
      <c r="B14">
        <f>VLOOKUP(Technologies!C19,key!$C$4:$D$6,2,FALSE)</f>
        <v>67</v>
      </c>
      <c r="C14" t="str">
        <f>Technologies!B19</f>
        <v>Stor_EF-Elec-075gal-0.87EF</v>
      </c>
      <c r="D14" t="s">
        <v>45</v>
      </c>
      <c r="E14" t="str">
        <f>+Technologies!S19</f>
        <v>pre-existing technology</v>
      </c>
      <c r="F14" s="7" t="str">
        <f>+Technologies!R19</f>
        <v>Small storage Elec water heater: 75 gallon, EF = 0.87, RE = 0.98, Cap = 5.5 kW, UA = 3.76 BTU/hr-F</v>
      </c>
      <c r="G14" t="s">
        <v>116</v>
      </c>
    </row>
    <row r="15" spans="1:7" x14ac:dyDescent="0.25">
      <c r="A15">
        <f t="shared" si="0"/>
        <v>1014</v>
      </c>
      <c r="B15">
        <f>VLOOKUP(Technologies!C20,key!$C$4:$D$6,2,FALSE)</f>
        <v>69</v>
      </c>
      <c r="C15" t="str">
        <f>Technologies!B20</f>
        <v>Stor_EF-ElecHP-030gal-2.00EF</v>
      </c>
      <c r="D15" t="s">
        <v>45</v>
      </c>
      <c r="E15" t="str">
        <f>+Technologies!S20</f>
        <v>2015 measure technology</v>
      </c>
      <c r="F15" s="7" t="str">
        <f>+Technologies!R20</f>
        <v>Small storage HP water heater: 30 gallon, EF = 2.00, RE = 0.98, Cap = 4.5 kW, UA = 4.20 BTU/hr-F</v>
      </c>
      <c r="G15" t="s">
        <v>116</v>
      </c>
    </row>
    <row r="16" spans="1:7" x14ac:dyDescent="0.25">
      <c r="A16">
        <f t="shared" si="0"/>
        <v>1015</v>
      </c>
      <c r="B16">
        <f>VLOOKUP(Technologies!C21,key!$C$4:$D$6,2,FALSE)</f>
        <v>69</v>
      </c>
      <c r="C16" t="str">
        <f>Technologies!B21</f>
        <v>Stor_EF-ElecHP-030gal-2.20EF</v>
      </c>
      <c r="D16" t="s">
        <v>45</v>
      </c>
      <c r="E16" t="str">
        <f>+Technologies!S21</f>
        <v>2015 measure technology</v>
      </c>
      <c r="F16" s="7" t="str">
        <f>+Technologies!R21</f>
        <v>Small storage HP water heater: 30 gallon, EF = 2.20, RE = 0.98, Cap = 4.5 kW, UA = 4.20 BTU/hr-F</v>
      </c>
      <c r="G16" t="s">
        <v>116</v>
      </c>
    </row>
    <row r="17" spans="1:7" x14ac:dyDescent="0.25">
      <c r="A17">
        <f t="shared" si="0"/>
        <v>1016</v>
      </c>
      <c r="B17">
        <f>VLOOKUP(Technologies!C22,key!$C$4:$D$6,2,FALSE)</f>
        <v>69</v>
      </c>
      <c r="C17" t="str">
        <f>Technologies!B22</f>
        <v>Stor_EF-ElecHP-030gal-2.40EF</v>
      </c>
      <c r="D17" t="s">
        <v>45</v>
      </c>
      <c r="E17" t="str">
        <f>+Technologies!S22</f>
        <v>2015 measure technology</v>
      </c>
      <c r="F17" s="7" t="str">
        <f>+Technologies!R22</f>
        <v>Small storage HP water heater: 30 gallon, EF = 2.40, RE = 0.98, Cap = 4.5 kW, UA = 4.20 BTU/hr-F</v>
      </c>
      <c r="G17" t="s">
        <v>116</v>
      </c>
    </row>
    <row r="18" spans="1:7" x14ac:dyDescent="0.25">
      <c r="A18">
        <f t="shared" si="0"/>
        <v>1017</v>
      </c>
      <c r="B18">
        <f>VLOOKUP(Technologies!C23,key!$C$4:$D$6,2,FALSE)</f>
        <v>69</v>
      </c>
      <c r="C18" t="str">
        <f>Technologies!B23</f>
        <v>Stor_EF-ElecHP-040gal-2.00EF</v>
      </c>
      <c r="D18" t="s">
        <v>45</v>
      </c>
      <c r="E18" t="str">
        <f>+Technologies!S23</f>
        <v>2015 measure technology</v>
      </c>
      <c r="F18" s="7" t="str">
        <f>+Technologies!R23</f>
        <v>Small storage HP water heater: 40 gallon, EF = 2.00, RE = 0.98, Cap = 4.5 kW, UA = 4.20 BTU/hr-F</v>
      </c>
      <c r="G18" t="s">
        <v>116</v>
      </c>
    </row>
    <row r="19" spans="1:7" x14ac:dyDescent="0.25">
      <c r="A19">
        <f t="shared" si="0"/>
        <v>1018</v>
      </c>
      <c r="B19">
        <f>VLOOKUP(Technologies!C24,key!$C$4:$D$6,2,FALSE)</f>
        <v>69</v>
      </c>
      <c r="C19" t="str">
        <f>Technologies!B24</f>
        <v>Stor_EF-ElecHP-040gal-2.20EF</v>
      </c>
      <c r="D19" t="s">
        <v>45</v>
      </c>
      <c r="E19" t="str">
        <f>+Technologies!S24</f>
        <v>2015 measure technology</v>
      </c>
      <c r="F19" s="7" t="str">
        <f>+Technologies!R24</f>
        <v>Small storage HP water heater: 40 gallon, EF = 2.20, RE = 0.98, Cap = 4.5 kW, UA = 4.20 BTU/hr-F</v>
      </c>
      <c r="G19" t="s">
        <v>116</v>
      </c>
    </row>
    <row r="20" spans="1:7" x14ac:dyDescent="0.25">
      <c r="A20">
        <f t="shared" si="0"/>
        <v>1019</v>
      </c>
      <c r="B20">
        <f>VLOOKUP(Technologies!C25,key!$C$4:$D$6,2,FALSE)</f>
        <v>69</v>
      </c>
      <c r="C20" t="str">
        <f>Technologies!B25</f>
        <v>Stor_EF-ElecHP-040gal-2.40EF</v>
      </c>
      <c r="D20" t="s">
        <v>45</v>
      </c>
      <c r="E20" t="str">
        <f>+Technologies!S25</f>
        <v>2015 measure technology</v>
      </c>
      <c r="F20" s="7" t="str">
        <f>+Technologies!R25</f>
        <v>Small storage HP water heater: 40 gallon, EF = 2.40, RE = 0.98, Cap = 4.5 kW, UA = 4.20 BTU/hr-F</v>
      </c>
      <c r="G20" t="s">
        <v>116</v>
      </c>
    </row>
    <row r="21" spans="1:7" x14ac:dyDescent="0.25">
      <c r="A21">
        <f t="shared" si="0"/>
        <v>1020</v>
      </c>
      <c r="B21">
        <f>VLOOKUP(Technologies!C26,key!$C$4:$D$6,2,FALSE)</f>
        <v>69</v>
      </c>
      <c r="C21" t="str">
        <f>Technologies!B26</f>
        <v>Stor_EF-ElecHP-050gal-2.00EF</v>
      </c>
      <c r="D21" t="s">
        <v>45</v>
      </c>
      <c r="E21" t="str">
        <f>+Technologies!S26</f>
        <v>2015 measure technology</v>
      </c>
      <c r="F21" s="7" t="str">
        <f>+Technologies!R26</f>
        <v>Small storage HP water heater: 50 gallon, EF = 2.00, RE = 0.98, Cap = 5 kW, UA = 4.20 BTU/hr-F</v>
      </c>
      <c r="G21" t="s">
        <v>116</v>
      </c>
    </row>
    <row r="22" spans="1:7" x14ac:dyDescent="0.25">
      <c r="A22">
        <f t="shared" si="0"/>
        <v>1021</v>
      </c>
      <c r="B22">
        <f>VLOOKUP(Technologies!C27,key!$C$4:$D$6,2,FALSE)</f>
        <v>69</v>
      </c>
      <c r="C22" t="str">
        <f>Technologies!B27</f>
        <v>Stor_EF-ElecHP-050gal-2.20EF</v>
      </c>
      <c r="D22" t="s">
        <v>45</v>
      </c>
      <c r="E22" t="str">
        <f>+Technologies!S27</f>
        <v>2015 measure technology</v>
      </c>
      <c r="F22" s="7" t="str">
        <f>+Technologies!R27</f>
        <v>Small storage HP water heater: 50 gallon, EF = 2.20, RE = 0.98, Cap = 5 kW, UA = 4.20 BTU/hr-F</v>
      </c>
      <c r="G22" t="s">
        <v>116</v>
      </c>
    </row>
    <row r="23" spans="1:7" x14ac:dyDescent="0.25">
      <c r="A23">
        <f t="shared" si="0"/>
        <v>1022</v>
      </c>
      <c r="B23">
        <f>VLOOKUP(Technologies!C28,key!$C$4:$D$6,2,FALSE)</f>
        <v>69</v>
      </c>
      <c r="C23" t="str">
        <f>Technologies!B28</f>
        <v>Stor_EF-ElecHP-050gal-2.40EF</v>
      </c>
      <c r="D23" t="s">
        <v>45</v>
      </c>
      <c r="E23" t="str">
        <f>+Technologies!S28</f>
        <v>2015 measure technology</v>
      </c>
      <c r="F23" s="7" t="str">
        <f>+Technologies!R28</f>
        <v>Small storage HP water heater: 50 gallon, EF = 2.40, RE = 0.98, Cap = 5 kW, UA = 4.20 BTU/hr-F</v>
      </c>
      <c r="G23" t="s">
        <v>116</v>
      </c>
    </row>
    <row r="24" spans="1:7" x14ac:dyDescent="0.25">
      <c r="A24">
        <f t="shared" si="0"/>
        <v>1023</v>
      </c>
      <c r="B24">
        <f>VLOOKUP(Technologies!C29,key!$C$4:$D$6,2,FALSE)</f>
        <v>69</v>
      </c>
      <c r="C24" t="str">
        <f>Technologies!B29</f>
        <v>Stor_EF-ElecHP-060gal-1.98EF</v>
      </c>
      <c r="D24" t="s">
        <v>45</v>
      </c>
      <c r="E24" t="str">
        <f>+Technologies!S29</f>
        <v>2015 code technology</v>
      </c>
      <c r="F24" s="7" t="str">
        <f>+Technologies!R29</f>
        <v>Small storage HP water heater: 60 gallon, EF = 1.98, RE = 0.98, Cap = 5.5 kW, UA = 4.20 BTU/hr-F</v>
      </c>
      <c r="G24" t="s">
        <v>116</v>
      </c>
    </row>
    <row r="25" spans="1:7" x14ac:dyDescent="0.25">
      <c r="A25">
        <f t="shared" si="0"/>
        <v>1024</v>
      </c>
      <c r="B25">
        <f>VLOOKUP(Technologies!C30,key!$C$4:$D$6,2,FALSE)</f>
        <v>69</v>
      </c>
      <c r="C25" t="str">
        <f>Technologies!B30</f>
        <v>Stor_EF-ElecHP-060gal-2.20EF</v>
      </c>
      <c r="D25" t="s">
        <v>45</v>
      </c>
      <c r="E25" t="str">
        <f>+Technologies!S30</f>
        <v>2015 measure technology</v>
      </c>
      <c r="F25" s="7" t="str">
        <f>+Technologies!R30</f>
        <v>Small storage HP water heater: 60 gallon, EF = 2.20, RE = 0.98, Cap = 5.5 kW, UA = 4.20 BTU/hr-F</v>
      </c>
      <c r="G25" t="s">
        <v>116</v>
      </c>
    </row>
    <row r="26" spans="1:7" x14ac:dyDescent="0.25">
      <c r="A26">
        <f t="shared" si="0"/>
        <v>1025</v>
      </c>
      <c r="B26">
        <f>VLOOKUP(Technologies!C31,key!$C$4:$D$6,2,FALSE)</f>
        <v>69</v>
      </c>
      <c r="C26" t="str">
        <f>Technologies!B31</f>
        <v>Stor_EF-ElecHP-060gal-2.40EF</v>
      </c>
      <c r="D26" t="s">
        <v>45</v>
      </c>
      <c r="E26" t="str">
        <f>+Technologies!S31</f>
        <v>2015 measure technology</v>
      </c>
      <c r="F26" s="7" t="str">
        <f>+Technologies!R31</f>
        <v>Small storage HP water heater: 60 gallon, EF = 2.40, RE = 0.98, Cap = 5.5 kW, UA = 4.20 BTU/hr-F</v>
      </c>
      <c r="G26" t="s">
        <v>116</v>
      </c>
    </row>
    <row r="27" spans="1:7" x14ac:dyDescent="0.25">
      <c r="A27">
        <f t="shared" si="0"/>
        <v>1026</v>
      </c>
      <c r="B27">
        <f>VLOOKUP(Technologies!C32,key!$C$4:$D$6,2,FALSE)</f>
        <v>69</v>
      </c>
      <c r="C27" t="str">
        <f>Technologies!B32</f>
        <v>Stor_EF-ElecHP-075gal-1.96EF</v>
      </c>
      <c r="D27" t="s">
        <v>45</v>
      </c>
      <c r="E27" t="str">
        <f>+Technologies!S32</f>
        <v>2015 code technology</v>
      </c>
      <c r="F27" s="7" t="str">
        <f>+Technologies!R32</f>
        <v>Small storage HP water heater: 75 gallon, EF = 1.96, RE = 0.98, Cap = 5.5 kW, UA = 4.20 BTU/hr-F</v>
      </c>
      <c r="G27" t="s">
        <v>116</v>
      </c>
    </row>
    <row r="28" spans="1:7" x14ac:dyDescent="0.25">
      <c r="A28">
        <f t="shared" si="0"/>
        <v>1027</v>
      </c>
      <c r="B28">
        <f>VLOOKUP(Technologies!C33,key!$C$4:$D$6,2,FALSE)</f>
        <v>69</v>
      </c>
      <c r="C28" t="str">
        <f>Technologies!B33</f>
        <v>Stor_EF-ElecHP-075gal-2.20EF</v>
      </c>
      <c r="D28" t="s">
        <v>45</v>
      </c>
      <c r="E28" t="str">
        <f>+Technologies!S33</f>
        <v>2015 measure technology</v>
      </c>
      <c r="F28" s="7" t="str">
        <f>+Technologies!R33</f>
        <v>Small storage HP water heater: 75 gallon, EF = 2.20, RE = 0.98, Cap = 5.5 kW, UA = 4.20 BTU/hr-F</v>
      </c>
      <c r="G28" t="s">
        <v>116</v>
      </c>
    </row>
    <row r="29" spans="1:7" x14ac:dyDescent="0.25">
      <c r="A29">
        <f t="shared" si="0"/>
        <v>1028</v>
      </c>
      <c r="B29">
        <f>VLOOKUP(Technologies!C34,key!$C$4:$D$6,2,FALSE)</f>
        <v>69</v>
      </c>
      <c r="C29" t="str">
        <f>Technologies!B34</f>
        <v>Stor_EF-ElecHP-075gal-2.40EF</v>
      </c>
      <c r="D29" t="s">
        <v>45</v>
      </c>
      <c r="E29" t="str">
        <f>+Technologies!S34</f>
        <v>2015 measure technology</v>
      </c>
      <c r="F29" s="7" t="str">
        <f>+Technologies!R34</f>
        <v>Small storage HP water heater: 75 gallon, EF = 2.40, RE = 0.98, Cap = 5.5 kW, UA = 4.20 BTU/hr-F</v>
      </c>
      <c r="G29" t="s">
        <v>116</v>
      </c>
    </row>
    <row r="30" spans="1:7" x14ac:dyDescent="0.25">
      <c r="A30">
        <f t="shared" si="0"/>
        <v>1029</v>
      </c>
      <c r="B30">
        <f>VLOOKUP(Technologies!C35,key!$C$4:$D$6,2,FALSE)</f>
        <v>67</v>
      </c>
      <c r="C30" t="str">
        <f>Technologies!B35</f>
        <v>Stor_EF-Gas-030gal-0.57EF</v>
      </c>
      <c r="D30" t="s">
        <v>389</v>
      </c>
      <c r="E30" t="str">
        <f>+Technologies!S35</f>
        <v>pre-existing technology</v>
      </c>
      <c r="F30" s="7" t="str">
        <f>+Technologies!R35</f>
        <v>Small storage Gas water heater: 30 gallon, EF = 0.57, RE = 0.758, Cap = 30kBTUh, UA = 9.30 BTU/hr-F, AuxBTUh: 350</v>
      </c>
      <c r="G30" t="s">
        <v>116</v>
      </c>
    </row>
    <row r="31" spans="1:7" x14ac:dyDescent="0.25">
      <c r="A31">
        <f t="shared" si="0"/>
        <v>1030</v>
      </c>
      <c r="B31">
        <f>VLOOKUP(Technologies!C36,key!$C$4:$D$6,2,FALSE)</f>
        <v>67</v>
      </c>
      <c r="C31" t="str">
        <f>Technologies!B36</f>
        <v>Stor_EF-Gas-030gal-0.58EF</v>
      </c>
      <c r="D31" t="s">
        <v>45</v>
      </c>
      <c r="E31" t="str">
        <f>+Technologies!S36</f>
        <v>pre-existing technology</v>
      </c>
      <c r="F31" s="7" t="str">
        <f>+Technologies!R36</f>
        <v>Small storage Gas water heater: 30 gallon, EF = 0.58, RE = 0.758, Cap = 30kBTUh, UA = 8.63 BTU/hr-F, AuxBTUh: 350</v>
      </c>
      <c r="G31" t="s">
        <v>116</v>
      </c>
    </row>
    <row r="32" spans="1:7" x14ac:dyDescent="0.25">
      <c r="A32">
        <f t="shared" si="0"/>
        <v>1031</v>
      </c>
      <c r="B32">
        <f>VLOOKUP(Technologies!C37,key!$C$4:$D$6,2,FALSE)</f>
        <v>67</v>
      </c>
      <c r="C32" t="str">
        <f>Technologies!B37</f>
        <v>Stor_EF-Gas-030gal-0.61EF</v>
      </c>
      <c r="D32" t="s">
        <v>389</v>
      </c>
      <c r="E32" t="str">
        <f>+Technologies!S37</f>
        <v>pre-existing technology</v>
      </c>
      <c r="F32" s="7" t="str">
        <f>+Technologies!R37</f>
        <v>Small storage Gas water heater: 30 gallon, EF = 0.61, RE = 0.758, Cap = 30kBTUh, UA = 6.62 BTU/hr-F, AuxBTUh: 350</v>
      </c>
      <c r="G32" t="s">
        <v>116</v>
      </c>
    </row>
    <row r="33" spans="1:7" x14ac:dyDescent="0.25">
      <c r="A33">
        <f t="shared" si="0"/>
        <v>1032</v>
      </c>
      <c r="B33">
        <f>VLOOKUP(Technologies!C38,key!$C$4:$D$6,2,FALSE)</f>
        <v>67</v>
      </c>
      <c r="C33" t="str">
        <f>Technologies!B38</f>
        <v>Stor_EF-Gas-030gal-0.630EF</v>
      </c>
      <c r="D33" t="s">
        <v>45</v>
      </c>
      <c r="E33" t="str">
        <f>+Technologies!S38</f>
        <v>2015 code technology</v>
      </c>
      <c r="F33" s="7" t="str">
        <f>+Technologies!R38</f>
        <v>Small storage Gas water heater: 30 gallon, EF = 0.63, RE = 0.81, Cap = 30kBTUh, UA = 7.97 BTU/hr-F, AuxBTUh: 350</v>
      </c>
      <c r="G33" t="s">
        <v>116</v>
      </c>
    </row>
    <row r="34" spans="1:7" x14ac:dyDescent="0.25">
      <c r="A34">
        <f t="shared" si="0"/>
        <v>1033</v>
      </c>
      <c r="B34">
        <f>VLOOKUP(Technologies!C39,key!$C$4:$D$6,2,FALSE)</f>
        <v>67</v>
      </c>
      <c r="C34" t="str">
        <f>Technologies!B39</f>
        <v>Stor_EF-Gas-030gal-0.65EF</v>
      </c>
      <c r="D34" t="s">
        <v>389</v>
      </c>
      <c r="E34" t="str">
        <f>+Technologies!S39</f>
        <v>2015 measure technology</v>
      </c>
      <c r="F34" s="7" t="str">
        <f>+Technologies!R39</f>
        <v>Small storage Gas water heater: 30 gallon, EF = 0.65, RE = 0.81, Cap = 30kBTUh, UA = 6.84 BTU/hr-F, AuxBTUh: 350</v>
      </c>
      <c r="G34" t="s">
        <v>116</v>
      </c>
    </row>
    <row r="35" spans="1:7" x14ac:dyDescent="0.25">
      <c r="A35">
        <f t="shared" si="0"/>
        <v>1034</v>
      </c>
      <c r="B35">
        <f>VLOOKUP(Technologies!C40,key!$C$4:$D$6,2,FALSE)</f>
        <v>67</v>
      </c>
      <c r="C35" t="str">
        <f>Technologies!B40</f>
        <v>Stor_EF-Gas-030gal-0.70EF</v>
      </c>
      <c r="D35" t="s">
        <v>45</v>
      </c>
      <c r="E35" t="str">
        <f>+Technologies!S40</f>
        <v>2015 measure technology</v>
      </c>
      <c r="F35" s="7" t="str">
        <f>+Technologies!R40</f>
        <v>Small storage Gas water heater: 30 gallon, EF = 0.70, RE = 0.81, Cap = 30kBTUh, UA = 4.34 BTU/hr-F, AuxBTUh: 350</v>
      </c>
      <c r="G35" t="s">
        <v>116</v>
      </c>
    </row>
    <row r="36" spans="1:7" x14ac:dyDescent="0.25">
      <c r="A36">
        <f t="shared" si="0"/>
        <v>1035</v>
      </c>
      <c r="B36">
        <f>VLOOKUP(Technologies!C41,key!$C$4:$D$6,2,FALSE)</f>
        <v>67</v>
      </c>
      <c r="C36" t="str">
        <f>Technologies!B41</f>
        <v>Stor_EF-Gas-030gal-0.72EF</v>
      </c>
      <c r="D36" t="s">
        <v>45</v>
      </c>
      <c r="E36" t="str">
        <f>+Technologies!S41</f>
        <v>2015 measure technology</v>
      </c>
      <c r="F36" s="7" t="str">
        <f>+Technologies!R41</f>
        <v>Small storage Gas water heater: 30 gallon, EF = 0.72, RE = 0.83, Cap = 30kBTUh, UA = 4.21 BTU/hr-F, AuxBTUh: 350</v>
      </c>
      <c r="G36" t="s">
        <v>116</v>
      </c>
    </row>
    <row r="37" spans="1:7" x14ac:dyDescent="0.25">
      <c r="A37">
        <f t="shared" si="0"/>
        <v>1036</v>
      </c>
      <c r="B37">
        <f>VLOOKUP(Technologies!C42,key!$C$4:$D$6,2,FALSE)</f>
        <v>67</v>
      </c>
      <c r="C37" t="str">
        <f>Technologies!B42</f>
        <v>Stor_EF-Gas-040gal-0.57EF</v>
      </c>
      <c r="D37" t="s">
        <v>389</v>
      </c>
      <c r="E37" t="str">
        <f>+Technologies!S42</f>
        <v>pre-existing technology</v>
      </c>
      <c r="F37" s="7" t="str">
        <f>+Technologies!R42</f>
        <v>Small storage Gas water heater: 40 gallon, EF = 0.57, RE = 0.758, Cap = 40kBTUh, UA = 9.05 BTU/hr-F, AuxBTUh: 350</v>
      </c>
      <c r="G37" t="s">
        <v>116</v>
      </c>
    </row>
    <row r="38" spans="1:7" x14ac:dyDescent="0.25">
      <c r="A38">
        <f t="shared" si="0"/>
        <v>1037</v>
      </c>
      <c r="B38">
        <f>VLOOKUP(Technologies!C43,key!$C$4:$D$6,2,FALSE)</f>
        <v>67</v>
      </c>
      <c r="C38" t="str">
        <f>Technologies!B43</f>
        <v>Stor_EF-Gas-040gal-0.58EF</v>
      </c>
      <c r="D38" t="s">
        <v>45</v>
      </c>
      <c r="E38" t="str">
        <f>+Technologies!S43</f>
        <v>pre-existing technology</v>
      </c>
      <c r="F38" s="7" t="str">
        <f>+Technologies!R43</f>
        <v>Small storage Gas water heater: 40 gallon, EF = 0.58, RE = 0.758, Cap = 40kBTUh, UA = 8.40 BTU/hr-F, AuxBTUh: 350</v>
      </c>
      <c r="G38" t="s">
        <v>116</v>
      </c>
    </row>
    <row r="39" spans="1:7" x14ac:dyDescent="0.25">
      <c r="A39">
        <f t="shared" si="0"/>
        <v>1038</v>
      </c>
      <c r="B39">
        <f>VLOOKUP(Technologies!C44,key!$C$4:$D$6,2,FALSE)</f>
        <v>67</v>
      </c>
      <c r="C39" t="str">
        <f>Technologies!B44</f>
        <v>Stor_EF-Gas-040gal-0.59EF</v>
      </c>
      <c r="D39" t="s">
        <v>389</v>
      </c>
      <c r="E39" t="str">
        <f>+Technologies!S44</f>
        <v>pre-existing technology</v>
      </c>
      <c r="F39" s="7" t="str">
        <f>+Technologies!R44</f>
        <v>Small storage Gas water heater: 40 gallon, EF = 0.59, RE = 0.758, Cap = 40kBTUh, UA = 7.55 BTU/hr-F, AuxBTUh: 350</v>
      </c>
      <c r="G39" t="s">
        <v>116</v>
      </c>
    </row>
    <row r="40" spans="1:7" x14ac:dyDescent="0.25">
      <c r="A40">
        <f t="shared" si="0"/>
        <v>1039</v>
      </c>
      <c r="B40">
        <f>VLOOKUP(Technologies!C45,key!$C$4:$D$6,2,FALSE)</f>
        <v>67</v>
      </c>
      <c r="C40" t="str">
        <f>Technologies!B45</f>
        <v>Stor_EF-Gas-040gal-0.615EF</v>
      </c>
      <c r="D40" t="s">
        <v>45</v>
      </c>
      <c r="E40" t="str">
        <f>+Technologies!S45</f>
        <v>2015 code technology</v>
      </c>
      <c r="F40" s="7" t="str">
        <f>+Technologies!R45</f>
        <v>Small storage Gas water heater: 40 gallon, EF = 0.62, RE = 0.76, Cap = 40kBTUh, UA = 6.43 BTU/hr-F, AuxBTUh: 350</v>
      </c>
      <c r="G40" t="s">
        <v>116</v>
      </c>
    </row>
    <row r="41" spans="1:7" x14ac:dyDescent="0.25">
      <c r="A41">
        <f t="shared" si="0"/>
        <v>1040</v>
      </c>
      <c r="B41">
        <f>VLOOKUP(Technologies!C46,key!$C$4:$D$6,2,FALSE)</f>
        <v>67</v>
      </c>
      <c r="C41" t="str">
        <f>Technologies!B46</f>
        <v>Stor_EF-Gas-040gal-0.65EF</v>
      </c>
      <c r="D41" t="s">
        <v>45</v>
      </c>
      <c r="E41" t="str">
        <f>+Technologies!S46</f>
        <v>2015 measure technology</v>
      </c>
      <c r="F41" s="7" t="str">
        <f>+Technologies!R46</f>
        <v>Small storage Gas water heater: 40 gallon, EF = 0.65, RE = 0.76, Cap = 40kBTUh, UA = 4.60 BTU/hr-F, AuxBTUh: 350</v>
      </c>
      <c r="G41" t="s">
        <v>116</v>
      </c>
    </row>
    <row r="42" spans="1:7" x14ac:dyDescent="0.25">
      <c r="A42">
        <f t="shared" si="0"/>
        <v>1041</v>
      </c>
      <c r="B42">
        <f>VLOOKUP(Technologies!C47,key!$C$4:$D$6,2,FALSE)</f>
        <v>67</v>
      </c>
      <c r="C42" t="str">
        <f>Technologies!B47</f>
        <v>Stor_EF-Gas-040gal-0.70EF</v>
      </c>
      <c r="D42" t="s">
        <v>45</v>
      </c>
      <c r="E42" t="str">
        <f>+Technologies!S47</f>
        <v>2015 measure technology</v>
      </c>
      <c r="F42" s="7" t="str">
        <f>+Technologies!R47</f>
        <v>Small storage Gas water heater: 40 gallon, EF = 0.70, RE = 0.82, Cap = 40kBTUh, UA = 4.63 BTU/hr-F, AuxBTUh: 350</v>
      </c>
      <c r="G42" t="s">
        <v>116</v>
      </c>
    </row>
    <row r="43" spans="1:7" x14ac:dyDescent="0.25">
      <c r="A43">
        <f t="shared" si="0"/>
        <v>1042</v>
      </c>
      <c r="B43">
        <f>VLOOKUP(Technologies!C48,key!$C$4:$D$6,2,FALSE)</f>
        <v>67</v>
      </c>
      <c r="C43" t="str">
        <f>Technologies!B48</f>
        <v>Stor_EF-Gas-040gal-0.82EF</v>
      </c>
      <c r="D43" t="s">
        <v>45</v>
      </c>
      <c r="E43" t="str">
        <f>+Technologies!S48</f>
        <v>2015 measure technology</v>
      </c>
      <c r="F43" s="7" t="str">
        <f>+Technologies!R48</f>
        <v>Small storage Gas water heater: 40 gallon, EF = 0.82, RE = 0.9, Cap = 40kBTUh, UA = 2.61 BTU/hr-F, VentW: 50, AuxBTUh: 350</v>
      </c>
      <c r="G43" t="s">
        <v>116</v>
      </c>
    </row>
    <row r="44" spans="1:7" x14ac:dyDescent="0.25">
      <c r="A44">
        <f t="shared" si="0"/>
        <v>1043</v>
      </c>
      <c r="B44">
        <f>VLOOKUP(Technologies!C49,key!$C$4:$D$6,2,FALSE)</f>
        <v>67</v>
      </c>
      <c r="C44" t="str">
        <f>Technologies!B49</f>
        <v>Stor_EF-Gas-050gal-0.57EF</v>
      </c>
      <c r="D44" t="s">
        <v>389</v>
      </c>
      <c r="E44" t="str">
        <f>+Technologies!S49</f>
        <v>pre-existing technology</v>
      </c>
      <c r="F44" s="7" t="str">
        <f>+Technologies!R49</f>
        <v>Small storage Gas water heater: 50 gallon, EF = 0.57, RE = 0.763, Cap = 40kBTUh, UA = 9.29 BTU/hr-F, AuxBTUh: 350</v>
      </c>
      <c r="G44" t="s">
        <v>116</v>
      </c>
    </row>
    <row r="45" spans="1:7" x14ac:dyDescent="0.25">
      <c r="A45">
        <f t="shared" si="0"/>
        <v>1044</v>
      </c>
      <c r="B45">
        <f>VLOOKUP(Technologies!C50,key!$C$4:$D$6,2,FALSE)</f>
        <v>67</v>
      </c>
      <c r="C45" t="str">
        <f>Technologies!B50</f>
        <v>Stor_EF-Gas-050gal-0.58EF</v>
      </c>
      <c r="D45" t="s">
        <v>45</v>
      </c>
      <c r="E45" t="str">
        <f>+Technologies!S50</f>
        <v>pre-existing technology</v>
      </c>
      <c r="F45" s="7" t="str">
        <f>+Technologies!R50</f>
        <v>Small storage Gas water heater: 50 gallon, EF = 0.58, RE = 0.763, Cap = 40kBTUh, UA = 8.96 BTU/hr-F, AuxBTUh: 350</v>
      </c>
      <c r="G45" t="s">
        <v>116</v>
      </c>
    </row>
    <row r="46" spans="1:7" x14ac:dyDescent="0.25">
      <c r="A46">
        <f t="shared" si="0"/>
        <v>1045</v>
      </c>
      <c r="B46">
        <f>VLOOKUP(Technologies!C51,key!$C$4:$D$6,2,FALSE)</f>
        <v>67</v>
      </c>
      <c r="C46" t="str">
        <f>Technologies!B51</f>
        <v>Stor_EF-Gas-050gal-0.600EF</v>
      </c>
      <c r="D46" t="s">
        <v>45</v>
      </c>
      <c r="E46" t="str">
        <f>+Technologies!S51</f>
        <v>2015 code technology</v>
      </c>
      <c r="F46" s="7" t="str">
        <f>+Technologies!R51</f>
        <v>Small storage Gas water heater: 50 gallon, EF = 0.60, RE = 0.763, Cap = 40kBTUh, UA = 7.42 BTU/hr-F, AuxBTUh: 350</v>
      </c>
      <c r="G46" t="s">
        <v>116</v>
      </c>
    </row>
    <row r="47" spans="1:7" x14ac:dyDescent="0.25">
      <c r="A47">
        <f t="shared" si="0"/>
        <v>1046</v>
      </c>
      <c r="B47">
        <f>VLOOKUP(Technologies!C52,key!$C$4:$D$6,2,FALSE)</f>
        <v>67</v>
      </c>
      <c r="C47" t="str">
        <f>Technologies!B52</f>
        <v>Stor_EF-Gas-050gal-0.67EF</v>
      </c>
      <c r="D47" t="s">
        <v>389</v>
      </c>
      <c r="E47" t="str">
        <f>+Technologies!S52</f>
        <v>2015 measure technology</v>
      </c>
      <c r="F47" s="7" t="str">
        <f>+Technologies!R52</f>
        <v>Small storage Gas water heater: 50 gallon, EF = 0.67, RE = 0.79, Cap = 40kBTUh, UA = 4.85 BTU/hr-F, AuxBTUh: 350</v>
      </c>
      <c r="G47" t="s">
        <v>116</v>
      </c>
    </row>
    <row r="48" spans="1:7" x14ac:dyDescent="0.25">
      <c r="A48">
        <f t="shared" si="0"/>
        <v>1047</v>
      </c>
      <c r="B48">
        <f>VLOOKUP(Technologies!C53,key!$C$4:$D$6,2,FALSE)</f>
        <v>67</v>
      </c>
      <c r="C48" t="str">
        <f>Technologies!B53</f>
        <v>Stor_EF-Gas-050gal-0.70EF</v>
      </c>
      <c r="D48" t="s">
        <v>45</v>
      </c>
      <c r="E48" t="str">
        <f>+Technologies!S53</f>
        <v>2015 measure technology</v>
      </c>
      <c r="F48" s="7" t="str">
        <f>+Technologies!R53</f>
        <v>Small storage Gas water heater: 50 gallon, EF = 0.70, RE = 0.82, Cap = 40kBTUh, UA = 4.63 BTU/hr-F, AuxBTUh: 350</v>
      </c>
      <c r="G48" t="s">
        <v>116</v>
      </c>
    </row>
    <row r="49" spans="1:7" x14ac:dyDescent="0.25">
      <c r="A49">
        <f t="shared" si="0"/>
        <v>1048</v>
      </c>
      <c r="B49">
        <f>VLOOKUP(Technologies!C54,key!$C$4:$D$6,2,FALSE)</f>
        <v>67</v>
      </c>
      <c r="C49" t="str">
        <f>Technologies!B54</f>
        <v>Stor_EF-Gas-050gal-0.82EF</v>
      </c>
      <c r="D49" t="s">
        <v>45</v>
      </c>
      <c r="E49" t="str">
        <f>+Technologies!S54</f>
        <v>2015 measure technology</v>
      </c>
      <c r="F49" s="7" t="str">
        <f>+Technologies!R54</f>
        <v>Small storage Gas water heater: 50 gallon, EF = 0.82, RE = 0.9, Cap = 40kBTUh, UA = 2.61 BTU/hr-F, VentW: 50, AuxBTUh: 350</v>
      </c>
      <c r="G49" t="s">
        <v>116</v>
      </c>
    </row>
    <row r="50" spans="1:7" x14ac:dyDescent="0.25">
      <c r="A50">
        <f t="shared" si="0"/>
        <v>1049</v>
      </c>
      <c r="B50">
        <f>VLOOKUP(Technologies!C55,key!$C$4:$D$6,2,FALSE)</f>
        <v>67</v>
      </c>
      <c r="C50" t="str">
        <f>Technologies!B55</f>
        <v>Stor_EF-Gas-060gal-0.56EF</v>
      </c>
      <c r="D50" t="s">
        <v>389</v>
      </c>
      <c r="E50" t="str">
        <f>+Technologies!S55</f>
        <v>pre-existing technology</v>
      </c>
      <c r="F50" s="7" t="str">
        <f>+Technologies!R55</f>
        <v>Small storage Gas water heater: 60 gallon, EF = 0.56, RE = 0.76, Cap = 55kBTUh, UA = 9.86 BTU/hr-F, AuxBTUh: 350</v>
      </c>
      <c r="G50" t="s">
        <v>116</v>
      </c>
    </row>
    <row r="51" spans="1:7" x14ac:dyDescent="0.25">
      <c r="A51">
        <f t="shared" si="0"/>
        <v>1050</v>
      </c>
      <c r="B51">
        <f>VLOOKUP(Technologies!C56,key!$C$4:$D$6,2,FALSE)</f>
        <v>67</v>
      </c>
      <c r="C51" t="str">
        <f>Technologies!B56</f>
        <v>Stor_EF-Gas-060gal-0.754EF</v>
      </c>
      <c r="D51" t="s">
        <v>45</v>
      </c>
      <c r="E51" t="str">
        <f>+Technologies!S56</f>
        <v>2015 code technology</v>
      </c>
      <c r="F51" s="7" t="str">
        <f>+Technologies!R56</f>
        <v>Small storage Gas water heater: 60 gallon, EF = 0.75, RE = 0.85, Cap = 40kBTUh, UA = 3.42 BTU/hr-F, VentW: 50, AuxBTUh: 350</v>
      </c>
      <c r="G51" t="s">
        <v>116</v>
      </c>
    </row>
    <row r="52" spans="1:7" x14ac:dyDescent="0.25">
      <c r="A52">
        <f t="shared" si="0"/>
        <v>1051</v>
      </c>
      <c r="B52">
        <f>VLOOKUP(Technologies!C57,key!$C$4:$D$6,2,FALSE)</f>
        <v>67</v>
      </c>
      <c r="C52" t="str">
        <f>Technologies!B57</f>
        <v>Stor_EF-Gas-060gal-0.78EF</v>
      </c>
      <c r="D52" t="s">
        <v>45</v>
      </c>
      <c r="E52" t="str">
        <f>+Technologies!S57</f>
        <v>2015 measure technology</v>
      </c>
      <c r="F52" s="7" t="str">
        <f>+Technologies!R57</f>
        <v>Small storage Gas water heater: 60 gallon, EF = 0.78, RE = 0.9, Cap = 40kBTUh, UA = 4.13 BTU/hr-F, VentW: 50, AuxBTUh: 350</v>
      </c>
      <c r="G52" t="s">
        <v>116</v>
      </c>
    </row>
    <row r="53" spans="1:7" x14ac:dyDescent="0.25">
      <c r="A53">
        <f t="shared" si="0"/>
        <v>1052</v>
      </c>
      <c r="B53">
        <f>VLOOKUP(Technologies!C58,key!$C$4:$D$6,2,FALSE)</f>
        <v>67</v>
      </c>
      <c r="C53" t="str">
        <f>Technologies!B58</f>
        <v>Stor_EF-Gas-060gal-0.80EF</v>
      </c>
      <c r="D53" t="s">
        <v>45</v>
      </c>
      <c r="E53" t="str">
        <f>+Technologies!S58</f>
        <v>2015 measure technology</v>
      </c>
      <c r="F53" s="7" t="str">
        <f>+Technologies!R58</f>
        <v>Small storage Gas water heater: 60 gallon, EF = 0.80, RE = 0.92, Cap = 40kBTUh, UA = 4.02 BTU/hr-F, VentW: 50, AuxBTUh: 350</v>
      </c>
      <c r="G53" t="s">
        <v>116</v>
      </c>
    </row>
    <row r="54" spans="1:7" x14ac:dyDescent="0.25">
      <c r="A54">
        <f t="shared" si="0"/>
        <v>1053</v>
      </c>
      <c r="B54">
        <f>VLOOKUP(Technologies!C59,key!$C$4:$D$6,2,FALSE)</f>
        <v>67</v>
      </c>
      <c r="C54" t="str">
        <f>Technologies!B59</f>
        <v>Stor_EF-Gas-060gal-0.82EF</v>
      </c>
      <c r="D54" t="s">
        <v>45</v>
      </c>
      <c r="E54" t="str">
        <f>+Technologies!S59</f>
        <v>2015 measure technology</v>
      </c>
      <c r="F54" s="7" t="str">
        <f>+Technologies!R59</f>
        <v>Small storage Gas water heater: 60 gallon, EF = 0.82, RE = 0.92, Cap = 40kBTUh, UA = 3.26 BTU/hr-F, VentW: 50, AuxBTUh: 350</v>
      </c>
      <c r="G54" t="s">
        <v>116</v>
      </c>
    </row>
    <row r="55" spans="1:7" x14ac:dyDescent="0.25">
      <c r="A55">
        <f t="shared" si="0"/>
        <v>1054</v>
      </c>
      <c r="B55">
        <f>VLOOKUP(Technologies!C60,key!$C$4:$D$6,2,FALSE)</f>
        <v>67</v>
      </c>
      <c r="C55" t="str">
        <f>Technologies!B60</f>
        <v>Stor_EF-Gas-075gal-0.48EF</v>
      </c>
      <c r="D55" t="s">
        <v>389</v>
      </c>
      <c r="E55" t="str">
        <f>+Technologies!S60</f>
        <v>pre-existing technology</v>
      </c>
      <c r="F55" s="7" t="str">
        <f>+Technologies!R60</f>
        <v>Small storage Gas water heater: 75 gallon, EF = 0.48, RE = 0.76, Cap = 70kBTUh, UA = 15.59 BTU/hr-F, AuxBTUh: 350</v>
      </c>
      <c r="G55" t="s">
        <v>116</v>
      </c>
    </row>
    <row r="56" spans="1:7" x14ac:dyDescent="0.25">
      <c r="A56">
        <f t="shared" si="0"/>
        <v>1055</v>
      </c>
      <c r="B56">
        <f>VLOOKUP(Technologies!C61,key!$C$4:$D$6,2,FALSE)</f>
        <v>67</v>
      </c>
      <c r="C56" t="str">
        <f>Technologies!B61</f>
        <v>Stor_EF-Gas-075gal-0.53EF</v>
      </c>
      <c r="D56" t="s">
        <v>389</v>
      </c>
      <c r="E56" t="str">
        <f>+Technologies!S61</f>
        <v>pre-existing technology</v>
      </c>
      <c r="F56" s="7" t="str">
        <f>+Technologies!R61</f>
        <v>Small storage Gas water heater: 75 gallon, EF = 0.53, RE = 0.76, Cap = 70kBTUh, UA = 11.69 BTU/hr-F, AuxBTUh: 350</v>
      </c>
      <c r="G56" t="s">
        <v>116</v>
      </c>
    </row>
    <row r="57" spans="1:7" x14ac:dyDescent="0.25">
      <c r="A57">
        <f t="shared" si="0"/>
        <v>1056</v>
      </c>
      <c r="B57">
        <f>VLOOKUP(Technologies!C62,key!$C$4:$D$6,2,FALSE)</f>
        <v>67</v>
      </c>
      <c r="C57" t="str">
        <f>Technologies!B62</f>
        <v>Stor_EF-Gas-075gal-0.743EF</v>
      </c>
      <c r="D57" t="s">
        <v>45</v>
      </c>
      <c r="E57" t="str">
        <f>+Technologies!S62</f>
        <v>2015 code technology</v>
      </c>
      <c r="F57" s="7" t="str">
        <f>+Technologies!R62</f>
        <v>Small storage Gas water heater: 75 gallon, EF = 0.74, RE = 0.88, Cap = 70kBTUh, UA = 4.84 BTU/hr-F, VentW: 50, AuxBTUh: 350</v>
      </c>
      <c r="G57" t="s">
        <v>116</v>
      </c>
    </row>
    <row r="58" spans="1:7" x14ac:dyDescent="0.25">
      <c r="A58">
        <f t="shared" si="0"/>
        <v>1057</v>
      </c>
      <c r="B58">
        <f>VLOOKUP(Technologies!C63,key!$C$4:$D$6,2,FALSE)</f>
        <v>67</v>
      </c>
      <c r="C58" t="str">
        <f>Technologies!B63</f>
        <v>Stor_EF-Gas-075gal-0.78EF</v>
      </c>
      <c r="D58" t="s">
        <v>45</v>
      </c>
      <c r="E58" t="str">
        <f>+Technologies!S63</f>
        <v>2015 measure technology</v>
      </c>
      <c r="F58" s="7" t="str">
        <f>+Technologies!R63</f>
        <v>Small storage Gas water heater: 75 gallon, EF = 0.78, RE = 0.9, Cap = 70kBTUh, UA = 4.03 BTU/hr-F, VentW: 50, AuxBTUh: 350</v>
      </c>
      <c r="G58" t="s">
        <v>116</v>
      </c>
    </row>
    <row r="59" spans="1:7" x14ac:dyDescent="0.25">
      <c r="A59">
        <f t="shared" si="0"/>
        <v>1058</v>
      </c>
      <c r="B59">
        <f>VLOOKUP(Technologies!C64,key!$C$4:$D$6,2,FALSE)</f>
        <v>67</v>
      </c>
      <c r="C59" t="str">
        <f>Technologies!B64</f>
        <v>Stor_EF-Gas-075gal-0.80EF</v>
      </c>
      <c r="D59" t="s">
        <v>45</v>
      </c>
      <c r="E59" t="str">
        <f>+Technologies!S64</f>
        <v>2015 measure technology</v>
      </c>
      <c r="F59" s="7" t="str">
        <f>+Technologies!R64</f>
        <v>Small storage Gas water heater: 75 gallon, EF = 0.80, RE = 0.92, Cap = 70kBTUh, UA = 3.92 BTU/hr-F, VentW: 50, AuxBTUh: 350</v>
      </c>
      <c r="G59" t="s">
        <v>116</v>
      </c>
    </row>
    <row r="60" spans="1:7" x14ac:dyDescent="0.25">
      <c r="A60">
        <f t="shared" si="0"/>
        <v>1059</v>
      </c>
      <c r="B60">
        <f>VLOOKUP(Technologies!C65,key!$C$4:$D$6,2,FALSE)</f>
        <v>67</v>
      </c>
      <c r="C60" t="str">
        <f>Technologies!B65</f>
        <v>Stor_EF-Gas-075gal-0.82EF</v>
      </c>
      <c r="D60" t="s">
        <v>45</v>
      </c>
      <c r="E60" t="str">
        <f>+Technologies!S65</f>
        <v>2015 measure technology</v>
      </c>
      <c r="F60" s="7" t="str">
        <f>+Technologies!R65</f>
        <v>Small storage Gas water heater: 75 gallon, EF = 0.82, RE = 0.94, Cap = 70kBTUh, UA = 3.83 BTU/hr-F, VentW: 50, AuxBTUh: 350</v>
      </c>
      <c r="G60" t="s">
        <v>116</v>
      </c>
    </row>
    <row r="61" spans="1:7" x14ac:dyDescent="0.25">
      <c r="A61">
        <f t="shared" si="0"/>
        <v>1060</v>
      </c>
      <c r="B61">
        <f>VLOOKUP(Technologies!C66,key!$C$4:$D$6,2,FALSE)</f>
        <v>65</v>
      </c>
      <c r="C61" t="str">
        <f>Technologies!B66</f>
        <v>Inst_EF-Gas-150kBtuh-0p82EF</v>
      </c>
      <c r="D61" t="s">
        <v>45</v>
      </c>
      <c r="E61" t="str">
        <f>+Technologies!S66</f>
        <v>2015 measure technology</v>
      </c>
      <c r="F61" s="7" t="str">
        <f>+Technologies!R66</f>
        <v>Instantaneous Gas water heater: EF = 0.82, RE = 0.82, Cap = 150kBTUh, AuxBTUh: 350</v>
      </c>
      <c r="G61" t="s">
        <v>116</v>
      </c>
    </row>
    <row r="62" spans="1:7" x14ac:dyDescent="0.25">
      <c r="A62">
        <f t="shared" si="0"/>
        <v>1061</v>
      </c>
      <c r="B62">
        <f>VLOOKUP(Technologies!C67,key!$C$4:$D$6,2,FALSE)</f>
        <v>65</v>
      </c>
      <c r="C62" t="str">
        <f>Technologies!B67</f>
        <v>Inst_EF-Gas-150kBtuh-0p92EF</v>
      </c>
      <c r="D62" t="s">
        <v>45</v>
      </c>
      <c r="E62" t="str">
        <f>+Technologies!S67</f>
        <v>2015 measure technology</v>
      </c>
      <c r="F62" s="7" t="str">
        <f>+Technologies!R67</f>
        <v>Instantaneous Gas water heater: EF = 0.92, RE = 0.92, Cap = 150kBTUh, VentW: 50, AuxBTUh: 350</v>
      </c>
      <c r="G62" t="s">
        <v>116</v>
      </c>
    </row>
    <row r="63" spans="1:7" x14ac:dyDescent="0.25">
      <c r="A63">
        <v>507</v>
      </c>
      <c r="B63">
        <v>67</v>
      </c>
      <c r="C63" t="s">
        <v>390</v>
      </c>
      <c r="D63" t="s">
        <v>389</v>
      </c>
      <c r="E63" t="s">
        <v>372</v>
      </c>
      <c r="F63" t="s">
        <v>408</v>
      </c>
      <c r="G63" t="s">
        <v>116</v>
      </c>
    </row>
    <row r="64" spans="1:7" x14ac:dyDescent="0.25">
      <c r="A64">
        <v>508</v>
      </c>
      <c r="B64">
        <v>67</v>
      </c>
      <c r="C64" t="s">
        <v>391</v>
      </c>
      <c r="D64" t="s">
        <v>389</v>
      </c>
      <c r="E64" t="s">
        <v>372</v>
      </c>
      <c r="F64" t="s">
        <v>409</v>
      </c>
      <c r="G64" t="s">
        <v>116</v>
      </c>
    </row>
    <row r="65" spans="1:7" x14ac:dyDescent="0.25">
      <c r="A65">
        <v>509</v>
      </c>
      <c r="B65">
        <v>67</v>
      </c>
      <c r="C65" t="s">
        <v>392</v>
      </c>
      <c r="D65" t="s">
        <v>389</v>
      </c>
      <c r="E65" t="s">
        <v>372</v>
      </c>
      <c r="F65" t="s">
        <v>410</v>
      </c>
      <c r="G65" t="s">
        <v>116</v>
      </c>
    </row>
    <row r="66" spans="1:7" x14ac:dyDescent="0.25">
      <c r="A66">
        <v>510</v>
      </c>
      <c r="B66">
        <v>67</v>
      </c>
      <c r="C66" t="s">
        <v>393</v>
      </c>
      <c r="D66" t="s">
        <v>389</v>
      </c>
      <c r="E66" t="s">
        <v>372</v>
      </c>
      <c r="F66" t="s">
        <v>411</v>
      </c>
      <c r="G66" t="s">
        <v>116</v>
      </c>
    </row>
    <row r="67" spans="1:7" x14ac:dyDescent="0.25">
      <c r="A67">
        <v>511</v>
      </c>
      <c r="B67">
        <v>67</v>
      </c>
      <c r="C67" t="s">
        <v>394</v>
      </c>
      <c r="D67" t="s">
        <v>389</v>
      </c>
      <c r="E67" t="s">
        <v>372</v>
      </c>
      <c r="F67" t="s">
        <v>412</v>
      </c>
      <c r="G67" t="s">
        <v>116</v>
      </c>
    </row>
    <row r="68" spans="1:7" x14ac:dyDescent="0.25">
      <c r="A68">
        <v>517</v>
      </c>
      <c r="B68">
        <v>67</v>
      </c>
      <c r="C68" t="s">
        <v>395</v>
      </c>
      <c r="D68" t="s">
        <v>389</v>
      </c>
      <c r="E68" t="s">
        <v>372</v>
      </c>
      <c r="F68" t="s">
        <v>413</v>
      </c>
      <c r="G68" t="s">
        <v>116</v>
      </c>
    </row>
    <row r="69" spans="1:7" x14ac:dyDescent="0.25">
      <c r="A69">
        <v>519</v>
      </c>
      <c r="B69">
        <v>67</v>
      </c>
      <c r="C69" t="s">
        <v>396</v>
      </c>
      <c r="D69" t="s">
        <v>389</v>
      </c>
      <c r="E69" t="s">
        <v>372</v>
      </c>
      <c r="F69" t="s">
        <v>414</v>
      </c>
      <c r="G69" t="s">
        <v>116</v>
      </c>
    </row>
    <row r="70" spans="1:7" x14ac:dyDescent="0.25">
      <c r="A70">
        <v>520</v>
      </c>
      <c r="B70">
        <v>67</v>
      </c>
      <c r="C70" t="s">
        <v>397</v>
      </c>
      <c r="D70" t="s">
        <v>389</v>
      </c>
      <c r="E70" t="s">
        <v>372</v>
      </c>
      <c r="F70" t="s">
        <v>415</v>
      </c>
      <c r="G70" t="s">
        <v>116</v>
      </c>
    </row>
    <row r="71" spans="1:7" x14ac:dyDescent="0.25">
      <c r="A71">
        <v>521</v>
      </c>
      <c r="B71">
        <v>67</v>
      </c>
      <c r="C71" t="s">
        <v>398</v>
      </c>
      <c r="D71" t="s">
        <v>389</v>
      </c>
      <c r="E71" t="s">
        <v>372</v>
      </c>
      <c r="F71" t="s">
        <v>416</v>
      </c>
      <c r="G71" t="s">
        <v>116</v>
      </c>
    </row>
    <row r="72" spans="1:7" x14ac:dyDescent="0.25">
      <c r="A72">
        <v>522</v>
      </c>
      <c r="B72">
        <v>67</v>
      </c>
      <c r="C72" t="s">
        <v>399</v>
      </c>
      <c r="D72" t="s">
        <v>389</v>
      </c>
      <c r="E72" t="s">
        <v>372</v>
      </c>
      <c r="F72" t="s">
        <v>417</v>
      </c>
      <c r="G72" t="s">
        <v>116</v>
      </c>
    </row>
    <row r="73" spans="1:7" x14ac:dyDescent="0.25">
      <c r="A73">
        <v>523</v>
      </c>
      <c r="B73">
        <v>67</v>
      </c>
      <c r="C73" t="s">
        <v>400</v>
      </c>
      <c r="D73" t="s">
        <v>389</v>
      </c>
      <c r="E73" t="s">
        <v>372</v>
      </c>
      <c r="F73" t="s">
        <v>418</v>
      </c>
      <c r="G73" t="s">
        <v>116</v>
      </c>
    </row>
    <row r="74" spans="1:7" x14ac:dyDescent="0.25">
      <c r="A74">
        <v>525</v>
      </c>
      <c r="B74">
        <v>67</v>
      </c>
      <c r="C74" t="s">
        <v>401</v>
      </c>
      <c r="D74" t="s">
        <v>389</v>
      </c>
      <c r="E74" t="s">
        <v>372</v>
      </c>
      <c r="F74" t="s">
        <v>417</v>
      </c>
      <c r="G74" t="s">
        <v>116</v>
      </c>
    </row>
    <row r="75" spans="1:7" x14ac:dyDescent="0.25">
      <c r="A75">
        <v>526</v>
      </c>
      <c r="B75">
        <v>67</v>
      </c>
      <c r="C75" t="s">
        <v>402</v>
      </c>
      <c r="D75" t="s">
        <v>389</v>
      </c>
      <c r="E75" t="s">
        <v>372</v>
      </c>
      <c r="F75" t="s">
        <v>419</v>
      </c>
      <c r="G75" t="s">
        <v>116</v>
      </c>
    </row>
    <row r="76" spans="1:7" x14ac:dyDescent="0.25">
      <c r="A76">
        <v>527</v>
      </c>
      <c r="B76">
        <v>67</v>
      </c>
      <c r="C76" t="s">
        <v>403</v>
      </c>
      <c r="D76" t="s">
        <v>389</v>
      </c>
      <c r="E76" t="s">
        <v>372</v>
      </c>
      <c r="F76" t="s">
        <v>420</v>
      </c>
      <c r="G76" t="s">
        <v>116</v>
      </c>
    </row>
    <row r="77" spans="1:7" x14ac:dyDescent="0.25">
      <c r="A77">
        <v>528</v>
      </c>
      <c r="B77">
        <v>67</v>
      </c>
      <c r="C77" t="s">
        <v>404</v>
      </c>
      <c r="D77" t="s">
        <v>389</v>
      </c>
      <c r="E77" t="s">
        <v>372</v>
      </c>
      <c r="F77" t="s">
        <v>421</v>
      </c>
      <c r="G77" t="s">
        <v>116</v>
      </c>
    </row>
    <row r="78" spans="1:7" x14ac:dyDescent="0.25">
      <c r="A78">
        <v>529</v>
      </c>
      <c r="B78">
        <v>67</v>
      </c>
      <c r="C78" t="s">
        <v>405</v>
      </c>
      <c r="D78" t="s">
        <v>389</v>
      </c>
      <c r="E78" t="s">
        <v>372</v>
      </c>
      <c r="F78" t="s">
        <v>422</v>
      </c>
      <c r="G78" t="s">
        <v>116</v>
      </c>
    </row>
    <row r="79" spans="1:7" x14ac:dyDescent="0.25">
      <c r="A79">
        <v>530</v>
      </c>
      <c r="B79">
        <v>67</v>
      </c>
      <c r="C79" t="s">
        <v>406</v>
      </c>
      <c r="D79" t="s">
        <v>389</v>
      </c>
      <c r="E79" t="s">
        <v>372</v>
      </c>
      <c r="F79" t="s">
        <v>423</v>
      </c>
      <c r="G79" t="s">
        <v>116</v>
      </c>
    </row>
    <row r="80" spans="1:7" x14ac:dyDescent="0.25">
      <c r="A80">
        <v>531</v>
      </c>
      <c r="B80">
        <v>67</v>
      </c>
      <c r="C80" t="s">
        <v>407</v>
      </c>
      <c r="D80" t="s">
        <v>389</v>
      </c>
      <c r="E80" t="s">
        <v>372</v>
      </c>
      <c r="F80" t="s">
        <v>424</v>
      </c>
      <c r="G80" t="s">
        <v>116</v>
      </c>
    </row>
  </sheetData>
  <sortState ref="A2:G39">
    <sortCondition ref="A2:A3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901"/>
  <sheetViews>
    <sheetView workbookViewId="0"/>
  </sheetViews>
  <sheetFormatPr defaultRowHeight="15" x14ac:dyDescent="0.25"/>
  <cols>
    <col min="2" max="2" width="11.42578125" customWidth="1"/>
    <col min="3" max="3" width="17" customWidth="1"/>
    <col min="4" max="4" width="13.7109375" customWidth="1"/>
    <col min="5" max="5" width="27.42578125" style="103" bestFit="1" customWidth="1"/>
    <col min="6" max="6" width="15.140625" style="103" bestFit="1" customWidth="1"/>
    <col min="7" max="7" width="13.5703125" style="103" bestFit="1" customWidth="1"/>
    <col min="9" max="10" width="15.140625" bestFit="1" customWidth="1"/>
    <col min="11" max="11" width="13.5703125" bestFit="1" customWidth="1"/>
    <col min="13" max="13" width="24.85546875" bestFit="1" customWidth="1"/>
    <col min="14" max="14" width="6.5703125" customWidth="1"/>
    <col min="15" max="15" width="9.85546875" customWidth="1"/>
    <col min="16" max="16" width="7.85546875" customWidth="1"/>
  </cols>
  <sheetData>
    <row r="2" spans="2:11" x14ac:dyDescent="0.25">
      <c r="B2" s="14" t="s">
        <v>387</v>
      </c>
      <c r="C2" s="6" t="s">
        <v>386</v>
      </c>
      <c r="D2" s="6" t="s">
        <v>387</v>
      </c>
      <c r="E2" s="104" t="s">
        <v>193</v>
      </c>
      <c r="F2" s="104" t="s">
        <v>156</v>
      </c>
      <c r="G2" s="104" t="s">
        <v>121</v>
      </c>
      <c r="I2" s="104">
        <v>65</v>
      </c>
      <c r="J2" s="104">
        <v>67</v>
      </c>
      <c r="K2" s="104">
        <v>69</v>
      </c>
    </row>
    <row r="3" spans="2:11" x14ac:dyDescent="0.25">
      <c r="B3" s="13">
        <v>85</v>
      </c>
      <c r="C3" t="s">
        <v>373</v>
      </c>
      <c r="D3">
        <v>85</v>
      </c>
      <c r="E3" s="103" t="s">
        <v>373</v>
      </c>
      <c r="F3" s="103" t="s">
        <v>373</v>
      </c>
      <c r="G3" s="103" t="s">
        <v>373</v>
      </c>
      <c r="I3">
        <v>85</v>
      </c>
      <c r="J3">
        <v>85</v>
      </c>
      <c r="K3">
        <v>1081</v>
      </c>
    </row>
    <row r="4" spans="2:11" x14ac:dyDescent="0.25">
      <c r="B4" s="13">
        <v>1081</v>
      </c>
      <c r="C4" t="s">
        <v>385</v>
      </c>
      <c r="D4">
        <v>1081</v>
      </c>
      <c r="F4" s="103" t="s">
        <v>385</v>
      </c>
      <c r="G4" s="103" t="s">
        <v>385</v>
      </c>
      <c r="I4">
        <v>58</v>
      </c>
      <c r="J4">
        <v>1081</v>
      </c>
      <c r="K4">
        <v>58</v>
      </c>
    </row>
    <row r="5" spans="2:11" x14ac:dyDescent="0.25">
      <c r="B5" s="13">
        <v>58</v>
      </c>
      <c r="C5" t="s">
        <v>374</v>
      </c>
      <c r="D5">
        <v>58</v>
      </c>
      <c r="E5" s="103" t="s">
        <v>374</v>
      </c>
      <c r="F5" s="103" t="s">
        <v>374</v>
      </c>
      <c r="G5" s="103" t="s">
        <v>374</v>
      </c>
      <c r="I5">
        <v>1070</v>
      </c>
      <c r="J5">
        <v>58</v>
      </c>
      <c r="K5">
        <v>1071</v>
      </c>
    </row>
    <row r="6" spans="2:11" x14ac:dyDescent="0.25">
      <c r="B6" s="13">
        <v>1070</v>
      </c>
      <c r="C6" t="s">
        <v>383</v>
      </c>
      <c r="D6">
        <v>1070</v>
      </c>
      <c r="E6" s="103" t="s">
        <v>383</v>
      </c>
      <c r="F6" s="103" t="s">
        <v>383</v>
      </c>
      <c r="I6">
        <v>1071</v>
      </c>
      <c r="J6">
        <v>1070</v>
      </c>
      <c r="K6">
        <v>1072</v>
      </c>
    </row>
    <row r="7" spans="2:11" x14ac:dyDescent="0.25">
      <c r="B7" s="13">
        <v>1071</v>
      </c>
      <c r="C7" t="s">
        <v>375</v>
      </c>
      <c r="D7">
        <v>1071</v>
      </c>
      <c r="E7" s="103" t="s">
        <v>375</v>
      </c>
      <c r="F7" s="103" t="s">
        <v>375</v>
      </c>
      <c r="G7" s="103" t="s">
        <v>375</v>
      </c>
      <c r="I7">
        <v>1072</v>
      </c>
      <c r="J7">
        <v>1071</v>
      </c>
      <c r="K7">
        <v>1073</v>
      </c>
    </row>
    <row r="8" spans="2:11" x14ac:dyDescent="0.25">
      <c r="B8" s="13">
        <v>1072</v>
      </c>
      <c r="C8" t="s">
        <v>234</v>
      </c>
      <c r="D8">
        <v>1072</v>
      </c>
      <c r="E8" s="103" t="s">
        <v>234</v>
      </c>
      <c r="F8" s="103" t="s">
        <v>234</v>
      </c>
      <c r="G8" s="103" t="s">
        <v>234</v>
      </c>
      <c r="I8">
        <v>1074</v>
      </c>
      <c r="J8">
        <v>1072</v>
      </c>
      <c r="K8">
        <v>1078</v>
      </c>
    </row>
    <row r="9" spans="2:11" x14ac:dyDescent="0.25">
      <c r="B9" s="13">
        <v>1073</v>
      </c>
      <c r="C9" t="s">
        <v>235</v>
      </c>
      <c r="D9">
        <v>1073</v>
      </c>
      <c r="F9" s="103" t="s">
        <v>235</v>
      </c>
      <c r="G9" s="103" t="s">
        <v>235</v>
      </c>
      <c r="I9">
        <v>1075</v>
      </c>
      <c r="J9">
        <v>1073</v>
      </c>
      <c r="K9">
        <v>1079</v>
      </c>
    </row>
    <row r="10" spans="2:11" x14ac:dyDescent="0.25">
      <c r="B10" s="13">
        <v>1078</v>
      </c>
      <c r="C10" t="s">
        <v>380</v>
      </c>
      <c r="D10">
        <v>1078</v>
      </c>
      <c r="G10" s="103" t="s">
        <v>380</v>
      </c>
      <c r="I10">
        <v>1076</v>
      </c>
      <c r="J10">
        <v>1074</v>
      </c>
      <c r="K10">
        <v>1080</v>
      </c>
    </row>
    <row r="11" spans="2:11" x14ac:dyDescent="0.25">
      <c r="B11" s="13">
        <v>1079</v>
      </c>
      <c r="C11" t="s">
        <v>381</v>
      </c>
      <c r="D11">
        <v>1079</v>
      </c>
      <c r="G11" s="103" t="s">
        <v>381</v>
      </c>
      <c r="I11">
        <v>1077</v>
      </c>
      <c r="J11">
        <v>1075</v>
      </c>
      <c r="K11">
        <v>1074</v>
      </c>
    </row>
    <row r="12" spans="2:11" x14ac:dyDescent="0.25">
      <c r="B12" s="13">
        <v>1080</v>
      </c>
      <c r="C12" t="s">
        <v>382</v>
      </c>
      <c r="D12">
        <v>1080</v>
      </c>
      <c r="G12" s="103" t="s">
        <v>382</v>
      </c>
      <c r="I12">
        <v>1082</v>
      </c>
      <c r="J12">
        <v>1076</v>
      </c>
      <c r="K12">
        <v>1075</v>
      </c>
    </row>
    <row r="13" spans="2:11" x14ac:dyDescent="0.25">
      <c r="B13" s="13">
        <v>1074</v>
      </c>
      <c r="C13" t="s">
        <v>376</v>
      </c>
      <c r="D13">
        <v>1074</v>
      </c>
      <c r="E13" s="103" t="s">
        <v>376</v>
      </c>
      <c r="F13" s="103" t="s">
        <v>376</v>
      </c>
      <c r="G13" s="103" t="s">
        <v>376</v>
      </c>
      <c r="J13">
        <v>1077</v>
      </c>
      <c r="K13">
        <v>1076</v>
      </c>
    </row>
    <row r="14" spans="2:11" x14ac:dyDescent="0.25">
      <c r="B14" s="13">
        <v>1075</v>
      </c>
      <c r="C14" t="s">
        <v>377</v>
      </c>
      <c r="D14">
        <v>1075</v>
      </c>
      <c r="E14" s="103" t="s">
        <v>377</v>
      </c>
      <c r="F14" s="103" t="s">
        <v>377</v>
      </c>
      <c r="G14" s="103" t="s">
        <v>377</v>
      </c>
      <c r="K14">
        <v>1077</v>
      </c>
    </row>
    <row r="15" spans="2:11" x14ac:dyDescent="0.25">
      <c r="B15" s="13">
        <v>1076</v>
      </c>
      <c r="C15" t="s">
        <v>378</v>
      </c>
      <c r="D15">
        <v>1076</v>
      </c>
      <c r="E15" s="103" t="s">
        <v>378</v>
      </c>
      <c r="F15" s="103" t="s">
        <v>378</v>
      </c>
      <c r="G15" s="103" t="s">
        <v>378</v>
      </c>
    </row>
    <row r="16" spans="2:11" x14ac:dyDescent="0.25">
      <c r="B16" s="13">
        <v>1077</v>
      </c>
      <c r="C16" t="s">
        <v>379</v>
      </c>
      <c r="D16">
        <v>1077</v>
      </c>
      <c r="E16" s="103" t="s">
        <v>379</v>
      </c>
      <c r="F16" s="103" t="s">
        <v>379</v>
      </c>
      <c r="G16" s="103" t="s">
        <v>379</v>
      </c>
    </row>
    <row r="17" spans="2:10" x14ac:dyDescent="0.25">
      <c r="B17" s="13">
        <v>1082</v>
      </c>
      <c r="C17" t="s">
        <v>384</v>
      </c>
      <c r="D17">
        <v>1082</v>
      </c>
      <c r="E17" s="103" t="s">
        <v>384</v>
      </c>
    </row>
    <row r="18" spans="2:10" x14ac:dyDescent="0.25">
      <c r="B18" s="53"/>
    </row>
    <row r="19" spans="2:10" x14ac:dyDescent="0.25">
      <c r="B19" s="105" t="s">
        <v>233</v>
      </c>
      <c r="C19" s="105" t="s">
        <v>388</v>
      </c>
      <c r="D19" s="105" t="s">
        <v>425</v>
      </c>
      <c r="E19" s="105" t="s">
        <v>426</v>
      </c>
      <c r="G19" s="7" t="s">
        <v>429</v>
      </c>
      <c r="H19" t="s">
        <v>427</v>
      </c>
      <c r="I19" t="s">
        <v>428</v>
      </c>
      <c r="J19" s="103" t="s">
        <v>26</v>
      </c>
    </row>
    <row r="20" spans="2:10" x14ac:dyDescent="0.25">
      <c r="B20">
        <f>INDEX(exante.Technology!$A$2:$A$4130,MATCH(E20,exante.Technology!$C$2:$C$4130,0))</f>
        <v>1060</v>
      </c>
      <c r="C20">
        <v>85</v>
      </c>
      <c r="D20" t="str">
        <f>INDEX(Technologies!$B$7:$S$67,H20,I20)</f>
        <v>Gas</v>
      </c>
      <c r="E20" t="str">
        <f>INDEX(Technologies!$B$7:$B$67,H20)</f>
        <v>Inst_EF-Gas-150kBtuh-0p82EF</v>
      </c>
      <c r="G20" t="str">
        <f t="shared" ref="G20:G28" si="0">VLOOKUP(C20,$B$3:$C$17,2,FALSE)</f>
        <v>Fuel_Type</v>
      </c>
      <c r="H20">
        <v>60</v>
      </c>
      <c r="I20">
        <f>MATCH(G20,Technologies!$B$6:$S$6,0)</f>
        <v>3</v>
      </c>
      <c r="J20">
        <v>65</v>
      </c>
    </row>
    <row r="21" spans="2:10" x14ac:dyDescent="0.25">
      <c r="B21">
        <f>INDEX(exante.Technology!$A$2:$A$4130,MATCH(E21,exante.Technology!$C$2:$C$4130,0))</f>
        <v>1060</v>
      </c>
      <c r="C21">
        <v>58</v>
      </c>
      <c r="D21">
        <f>INDEX(Technologies!$B$7:$S$67,H21,I21)</f>
        <v>0.82</v>
      </c>
      <c r="E21" t="str">
        <f>INDEX(Technologies!$B$7:$B$67,H21)</f>
        <v>Inst_EF-Gas-150kBtuh-0p82EF</v>
      </c>
      <c r="G21" t="str">
        <f t="shared" si="0"/>
        <v>Energy_Factor</v>
      </c>
      <c r="H21">
        <v>60</v>
      </c>
      <c r="I21">
        <f>MATCH(G21,Technologies!$B$6:$S$6,0)</f>
        <v>5</v>
      </c>
      <c r="J21">
        <v>65</v>
      </c>
    </row>
    <row r="22" spans="2:10" x14ac:dyDescent="0.25">
      <c r="B22">
        <f>INDEX(exante.Technology!$A$2:$A$4130,MATCH(E22,exante.Technology!$C$2:$C$4130,0))</f>
        <v>1060</v>
      </c>
      <c r="C22">
        <v>1070</v>
      </c>
      <c r="D22">
        <f>INDEX(Technologies!$B$7:$S$67,H22,I22)</f>
        <v>150</v>
      </c>
      <c r="E22" t="str">
        <f>INDEX(Technologies!$B$7:$B$67,H22)</f>
        <v>Inst_EF-Gas-150kBtuh-0p82EF</v>
      </c>
      <c r="G22" t="str">
        <f t="shared" si="0"/>
        <v>BurnCap_kBTUh</v>
      </c>
      <c r="H22">
        <v>60</v>
      </c>
      <c r="I22">
        <f>MATCH(G22,Technologies!$B$6:$S$6,0)</f>
        <v>6</v>
      </c>
      <c r="J22">
        <v>65</v>
      </c>
    </row>
    <row r="23" spans="2:10" x14ac:dyDescent="0.25">
      <c r="B23">
        <f>INDEX(exante.Technology!$A$2:$A$4130,MATCH(E23,exante.Technology!$C$2:$C$4130,0))</f>
        <v>1060</v>
      </c>
      <c r="C23">
        <v>1071</v>
      </c>
      <c r="D23">
        <f>INDEX(Technologies!$B$7:$S$67,H23,I23)</f>
        <v>0</v>
      </c>
      <c r="E23" t="str">
        <f>INDEX(Technologies!$B$7:$B$67,H23)</f>
        <v>Inst_EF-Gas-150kBtuh-0p82EF</v>
      </c>
      <c r="G23" t="str">
        <f t="shared" si="0"/>
        <v>BurnCap_kW</v>
      </c>
      <c r="H23">
        <v>60</v>
      </c>
      <c r="I23">
        <f>MATCH(G23,Technologies!$B$6:$S$6,0)</f>
        <v>7</v>
      </c>
      <c r="J23">
        <v>65</v>
      </c>
    </row>
    <row r="24" spans="2:10" x14ac:dyDescent="0.25">
      <c r="B24">
        <f>INDEX(exante.Technology!$A$2:$A$4130,MATCH(E24,exante.Technology!$C$2:$C$4130,0))</f>
        <v>1060</v>
      </c>
      <c r="C24">
        <v>1072</v>
      </c>
      <c r="D24">
        <f>INDEX(Technologies!$B$7:$S$67,H24,I24)</f>
        <v>0.82</v>
      </c>
      <c r="E24" t="str">
        <f>INDEX(Technologies!$B$7:$B$67,H24)</f>
        <v>Inst_EF-Gas-150kBtuh-0p82EF</v>
      </c>
      <c r="G24" t="str">
        <f t="shared" si="0"/>
        <v>RecovEff</v>
      </c>
      <c r="H24">
        <v>60</v>
      </c>
      <c r="I24">
        <f>MATCH(G24,Technologies!$B$6:$S$6,0)</f>
        <v>8</v>
      </c>
      <c r="J24">
        <v>65</v>
      </c>
    </row>
    <row r="25" spans="2:10" x14ac:dyDescent="0.25">
      <c r="B25">
        <f>INDEX(exante.Technology!$A$2:$A$4130,MATCH(E25,exante.Technology!$C$2:$C$4130,0))</f>
        <v>1060</v>
      </c>
      <c r="C25">
        <v>1074</v>
      </c>
      <c r="D25">
        <f>INDEX(Technologies!$B$7:$S$67,H25,I25)</f>
        <v>0</v>
      </c>
      <c r="E25" t="str">
        <f>INDEX(Technologies!$B$7:$B$67,H25)</f>
        <v>Inst_EF-Gas-150kBtuh-0p82EF</v>
      </c>
      <c r="G25" t="str">
        <f t="shared" si="0"/>
        <v>auxW</v>
      </c>
      <c r="H25">
        <v>60</v>
      </c>
      <c r="I25">
        <f>MATCH(G25,Technologies!$B$6:$S$6,0)</f>
        <v>13</v>
      </c>
      <c r="J25">
        <v>65</v>
      </c>
    </row>
    <row r="26" spans="2:10" x14ac:dyDescent="0.25">
      <c r="B26">
        <f>INDEX(exante.Technology!$A$2:$A$4130,MATCH(E26,exante.Technology!$C$2:$C$4130,0))</f>
        <v>1060</v>
      </c>
      <c r="C26">
        <v>1075</v>
      </c>
      <c r="D26">
        <f>INDEX(Technologies!$B$7:$S$67,H26,I26)</f>
        <v>0</v>
      </c>
      <c r="E26" t="str">
        <f>INDEX(Technologies!$B$7:$B$67,H26)</f>
        <v>Inst_EF-Gas-150kBtuh-0p82EF</v>
      </c>
      <c r="G26" t="str">
        <f t="shared" si="0"/>
        <v>auxVentW</v>
      </c>
      <c r="H26">
        <v>60</v>
      </c>
      <c r="I26">
        <f>MATCH(G26,Technologies!$B$6:$S$6,0)</f>
        <v>14</v>
      </c>
      <c r="J26">
        <v>65</v>
      </c>
    </row>
    <row r="27" spans="2:10" x14ac:dyDescent="0.25">
      <c r="B27">
        <f>INDEX(exante.Technology!$A$2:$A$4130,MATCH(E27,exante.Technology!$C$2:$C$4130,0))</f>
        <v>1060</v>
      </c>
      <c r="C27">
        <v>1076</v>
      </c>
      <c r="D27">
        <f>INDEX(Technologies!$B$7:$S$67,H27,I27)</f>
        <v>350</v>
      </c>
      <c r="E27" t="str">
        <f>INDEX(Technologies!$B$7:$B$67,H27)</f>
        <v>Inst_EF-Gas-150kBtuh-0p82EF</v>
      </c>
      <c r="G27" t="str">
        <f t="shared" si="0"/>
        <v>pilotBTUh</v>
      </c>
      <c r="H27">
        <v>60</v>
      </c>
      <c r="I27">
        <f>MATCH(G27,Technologies!$B$6:$S$6,0)</f>
        <v>15</v>
      </c>
      <c r="J27">
        <v>65</v>
      </c>
    </row>
    <row r="28" spans="2:10" x14ac:dyDescent="0.25">
      <c r="B28">
        <f>INDEX(exante.Technology!$A$2:$A$4130,MATCH(E28,exante.Technology!$C$2:$C$4130,0))</f>
        <v>1060</v>
      </c>
      <c r="C28">
        <v>1077</v>
      </c>
      <c r="D28">
        <f>INDEX(Technologies!$B$7:$S$67,H28,I28)</f>
        <v>0.67</v>
      </c>
      <c r="E28" t="str">
        <f>INDEX(Technologies!$B$7:$B$67,H28)</f>
        <v>Inst_EF-Gas-150kBtuh-0p82EF</v>
      </c>
      <c r="G28" t="str">
        <f t="shared" si="0"/>
        <v>pilotHtgEff</v>
      </c>
      <c r="H28">
        <v>60</v>
      </c>
      <c r="I28">
        <f>MATCH(G28,Technologies!$B$6:$S$6,0)</f>
        <v>16</v>
      </c>
      <c r="J28">
        <v>65</v>
      </c>
    </row>
    <row r="29" spans="2:10" x14ac:dyDescent="0.25">
      <c r="B29">
        <f>INDEX(exante.Technology!$A$2:$A$4130,MATCH(E29,exante.Technology!$C$2:$C$4130,0))</f>
        <v>1060</v>
      </c>
      <c r="C29">
        <v>1082</v>
      </c>
      <c r="D29">
        <f>INDEX(Technologies!$B$7:$S$67,H29,I29)</f>
        <v>75</v>
      </c>
      <c r="E29" t="str">
        <f>INDEX(Technologies!$B$7:$B$67,H29)</f>
        <v>Inst_EF-Gas-150kBtuh-0p82EF</v>
      </c>
      <c r="G29" t="s">
        <v>385</v>
      </c>
      <c r="H29">
        <v>60</v>
      </c>
      <c r="I29">
        <f>MATCH(G29,Technologies!$B$6:$S$6,0)</f>
        <v>4</v>
      </c>
      <c r="J29">
        <v>65</v>
      </c>
    </row>
    <row r="30" spans="2:10" x14ac:dyDescent="0.25">
      <c r="B30">
        <f>INDEX(exante.Technology!$A$2:$A$4130,MATCH(E30,exante.Technology!$C$2:$C$4130,0))</f>
        <v>1061</v>
      </c>
      <c r="C30">
        <v>85</v>
      </c>
      <c r="D30" t="str">
        <f>INDEX(Technologies!$B$7:$S$67,H30,I30)</f>
        <v>Gas</v>
      </c>
      <c r="E30" t="str">
        <f>INDEX(Technologies!$B$7:$B$67,H30)</f>
        <v>Inst_EF-Gas-150kBtuh-0p92EF</v>
      </c>
      <c r="G30" t="str">
        <f t="shared" ref="G30:G38" si="1">VLOOKUP(C30,$B$3:$C$17,2,FALSE)</f>
        <v>Fuel_Type</v>
      </c>
      <c r="H30">
        <v>61</v>
      </c>
      <c r="I30">
        <f>MATCH(G30,Technologies!$B$6:$S$6,0)</f>
        <v>3</v>
      </c>
      <c r="J30">
        <v>65</v>
      </c>
    </row>
    <row r="31" spans="2:10" x14ac:dyDescent="0.25">
      <c r="B31">
        <f>INDEX(exante.Technology!$A$2:$A$4130,MATCH(E31,exante.Technology!$C$2:$C$4130,0))</f>
        <v>1061</v>
      </c>
      <c r="C31">
        <v>58</v>
      </c>
      <c r="D31">
        <f>INDEX(Technologies!$B$7:$S$67,H31,I31)</f>
        <v>0.92</v>
      </c>
      <c r="E31" t="str">
        <f>INDEX(Technologies!$B$7:$B$67,H31)</f>
        <v>Inst_EF-Gas-150kBtuh-0p92EF</v>
      </c>
      <c r="G31" t="str">
        <f t="shared" si="1"/>
        <v>Energy_Factor</v>
      </c>
      <c r="H31">
        <v>61</v>
      </c>
      <c r="I31">
        <f>MATCH(G31,Technologies!$B$6:$S$6,0)</f>
        <v>5</v>
      </c>
      <c r="J31">
        <v>65</v>
      </c>
    </row>
    <row r="32" spans="2:10" x14ac:dyDescent="0.25">
      <c r="B32">
        <f>INDEX(exante.Technology!$A$2:$A$4130,MATCH(E32,exante.Technology!$C$2:$C$4130,0))</f>
        <v>1061</v>
      </c>
      <c r="C32">
        <v>1070</v>
      </c>
      <c r="D32">
        <f>INDEX(Technologies!$B$7:$S$67,H32,I32)</f>
        <v>150</v>
      </c>
      <c r="E32" t="str">
        <f>INDEX(Technologies!$B$7:$B$67,H32)</f>
        <v>Inst_EF-Gas-150kBtuh-0p92EF</v>
      </c>
      <c r="G32" t="str">
        <f t="shared" si="1"/>
        <v>BurnCap_kBTUh</v>
      </c>
      <c r="H32">
        <v>61</v>
      </c>
      <c r="I32">
        <f>MATCH(G32,Technologies!$B$6:$S$6,0)</f>
        <v>6</v>
      </c>
      <c r="J32">
        <v>65</v>
      </c>
    </row>
    <row r="33" spans="2:10" x14ac:dyDescent="0.25">
      <c r="B33">
        <f>INDEX(exante.Technology!$A$2:$A$4130,MATCH(E33,exante.Technology!$C$2:$C$4130,0))</f>
        <v>1061</v>
      </c>
      <c r="C33">
        <v>1071</v>
      </c>
      <c r="D33">
        <f>INDEX(Technologies!$B$7:$S$67,H33,I33)</f>
        <v>0</v>
      </c>
      <c r="E33" t="str">
        <f>INDEX(Technologies!$B$7:$B$67,H33)</f>
        <v>Inst_EF-Gas-150kBtuh-0p92EF</v>
      </c>
      <c r="G33" t="str">
        <f t="shared" si="1"/>
        <v>BurnCap_kW</v>
      </c>
      <c r="H33">
        <v>61</v>
      </c>
      <c r="I33">
        <f>MATCH(G33,Technologies!$B$6:$S$6,0)</f>
        <v>7</v>
      </c>
      <c r="J33">
        <v>65</v>
      </c>
    </row>
    <row r="34" spans="2:10" x14ac:dyDescent="0.25">
      <c r="B34">
        <f>INDEX(exante.Technology!$A$2:$A$4130,MATCH(E34,exante.Technology!$C$2:$C$4130,0))</f>
        <v>1061</v>
      </c>
      <c r="C34">
        <v>1072</v>
      </c>
      <c r="D34">
        <f>INDEX(Technologies!$B$7:$S$67,H34,I34)</f>
        <v>0.92</v>
      </c>
      <c r="E34" t="str">
        <f>INDEX(Technologies!$B$7:$B$67,H34)</f>
        <v>Inst_EF-Gas-150kBtuh-0p92EF</v>
      </c>
      <c r="G34" t="str">
        <f t="shared" si="1"/>
        <v>RecovEff</v>
      </c>
      <c r="H34">
        <v>61</v>
      </c>
      <c r="I34">
        <f>MATCH(G34,Technologies!$B$6:$S$6,0)</f>
        <v>8</v>
      </c>
      <c r="J34">
        <v>65</v>
      </c>
    </row>
    <row r="35" spans="2:10" x14ac:dyDescent="0.25">
      <c r="B35">
        <f>INDEX(exante.Technology!$A$2:$A$4130,MATCH(E35,exante.Technology!$C$2:$C$4130,0))</f>
        <v>1061</v>
      </c>
      <c r="C35">
        <v>1074</v>
      </c>
      <c r="D35">
        <f>INDEX(Technologies!$B$7:$S$67,H35,I35)</f>
        <v>0</v>
      </c>
      <c r="E35" t="str">
        <f>INDEX(Technologies!$B$7:$B$67,H35)</f>
        <v>Inst_EF-Gas-150kBtuh-0p92EF</v>
      </c>
      <c r="G35" t="str">
        <f t="shared" si="1"/>
        <v>auxW</v>
      </c>
      <c r="H35">
        <v>61</v>
      </c>
      <c r="I35">
        <f>MATCH(G35,Technologies!$B$6:$S$6,0)</f>
        <v>13</v>
      </c>
      <c r="J35">
        <v>65</v>
      </c>
    </row>
    <row r="36" spans="2:10" x14ac:dyDescent="0.25">
      <c r="B36">
        <f>INDEX(exante.Technology!$A$2:$A$4130,MATCH(E36,exante.Technology!$C$2:$C$4130,0))</f>
        <v>1061</v>
      </c>
      <c r="C36">
        <v>1075</v>
      </c>
      <c r="D36">
        <f>INDEX(Technologies!$B$7:$S$67,H36,I36)</f>
        <v>50</v>
      </c>
      <c r="E36" t="str">
        <f>INDEX(Technologies!$B$7:$B$67,H36)</f>
        <v>Inst_EF-Gas-150kBtuh-0p92EF</v>
      </c>
      <c r="G36" t="str">
        <f t="shared" si="1"/>
        <v>auxVentW</v>
      </c>
      <c r="H36">
        <v>61</v>
      </c>
      <c r="I36">
        <f>MATCH(G36,Technologies!$B$6:$S$6,0)</f>
        <v>14</v>
      </c>
      <c r="J36">
        <v>65</v>
      </c>
    </row>
    <row r="37" spans="2:10" x14ac:dyDescent="0.25">
      <c r="B37">
        <f>INDEX(exante.Technology!$A$2:$A$4130,MATCH(E37,exante.Technology!$C$2:$C$4130,0))</f>
        <v>1061</v>
      </c>
      <c r="C37">
        <v>1076</v>
      </c>
      <c r="D37">
        <f>INDEX(Technologies!$B$7:$S$67,H37,I37)</f>
        <v>350</v>
      </c>
      <c r="E37" t="str">
        <f>INDEX(Technologies!$B$7:$B$67,H37)</f>
        <v>Inst_EF-Gas-150kBtuh-0p92EF</v>
      </c>
      <c r="G37" t="str">
        <f t="shared" si="1"/>
        <v>pilotBTUh</v>
      </c>
      <c r="H37">
        <v>61</v>
      </c>
      <c r="I37">
        <f>MATCH(G37,Technologies!$B$6:$S$6,0)</f>
        <v>15</v>
      </c>
      <c r="J37">
        <v>65</v>
      </c>
    </row>
    <row r="38" spans="2:10" x14ac:dyDescent="0.25">
      <c r="B38">
        <f>INDEX(exante.Technology!$A$2:$A$4130,MATCH(E38,exante.Technology!$C$2:$C$4130,0))</f>
        <v>1061</v>
      </c>
      <c r="C38">
        <v>1077</v>
      </c>
      <c r="D38">
        <f>INDEX(Technologies!$B$7:$S$67,H38,I38)</f>
        <v>0.67</v>
      </c>
      <c r="E38" t="str">
        <f>INDEX(Technologies!$B$7:$B$67,H38)</f>
        <v>Inst_EF-Gas-150kBtuh-0p92EF</v>
      </c>
      <c r="G38" t="str">
        <f t="shared" si="1"/>
        <v>pilotHtgEff</v>
      </c>
      <c r="H38">
        <v>61</v>
      </c>
      <c r="I38">
        <f>MATCH(G38,Technologies!$B$6:$S$6,0)</f>
        <v>16</v>
      </c>
      <c r="J38">
        <v>65</v>
      </c>
    </row>
    <row r="39" spans="2:10" x14ac:dyDescent="0.25">
      <c r="B39">
        <f>INDEX(exante.Technology!$A$2:$A$4130,MATCH(E39,exante.Technology!$C$2:$C$4130,0))</f>
        <v>1061</v>
      </c>
      <c r="C39">
        <v>1082</v>
      </c>
      <c r="D39">
        <f>INDEX(Technologies!$B$7:$S$67,H39,I39)</f>
        <v>75</v>
      </c>
      <c r="E39" t="str">
        <f>INDEX(Technologies!$B$7:$B$67,H39)</f>
        <v>Inst_EF-Gas-150kBtuh-0p92EF</v>
      </c>
      <c r="G39" t="s">
        <v>385</v>
      </c>
      <c r="H39">
        <v>61</v>
      </c>
      <c r="I39">
        <f>MATCH(G39,Technologies!$B$6:$S$6,0)</f>
        <v>4</v>
      </c>
      <c r="J39">
        <v>65</v>
      </c>
    </row>
    <row r="40" spans="2:10" x14ac:dyDescent="0.25">
      <c r="B40">
        <f>INDEX(exante.Technology!$A$2:$A$4130,MATCH(E40,exante.Technology!$C$2:$C$4130,0))</f>
        <v>1001</v>
      </c>
      <c r="C40">
        <v>85</v>
      </c>
      <c r="D40" t="str">
        <f>INDEX(Technologies!$B$7:$S$67,H40,I40)</f>
        <v>Elec</v>
      </c>
      <c r="E40" t="str">
        <f>INDEX(Technologies!$B$7:$B$67,H40)</f>
        <v>Stor_EF-Elec-030gal-0.89EF</v>
      </c>
      <c r="G40" t="str">
        <f t="shared" ref="G40:G103" si="2">VLOOKUP(C40,$B$3:$C$17,2,FALSE)</f>
        <v>Fuel_Type</v>
      </c>
      <c r="H40">
        <v>1</v>
      </c>
      <c r="I40">
        <f>MATCH(G40,Technologies!$B$6:$S$6,0)</f>
        <v>3</v>
      </c>
      <c r="J40">
        <v>67</v>
      </c>
    </row>
    <row r="41" spans="2:10" x14ac:dyDescent="0.25">
      <c r="B41">
        <f>INDEX(exante.Technology!$A$2:$A$4130,MATCH(E41,exante.Technology!$C$2:$C$4130,0))</f>
        <v>1001</v>
      </c>
      <c r="C41">
        <v>1081</v>
      </c>
      <c r="D41">
        <f>INDEX(Technologies!$B$7:$S$67,H41,I41)</f>
        <v>30</v>
      </c>
      <c r="E41" t="str">
        <f>INDEX(Technologies!$B$7:$B$67,H41)</f>
        <v>Stor_EF-Elec-030gal-0.89EF</v>
      </c>
      <c r="G41" t="str">
        <f t="shared" si="2"/>
        <v>Nom_Gallons</v>
      </c>
      <c r="H41">
        <v>1</v>
      </c>
      <c r="I41">
        <f>MATCH(G41,Technologies!$B$6:$S$6,0)</f>
        <v>4</v>
      </c>
      <c r="J41">
        <v>67</v>
      </c>
    </row>
    <row r="42" spans="2:10" x14ac:dyDescent="0.25">
      <c r="B42">
        <f>INDEX(exante.Technology!$A$2:$A$4130,MATCH(E42,exante.Technology!$C$2:$C$4130,0))</f>
        <v>1001</v>
      </c>
      <c r="C42">
        <v>58</v>
      </c>
      <c r="D42">
        <f>INDEX(Technologies!$B$7:$S$67,H42,I42)</f>
        <v>0.89040000000000008</v>
      </c>
      <c r="E42" t="str">
        <f>INDEX(Technologies!$B$7:$B$67,H42)</f>
        <v>Stor_EF-Elec-030gal-0.89EF</v>
      </c>
      <c r="G42" t="str">
        <f t="shared" si="2"/>
        <v>Energy_Factor</v>
      </c>
      <c r="H42">
        <v>1</v>
      </c>
      <c r="I42">
        <f>MATCH(G42,Technologies!$B$6:$S$6,0)</f>
        <v>5</v>
      </c>
      <c r="J42">
        <v>67</v>
      </c>
    </row>
    <row r="43" spans="2:10" x14ac:dyDescent="0.25">
      <c r="B43">
        <f>INDEX(exante.Technology!$A$2:$A$4130,MATCH(E43,exante.Technology!$C$2:$C$4130,0))</f>
        <v>1001</v>
      </c>
      <c r="C43">
        <v>1070</v>
      </c>
      <c r="D43">
        <f>INDEX(Technologies!$B$7:$S$67,H43,I43)</f>
        <v>0</v>
      </c>
      <c r="E43" t="str">
        <f>INDEX(Technologies!$B$7:$B$67,H43)</f>
        <v>Stor_EF-Elec-030gal-0.89EF</v>
      </c>
      <c r="G43" t="str">
        <f t="shared" si="2"/>
        <v>BurnCap_kBTUh</v>
      </c>
      <c r="H43">
        <v>1</v>
      </c>
      <c r="I43">
        <f>MATCH(G43,Technologies!$B$6:$S$6,0)</f>
        <v>6</v>
      </c>
      <c r="J43">
        <v>67</v>
      </c>
    </row>
    <row r="44" spans="2:10" x14ac:dyDescent="0.25">
      <c r="B44">
        <f>INDEX(exante.Technology!$A$2:$A$4130,MATCH(E44,exante.Technology!$C$2:$C$4130,0))</f>
        <v>1001</v>
      </c>
      <c r="C44">
        <v>1071</v>
      </c>
      <c r="D44">
        <f>INDEX(Technologies!$B$7:$S$67,H44,I44)</f>
        <v>4.5</v>
      </c>
      <c r="E44" t="str">
        <f>INDEX(Technologies!$B$7:$B$67,H44)</f>
        <v>Stor_EF-Elec-030gal-0.89EF</v>
      </c>
      <c r="G44" t="str">
        <f t="shared" si="2"/>
        <v>BurnCap_kW</v>
      </c>
      <c r="H44">
        <v>1</v>
      </c>
      <c r="I44">
        <f>MATCH(G44,Technologies!$B$6:$S$6,0)</f>
        <v>7</v>
      </c>
      <c r="J44">
        <v>67</v>
      </c>
    </row>
    <row r="45" spans="2:10" x14ac:dyDescent="0.25">
      <c r="B45">
        <f>INDEX(exante.Technology!$A$2:$A$4130,MATCH(E45,exante.Technology!$C$2:$C$4130,0))</f>
        <v>1001</v>
      </c>
      <c r="C45">
        <v>1072</v>
      </c>
      <c r="D45">
        <f>INDEX(Technologies!$B$7:$S$67,H45,I45)</f>
        <v>0.98</v>
      </c>
      <c r="E45" t="str">
        <f>INDEX(Technologies!$B$7:$B$67,H45)</f>
        <v>Stor_EF-Elec-030gal-0.89EF</v>
      </c>
      <c r="G45" t="str">
        <f t="shared" si="2"/>
        <v>RecovEff</v>
      </c>
      <c r="H45">
        <v>1</v>
      </c>
      <c r="I45">
        <f>MATCH(G45,Technologies!$B$6:$S$6,0)</f>
        <v>8</v>
      </c>
      <c r="J45">
        <v>67</v>
      </c>
    </row>
    <row r="46" spans="2:10" x14ac:dyDescent="0.25">
      <c r="B46">
        <f>INDEX(exante.Technology!$A$2:$A$4130,MATCH(E46,exante.Technology!$C$2:$C$4130,0))</f>
        <v>1001</v>
      </c>
      <c r="C46">
        <v>1073</v>
      </c>
      <c r="D46">
        <f>INDEX(Technologies!$B$7:$S$67,H46,I46)</f>
        <v>3.1227999999999998</v>
      </c>
      <c r="E46" t="str">
        <f>INDEX(Technologies!$B$7:$B$67,H46)</f>
        <v>Stor_EF-Elec-030gal-0.89EF</v>
      </c>
      <c r="G46" t="str">
        <f t="shared" si="2"/>
        <v>TankUA</v>
      </c>
      <c r="H46">
        <v>1</v>
      </c>
      <c r="I46">
        <f>MATCH(G46,Technologies!$B$6:$S$6,0)</f>
        <v>9</v>
      </c>
      <c r="J46">
        <v>67</v>
      </c>
    </row>
    <row r="47" spans="2:10" x14ac:dyDescent="0.25">
      <c r="B47">
        <f>INDEX(exante.Technology!$A$2:$A$4130,MATCH(E47,exante.Technology!$C$2:$C$4130,0))</f>
        <v>1001</v>
      </c>
      <c r="C47">
        <v>1074</v>
      </c>
      <c r="D47">
        <f>INDEX(Technologies!$B$7:$S$67,H47,I47)</f>
        <v>0</v>
      </c>
      <c r="E47" t="str">
        <f>INDEX(Technologies!$B$7:$B$67,H47)</f>
        <v>Stor_EF-Elec-030gal-0.89EF</v>
      </c>
      <c r="G47" t="str">
        <f t="shared" si="2"/>
        <v>auxW</v>
      </c>
      <c r="H47">
        <v>1</v>
      </c>
      <c r="I47">
        <f>MATCH(G47,Technologies!$B$6:$S$6,0)</f>
        <v>13</v>
      </c>
      <c r="J47">
        <v>67</v>
      </c>
    </row>
    <row r="48" spans="2:10" x14ac:dyDescent="0.25">
      <c r="B48">
        <f>INDEX(exante.Technology!$A$2:$A$4130,MATCH(E48,exante.Technology!$C$2:$C$4130,0))</f>
        <v>1001</v>
      </c>
      <c r="C48">
        <v>1075</v>
      </c>
      <c r="D48">
        <f>INDEX(Technologies!$B$7:$S$67,H48,I48)</f>
        <v>0</v>
      </c>
      <c r="E48" t="str">
        <f>INDEX(Technologies!$B$7:$B$67,H48)</f>
        <v>Stor_EF-Elec-030gal-0.89EF</v>
      </c>
      <c r="G48" t="str">
        <f t="shared" si="2"/>
        <v>auxVentW</v>
      </c>
      <c r="H48">
        <v>1</v>
      </c>
      <c r="I48">
        <f>MATCH(G48,Technologies!$B$6:$S$6,0)</f>
        <v>14</v>
      </c>
      <c r="J48">
        <v>67</v>
      </c>
    </row>
    <row r="49" spans="2:10" x14ac:dyDescent="0.25">
      <c r="B49">
        <f>INDEX(exante.Technology!$A$2:$A$4130,MATCH(E49,exante.Technology!$C$2:$C$4130,0))</f>
        <v>1001</v>
      </c>
      <c r="C49">
        <v>1076</v>
      </c>
      <c r="D49">
        <f>INDEX(Technologies!$B$7:$S$67,H49,I49)</f>
        <v>0</v>
      </c>
      <c r="E49" t="str">
        <f>INDEX(Technologies!$B$7:$B$67,H49)</f>
        <v>Stor_EF-Elec-030gal-0.89EF</v>
      </c>
      <c r="G49" t="str">
        <f t="shared" si="2"/>
        <v>pilotBTUh</v>
      </c>
      <c r="H49">
        <v>1</v>
      </c>
      <c r="I49">
        <f>MATCH(G49,Technologies!$B$6:$S$6,0)</f>
        <v>15</v>
      </c>
      <c r="J49">
        <v>67</v>
      </c>
    </row>
    <row r="50" spans="2:10" x14ac:dyDescent="0.25">
      <c r="B50">
        <f>INDEX(exante.Technology!$A$2:$A$4130,MATCH(E50,exante.Technology!$C$2:$C$4130,0))</f>
        <v>1001</v>
      </c>
      <c r="C50">
        <v>1077</v>
      </c>
      <c r="D50">
        <f>INDEX(Technologies!$B$7:$S$67,H50,I50)</f>
        <v>0</v>
      </c>
      <c r="E50" t="str">
        <f>INDEX(Technologies!$B$7:$B$67,H50)</f>
        <v>Stor_EF-Elec-030gal-0.89EF</v>
      </c>
      <c r="G50" t="str">
        <f t="shared" si="2"/>
        <v>pilotHtgEff</v>
      </c>
      <c r="H50">
        <v>1</v>
      </c>
      <c r="I50">
        <f>MATCH(G50,Technologies!$B$6:$S$6,0)</f>
        <v>16</v>
      </c>
      <c r="J50">
        <v>67</v>
      </c>
    </row>
    <row r="51" spans="2:10" x14ac:dyDescent="0.25">
      <c r="B51">
        <f>INDEX(exante.Technology!$A$2:$A$4130,MATCH(E51,exante.Technology!$C$2:$C$4130,0))</f>
        <v>1002</v>
      </c>
      <c r="C51">
        <f>+C40</f>
        <v>85</v>
      </c>
      <c r="D51" t="str">
        <f>INDEX(Technologies!$B$7:$S$67,H51,I51)</f>
        <v>Elec</v>
      </c>
      <c r="E51" t="str">
        <f>INDEX(Technologies!$B$7:$B$67,H51)</f>
        <v>Stor_EF-Elec-030gal-0.93EF</v>
      </c>
      <c r="G51" t="str">
        <f t="shared" si="2"/>
        <v>Fuel_Type</v>
      </c>
      <c r="H51">
        <f>+H40+1</f>
        <v>2</v>
      </c>
      <c r="I51">
        <f>MATCH(G51,Technologies!$B$6:$S$6,0)</f>
        <v>3</v>
      </c>
      <c r="J51">
        <f>+J40</f>
        <v>67</v>
      </c>
    </row>
    <row r="52" spans="2:10" x14ac:dyDescent="0.25">
      <c r="B52">
        <f>INDEX(exante.Technology!$A$2:$A$4130,MATCH(E52,exante.Technology!$C$2:$C$4130,0))</f>
        <v>1002</v>
      </c>
      <c r="C52">
        <f t="shared" ref="C52" si="3">+C41</f>
        <v>1081</v>
      </c>
      <c r="D52">
        <f>INDEX(Technologies!$B$7:$S$67,H52,I52)</f>
        <v>30</v>
      </c>
      <c r="E52" t="str">
        <f>INDEX(Technologies!$B$7:$B$67,H52)</f>
        <v>Stor_EF-Elec-030gal-0.93EF</v>
      </c>
      <c r="G52" t="str">
        <f t="shared" si="2"/>
        <v>Nom_Gallons</v>
      </c>
      <c r="H52">
        <f t="shared" ref="H52:H115" si="4">+H41+1</f>
        <v>2</v>
      </c>
      <c r="I52">
        <f>MATCH(G52,Technologies!$B$6:$S$6,0)</f>
        <v>4</v>
      </c>
      <c r="J52">
        <f t="shared" ref="J52" si="5">+J41</f>
        <v>67</v>
      </c>
    </row>
    <row r="53" spans="2:10" x14ac:dyDescent="0.25">
      <c r="B53">
        <f>INDEX(exante.Technology!$A$2:$A$4130,MATCH(E53,exante.Technology!$C$2:$C$4130,0))</f>
        <v>1002</v>
      </c>
      <c r="C53">
        <f t="shared" ref="C53" si="6">+C42</f>
        <v>58</v>
      </c>
      <c r="D53">
        <f>INDEX(Technologies!$B$7:$S$67,H53,I53)</f>
        <v>0.9304</v>
      </c>
      <c r="E53" t="str">
        <f>INDEX(Technologies!$B$7:$B$67,H53)</f>
        <v>Stor_EF-Elec-030gal-0.93EF</v>
      </c>
      <c r="G53" t="str">
        <f t="shared" si="2"/>
        <v>Energy_Factor</v>
      </c>
      <c r="H53">
        <f t="shared" si="4"/>
        <v>2</v>
      </c>
      <c r="I53">
        <f>MATCH(G53,Technologies!$B$6:$S$6,0)</f>
        <v>5</v>
      </c>
      <c r="J53">
        <f t="shared" ref="J53" si="7">+J42</f>
        <v>67</v>
      </c>
    </row>
    <row r="54" spans="2:10" x14ac:dyDescent="0.25">
      <c r="B54">
        <f>INDEX(exante.Technology!$A$2:$A$4130,MATCH(E54,exante.Technology!$C$2:$C$4130,0))</f>
        <v>1002</v>
      </c>
      <c r="C54">
        <f t="shared" ref="C54" si="8">+C43</f>
        <v>1070</v>
      </c>
      <c r="D54">
        <f>INDEX(Technologies!$B$7:$S$67,H54,I54)</f>
        <v>0</v>
      </c>
      <c r="E54" t="str">
        <f>INDEX(Technologies!$B$7:$B$67,H54)</f>
        <v>Stor_EF-Elec-030gal-0.93EF</v>
      </c>
      <c r="G54" t="str">
        <f t="shared" si="2"/>
        <v>BurnCap_kBTUh</v>
      </c>
      <c r="H54">
        <f t="shared" si="4"/>
        <v>2</v>
      </c>
      <c r="I54">
        <f>MATCH(G54,Technologies!$B$6:$S$6,0)</f>
        <v>6</v>
      </c>
      <c r="J54">
        <f t="shared" ref="J54" si="9">+J43</f>
        <v>67</v>
      </c>
    </row>
    <row r="55" spans="2:10" x14ac:dyDescent="0.25">
      <c r="B55">
        <f>INDEX(exante.Technology!$A$2:$A$4130,MATCH(E55,exante.Technology!$C$2:$C$4130,0))</f>
        <v>1002</v>
      </c>
      <c r="C55">
        <f t="shared" ref="C55" si="10">+C44</f>
        <v>1071</v>
      </c>
      <c r="D55">
        <f>INDEX(Technologies!$B$7:$S$67,H55,I55)</f>
        <v>4.5</v>
      </c>
      <c r="E55" t="str">
        <f>INDEX(Technologies!$B$7:$B$67,H55)</f>
        <v>Stor_EF-Elec-030gal-0.93EF</v>
      </c>
      <c r="G55" t="str">
        <f t="shared" si="2"/>
        <v>BurnCap_kW</v>
      </c>
      <c r="H55">
        <f t="shared" si="4"/>
        <v>2</v>
      </c>
      <c r="I55">
        <f>MATCH(G55,Technologies!$B$6:$S$6,0)</f>
        <v>7</v>
      </c>
      <c r="J55">
        <f t="shared" ref="J55" si="11">+J44</f>
        <v>67</v>
      </c>
    </row>
    <row r="56" spans="2:10" x14ac:dyDescent="0.25">
      <c r="B56">
        <f>INDEX(exante.Technology!$A$2:$A$4130,MATCH(E56,exante.Technology!$C$2:$C$4130,0))</f>
        <v>1002</v>
      </c>
      <c r="C56">
        <f t="shared" ref="C56" si="12">+C45</f>
        <v>1072</v>
      </c>
      <c r="D56">
        <f>INDEX(Technologies!$B$7:$S$67,H56,I56)</f>
        <v>0.98</v>
      </c>
      <c r="E56" t="str">
        <f>INDEX(Technologies!$B$7:$B$67,H56)</f>
        <v>Stor_EF-Elec-030gal-0.93EF</v>
      </c>
      <c r="G56" t="str">
        <f t="shared" si="2"/>
        <v>RecovEff</v>
      </c>
      <c r="H56">
        <f t="shared" si="4"/>
        <v>2</v>
      </c>
      <c r="I56">
        <f>MATCH(G56,Technologies!$B$6:$S$6,0)</f>
        <v>8</v>
      </c>
      <c r="J56">
        <f t="shared" ref="J56" si="13">+J45</f>
        <v>67</v>
      </c>
    </row>
    <row r="57" spans="2:10" x14ac:dyDescent="0.25">
      <c r="B57">
        <f>INDEX(exante.Technology!$A$2:$A$4130,MATCH(E57,exante.Technology!$C$2:$C$4130,0))</f>
        <v>1002</v>
      </c>
      <c r="C57">
        <f t="shared" ref="C57" si="14">+C46</f>
        <v>1073</v>
      </c>
      <c r="D57">
        <f>INDEX(Technologies!$B$7:$S$67,H57,I57)</f>
        <v>1.8977999999999999</v>
      </c>
      <c r="E57" t="str">
        <f>INDEX(Technologies!$B$7:$B$67,H57)</f>
        <v>Stor_EF-Elec-030gal-0.93EF</v>
      </c>
      <c r="G57" t="str">
        <f t="shared" si="2"/>
        <v>TankUA</v>
      </c>
      <c r="H57">
        <f t="shared" si="4"/>
        <v>2</v>
      </c>
      <c r="I57">
        <f>MATCH(G57,Technologies!$B$6:$S$6,0)</f>
        <v>9</v>
      </c>
      <c r="J57">
        <f t="shared" ref="J57" si="15">+J46</f>
        <v>67</v>
      </c>
    </row>
    <row r="58" spans="2:10" x14ac:dyDescent="0.25">
      <c r="B58">
        <f>INDEX(exante.Technology!$A$2:$A$4130,MATCH(E58,exante.Technology!$C$2:$C$4130,0))</f>
        <v>1002</v>
      </c>
      <c r="C58">
        <f t="shared" ref="C58" si="16">+C47</f>
        <v>1074</v>
      </c>
      <c r="D58">
        <f>INDEX(Technologies!$B$7:$S$67,H58,I58)</f>
        <v>0</v>
      </c>
      <c r="E58" t="str">
        <f>INDEX(Technologies!$B$7:$B$67,H58)</f>
        <v>Stor_EF-Elec-030gal-0.93EF</v>
      </c>
      <c r="G58" t="str">
        <f t="shared" si="2"/>
        <v>auxW</v>
      </c>
      <c r="H58">
        <f t="shared" si="4"/>
        <v>2</v>
      </c>
      <c r="I58">
        <f>MATCH(G58,Technologies!$B$6:$S$6,0)</f>
        <v>13</v>
      </c>
      <c r="J58">
        <f t="shared" ref="J58" si="17">+J47</f>
        <v>67</v>
      </c>
    </row>
    <row r="59" spans="2:10" x14ac:dyDescent="0.25">
      <c r="B59">
        <f>INDEX(exante.Technology!$A$2:$A$4130,MATCH(E59,exante.Technology!$C$2:$C$4130,0))</f>
        <v>1002</v>
      </c>
      <c r="C59">
        <f t="shared" ref="C59" si="18">+C48</f>
        <v>1075</v>
      </c>
      <c r="D59">
        <f>INDEX(Technologies!$B$7:$S$67,H59,I59)</f>
        <v>0</v>
      </c>
      <c r="E59" t="str">
        <f>INDEX(Technologies!$B$7:$B$67,H59)</f>
        <v>Stor_EF-Elec-030gal-0.93EF</v>
      </c>
      <c r="G59" t="str">
        <f t="shared" si="2"/>
        <v>auxVentW</v>
      </c>
      <c r="H59">
        <f t="shared" si="4"/>
        <v>2</v>
      </c>
      <c r="I59">
        <f>MATCH(G59,Technologies!$B$6:$S$6,0)</f>
        <v>14</v>
      </c>
      <c r="J59">
        <f t="shared" ref="J59" si="19">+J48</f>
        <v>67</v>
      </c>
    </row>
    <row r="60" spans="2:10" x14ac:dyDescent="0.25">
      <c r="B60">
        <f>INDEX(exante.Technology!$A$2:$A$4130,MATCH(E60,exante.Technology!$C$2:$C$4130,0))</f>
        <v>1002</v>
      </c>
      <c r="C60">
        <f t="shared" ref="C60" si="20">+C49</f>
        <v>1076</v>
      </c>
      <c r="D60">
        <f>INDEX(Technologies!$B$7:$S$67,H60,I60)</f>
        <v>0</v>
      </c>
      <c r="E60" t="str">
        <f>INDEX(Technologies!$B$7:$B$67,H60)</f>
        <v>Stor_EF-Elec-030gal-0.93EF</v>
      </c>
      <c r="G60" t="str">
        <f t="shared" si="2"/>
        <v>pilotBTUh</v>
      </c>
      <c r="H60">
        <f t="shared" si="4"/>
        <v>2</v>
      </c>
      <c r="I60">
        <f>MATCH(G60,Technologies!$B$6:$S$6,0)</f>
        <v>15</v>
      </c>
      <c r="J60">
        <f t="shared" ref="J60" si="21">+J49</f>
        <v>67</v>
      </c>
    </row>
    <row r="61" spans="2:10" x14ac:dyDescent="0.25">
      <c r="B61">
        <f>INDEX(exante.Technology!$A$2:$A$4130,MATCH(E61,exante.Technology!$C$2:$C$4130,0))</f>
        <v>1002</v>
      </c>
      <c r="C61">
        <f t="shared" ref="C61" si="22">+C50</f>
        <v>1077</v>
      </c>
      <c r="D61">
        <f>INDEX(Technologies!$B$7:$S$67,H61,I61)</f>
        <v>0</v>
      </c>
      <c r="E61" t="str">
        <f>INDEX(Technologies!$B$7:$B$67,H61)</f>
        <v>Stor_EF-Elec-030gal-0.93EF</v>
      </c>
      <c r="G61" t="str">
        <f t="shared" si="2"/>
        <v>pilotHtgEff</v>
      </c>
      <c r="H61">
        <f t="shared" si="4"/>
        <v>2</v>
      </c>
      <c r="I61">
        <f>MATCH(G61,Technologies!$B$6:$S$6,0)</f>
        <v>16</v>
      </c>
      <c r="J61">
        <f t="shared" ref="J61" si="23">+J50</f>
        <v>67</v>
      </c>
    </row>
    <row r="62" spans="2:10" x14ac:dyDescent="0.25">
      <c r="B62">
        <f>INDEX(exante.Technology!$A$2:$A$4130,MATCH(E62,exante.Technology!$C$2:$C$4130,0))</f>
        <v>1003</v>
      </c>
      <c r="C62">
        <f t="shared" ref="C62" si="24">+C51</f>
        <v>85</v>
      </c>
      <c r="D62" t="str">
        <f>INDEX(Technologies!$B$7:$S$67,H62,I62)</f>
        <v>Elec</v>
      </c>
      <c r="E62" t="str">
        <f>INDEX(Technologies!$B$7:$B$67,H62)</f>
        <v>Stor_EF-Elec-030gal-0.951EF</v>
      </c>
      <c r="G62" t="str">
        <f t="shared" si="2"/>
        <v>Fuel_Type</v>
      </c>
      <c r="H62">
        <f t="shared" si="4"/>
        <v>3</v>
      </c>
      <c r="I62">
        <f>MATCH(G62,Technologies!$B$6:$S$6,0)</f>
        <v>3</v>
      </c>
      <c r="J62">
        <f t="shared" ref="J62" si="25">+J51</f>
        <v>67</v>
      </c>
    </row>
    <row r="63" spans="2:10" x14ac:dyDescent="0.25">
      <c r="B63">
        <f>INDEX(exante.Technology!$A$2:$A$4130,MATCH(E63,exante.Technology!$C$2:$C$4130,0))</f>
        <v>1003</v>
      </c>
      <c r="C63">
        <f t="shared" ref="C63" si="26">+C52</f>
        <v>1081</v>
      </c>
      <c r="D63">
        <f>INDEX(Technologies!$B$7:$S$67,H63,I63)</f>
        <v>30</v>
      </c>
      <c r="E63" t="str">
        <f>INDEX(Technologies!$B$7:$B$67,H63)</f>
        <v>Stor_EF-Elec-030gal-0.951EF</v>
      </c>
      <c r="G63" t="str">
        <f t="shared" si="2"/>
        <v>Nom_Gallons</v>
      </c>
      <c r="H63">
        <f t="shared" si="4"/>
        <v>3</v>
      </c>
      <c r="I63">
        <f>MATCH(G63,Technologies!$B$6:$S$6,0)</f>
        <v>4</v>
      </c>
      <c r="J63">
        <f t="shared" ref="J63" si="27">+J52</f>
        <v>67</v>
      </c>
    </row>
    <row r="64" spans="2:10" x14ac:dyDescent="0.25">
      <c r="B64">
        <f>INDEX(exante.Technology!$A$2:$A$4130,MATCH(E64,exante.Technology!$C$2:$C$4130,0))</f>
        <v>1003</v>
      </c>
      <c r="C64">
        <f t="shared" ref="C64" si="28">+C53</f>
        <v>58</v>
      </c>
      <c r="D64">
        <f>INDEX(Technologies!$B$7:$S$67,H64,I64)</f>
        <v>0.95099999999999996</v>
      </c>
      <c r="E64" t="str">
        <f>INDEX(Technologies!$B$7:$B$67,H64)</f>
        <v>Stor_EF-Elec-030gal-0.951EF</v>
      </c>
      <c r="G64" t="str">
        <f t="shared" si="2"/>
        <v>Energy_Factor</v>
      </c>
      <c r="H64">
        <f t="shared" si="4"/>
        <v>3</v>
      </c>
      <c r="I64">
        <f>MATCH(G64,Technologies!$B$6:$S$6,0)</f>
        <v>5</v>
      </c>
      <c r="J64">
        <f t="shared" ref="J64" si="29">+J53</f>
        <v>67</v>
      </c>
    </row>
    <row r="65" spans="2:10" x14ac:dyDescent="0.25">
      <c r="B65">
        <f>INDEX(exante.Technology!$A$2:$A$4130,MATCH(E65,exante.Technology!$C$2:$C$4130,0))</f>
        <v>1003</v>
      </c>
      <c r="C65">
        <f t="shared" ref="C65" si="30">+C54</f>
        <v>1070</v>
      </c>
      <c r="D65">
        <f>INDEX(Technologies!$B$7:$S$67,H65,I65)</f>
        <v>0</v>
      </c>
      <c r="E65" t="str">
        <f>INDEX(Technologies!$B$7:$B$67,H65)</f>
        <v>Stor_EF-Elec-030gal-0.951EF</v>
      </c>
      <c r="G65" t="str">
        <f t="shared" si="2"/>
        <v>BurnCap_kBTUh</v>
      </c>
      <c r="H65">
        <f t="shared" si="4"/>
        <v>3</v>
      </c>
      <c r="I65">
        <f>MATCH(G65,Technologies!$B$6:$S$6,0)</f>
        <v>6</v>
      </c>
      <c r="J65">
        <f t="shared" ref="J65" si="31">+J54</f>
        <v>67</v>
      </c>
    </row>
    <row r="66" spans="2:10" x14ac:dyDescent="0.25">
      <c r="B66">
        <f>INDEX(exante.Technology!$A$2:$A$4130,MATCH(E66,exante.Technology!$C$2:$C$4130,0))</f>
        <v>1003</v>
      </c>
      <c r="C66">
        <f t="shared" ref="C66" si="32">+C55</f>
        <v>1071</v>
      </c>
      <c r="D66">
        <f>INDEX(Technologies!$B$7:$S$67,H66,I66)</f>
        <v>4.5</v>
      </c>
      <c r="E66" t="str">
        <f>INDEX(Technologies!$B$7:$B$67,H66)</f>
        <v>Stor_EF-Elec-030gal-0.951EF</v>
      </c>
      <c r="G66" t="str">
        <f t="shared" si="2"/>
        <v>BurnCap_kW</v>
      </c>
      <c r="H66">
        <f t="shared" si="4"/>
        <v>3</v>
      </c>
      <c r="I66">
        <f>MATCH(G66,Technologies!$B$6:$S$6,0)</f>
        <v>7</v>
      </c>
      <c r="J66">
        <f t="shared" ref="J66" si="33">+J55</f>
        <v>67</v>
      </c>
    </row>
    <row r="67" spans="2:10" x14ac:dyDescent="0.25">
      <c r="B67">
        <f>INDEX(exante.Technology!$A$2:$A$4130,MATCH(E67,exante.Technology!$C$2:$C$4130,0))</f>
        <v>1003</v>
      </c>
      <c r="C67">
        <f t="shared" ref="C67" si="34">+C56</f>
        <v>1072</v>
      </c>
      <c r="D67">
        <f>INDEX(Technologies!$B$7:$S$67,H67,I67)</f>
        <v>0.98</v>
      </c>
      <c r="E67" t="str">
        <f>INDEX(Technologies!$B$7:$B$67,H67)</f>
        <v>Stor_EF-Elec-030gal-0.951EF</v>
      </c>
      <c r="G67" t="str">
        <f t="shared" si="2"/>
        <v>RecovEff</v>
      </c>
      <c r="H67">
        <f t="shared" si="4"/>
        <v>3</v>
      </c>
      <c r="I67">
        <f>MATCH(G67,Technologies!$B$6:$S$6,0)</f>
        <v>8</v>
      </c>
      <c r="J67">
        <f t="shared" ref="J67" si="35">+J56</f>
        <v>67</v>
      </c>
    </row>
    <row r="68" spans="2:10" x14ac:dyDescent="0.25">
      <c r="B68">
        <f>INDEX(exante.Technology!$A$2:$A$4130,MATCH(E68,exante.Technology!$C$2:$C$4130,0))</f>
        <v>1003</v>
      </c>
      <c r="C68">
        <f t="shared" ref="C68" si="36">+C57</f>
        <v>1073</v>
      </c>
      <c r="D68">
        <f>INDEX(Technologies!$B$7:$S$67,H68,I68)</f>
        <v>1.3071999999999999</v>
      </c>
      <c r="E68" t="str">
        <f>INDEX(Technologies!$B$7:$B$67,H68)</f>
        <v>Stor_EF-Elec-030gal-0.951EF</v>
      </c>
      <c r="G68" t="str">
        <f t="shared" si="2"/>
        <v>TankUA</v>
      </c>
      <c r="H68">
        <f t="shared" si="4"/>
        <v>3</v>
      </c>
      <c r="I68">
        <f>MATCH(G68,Technologies!$B$6:$S$6,0)</f>
        <v>9</v>
      </c>
      <c r="J68">
        <f t="shared" ref="J68" si="37">+J57</f>
        <v>67</v>
      </c>
    </row>
    <row r="69" spans="2:10" x14ac:dyDescent="0.25">
      <c r="B69">
        <f>INDEX(exante.Technology!$A$2:$A$4130,MATCH(E69,exante.Technology!$C$2:$C$4130,0))</f>
        <v>1003</v>
      </c>
      <c r="C69">
        <f t="shared" ref="C69" si="38">+C58</f>
        <v>1074</v>
      </c>
      <c r="D69">
        <f>INDEX(Technologies!$B$7:$S$67,H69,I69)</f>
        <v>0</v>
      </c>
      <c r="E69" t="str">
        <f>INDEX(Technologies!$B$7:$B$67,H69)</f>
        <v>Stor_EF-Elec-030gal-0.951EF</v>
      </c>
      <c r="G69" t="str">
        <f t="shared" si="2"/>
        <v>auxW</v>
      </c>
      <c r="H69">
        <f t="shared" si="4"/>
        <v>3</v>
      </c>
      <c r="I69">
        <f>MATCH(G69,Technologies!$B$6:$S$6,0)</f>
        <v>13</v>
      </c>
      <c r="J69">
        <f t="shared" ref="J69" si="39">+J58</f>
        <v>67</v>
      </c>
    </row>
    <row r="70" spans="2:10" x14ac:dyDescent="0.25">
      <c r="B70">
        <f>INDEX(exante.Technology!$A$2:$A$4130,MATCH(E70,exante.Technology!$C$2:$C$4130,0))</f>
        <v>1003</v>
      </c>
      <c r="C70">
        <f t="shared" ref="C70" si="40">+C59</f>
        <v>1075</v>
      </c>
      <c r="D70">
        <f>INDEX(Technologies!$B$7:$S$67,H70,I70)</f>
        <v>0</v>
      </c>
      <c r="E70" t="str">
        <f>INDEX(Technologies!$B$7:$B$67,H70)</f>
        <v>Stor_EF-Elec-030gal-0.951EF</v>
      </c>
      <c r="G70" t="str">
        <f t="shared" si="2"/>
        <v>auxVentW</v>
      </c>
      <c r="H70">
        <f t="shared" si="4"/>
        <v>3</v>
      </c>
      <c r="I70">
        <f>MATCH(G70,Technologies!$B$6:$S$6,0)</f>
        <v>14</v>
      </c>
      <c r="J70">
        <f t="shared" ref="J70" si="41">+J59</f>
        <v>67</v>
      </c>
    </row>
    <row r="71" spans="2:10" x14ac:dyDescent="0.25">
      <c r="B71">
        <f>INDEX(exante.Technology!$A$2:$A$4130,MATCH(E71,exante.Technology!$C$2:$C$4130,0))</f>
        <v>1003</v>
      </c>
      <c r="C71">
        <f t="shared" ref="C71" si="42">+C60</f>
        <v>1076</v>
      </c>
      <c r="D71">
        <f>INDEX(Technologies!$B$7:$S$67,H71,I71)</f>
        <v>0</v>
      </c>
      <c r="E71" t="str">
        <f>INDEX(Technologies!$B$7:$B$67,H71)</f>
        <v>Stor_EF-Elec-030gal-0.951EF</v>
      </c>
      <c r="G71" t="str">
        <f t="shared" si="2"/>
        <v>pilotBTUh</v>
      </c>
      <c r="H71">
        <f t="shared" si="4"/>
        <v>3</v>
      </c>
      <c r="I71">
        <f>MATCH(G71,Technologies!$B$6:$S$6,0)</f>
        <v>15</v>
      </c>
      <c r="J71">
        <f t="shared" ref="J71" si="43">+J60</f>
        <v>67</v>
      </c>
    </row>
    <row r="72" spans="2:10" x14ac:dyDescent="0.25">
      <c r="B72">
        <f>INDEX(exante.Technology!$A$2:$A$4130,MATCH(E72,exante.Technology!$C$2:$C$4130,0))</f>
        <v>1003</v>
      </c>
      <c r="C72">
        <f t="shared" ref="C72" si="44">+C61</f>
        <v>1077</v>
      </c>
      <c r="D72">
        <f>INDEX(Technologies!$B$7:$S$67,H72,I72)</f>
        <v>0</v>
      </c>
      <c r="E72" t="str">
        <f>INDEX(Technologies!$B$7:$B$67,H72)</f>
        <v>Stor_EF-Elec-030gal-0.951EF</v>
      </c>
      <c r="G72" t="str">
        <f t="shared" si="2"/>
        <v>pilotHtgEff</v>
      </c>
      <c r="H72">
        <f t="shared" si="4"/>
        <v>3</v>
      </c>
      <c r="I72">
        <f>MATCH(G72,Technologies!$B$6:$S$6,0)</f>
        <v>16</v>
      </c>
      <c r="J72">
        <f t="shared" ref="J72" si="45">+J61</f>
        <v>67</v>
      </c>
    </row>
    <row r="73" spans="2:10" x14ac:dyDescent="0.25">
      <c r="B73">
        <f>INDEX(exante.Technology!$A$2:$A$4130,MATCH(E73,exante.Technology!$C$2:$C$4130,0))</f>
        <v>1004</v>
      </c>
      <c r="C73">
        <f t="shared" ref="C73" si="46">+C62</f>
        <v>85</v>
      </c>
      <c r="D73" t="str">
        <f>INDEX(Technologies!$B$7:$S$67,H73,I73)</f>
        <v>Elec</v>
      </c>
      <c r="E73" t="str">
        <f>INDEX(Technologies!$B$7:$B$67,H73)</f>
        <v>Stor_EF-Elec-040gal-0.88EF</v>
      </c>
      <c r="G73" t="str">
        <f t="shared" si="2"/>
        <v>Fuel_Type</v>
      </c>
      <c r="H73">
        <f t="shared" si="4"/>
        <v>4</v>
      </c>
      <c r="I73">
        <f>MATCH(G73,Technologies!$B$6:$S$6,0)</f>
        <v>3</v>
      </c>
      <c r="J73">
        <f t="shared" ref="J73" si="47">+J62</f>
        <v>67</v>
      </c>
    </row>
    <row r="74" spans="2:10" x14ac:dyDescent="0.25">
      <c r="B74">
        <f>INDEX(exante.Technology!$A$2:$A$4130,MATCH(E74,exante.Technology!$C$2:$C$4130,0))</f>
        <v>1004</v>
      </c>
      <c r="C74">
        <f t="shared" ref="C74" si="48">+C63</f>
        <v>1081</v>
      </c>
      <c r="D74">
        <f>INDEX(Technologies!$B$7:$S$67,H74,I74)</f>
        <v>40</v>
      </c>
      <c r="E74" t="str">
        <f>INDEX(Technologies!$B$7:$B$67,H74)</f>
        <v>Stor_EF-Elec-040gal-0.88EF</v>
      </c>
      <c r="G74" t="str">
        <f t="shared" si="2"/>
        <v>Nom_Gallons</v>
      </c>
      <c r="H74">
        <f t="shared" si="4"/>
        <v>4</v>
      </c>
      <c r="I74">
        <f>MATCH(G74,Technologies!$B$6:$S$6,0)</f>
        <v>4</v>
      </c>
      <c r="J74">
        <f t="shared" ref="J74" si="49">+J63</f>
        <v>67</v>
      </c>
    </row>
    <row r="75" spans="2:10" x14ac:dyDescent="0.25">
      <c r="B75">
        <f>INDEX(exante.Technology!$A$2:$A$4130,MATCH(E75,exante.Technology!$C$2:$C$4130,0))</f>
        <v>1004</v>
      </c>
      <c r="C75">
        <f t="shared" ref="C75" si="50">+C64</f>
        <v>58</v>
      </c>
      <c r="D75">
        <f>INDEX(Technologies!$B$7:$S$67,H75,I75)</f>
        <v>0.87720000000000009</v>
      </c>
      <c r="E75" t="str">
        <f>INDEX(Technologies!$B$7:$B$67,H75)</f>
        <v>Stor_EF-Elec-040gal-0.88EF</v>
      </c>
      <c r="G75" t="str">
        <f t="shared" si="2"/>
        <v>Energy_Factor</v>
      </c>
      <c r="H75">
        <f t="shared" si="4"/>
        <v>4</v>
      </c>
      <c r="I75">
        <f>MATCH(G75,Technologies!$B$6:$S$6,0)</f>
        <v>5</v>
      </c>
      <c r="J75">
        <f t="shared" ref="J75" si="51">+J64</f>
        <v>67</v>
      </c>
    </row>
    <row r="76" spans="2:10" x14ac:dyDescent="0.25">
      <c r="B76">
        <f>INDEX(exante.Technology!$A$2:$A$4130,MATCH(E76,exante.Technology!$C$2:$C$4130,0))</f>
        <v>1004</v>
      </c>
      <c r="C76">
        <f t="shared" ref="C76" si="52">+C65</f>
        <v>1070</v>
      </c>
      <c r="D76">
        <f>INDEX(Technologies!$B$7:$S$67,H76,I76)</f>
        <v>0</v>
      </c>
      <c r="E76" t="str">
        <f>INDEX(Technologies!$B$7:$B$67,H76)</f>
        <v>Stor_EF-Elec-040gal-0.88EF</v>
      </c>
      <c r="G76" t="str">
        <f t="shared" si="2"/>
        <v>BurnCap_kBTUh</v>
      </c>
      <c r="H76">
        <f t="shared" si="4"/>
        <v>4</v>
      </c>
      <c r="I76">
        <f>MATCH(G76,Technologies!$B$6:$S$6,0)</f>
        <v>6</v>
      </c>
      <c r="J76">
        <f t="shared" ref="J76" si="53">+J65</f>
        <v>67</v>
      </c>
    </row>
    <row r="77" spans="2:10" x14ac:dyDescent="0.25">
      <c r="B77">
        <f>INDEX(exante.Technology!$A$2:$A$4130,MATCH(E77,exante.Technology!$C$2:$C$4130,0))</f>
        <v>1004</v>
      </c>
      <c r="C77">
        <f t="shared" ref="C77" si="54">+C66</f>
        <v>1071</v>
      </c>
      <c r="D77">
        <f>INDEX(Technologies!$B$7:$S$67,H77,I77)</f>
        <v>4.5</v>
      </c>
      <c r="E77" t="str">
        <f>INDEX(Technologies!$B$7:$B$67,H77)</f>
        <v>Stor_EF-Elec-040gal-0.88EF</v>
      </c>
      <c r="G77" t="str">
        <f t="shared" si="2"/>
        <v>BurnCap_kW</v>
      </c>
      <c r="H77">
        <f t="shared" si="4"/>
        <v>4</v>
      </c>
      <c r="I77">
        <f>MATCH(G77,Technologies!$B$6:$S$6,0)</f>
        <v>7</v>
      </c>
      <c r="J77">
        <f t="shared" ref="J77" si="55">+J66</f>
        <v>67</v>
      </c>
    </row>
    <row r="78" spans="2:10" x14ac:dyDescent="0.25">
      <c r="B78">
        <f>INDEX(exante.Technology!$A$2:$A$4130,MATCH(E78,exante.Technology!$C$2:$C$4130,0))</f>
        <v>1004</v>
      </c>
      <c r="C78">
        <f t="shared" ref="C78" si="56">+C67</f>
        <v>1072</v>
      </c>
      <c r="D78">
        <f>INDEX(Technologies!$B$7:$S$67,H78,I78)</f>
        <v>0.98</v>
      </c>
      <c r="E78" t="str">
        <f>INDEX(Technologies!$B$7:$B$67,H78)</f>
        <v>Stor_EF-Elec-040gal-0.88EF</v>
      </c>
      <c r="G78" t="str">
        <f t="shared" si="2"/>
        <v>RecovEff</v>
      </c>
      <c r="H78">
        <f t="shared" si="4"/>
        <v>4</v>
      </c>
      <c r="I78">
        <f>MATCH(G78,Technologies!$B$6:$S$6,0)</f>
        <v>8</v>
      </c>
      <c r="J78">
        <f t="shared" ref="J78" si="57">+J67</f>
        <v>67</v>
      </c>
    </row>
    <row r="79" spans="2:10" x14ac:dyDescent="0.25">
      <c r="B79">
        <f>INDEX(exante.Technology!$A$2:$A$4130,MATCH(E79,exante.Technology!$C$2:$C$4130,0))</f>
        <v>1004</v>
      </c>
      <c r="C79">
        <f t="shared" ref="C79" si="58">+C68</f>
        <v>1073</v>
      </c>
      <c r="D79">
        <f>INDEX(Technologies!$B$7:$S$67,H79,I79)</f>
        <v>3.5516000000000001</v>
      </c>
      <c r="E79" t="str">
        <f>INDEX(Technologies!$B$7:$B$67,H79)</f>
        <v>Stor_EF-Elec-040gal-0.88EF</v>
      </c>
      <c r="G79" t="str">
        <f t="shared" si="2"/>
        <v>TankUA</v>
      </c>
      <c r="H79">
        <f t="shared" si="4"/>
        <v>4</v>
      </c>
      <c r="I79">
        <f>MATCH(G79,Technologies!$B$6:$S$6,0)</f>
        <v>9</v>
      </c>
      <c r="J79">
        <f t="shared" ref="J79" si="59">+J68</f>
        <v>67</v>
      </c>
    </row>
    <row r="80" spans="2:10" x14ac:dyDescent="0.25">
      <c r="B80">
        <f>INDEX(exante.Technology!$A$2:$A$4130,MATCH(E80,exante.Technology!$C$2:$C$4130,0))</f>
        <v>1004</v>
      </c>
      <c r="C80">
        <f t="shared" ref="C80" si="60">+C69</f>
        <v>1074</v>
      </c>
      <c r="D80">
        <f>INDEX(Technologies!$B$7:$S$67,H80,I80)</f>
        <v>0</v>
      </c>
      <c r="E80" t="str">
        <f>INDEX(Technologies!$B$7:$B$67,H80)</f>
        <v>Stor_EF-Elec-040gal-0.88EF</v>
      </c>
      <c r="G80" t="str">
        <f t="shared" si="2"/>
        <v>auxW</v>
      </c>
      <c r="H80">
        <f t="shared" si="4"/>
        <v>4</v>
      </c>
      <c r="I80">
        <f>MATCH(G80,Technologies!$B$6:$S$6,0)</f>
        <v>13</v>
      </c>
      <c r="J80">
        <f t="shared" ref="J80" si="61">+J69</f>
        <v>67</v>
      </c>
    </row>
    <row r="81" spans="2:10" x14ac:dyDescent="0.25">
      <c r="B81">
        <f>INDEX(exante.Technology!$A$2:$A$4130,MATCH(E81,exante.Technology!$C$2:$C$4130,0))</f>
        <v>1004</v>
      </c>
      <c r="C81">
        <f t="shared" ref="C81" si="62">+C70</f>
        <v>1075</v>
      </c>
      <c r="D81">
        <f>INDEX(Technologies!$B$7:$S$67,H81,I81)</f>
        <v>0</v>
      </c>
      <c r="E81" t="str">
        <f>INDEX(Technologies!$B$7:$B$67,H81)</f>
        <v>Stor_EF-Elec-040gal-0.88EF</v>
      </c>
      <c r="G81" t="str">
        <f t="shared" si="2"/>
        <v>auxVentW</v>
      </c>
      <c r="H81">
        <f t="shared" si="4"/>
        <v>4</v>
      </c>
      <c r="I81">
        <f>MATCH(G81,Technologies!$B$6:$S$6,0)</f>
        <v>14</v>
      </c>
      <c r="J81">
        <f t="shared" ref="J81" si="63">+J70</f>
        <v>67</v>
      </c>
    </row>
    <row r="82" spans="2:10" x14ac:dyDescent="0.25">
      <c r="B82">
        <f>INDEX(exante.Technology!$A$2:$A$4130,MATCH(E82,exante.Technology!$C$2:$C$4130,0))</f>
        <v>1004</v>
      </c>
      <c r="C82">
        <f t="shared" ref="C82" si="64">+C71</f>
        <v>1076</v>
      </c>
      <c r="D82">
        <f>INDEX(Technologies!$B$7:$S$67,H82,I82)</f>
        <v>0</v>
      </c>
      <c r="E82" t="str">
        <f>INDEX(Technologies!$B$7:$B$67,H82)</f>
        <v>Stor_EF-Elec-040gal-0.88EF</v>
      </c>
      <c r="G82" t="str">
        <f t="shared" si="2"/>
        <v>pilotBTUh</v>
      </c>
      <c r="H82">
        <f t="shared" si="4"/>
        <v>4</v>
      </c>
      <c r="I82">
        <f>MATCH(G82,Technologies!$B$6:$S$6,0)</f>
        <v>15</v>
      </c>
      <c r="J82">
        <f t="shared" ref="J82" si="65">+J71</f>
        <v>67</v>
      </c>
    </row>
    <row r="83" spans="2:10" x14ac:dyDescent="0.25">
      <c r="B83">
        <f>INDEX(exante.Technology!$A$2:$A$4130,MATCH(E83,exante.Technology!$C$2:$C$4130,0))</f>
        <v>1004</v>
      </c>
      <c r="C83">
        <f t="shared" ref="C83" si="66">+C72</f>
        <v>1077</v>
      </c>
      <c r="D83">
        <f>INDEX(Technologies!$B$7:$S$67,H83,I83)</f>
        <v>0</v>
      </c>
      <c r="E83" t="str">
        <f>INDEX(Technologies!$B$7:$B$67,H83)</f>
        <v>Stor_EF-Elec-040gal-0.88EF</v>
      </c>
      <c r="G83" t="str">
        <f t="shared" si="2"/>
        <v>pilotHtgEff</v>
      </c>
      <c r="H83">
        <f t="shared" si="4"/>
        <v>4</v>
      </c>
      <c r="I83">
        <f>MATCH(G83,Technologies!$B$6:$S$6,0)</f>
        <v>16</v>
      </c>
      <c r="J83">
        <f t="shared" ref="J83" si="67">+J72</f>
        <v>67</v>
      </c>
    </row>
    <row r="84" spans="2:10" x14ac:dyDescent="0.25">
      <c r="B84">
        <f>INDEX(exante.Technology!$A$2:$A$4130,MATCH(E84,exante.Technology!$C$2:$C$4130,0))</f>
        <v>1005</v>
      </c>
      <c r="C84">
        <f t="shared" ref="C84" si="68">+C73</f>
        <v>85</v>
      </c>
      <c r="D84" t="str">
        <f>INDEX(Technologies!$B$7:$S$67,H84,I84)</f>
        <v>Elec</v>
      </c>
      <c r="E84" t="str">
        <f>INDEX(Technologies!$B$7:$B$67,H84)</f>
        <v>Stor_EF-Elec-040gal-0.92EF</v>
      </c>
      <c r="G84" t="str">
        <f t="shared" si="2"/>
        <v>Fuel_Type</v>
      </c>
      <c r="H84">
        <f t="shared" si="4"/>
        <v>5</v>
      </c>
      <c r="I84">
        <f>MATCH(G84,Technologies!$B$6:$S$6,0)</f>
        <v>3</v>
      </c>
      <c r="J84">
        <f t="shared" ref="J84" si="69">+J73</f>
        <v>67</v>
      </c>
    </row>
    <row r="85" spans="2:10" x14ac:dyDescent="0.25">
      <c r="B85">
        <f>INDEX(exante.Technology!$A$2:$A$4130,MATCH(E85,exante.Technology!$C$2:$C$4130,0))</f>
        <v>1005</v>
      </c>
      <c r="C85">
        <f t="shared" ref="C85" si="70">+C74</f>
        <v>1081</v>
      </c>
      <c r="D85">
        <f>INDEX(Technologies!$B$7:$S$67,H85,I85)</f>
        <v>40</v>
      </c>
      <c r="E85" t="str">
        <f>INDEX(Technologies!$B$7:$B$67,H85)</f>
        <v>Stor_EF-Elec-040gal-0.92EF</v>
      </c>
      <c r="G85" t="str">
        <f t="shared" si="2"/>
        <v>Nom_Gallons</v>
      </c>
      <c r="H85">
        <f t="shared" si="4"/>
        <v>5</v>
      </c>
      <c r="I85">
        <f>MATCH(G85,Technologies!$B$6:$S$6,0)</f>
        <v>4</v>
      </c>
      <c r="J85">
        <f t="shared" ref="J85" si="71">+J74</f>
        <v>67</v>
      </c>
    </row>
    <row r="86" spans="2:10" x14ac:dyDescent="0.25">
      <c r="B86">
        <f>INDEX(exante.Technology!$A$2:$A$4130,MATCH(E86,exante.Technology!$C$2:$C$4130,0))</f>
        <v>1005</v>
      </c>
      <c r="C86">
        <f t="shared" ref="C86" si="72">+C75</f>
        <v>58</v>
      </c>
      <c r="D86">
        <f>INDEX(Technologies!$B$7:$S$67,H86,I86)</f>
        <v>0.91720000000000002</v>
      </c>
      <c r="E86" t="str">
        <f>INDEX(Technologies!$B$7:$B$67,H86)</f>
        <v>Stor_EF-Elec-040gal-0.92EF</v>
      </c>
      <c r="G86" t="str">
        <f t="shared" si="2"/>
        <v>Energy_Factor</v>
      </c>
      <c r="H86">
        <f t="shared" si="4"/>
        <v>5</v>
      </c>
      <c r="I86">
        <f>MATCH(G86,Technologies!$B$6:$S$6,0)</f>
        <v>5</v>
      </c>
      <c r="J86">
        <f t="shared" ref="J86" si="73">+J75</f>
        <v>67</v>
      </c>
    </row>
    <row r="87" spans="2:10" x14ac:dyDescent="0.25">
      <c r="B87">
        <f>INDEX(exante.Technology!$A$2:$A$4130,MATCH(E87,exante.Technology!$C$2:$C$4130,0))</f>
        <v>1005</v>
      </c>
      <c r="C87">
        <f t="shared" ref="C87" si="74">+C76</f>
        <v>1070</v>
      </c>
      <c r="D87">
        <f>INDEX(Technologies!$B$7:$S$67,H87,I87)</f>
        <v>0</v>
      </c>
      <c r="E87" t="str">
        <f>INDEX(Technologies!$B$7:$B$67,H87)</f>
        <v>Stor_EF-Elec-040gal-0.92EF</v>
      </c>
      <c r="G87" t="str">
        <f t="shared" si="2"/>
        <v>BurnCap_kBTUh</v>
      </c>
      <c r="H87">
        <f t="shared" si="4"/>
        <v>5</v>
      </c>
      <c r="I87">
        <f>MATCH(G87,Technologies!$B$6:$S$6,0)</f>
        <v>6</v>
      </c>
      <c r="J87">
        <f t="shared" ref="J87" si="75">+J76</f>
        <v>67</v>
      </c>
    </row>
    <row r="88" spans="2:10" x14ac:dyDescent="0.25">
      <c r="B88">
        <f>INDEX(exante.Technology!$A$2:$A$4130,MATCH(E88,exante.Technology!$C$2:$C$4130,0))</f>
        <v>1005</v>
      </c>
      <c r="C88">
        <f t="shared" ref="C88" si="76">+C77</f>
        <v>1071</v>
      </c>
      <c r="D88">
        <f>INDEX(Technologies!$B$7:$S$67,H88,I88)</f>
        <v>4.5</v>
      </c>
      <c r="E88" t="str">
        <f>INDEX(Technologies!$B$7:$B$67,H88)</f>
        <v>Stor_EF-Elec-040gal-0.92EF</v>
      </c>
      <c r="G88" t="str">
        <f t="shared" si="2"/>
        <v>BurnCap_kW</v>
      </c>
      <c r="H88">
        <f t="shared" si="4"/>
        <v>5</v>
      </c>
      <c r="I88">
        <f>MATCH(G88,Technologies!$B$6:$S$6,0)</f>
        <v>7</v>
      </c>
      <c r="J88">
        <f t="shared" ref="J88" si="77">+J77</f>
        <v>67</v>
      </c>
    </row>
    <row r="89" spans="2:10" x14ac:dyDescent="0.25">
      <c r="B89">
        <f>INDEX(exante.Technology!$A$2:$A$4130,MATCH(E89,exante.Technology!$C$2:$C$4130,0))</f>
        <v>1005</v>
      </c>
      <c r="C89">
        <f t="shared" ref="C89" si="78">+C78</f>
        <v>1072</v>
      </c>
      <c r="D89">
        <f>INDEX(Technologies!$B$7:$S$67,H89,I89)</f>
        <v>0.98</v>
      </c>
      <c r="E89" t="str">
        <f>INDEX(Technologies!$B$7:$B$67,H89)</f>
        <v>Stor_EF-Elec-040gal-0.92EF</v>
      </c>
      <c r="G89" t="str">
        <f t="shared" si="2"/>
        <v>RecovEff</v>
      </c>
      <c r="H89">
        <f t="shared" si="4"/>
        <v>5</v>
      </c>
      <c r="I89">
        <f>MATCH(G89,Technologies!$B$6:$S$6,0)</f>
        <v>8</v>
      </c>
      <c r="J89">
        <f t="shared" ref="J89" si="79">+J78</f>
        <v>67</v>
      </c>
    </row>
    <row r="90" spans="2:10" x14ac:dyDescent="0.25">
      <c r="B90">
        <f>INDEX(exante.Technology!$A$2:$A$4130,MATCH(E90,exante.Technology!$C$2:$C$4130,0))</f>
        <v>1005</v>
      </c>
      <c r="C90">
        <f t="shared" ref="C90" si="80">+C79</f>
        <v>1073</v>
      </c>
      <c r="D90">
        <f>INDEX(Technologies!$B$7:$S$67,H90,I90)</f>
        <v>2.2902999999999998</v>
      </c>
      <c r="E90" t="str">
        <f>INDEX(Technologies!$B$7:$B$67,H90)</f>
        <v>Stor_EF-Elec-040gal-0.92EF</v>
      </c>
      <c r="G90" t="str">
        <f t="shared" si="2"/>
        <v>TankUA</v>
      </c>
      <c r="H90">
        <f t="shared" si="4"/>
        <v>5</v>
      </c>
      <c r="I90">
        <f>MATCH(G90,Technologies!$B$6:$S$6,0)</f>
        <v>9</v>
      </c>
      <c r="J90">
        <f t="shared" ref="J90" si="81">+J79</f>
        <v>67</v>
      </c>
    </row>
    <row r="91" spans="2:10" x14ac:dyDescent="0.25">
      <c r="B91">
        <f>INDEX(exante.Technology!$A$2:$A$4130,MATCH(E91,exante.Technology!$C$2:$C$4130,0))</f>
        <v>1005</v>
      </c>
      <c r="C91">
        <f t="shared" ref="C91" si="82">+C80</f>
        <v>1074</v>
      </c>
      <c r="D91">
        <f>INDEX(Technologies!$B$7:$S$67,H91,I91)</f>
        <v>0</v>
      </c>
      <c r="E91" t="str">
        <f>INDEX(Technologies!$B$7:$B$67,H91)</f>
        <v>Stor_EF-Elec-040gal-0.92EF</v>
      </c>
      <c r="G91" t="str">
        <f t="shared" si="2"/>
        <v>auxW</v>
      </c>
      <c r="H91">
        <f t="shared" si="4"/>
        <v>5</v>
      </c>
      <c r="I91">
        <f>MATCH(G91,Technologies!$B$6:$S$6,0)</f>
        <v>13</v>
      </c>
      <c r="J91">
        <f t="shared" ref="J91" si="83">+J80</f>
        <v>67</v>
      </c>
    </row>
    <row r="92" spans="2:10" x14ac:dyDescent="0.25">
      <c r="B92">
        <f>INDEX(exante.Technology!$A$2:$A$4130,MATCH(E92,exante.Technology!$C$2:$C$4130,0))</f>
        <v>1005</v>
      </c>
      <c r="C92">
        <f t="shared" ref="C92" si="84">+C81</f>
        <v>1075</v>
      </c>
      <c r="D92">
        <f>INDEX(Technologies!$B$7:$S$67,H92,I92)</f>
        <v>0</v>
      </c>
      <c r="E92" t="str">
        <f>INDEX(Technologies!$B$7:$B$67,H92)</f>
        <v>Stor_EF-Elec-040gal-0.92EF</v>
      </c>
      <c r="G92" t="str">
        <f t="shared" si="2"/>
        <v>auxVentW</v>
      </c>
      <c r="H92">
        <f t="shared" si="4"/>
        <v>5</v>
      </c>
      <c r="I92">
        <f>MATCH(G92,Technologies!$B$6:$S$6,0)</f>
        <v>14</v>
      </c>
      <c r="J92">
        <f t="shared" ref="J92" si="85">+J81</f>
        <v>67</v>
      </c>
    </row>
    <row r="93" spans="2:10" x14ac:dyDescent="0.25">
      <c r="B93">
        <f>INDEX(exante.Technology!$A$2:$A$4130,MATCH(E93,exante.Technology!$C$2:$C$4130,0))</f>
        <v>1005</v>
      </c>
      <c r="C93">
        <f t="shared" ref="C93" si="86">+C82</f>
        <v>1076</v>
      </c>
      <c r="D93">
        <f>INDEX(Technologies!$B$7:$S$67,H93,I93)</f>
        <v>0</v>
      </c>
      <c r="E93" t="str">
        <f>INDEX(Technologies!$B$7:$B$67,H93)</f>
        <v>Stor_EF-Elec-040gal-0.92EF</v>
      </c>
      <c r="G93" t="str">
        <f t="shared" si="2"/>
        <v>pilotBTUh</v>
      </c>
      <c r="H93">
        <f t="shared" si="4"/>
        <v>5</v>
      </c>
      <c r="I93">
        <f>MATCH(G93,Technologies!$B$6:$S$6,0)</f>
        <v>15</v>
      </c>
      <c r="J93">
        <f t="shared" ref="J93" si="87">+J82</f>
        <v>67</v>
      </c>
    </row>
    <row r="94" spans="2:10" x14ac:dyDescent="0.25">
      <c r="B94">
        <f>INDEX(exante.Technology!$A$2:$A$4130,MATCH(E94,exante.Technology!$C$2:$C$4130,0))</f>
        <v>1005</v>
      </c>
      <c r="C94">
        <f t="shared" ref="C94" si="88">+C83</f>
        <v>1077</v>
      </c>
      <c r="D94">
        <f>INDEX(Technologies!$B$7:$S$67,H94,I94)</f>
        <v>0</v>
      </c>
      <c r="E94" t="str">
        <f>INDEX(Technologies!$B$7:$B$67,H94)</f>
        <v>Stor_EF-Elec-040gal-0.92EF</v>
      </c>
      <c r="G94" t="str">
        <f t="shared" si="2"/>
        <v>pilotHtgEff</v>
      </c>
      <c r="H94">
        <f t="shared" si="4"/>
        <v>5</v>
      </c>
      <c r="I94">
        <f>MATCH(G94,Technologies!$B$6:$S$6,0)</f>
        <v>16</v>
      </c>
      <c r="J94">
        <f t="shared" ref="J94" si="89">+J83</f>
        <v>67</v>
      </c>
    </row>
    <row r="95" spans="2:10" x14ac:dyDescent="0.25">
      <c r="B95">
        <f>INDEX(exante.Technology!$A$2:$A$4130,MATCH(E95,exante.Technology!$C$2:$C$4130,0))</f>
        <v>1006</v>
      </c>
      <c r="C95">
        <f t="shared" ref="C95" si="90">+C84</f>
        <v>85</v>
      </c>
      <c r="D95" t="str">
        <f>INDEX(Technologies!$B$7:$S$67,H95,I95)</f>
        <v>Elec</v>
      </c>
      <c r="E95" t="str">
        <f>INDEX(Technologies!$B$7:$B$67,H95)</f>
        <v>Stor_EF-Elec-040gal-0.948EF</v>
      </c>
      <c r="G95" t="str">
        <f t="shared" si="2"/>
        <v>Fuel_Type</v>
      </c>
      <c r="H95">
        <f t="shared" si="4"/>
        <v>6</v>
      </c>
      <c r="I95">
        <f>MATCH(G95,Technologies!$B$6:$S$6,0)</f>
        <v>3</v>
      </c>
      <c r="J95">
        <f t="shared" ref="J95" si="91">+J84</f>
        <v>67</v>
      </c>
    </row>
    <row r="96" spans="2:10" x14ac:dyDescent="0.25">
      <c r="B96">
        <f>INDEX(exante.Technology!$A$2:$A$4130,MATCH(E96,exante.Technology!$C$2:$C$4130,0))</f>
        <v>1006</v>
      </c>
      <c r="C96">
        <f t="shared" ref="C96" si="92">+C85</f>
        <v>1081</v>
      </c>
      <c r="D96">
        <f>INDEX(Technologies!$B$7:$S$67,H96,I96)</f>
        <v>40</v>
      </c>
      <c r="E96" t="str">
        <f>INDEX(Technologies!$B$7:$B$67,H96)</f>
        <v>Stor_EF-Elec-040gal-0.948EF</v>
      </c>
      <c r="G96" t="str">
        <f t="shared" si="2"/>
        <v>Nom_Gallons</v>
      </c>
      <c r="H96">
        <f t="shared" si="4"/>
        <v>6</v>
      </c>
      <c r="I96">
        <f>MATCH(G96,Technologies!$B$6:$S$6,0)</f>
        <v>4</v>
      </c>
      <c r="J96">
        <f t="shared" ref="J96" si="93">+J85</f>
        <v>67</v>
      </c>
    </row>
    <row r="97" spans="2:10" x14ac:dyDescent="0.25">
      <c r="B97">
        <f>INDEX(exante.Technology!$A$2:$A$4130,MATCH(E97,exante.Technology!$C$2:$C$4130,0))</f>
        <v>1006</v>
      </c>
      <c r="C97">
        <f t="shared" ref="C97" si="94">+C86</f>
        <v>58</v>
      </c>
      <c r="D97">
        <f>INDEX(Technologies!$B$7:$S$67,H97,I97)</f>
        <v>0.94799999999999995</v>
      </c>
      <c r="E97" t="str">
        <f>INDEX(Technologies!$B$7:$B$67,H97)</f>
        <v>Stor_EF-Elec-040gal-0.948EF</v>
      </c>
      <c r="G97" t="str">
        <f t="shared" si="2"/>
        <v>Energy_Factor</v>
      </c>
      <c r="H97">
        <f t="shared" si="4"/>
        <v>6</v>
      </c>
      <c r="I97">
        <f>MATCH(G97,Technologies!$B$6:$S$6,0)</f>
        <v>5</v>
      </c>
      <c r="J97">
        <f t="shared" ref="J97" si="95">+J86</f>
        <v>67</v>
      </c>
    </row>
    <row r="98" spans="2:10" x14ac:dyDescent="0.25">
      <c r="B98">
        <f>INDEX(exante.Technology!$A$2:$A$4130,MATCH(E98,exante.Technology!$C$2:$C$4130,0))</f>
        <v>1006</v>
      </c>
      <c r="C98">
        <f t="shared" ref="C98" si="96">+C87</f>
        <v>1070</v>
      </c>
      <c r="D98">
        <f>INDEX(Technologies!$B$7:$S$67,H98,I98)</f>
        <v>0</v>
      </c>
      <c r="E98" t="str">
        <f>INDEX(Technologies!$B$7:$B$67,H98)</f>
        <v>Stor_EF-Elec-040gal-0.948EF</v>
      </c>
      <c r="G98" t="str">
        <f t="shared" si="2"/>
        <v>BurnCap_kBTUh</v>
      </c>
      <c r="H98">
        <f t="shared" si="4"/>
        <v>6</v>
      </c>
      <c r="I98">
        <f>MATCH(G98,Technologies!$B$6:$S$6,0)</f>
        <v>6</v>
      </c>
      <c r="J98">
        <f t="shared" ref="J98" si="97">+J87</f>
        <v>67</v>
      </c>
    </row>
    <row r="99" spans="2:10" x14ac:dyDescent="0.25">
      <c r="B99">
        <f>INDEX(exante.Technology!$A$2:$A$4130,MATCH(E99,exante.Technology!$C$2:$C$4130,0))</f>
        <v>1006</v>
      </c>
      <c r="C99">
        <f t="shared" ref="C99" si="98">+C88</f>
        <v>1071</v>
      </c>
      <c r="D99">
        <f>INDEX(Technologies!$B$7:$S$67,H99,I99)</f>
        <v>4.5</v>
      </c>
      <c r="E99" t="str">
        <f>INDEX(Technologies!$B$7:$B$67,H99)</f>
        <v>Stor_EF-Elec-040gal-0.948EF</v>
      </c>
      <c r="G99" t="str">
        <f t="shared" si="2"/>
        <v>BurnCap_kW</v>
      </c>
      <c r="H99">
        <f t="shared" si="4"/>
        <v>6</v>
      </c>
      <c r="I99">
        <f>MATCH(G99,Technologies!$B$6:$S$6,0)</f>
        <v>7</v>
      </c>
      <c r="J99">
        <f t="shared" ref="J99" si="99">+J88</f>
        <v>67</v>
      </c>
    </row>
    <row r="100" spans="2:10" x14ac:dyDescent="0.25">
      <c r="B100">
        <f>INDEX(exante.Technology!$A$2:$A$4130,MATCH(E100,exante.Technology!$C$2:$C$4130,0))</f>
        <v>1006</v>
      </c>
      <c r="C100">
        <f t="shared" ref="C100" si="100">+C89</f>
        <v>1072</v>
      </c>
      <c r="D100">
        <f>INDEX(Technologies!$B$7:$S$67,H100,I100)</f>
        <v>0.98</v>
      </c>
      <c r="E100" t="str">
        <f>INDEX(Technologies!$B$7:$B$67,H100)</f>
        <v>Stor_EF-Elec-040gal-0.948EF</v>
      </c>
      <c r="G100" t="str">
        <f t="shared" si="2"/>
        <v>RecovEff</v>
      </c>
      <c r="H100">
        <f t="shared" si="4"/>
        <v>6</v>
      </c>
      <c r="I100">
        <f>MATCH(G100,Technologies!$B$6:$S$6,0)</f>
        <v>8</v>
      </c>
      <c r="J100">
        <f t="shared" ref="J100" si="101">+J89</f>
        <v>67</v>
      </c>
    </row>
    <row r="101" spans="2:10" x14ac:dyDescent="0.25">
      <c r="B101">
        <f>INDEX(exante.Technology!$A$2:$A$4130,MATCH(E101,exante.Technology!$C$2:$C$4130,0))</f>
        <v>1006</v>
      </c>
      <c r="C101">
        <f t="shared" ref="C101" si="102">+C90</f>
        <v>1073</v>
      </c>
      <c r="D101">
        <f>INDEX(Technologies!$B$7:$S$67,H101,I101)</f>
        <v>1.3915999999999999</v>
      </c>
      <c r="E101" t="str">
        <f>INDEX(Technologies!$B$7:$B$67,H101)</f>
        <v>Stor_EF-Elec-040gal-0.948EF</v>
      </c>
      <c r="G101" t="str">
        <f t="shared" si="2"/>
        <v>TankUA</v>
      </c>
      <c r="H101">
        <f t="shared" si="4"/>
        <v>6</v>
      </c>
      <c r="I101">
        <f>MATCH(G101,Technologies!$B$6:$S$6,0)</f>
        <v>9</v>
      </c>
      <c r="J101">
        <f t="shared" ref="J101" si="103">+J90</f>
        <v>67</v>
      </c>
    </row>
    <row r="102" spans="2:10" x14ac:dyDescent="0.25">
      <c r="B102">
        <f>INDEX(exante.Technology!$A$2:$A$4130,MATCH(E102,exante.Technology!$C$2:$C$4130,0))</f>
        <v>1006</v>
      </c>
      <c r="C102">
        <f t="shared" ref="C102" si="104">+C91</f>
        <v>1074</v>
      </c>
      <c r="D102">
        <f>INDEX(Technologies!$B$7:$S$67,H102,I102)</f>
        <v>0</v>
      </c>
      <c r="E102" t="str">
        <f>INDEX(Technologies!$B$7:$B$67,H102)</f>
        <v>Stor_EF-Elec-040gal-0.948EF</v>
      </c>
      <c r="G102" t="str">
        <f t="shared" si="2"/>
        <v>auxW</v>
      </c>
      <c r="H102">
        <f t="shared" si="4"/>
        <v>6</v>
      </c>
      <c r="I102">
        <f>MATCH(G102,Technologies!$B$6:$S$6,0)</f>
        <v>13</v>
      </c>
      <c r="J102">
        <f t="shared" ref="J102" si="105">+J91</f>
        <v>67</v>
      </c>
    </row>
    <row r="103" spans="2:10" x14ac:dyDescent="0.25">
      <c r="B103">
        <f>INDEX(exante.Technology!$A$2:$A$4130,MATCH(E103,exante.Technology!$C$2:$C$4130,0))</f>
        <v>1006</v>
      </c>
      <c r="C103">
        <f t="shared" ref="C103" si="106">+C92</f>
        <v>1075</v>
      </c>
      <c r="D103">
        <f>INDEX(Technologies!$B$7:$S$67,H103,I103)</f>
        <v>0</v>
      </c>
      <c r="E103" t="str">
        <f>INDEX(Technologies!$B$7:$B$67,H103)</f>
        <v>Stor_EF-Elec-040gal-0.948EF</v>
      </c>
      <c r="G103" t="str">
        <f t="shared" si="2"/>
        <v>auxVentW</v>
      </c>
      <c r="H103">
        <f t="shared" si="4"/>
        <v>6</v>
      </c>
      <c r="I103">
        <f>MATCH(G103,Technologies!$B$6:$S$6,0)</f>
        <v>14</v>
      </c>
      <c r="J103">
        <f t="shared" ref="J103" si="107">+J92</f>
        <v>67</v>
      </c>
    </row>
    <row r="104" spans="2:10" x14ac:dyDescent="0.25">
      <c r="B104">
        <f>INDEX(exante.Technology!$A$2:$A$4130,MATCH(E104,exante.Technology!$C$2:$C$4130,0))</f>
        <v>1006</v>
      </c>
      <c r="C104">
        <f t="shared" ref="C104" si="108">+C93</f>
        <v>1076</v>
      </c>
      <c r="D104">
        <f>INDEX(Technologies!$B$7:$S$67,H104,I104)</f>
        <v>0</v>
      </c>
      <c r="E104" t="str">
        <f>INDEX(Technologies!$B$7:$B$67,H104)</f>
        <v>Stor_EF-Elec-040gal-0.948EF</v>
      </c>
      <c r="G104" t="str">
        <f t="shared" ref="G104:G167" si="109">VLOOKUP(C104,$B$3:$C$17,2,FALSE)</f>
        <v>pilotBTUh</v>
      </c>
      <c r="H104">
        <f t="shared" si="4"/>
        <v>6</v>
      </c>
      <c r="I104">
        <f>MATCH(G104,Technologies!$B$6:$S$6,0)</f>
        <v>15</v>
      </c>
      <c r="J104">
        <f t="shared" ref="J104" si="110">+J93</f>
        <v>67</v>
      </c>
    </row>
    <row r="105" spans="2:10" x14ac:dyDescent="0.25">
      <c r="B105">
        <f>INDEX(exante.Technology!$A$2:$A$4130,MATCH(E105,exante.Technology!$C$2:$C$4130,0))</f>
        <v>1006</v>
      </c>
      <c r="C105">
        <f t="shared" ref="C105" si="111">+C94</f>
        <v>1077</v>
      </c>
      <c r="D105">
        <f>INDEX(Technologies!$B$7:$S$67,H105,I105)</f>
        <v>0</v>
      </c>
      <c r="E105" t="str">
        <f>INDEX(Technologies!$B$7:$B$67,H105)</f>
        <v>Stor_EF-Elec-040gal-0.948EF</v>
      </c>
      <c r="G105" t="str">
        <f t="shared" si="109"/>
        <v>pilotHtgEff</v>
      </c>
      <c r="H105">
        <f t="shared" si="4"/>
        <v>6</v>
      </c>
      <c r="I105">
        <f>MATCH(G105,Technologies!$B$6:$S$6,0)</f>
        <v>16</v>
      </c>
      <c r="J105">
        <f t="shared" ref="J105" si="112">+J94</f>
        <v>67</v>
      </c>
    </row>
    <row r="106" spans="2:10" x14ac:dyDescent="0.25">
      <c r="B106">
        <f>INDEX(exante.Technology!$A$2:$A$4130,MATCH(E106,exante.Technology!$C$2:$C$4130,0))</f>
        <v>1007</v>
      </c>
      <c r="C106">
        <f t="shared" ref="C106" si="113">+C95</f>
        <v>85</v>
      </c>
      <c r="D106" t="str">
        <f>INDEX(Technologies!$B$7:$S$67,H106,I106)</f>
        <v>Elec</v>
      </c>
      <c r="E106" t="str">
        <f>INDEX(Technologies!$B$7:$B$67,H106)</f>
        <v>Stor_EF-Elec-050gal-0.86EF</v>
      </c>
      <c r="G106" t="str">
        <f t="shared" si="109"/>
        <v>Fuel_Type</v>
      </c>
      <c r="H106">
        <f t="shared" si="4"/>
        <v>7</v>
      </c>
      <c r="I106">
        <f>MATCH(G106,Technologies!$B$6:$S$6,0)</f>
        <v>3</v>
      </c>
      <c r="J106">
        <f t="shared" ref="J106" si="114">+J95</f>
        <v>67</v>
      </c>
    </row>
    <row r="107" spans="2:10" x14ac:dyDescent="0.25">
      <c r="B107">
        <f>INDEX(exante.Technology!$A$2:$A$4130,MATCH(E107,exante.Technology!$C$2:$C$4130,0))</f>
        <v>1007</v>
      </c>
      <c r="C107">
        <f t="shared" ref="C107" si="115">+C96</f>
        <v>1081</v>
      </c>
      <c r="D107">
        <f>INDEX(Technologies!$B$7:$S$67,H107,I107)</f>
        <v>50</v>
      </c>
      <c r="E107" t="str">
        <f>INDEX(Technologies!$B$7:$B$67,H107)</f>
        <v>Stor_EF-Elec-050gal-0.86EF</v>
      </c>
      <c r="G107" t="str">
        <f t="shared" si="109"/>
        <v>Nom_Gallons</v>
      </c>
      <c r="H107">
        <f t="shared" si="4"/>
        <v>7</v>
      </c>
      <c r="I107">
        <f>MATCH(G107,Technologies!$B$6:$S$6,0)</f>
        <v>4</v>
      </c>
      <c r="J107">
        <f t="shared" ref="J107" si="116">+J96</f>
        <v>67</v>
      </c>
    </row>
    <row r="108" spans="2:10" x14ac:dyDescent="0.25">
      <c r="B108">
        <f>INDEX(exante.Technology!$A$2:$A$4130,MATCH(E108,exante.Technology!$C$2:$C$4130,0))</f>
        <v>1007</v>
      </c>
      <c r="C108">
        <f t="shared" ref="C108" si="117">+C97</f>
        <v>58</v>
      </c>
      <c r="D108">
        <f>INDEX(Technologies!$B$7:$S$67,H108,I108)</f>
        <v>0.8640000000000001</v>
      </c>
      <c r="E108" t="str">
        <f>INDEX(Technologies!$B$7:$B$67,H108)</f>
        <v>Stor_EF-Elec-050gal-0.86EF</v>
      </c>
      <c r="G108" t="str">
        <f t="shared" si="109"/>
        <v>Energy_Factor</v>
      </c>
      <c r="H108">
        <f t="shared" si="4"/>
        <v>7</v>
      </c>
      <c r="I108">
        <f>MATCH(G108,Technologies!$B$6:$S$6,0)</f>
        <v>5</v>
      </c>
      <c r="J108">
        <f t="shared" ref="J108" si="118">+J97</f>
        <v>67</v>
      </c>
    </row>
    <row r="109" spans="2:10" x14ac:dyDescent="0.25">
      <c r="B109">
        <f>INDEX(exante.Technology!$A$2:$A$4130,MATCH(E109,exante.Technology!$C$2:$C$4130,0))</f>
        <v>1007</v>
      </c>
      <c r="C109">
        <f t="shared" ref="C109" si="119">+C98</f>
        <v>1070</v>
      </c>
      <c r="D109">
        <f>INDEX(Technologies!$B$7:$S$67,H109,I109)</f>
        <v>0</v>
      </c>
      <c r="E109" t="str">
        <f>INDEX(Technologies!$B$7:$B$67,H109)</f>
        <v>Stor_EF-Elec-050gal-0.86EF</v>
      </c>
      <c r="G109" t="str">
        <f t="shared" si="109"/>
        <v>BurnCap_kBTUh</v>
      </c>
      <c r="H109">
        <f t="shared" si="4"/>
        <v>7</v>
      </c>
      <c r="I109">
        <f>MATCH(G109,Technologies!$B$6:$S$6,0)</f>
        <v>6</v>
      </c>
      <c r="J109">
        <f t="shared" ref="J109" si="120">+J98</f>
        <v>67</v>
      </c>
    </row>
    <row r="110" spans="2:10" x14ac:dyDescent="0.25">
      <c r="B110">
        <f>INDEX(exante.Technology!$A$2:$A$4130,MATCH(E110,exante.Technology!$C$2:$C$4130,0))</f>
        <v>1007</v>
      </c>
      <c r="C110">
        <f t="shared" ref="C110" si="121">+C99</f>
        <v>1071</v>
      </c>
      <c r="D110">
        <f>INDEX(Technologies!$B$7:$S$67,H110,I110)</f>
        <v>5</v>
      </c>
      <c r="E110" t="str">
        <f>INDEX(Technologies!$B$7:$B$67,H110)</f>
        <v>Stor_EF-Elec-050gal-0.86EF</v>
      </c>
      <c r="G110" t="str">
        <f t="shared" si="109"/>
        <v>BurnCap_kW</v>
      </c>
      <c r="H110">
        <f t="shared" si="4"/>
        <v>7</v>
      </c>
      <c r="I110">
        <f>MATCH(G110,Technologies!$B$6:$S$6,0)</f>
        <v>7</v>
      </c>
      <c r="J110">
        <f t="shared" ref="J110" si="122">+J99</f>
        <v>67</v>
      </c>
    </row>
    <row r="111" spans="2:10" x14ac:dyDescent="0.25">
      <c r="B111">
        <f>INDEX(exante.Technology!$A$2:$A$4130,MATCH(E111,exante.Technology!$C$2:$C$4130,0))</f>
        <v>1007</v>
      </c>
      <c r="C111">
        <f t="shared" ref="C111" si="123">+C100</f>
        <v>1072</v>
      </c>
      <c r="D111">
        <f>INDEX(Technologies!$B$7:$S$67,H111,I111)</f>
        <v>0.98</v>
      </c>
      <c r="E111" t="str">
        <f>INDEX(Technologies!$B$7:$B$67,H111)</f>
        <v>Stor_EF-Elec-050gal-0.86EF</v>
      </c>
      <c r="G111" t="str">
        <f t="shared" si="109"/>
        <v>RecovEff</v>
      </c>
      <c r="H111">
        <f t="shared" si="4"/>
        <v>7</v>
      </c>
      <c r="I111">
        <f>MATCH(G111,Technologies!$B$6:$S$6,0)</f>
        <v>8</v>
      </c>
      <c r="J111">
        <f t="shared" ref="J111" si="124">+J100</f>
        <v>67</v>
      </c>
    </row>
    <row r="112" spans="2:10" x14ac:dyDescent="0.25">
      <c r="B112">
        <f>INDEX(exante.Technology!$A$2:$A$4130,MATCH(E112,exante.Technology!$C$2:$C$4130,0))</f>
        <v>1007</v>
      </c>
      <c r="C112">
        <f t="shared" ref="C112" si="125">+C101</f>
        <v>1073</v>
      </c>
      <c r="D112">
        <f>INDEX(Technologies!$B$7:$S$67,H112,I112)</f>
        <v>3.9933999999999998</v>
      </c>
      <c r="E112" t="str">
        <f>INDEX(Technologies!$B$7:$B$67,H112)</f>
        <v>Stor_EF-Elec-050gal-0.86EF</v>
      </c>
      <c r="G112" t="str">
        <f t="shared" si="109"/>
        <v>TankUA</v>
      </c>
      <c r="H112">
        <f t="shared" si="4"/>
        <v>7</v>
      </c>
      <c r="I112">
        <f>MATCH(G112,Technologies!$B$6:$S$6,0)</f>
        <v>9</v>
      </c>
      <c r="J112">
        <f t="shared" ref="J112" si="126">+J101</f>
        <v>67</v>
      </c>
    </row>
    <row r="113" spans="2:10" x14ac:dyDescent="0.25">
      <c r="B113">
        <f>INDEX(exante.Technology!$A$2:$A$4130,MATCH(E113,exante.Technology!$C$2:$C$4130,0))</f>
        <v>1007</v>
      </c>
      <c r="C113">
        <f t="shared" ref="C113" si="127">+C102</f>
        <v>1074</v>
      </c>
      <c r="D113">
        <f>INDEX(Technologies!$B$7:$S$67,H113,I113)</f>
        <v>0</v>
      </c>
      <c r="E113" t="str">
        <f>INDEX(Technologies!$B$7:$B$67,H113)</f>
        <v>Stor_EF-Elec-050gal-0.86EF</v>
      </c>
      <c r="G113" t="str">
        <f t="shared" si="109"/>
        <v>auxW</v>
      </c>
      <c r="H113">
        <f t="shared" si="4"/>
        <v>7</v>
      </c>
      <c r="I113">
        <f>MATCH(G113,Technologies!$B$6:$S$6,0)</f>
        <v>13</v>
      </c>
      <c r="J113">
        <f t="shared" ref="J113" si="128">+J102</f>
        <v>67</v>
      </c>
    </row>
    <row r="114" spans="2:10" x14ac:dyDescent="0.25">
      <c r="B114">
        <f>INDEX(exante.Technology!$A$2:$A$4130,MATCH(E114,exante.Technology!$C$2:$C$4130,0))</f>
        <v>1007</v>
      </c>
      <c r="C114">
        <f t="shared" ref="C114" si="129">+C103</f>
        <v>1075</v>
      </c>
      <c r="D114">
        <f>INDEX(Technologies!$B$7:$S$67,H114,I114)</f>
        <v>0</v>
      </c>
      <c r="E114" t="str">
        <f>INDEX(Technologies!$B$7:$B$67,H114)</f>
        <v>Stor_EF-Elec-050gal-0.86EF</v>
      </c>
      <c r="G114" t="str">
        <f t="shared" si="109"/>
        <v>auxVentW</v>
      </c>
      <c r="H114">
        <f t="shared" si="4"/>
        <v>7</v>
      </c>
      <c r="I114">
        <f>MATCH(G114,Technologies!$B$6:$S$6,0)</f>
        <v>14</v>
      </c>
      <c r="J114">
        <f t="shared" ref="J114" si="130">+J103</f>
        <v>67</v>
      </c>
    </row>
    <row r="115" spans="2:10" x14ac:dyDescent="0.25">
      <c r="B115">
        <f>INDEX(exante.Technology!$A$2:$A$4130,MATCH(E115,exante.Technology!$C$2:$C$4130,0))</f>
        <v>1007</v>
      </c>
      <c r="C115">
        <f t="shared" ref="C115" si="131">+C104</f>
        <v>1076</v>
      </c>
      <c r="D115">
        <f>INDEX(Technologies!$B$7:$S$67,H115,I115)</f>
        <v>0</v>
      </c>
      <c r="E115" t="str">
        <f>INDEX(Technologies!$B$7:$B$67,H115)</f>
        <v>Stor_EF-Elec-050gal-0.86EF</v>
      </c>
      <c r="G115" t="str">
        <f t="shared" si="109"/>
        <v>pilotBTUh</v>
      </c>
      <c r="H115">
        <f t="shared" si="4"/>
        <v>7</v>
      </c>
      <c r="I115">
        <f>MATCH(G115,Technologies!$B$6:$S$6,0)</f>
        <v>15</v>
      </c>
      <c r="J115">
        <f t="shared" ref="J115" si="132">+J104</f>
        <v>67</v>
      </c>
    </row>
    <row r="116" spans="2:10" x14ac:dyDescent="0.25">
      <c r="B116">
        <f>INDEX(exante.Technology!$A$2:$A$4130,MATCH(E116,exante.Technology!$C$2:$C$4130,0))</f>
        <v>1007</v>
      </c>
      <c r="C116">
        <f t="shared" ref="C116" si="133">+C105</f>
        <v>1077</v>
      </c>
      <c r="D116">
        <f>INDEX(Technologies!$B$7:$S$67,H116,I116)</f>
        <v>0</v>
      </c>
      <c r="E116" t="str">
        <f>INDEX(Technologies!$B$7:$B$67,H116)</f>
        <v>Stor_EF-Elec-050gal-0.86EF</v>
      </c>
      <c r="G116" t="str">
        <f t="shared" si="109"/>
        <v>pilotHtgEff</v>
      </c>
      <c r="H116">
        <f t="shared" ref="H116:H179" si="134">+H105+1</f>
        <v>7</v>
      </c>
      <c r="I116">
        <f>MATCH(G116,Technologies!$B$6:$S$6,0)</f>
        <v>16</v>
      </c>
      <c r="J116">
        <f t="shared" ref="J116" si="135">+J105</f>
        <v>67</v>
      </c>
    </row>
    <row r="117" spans="2:10" x14ac:dyDescent="0.25">
      <c r="B117">
        <f>INDEX(exante.Technology!$A$2:$A$4130,MATCH(E117,exante.Technology!$C$2:$C$4130,0))</f>
        <v>1008</v>
      </c>
      <c r="C117">
        <f t="shared" ref="C117" si="136">+C106</f>
        <v>85</v>
      </c>
      <c r="D117" t="str">
        <f>INDEX(Technologies!$B$7:$S$67,H117,I117)</f>
        <v>Elec</v>
      </c>
      <c r="E117" t="str">
        <f>INDEX(Technologies!$B$7:$B$67,H117)</f>
        <v>Stor_EF-Elec-050gal-0.90EF</v>
      </c>
      <c r="G117" t="str">
        <f t="shared" si="109"/>
        <v>Fuel_Type</v>
      </c>
      <c r="H117">
        <f t="shared" si="134"/>
        <v>8</v>
      </c>
      <c r="I117">
        <f>MATCH(G117,Technologies!$B$6:$S$6,0)</f>
        <v>3</v>
      </c>
      <c r="J117">
        <f t="shared" ref="J117" si="137">+J106</f>
        <v>67</v>
      </c>
    </row>
    <row r="118" spans="2:10" x14ac:dyDescent="0.25">
      <c r="B118">
        <f>INDEX(exante.Technology!$A$2:$A$4130,MATCH(E118,exante.Technology!$C$2:$C$4130,0))</f>
        <v>1008</v>
      </c>
      <c r="C118">
        <f t="shared" ref="C118" si="138">+C107</f>
        <v>1081</v>
      </c>
      <c r="D118">
        <f>INDEX(Technologies!$B$7:$S$67,H118,I118)</f>
        <v>50</v>
      </c>
      <c r="E118" t="str">
        <f>INDEX(Technologies!$B$7:$B$67,H118)</f>
        <v>Stor_EF-Elec-050gal-0.90EF</v>
      </c>
      <c r="G118" t="str">
        <f t="shared" si="109"/>
        <v>Nom_Gallons</v>
      </c>
      <c r="H118">
        <f t="shared" si="134"/>
        <v>8</v>
      </c>
      <c r="I118">
        <f>MATCH(G118,Technologies!$B$6:$S$6,0)</f>
        <v>4</v>
      </c>
      <c r="J118">
        <f t="shared" ref="J118" si="139">+J107</f>
        <v>67</v>
      </c>
    </row>
    <row r="119" spans="2:10" x14ac:dyDescent="0.25">
      <c r="B119">
        <f>INDEX(exante.Technology!$A$2:$A$4130,MATCH(E119,exante.Technology!$C$2:$C$4130,0))</f>
        <v>1008</v>
      </c>
      <c r="C119">
        <f t="shared" ref="C119" si="140">+C108</f>
        <v>58</v>
      </c>
      <c r="D119">
        <f>INDEX(Technologies!$B$7:$S$67,H119,I119)</f>
        <v>0.90399999999999991</v>
      </c>
      <c r="E119" t="str">
        <f>INDEX(Technologies!$B$7:$B$67,H119)</f>
        <v>Stor_EF-Elec-050gal-0.90EF</v>
      </c>
      <c r="G119" t="str">
        <f t="shared" si="109"/>
        <v>Energy_Factor</v>
      </c>
      <c r="H119">
        <f t="shared" si="134"/>
        <v>8</v>
      </c>
      <c r="I119">
        <f>MATCH(G119,Technologies!$B$6:$S$6,0)</f>
        <v>5</v>
      </c>
      <c r="J119">
        <f t="shared" ref="J119" si="141">+J108</f>
        <v>67</v>
      </c>
    </row>
    <row r="120" spans="2:10" x14ac:dyDescent="0.25">
      <c r="B120">
        <f>INDEX(exante.Technology!$A$2:$A$4130,MATCH(E120,exante.Technology!$C$2:$C$4130,0))</f>
        <v>1008</v>
      </c>
      <c r="C120">
        <f t="shared" ref="C120" si="142">+C109</f>
        <v>1070</v>
      </c>
      <c r="D120">
        <f>INDEX(Technologies!$B$7:$S$67,H120,I120)</f>
        <v>0</v>
      </c>
      <c r="E120" t="str">
        <f>INDEX(Technologies!$B$7:$B$67,H120)</f>
        <v>Stor_EF-Elec-050gal-0.90EF</v>
      </c>
      <c r="G120" t="str">
        <f t="shared" si="109"/>
        <v>BurnCap_kBTUh</v>
      </c>
      <c r="H120">
        <f t="shared" si="134"/>
        <v>8</v>
      </c>
      <c r="I120">
        <f>MATCH(G120,Technologies!$B$6:$S$6,0)</f>
        <v>6</v>
      </c>
      <c r="J120">
        <f t="shared" ref="J120" si="143">+J109</f>
        <v>67</v>
      </c>
    </row>
    <row r="121" spans="2:10" x14ac:dyDescent="0.25">
      <c r="B121">
        <f>INDEX(exante.Technology!$A$2:$A$4130,MATCH(E121,exante.Technology!$C$2:$C$4130,0))</f>
        <v>1008</v>
      </c>
      <c r="C121">
        <f t="shared" ref="C121" si="144">+C110</f>
        <v>1071</v>
      </c>
      <c r="D121">
        <f>INDEX(Technologies!$B$7:$S$67,H121,I121)</f>
        <v>5</v>
      </c>
      <c r="E121" t="str">
        <f>INDEX(Technologies!$B$7:$B$67,H121)</f>
        <v>Stor_EF-Elec-050gal-0.90EF</v>
      </c>
      <c r="G121" t="str">
        <f t="shared" si="109"/>
        <v>BurnCap_kW</v>
      </c>
      <c r="H121">
        <f t="shared" si="134"/>
        <v>8</v>
      </c>
      <c r="I121">
        <f>MATCH(G121,Technologies!$B$6:$S$6,0)</f>
        <v>7</v>
      </c>
      <c r="J121">
        <f t="shared" ref="J121" si="145">+J110</f>
        <v>67</v>
      </c>
    </row>
    <row r="122" spans="2:10" x14ac:dyDescent="0.25">
      <c r="B122">
        <f>INDEX(exante.Technology!$A$2:$A$4130,MATCH(E122,exante.Technology!$C$2:$C$4130,0))</f>
        <v>1008</v>
      </c>
      <c r="C122">
        <f t="shared" ref="C122" si="146">+C111</f>
        <v>1072</v>
      </c>
      <c r="D122">
        <f>INDEX(Technologies!$B$7:$S$67,H122,I122)</f>
        <v>0.98</v>
      </c>
      <c r="E122" t="str">
        <f>INDEX(Technologies!$B$7:$B$67,H122)</f>
        <v>Stor_EF-Elec-050gal-0.90EF</v>
      </c>
      <c r="G122" t="str">
        <f t="shared" si="109"/>
        <v>RecovEff</v>
      </c>
      <c r="H122">
        <f t="shared" si="134"/>
        <v>8</v>
      </c>
      <c r="I122">
        <f>MATCH(G122,Technologies!$B$6:$S$6,0)</f>
        <v>8</v>
      </c>
      <c r="J122">
        <f t="shared" ref="J122" si="147">+J111</f>
        <v>67</v>
      </c>
    </row>
    <row r="123" spans="2:10" x14ac:dyDescent="0.25">
      <c r="B123">
        <f>INDEX(exante.Technology!$A$2:$A$4130,MATCH(E123,exante.Technology!$C$2:$C$4130,0))</f>
        <v>1008</v>
      </c>
      <c r="C123">
        <f t="shared" ref="C123" si="148">+C112</f>
        <v>1073</v>
      </c>
      <c r="D123">
        <f>INDEX(Technologies!$B$7:$S$67,H123,I123)</f>
        <v>2.6941999999999999</v>
      </c>
      <c r="E123" t="str">
        <f>INDEX(Technologies!$B$7:$B$67,H123)</f>
        <v>Stor_EF-Elec-050gal-0.90EF</v>
      </c>
      <c r="G123" t="str">
        <f t="shared" si="109"/>
        <v>TankUA</v>
      </c>
      <c r="H123">
        <f t="shared" si="134"/>
        <v>8</v>
      </c>
      <c r="I123">
        <f>MATCH(G123,Technologies!$B$6:$S$6,0)</f>
        <v>9</v>
      </c>
      <c r="J123">
        <f t="shared" ref="J123" si="149">+J112</f>
        <v>67</v>
      </c>
    </row>
    <row r="124" spans="2:10" x14ac:dyDescent="0.25">
      <c r="B124">
        <f>INDEX(exante.Technology!$A$2:$A$4130,MATCH(E124,exante.Technology!$C$2:$C$4130,0))</f>
        <v>1008</v>
      </c>
      <c r="C124">
        <f t="shared" ref="C124" si="150">+C113</f>
        <v>1074</v>
      </c>
      <c r="D124">
        <f>INDEX(Technologies!$B$7:$S$67,H124,I124)</f>
        <v>0</v>
      </c>
      <c r="E124" t="str">
        <f>INDEX(Technologies!$B$7:$B$67,H124)</f>
        <v>Stor_EF-Elec-050gal-0.90EF</v>
      </c>
      <c r="G124" t="str">
        <f t="shared" si="109"/>
        <v>auxW</v>
      </c>
      <c r="H124">
        <f t="shared" si="134"/>
        <v>8</v>
      </c>
      <c r="I124">
        <f>MATCH(G124,Technologies!$B$6:$S$6,0)</f>
        <v>13</v>
      </c>
      <c r="J124">
        <f t="shared" ref="J124" si="151">+J113</f>
        <v>67</v>
      </c>
    </row>
    <row r="125" spans="2:10" x14ac:dyDescent="0.25">
      <c r="B125">
        <f>INDEX(exante.Technology!$A$2:$A$4130,MATCH(E125,exante.Technology!$C$2:$C$4130,0))</f>
        <v>1008</v>
      </c>
      <c r="C125">
        <f t="shared" ref="C125" si="152">+C114</f>
        <v>1075</v>
      </c>
      <c r="D125">
        <f>INDEX(Technologies!$B$7:$S$67,H125,I125)</f>
        <v>0</v>
      </c>
      <c r="E125" t="str">
        <f>INDEX(Technologies!$B$7:$B$67,H125)</f>
        <v>Stor_EF-Elec-050gal-0.90EF</v>
      </c>
      <c r="G125" t="str">
        <f t="shared" si="109"/>
        <v>auxVentW</v>
      </c>
      <c r="H125">
        <f t="shared" si="134"/>
        <v>8</v>
      </c>
      <c r="I125">
        <f>MATCH(G125,Technologies!$B$6:$S$6,0)</f>
        <v>14</v>
      </c>
      <c r="J125">
        <f t="shared" ref="J125" si="153">+J114</f>
        <v>67</v>
      </c>
    </row>
    <row r="126" spans="2:10" x14ac:dyDescent="0.25">
      <c r="B126">
        <f>INDEX(exante.Technology!$A$2:$A$4130,MATCH(E126,exante.Technology!$C$2:$C$4130,0))</f>
        <v>1008</v>
      </c>
      <c r="C126">
        <f t="shared" ref="C126" si="154">+C115</f>
        <v>1076</v>
      </c>
      <c r="D126">
        <f>INDEX(Technologies!$B$7:$S$67,H126,I126)</f>
        <v>0</v>
      </c>
      <c r="E126" t="str">
        <f>INDEX(Technologies!$B$7:$B$67,H126)</f>
        <v>Stor_EF-Elec-050gal-0.90EF</v>
      </c>
      <c r="G126" t="str">
        <f t="shared" si="109"/>
        <v>pilotBTUh</v>
      </c>
      <c r="H126">
        <f t="shared" si="134"/>
        <v>8</v>
      </c>
      <c r="I126">
        <f>MATCH(G126,Technologies!$B$6:$S$6,0)</f>
        <v>15</v>
      </c>
      <c r="J126">
        <f t="shared" ref="J126" si="155">+J115</f>
        <v>67</v>
      </c>
    </row>
    <row r="127" spans="2:10" x14ac:dyDescent="0.25">
      <c r="B127">
        <f>INDEX(exante.Technology!$A$2:$A$4130,MATCH(E127,exante.Technology!$C$2:$C$4130,0))</f>
        <v>1008</v>
      </c>
      <c r="C127">
        <f t="shared" ref="C127" si="156">+C116</f>
        <v>1077</v>
      </c>
      <c r="D127">
        <f>INDEX(Technologies!$B$7:$S$67,H127,I127)</f>
        <v>0</v>
      </c>
      <c r="E127" t="str">
        <f>INDEX(Technologies!$B$7:$B$67,H127)</f>
        <v>Stor_EF-Elec-050gal-0.90EF</v>
      </c>
      <c r="G127" t="str">
        <f t="shared" si="109"/>
        <v>pilotHtgEff</v>
      </c>
      <c r="H127">
        <f t="shared" si="134"/>
        <v>8</v>
      </c>
      <c r="I127">
        <f>MATCH(G127,Technologies!$B$6:$S$6,0)</f>
        <v>16</v>
      </c>
      <c r="J127">
        <f t="shared" ref="J127" si="157">+J116</f>
        <v>67</v>
      </c>
    </row>
    <row r="128" spans="2:10" x14ac:dyDescent="0.25">
      <c r="B128">
        <f>INDEX(exante.Technology!$A$2:$A$4130,MATCH(E128,exante.Technology!$C$2:$C$4130,0))</f>
        <v>1009</v>
      </c>
      <c r="C128">
        <f t="shared" ref="C128" si="158">+C117</f>
        <v>85</v>
      </c>
      <c r="D128" t="str">
        <f>INDEX(Technologies!$B$7:$S$67,H128,I128)</f>
        <v>Elec</v>
      </c>
      <c r="E128" t="str">
        <f>INDEX(Technologies!$B$7:$B$67,H128)</f>
        <v>Stor_EF-Elec-050gal-0.945EF</v>
      </c>
      <c r="G128" t="str">
        <f t="shared" si="109"/>
        <v>Fuel_Type</v>
      </c>
      <c r="H128">
        <f t="shared" si="134"/>
        <v>9</v>
      </c>
      <c r="I128">
        <f>MATCH(G128,Technologies!$B$6:$S$6,0)</f>
        <v>3</v>
      </c>
      <c r="J128">
        <f t="shared" ref="J128" si="159">+J117</f>
        <v>67</v>
      </c>
    </row>
    <row r="129" spans="2:10" x14ac:dyDescent="0.25">
      <c r="B129">
        <f>INDEX(exante.Technology!$A$2:$A$4130,MATCH(E129,exante.Technology!$C$2:$C$4130,0))</f>
        <v>1009</v>
      </c>
      <c r="C129">
        <f t="shared" ref="C129" si="160">+C118</f>
        <v>1081</v>
      </c>
      <c r="D129">
        <f>INDEX(Technologies!$B$7:$S$67,H129,I129)</f>
        <v>50</v>
      </c>
      <c r="E129" t="str">
        <f>INDEX(Technologies!$B$7:$B$67,H129)</f>
        <v>Stor_EF-Elec-050gal-0.945EF</v>
      </c>
      <c r="G129" t="str">
        <f t="shared" si="109"/>
        <v>Nom_Gallons</v>
      </c>
      <c r="H129">
        <f t="shared" si="134"/>
        <v>9</v>
      </c>
      <c r="I129">
        <f>MATCH(G129,Technologies!$B$6:$S$6,0)</f>
        <v>4</v>
      </c>
      <c r="J129">
        <f t="shared" ref="J129" si="161">+J118</f>
        <v>67</v>
      </c>
    </row>
    <row r="130" spans="2:10" x14ac:dyDescent="0.25">
      <c r="B130">
        <f>INDEX(exante.Technology!$A$2:$A$4130,MATCH(E130,exante.Technology!$C$2:$C$4130,0))</f>
        <v>1009</v>
      </c>
      <c r="C130">
        <f t="shared" ref="C130" si="162">+C119</f>
        <v>58</v>
      </c>
      <c r="D130">
        <f>INDEX(Technologies!$B$7:$S$67,H130,I130)</f>
        <v>0.94499999999999995</v>
      </c>
      <c r="E130" t="str">
        <f>INDEX(Technologies!$B$7:$B$67,H130)</f>
        <v>Stor_EF-Elec-050gal-0.945EF</v>
      </c>
      <c r="G130" t="str">
        <f t="shared" si="109"/>
        <v>Energy_Factor</v>
      </c>
      <c r="H130">
        <f t="shared" si="134"/>
        <v>9</v>
      </c>
      <c r="I130">
        <f>MATCH(G130,Technologies!$B$6:$S$6,0)</f>
        <v>5</v>
      </c>
      <c r="J130">
        <f t="shared" ref="J130" si="163">+J119</f>
        <v>67</v>
      </c>
    </row>
    <row r="131" spans="2:10" x14ac:dyDescent="0.25">
      <c r="B131">
        <f>INDEX(exante.Technology!$A$2:$A$4130,MATCH(E131,exante.Technology!$C$2:$C$4130,0))</f>
        <v>1009</v>
      </c>
      <c r="C131">
        <f t="shared" ref="C131" si="164">+C120</f>
        <v>1070</v>
      </c>
      <c r="D131">
        <f>INDEX(Technologies!$B$7:$S$67,H131,I131)</f>
        <v>0</v>
      </c>
      <c r="E131" t="str">
        <f>INDEX(Technologies!$B$7:$B$67,H131)</f>
        <v>Stor_EF-Elec-050gal-0.945EF</v>
      </c>
      <c r="G131" t="str">
        <f t="shared" si="109"/>
        <v>BurnCap_kBTUh</v>
      </c>
      <c r="H131">
        <f t="shared" si="134"/>
        <v>9</v>
      </c>
      <c r="I131">
        <f>MATCH(G131,Technologies!$B$6:$S$6,0)</f>
        <v>6</v>
      </c>
      <c r="J131">
        <f t="shared" ref="J131" si="165">+J120</f>
        <v>67</v>
      </c>
    </row>
    <row r="132" spans="2:10" x14ac:dyDescent="0.25">
      <c r="B132">
        <f>INDEX(exante.Technology!$A$2:$A$4130,MATCH(E132,exante.Technology!$C$2:$C$4130,0))</f>
        <v>1009</v>
      </c>
      <c r="C132">
        <f t="shared" ref="C132" si="166">+C121</f>
        <v>1071</v>
      </c>
      <c r="D132">
        <f>INDEX(Technologies!$B$7:$S$67,H132,I132)</f>
        <v>4.5</v>
      </c>
      <c r="E132" t="str">
        <f>INDEX(Technologies!$B$7:$B$67,H132)</f>
        <v>Stor_EF-Elec-050gal-0.945EF</v>
      </c>
      <c r="G132" t="str">
        <f t="shared" si="109"/>
        <v>BurnCap_kW</v>
      </c>
      <c r="H132">
        <f t="shared" si="134"/>
        <v>9</v>
      </c>
      <c r="I132">
        <f>MATCH(G132,Technologies!$B$6:$S$6,0)</f>
        <v>7</v>
      </c>
      <c r="J132">
        <f t="shared" ref="J132" si="167">+J121</f>
        <v>67</v>
      </c>
    </row>
    <row r="133" spans="2:10" x14ac:dyDescent="0.25">
      <c r="B133">
        <f>INDEX(exante.Technology!$A$2:$A$4130,MATCH(E133,exante.Technology!$C$2:$C$4130,0))</f>
        <v>1009</v>
      </c>
      <c r="C133">
        <f t="shared" ref="C133" si="168">+C122</f>
        <v>1072</v>
      </c>
      <c r="D133">
        <f>INDEX(Technologies!$B$7:$S$67,H133,I133)</f>
        <v>0.98</v>
      </c>
      <c r="E133" t="str">
        <f>INDEX(Technologies!$B$7:$B$67,H133)</f>
        <v>Stor_EF-Elec-050gal-0.945EF</v>
      </c>
      <c r="G133" t="str">
        <f t="shared" si="109"/>
        <v>RecovEff</v>
      </c>
      <c r="H133">
        <f t="shared" si="134"/>
        <v>9</v>
      </c>
      <c r="I133">
        <f>MATCH(G133,Technologies!$B$6:$S$6,0)</f>
        <v>8</v>
      </c>
      <c r="J133">
        <f t="shared" ref="J133" si="169">+J122</f>
        <v>67</v>
      </c>
    </row>
    <row r="134" spans="2:10" x14ac:dyDescent="0.25">
      <c r="B134">
        <f>INDEX(exante.Technology!$A$2:$A$4130,MATCH(E134,exante.Technology!$C$2:$C$4130,0))</f>
        <v>1009</v>
      </c>
      <c r="C134">
        <f t="shared" ref="C134" si="170">+C123</f>
        <v>1073</v>
      </c>
      <c r="D134">
        <f>INDEX(Technologies!$B$7:$S$67,H134,I134)</f>
        <v>1.4765999999999999</v>
      </c>
      <c r="E134" t="str">
        <f>INDEX(Technologies!$B$7:$B$67,H134)</f>
        <v>Stor_EF-Elec-050gal-0.945EF</v>
      </c>
      <c r="G134" t="str">
        <f t="shared" si="109"/>
        <v>TankUA</v>
      </c>
      <c r="H134">
        <f t="shared" si="134"/>
        <v>9</v>
      </c>
      <c r="I134">
        <f>MATCH(G134,Technologies!$B$6:$S$6,0)</f>
        <v>9</v>
      </c>
      <c r="J134">
        <f t="shared" ref="J134" si="171">+J123</f>
        <v>67</v>
      </c>
    </row>
    <row r="135" spans="2:10" x14ac:dyDescent="0.25">
      <c r="B135">
        <f>INDEX(exante.Technology!$A$2:$A$4130,MATCH(E135,exante.Technology!$C$2:$C$4130,0))</f>
        <v>1009</v>
      </c>
      <c r="C135">
        <f t="shared" ref="C135" si="172">+C124</f>
        <v>1074</v>
      </c>
      <c r="D135">
        <f>INDEX(Technologies!$B$7:$S$67,H135,I135)</f>
        <v>0</v>
      </c>
      <c r="E135" t="str">
        <f>INDEX(Technologies!$B$7:$B$67,H135)</f>
        <v>Stor_EF-Elec-050gal-0.945EF</v>
      </c>
      <c r="G135" t="str">
        <f t="shared" si="109"/>
        <v>auxW</v>
      </c>
      <c r="H135">
        <f t="shared" si="134"/>
        <v>9</v>
      </c>
      <c r="I135">
        <f>MATCH(G135,Technologies!$B$6:$S$6,0)</f>
        <v>13</v>
      </c>
      <c r="J135">
        <f t="shared" ref="J135" si="173">+J124</f>
        <v>67</v>
      </c>
    </row>
    <row r="136" spans="2:10" x14ac:dyDescent="0.25">
      <c r="B136">
        <f>INDEX(exante.Technology!$A$2:$A$4130,MATCH(E136,exante.Technology!$C$2:$C$4130,0))</f>
        <v>1009</v>
      </c>
      <c r="C136">
        <f t="shared" ref="C136" si="174">+C125</f>
        <v>1075</v>
      </c>
      <c r="D136">
        <f>INDEX(Technologies!$B$7:$S$67,H136,I136)</f>
        <v>0</v>
      </c>
      <c r="E136" t="str">
        <f>INDEX(Technologies!$B$7:$B$67,H136)</f>
        <v>Stor_EF-Elec-050gal-0.945EF</v>
      </c>
      <c r="G136" t="str">
        <f t="shared" si="109"/>
        <v>auxVentW</v>
      </c>
      <c r="H136">
        <f t="shared" si="134"/>
        <v>9</v>
      </c>
      <c r="I136">
        <f>MATCH(G136,Technologies!$B$6:$S$6,0)</f>
        <v>14</v>
      </c>
      <c r="J136">
        <f t="shared" ref="J136" si="175">+J125</f>
        <v>67</v>
      </c>
    </row>
    <row r="137" spans="2:10" x14ac:dyDescent="0.25">
      <c r="B137">
        <f>INDEX(exante.Technology!$A$2:$A$4130,MATCH(E137,exante.Technology!$C$2:$C$4130,0))</f>
        <v>1009</v>
      </c>
      <c r="C137">
        <f t="shared" ref="C137" si="176">+C126</f>
        <v>1076</v>
      </c>
      <c r="D137">
        <f>INDEX(Technologies!$B$7:$S$67,H137,I137)</f>
        <v>0</v>
      </c>
      <c r="E137" t="str">
        <f>INDEX(Technologies!$B$7:$B$67,H137)</f>
        <v>Stor_EF-Elec-050gal-0.945EF</v>
      </c>
      <c r="G137" t="str">
        <f t="shared" si="109"/>
        <v>pilotBTUh</v>
      </c>
      <c r="H137">
        <f t="shared" si="134"/>
        <v>9</v>
      </c>
      <c r="I137">
        <f>MATCH(G137,Technologies!$B$6:$S$6,0)</f>
        <v>15</v>
      </c>
      <c r="J137">
        <f t="shared" ref="J137" si="177">+J126</f>
        <v>67</v>
      </c>
    </row>
    <row r="138" spans="2:10" x14ac:dyDescent="0.25">
      <c r="B138">
        <f>INDEX(exante.Technology!$A$2:$A$4130,MATCH(E138,exante.Technology!$C$2:$C$4130,0))</f>
        <v>1009</v>
      </c>
      <c r="C138">
        <f t="shared" ref="C138" si="178">+C127</f>
        <v>1077</v>
      </c>
      <c r="D138">
        <f>INDEX(Technologies!$B$7:$S$67,H138,I138)</f>
        <v>0</v>
      </c>
      <c r="E138" t="str">
        <f>INDEX(Technologies!$B$7:$B$67,H138)</f>
        <v>Stor_EF-Elec-050gal-0.945EF</v>
      </c>
      <c r="G138" t="str">
        <f t="shared" si="109"/>
        <v>pilotHtgEff</v>
      </c>
      <c r="H138">
        <f t="shared" si="134"/>
        <v>9</v>
      </c>
      <c r="I138">
        <f>MATCH(G138,Technologies!$B$6:$S$6,0)</f>
        <v>16</v>
      </c>
      <c r="J138">
        <f t="shared" ref="J138" si="179">+J127</f>
        <v>67</v>
      </c>
    </row>
    <row r="139" spans="2:10" x14ac:dyDescent="0.25">
      <c r="B139">
        <f>INDEX(exante.Technology!$A$2:$A$4130,MATCH(E139,exante.Technology!$C$2:$C$4130,0))</f>
        <v>1010</v>
      </c>
      <c r="C139">
        <f t="shared" ref="C139" si="180">+C128</f>
        <v>85</v>
      </c>
      <c r="D139" t="str">
        <f>INDEX(Technologies!$B$7:$S$67,H139,I139)</f>
        <v>Elec</v>
      </c>
      <c r="E139" t="str">
        <f>INDEX(Technologies!$B$7:$B$67,H139)</f>
        <v>Stor_EF-Elec-060gal-0.85EF</v>
      </c>
      <c r="G139" t="str">
        <f t="shared" si="109"/>
        <v>Fuel_Type</v>
      </c>
      <c r="H139">
        <f t="shared" si="134"/>
        <v>10</v>
      </c>
      <c r="I139">
        <f>MATCH(G139,Technologies!$B$6:$S$6,0)</f>
        <v>3</v>
      </c>
      <c r="J139">
        <f t="shared" ref="J139" si="181">+J128</f>
        <v>67</v>
      </c>
    </row>
    <row r="140" spans="2:10" x14ac:dyDescent="0.25">
      <c r="B140">
        <f>INDEX(exante.Technology!$A$2:$A$4130,MATCH(E140,exante.Technology!$C$2:$C$4130,0))</f>
        <v>1010</v>
      </c>
      <c r="C140">
        <f t="shared" ref="C140" si="182">+C129</f>
        <v>1081</v>
      </c>
      <c r="D140">
        <f>INDEX(Technologies!$B$7:$S$67,H140,I140)</f>
        <v>60</v>
      </c>
      <c r="E140" t="str">
        <f>INDEX(Technologies!$B$7:$B$67,H140)</f>
        <v>Stor_EF-Elec-060gal-0.85EF</v>
      </c>
      <c r="G140" t="str">
        <f t="shared" si="109"/>
        <v>Nom_Gallons</v>
      </c>
      <c r="H140">
        <f t="shared" si="134"/>
        <v>10</v>
      </c>
      <c r="I140">
        <f>MATCH(G140,Technologies!$B$6:$S$6,0)</f>
        <v>4</v>
      </c>
      <c r="J140">
        <f t="shared" ref="J140" si="183">+J129</f>
        <v>67</v>
      </c>
    </row>
    <row r="141" spans="2:10" x14ac:dyDescent="0.25">
      <c r="B141">
        <f>INDEX(exante.Technology!$A$2:$A$4130,MATCH(E141,exante.Technology!$C$2:$C$4130,0))</f>
        <v>1010</v>
      </c>
      <c r="C141">
        <f t="shared" ref="C141" si="184">+C130</f>
        <v>58</v>
      </c>
      <c r="D141">
        <f>INDEX(Technologies!$B$7:$S$67,H141,I141)</f>
        <v>0.8508</v>
      </c>
      <c r="E141" t="str">
        <f>INDEX(Technologies!$B$7:$B$67,H141)</f>
        <v>Stor_EF-Elec-060gal-0.85EF</v>
      </c>
      <c r="G141" t="str">
        <f t="shared" si="109"/>
        <v>Energy_Factor</v>
      </c>
      <c r="H141">
        <f t="shared" si="134"/>
        <v>10</v>
      </c>
      <c r="I141">
        <f>MATCH(G141,Technologies!$B$6:$S$6,0)</f>
        <v>5</v>
      </c>
      <c r="J141">
        <f t="shared" ref="J141" si="185">+J130</f>
        <v>67</v>
      </c>
    </row>
    <row r="142" spans="2:10" x14ac:dyDescent="0.25">
      <c r="B142">
        <f>INDEX(exante.Technology!$A$2:$A$4130,MATCH(E142,exante.Technology!$C$2:$C$4130,0))</f>
        <v>1010</v>
      </c>
      <c r="C142">
        <f t="shared" ref="C142" si="186">+C131</f>
        <v>1070</v>
      </c>
      <c r="D142">
        <f>INDEX(Technologies!$B$7:$S$67,H142,I142)</f>
        <v>0</v>
      </c>
      <c r="E142" t="str">
        <f>INDEX(Technologies!$B$7:$B$67,H142)</f>
        <v>Stor_EF-Elec-060gal-0.85EF</v>
      </c>
      <c r="G142" t="str">
        <f t="shared" si="109"/>
        <v>BurnCap_kBTUh</v>
      </c>
      <c r="H142">
        <f t="shared" si="134"/>
        <v>10</v>
      </c>
      <c r="I142">
        <f>MATCH(G142,Technologies!$B$6:$S$6,0)</f>
        <v>6</v>
      </c>
      <c r="J142">
        <f t="shared" ref="J142" si="187">+J131</f>
        <v>67</v>
      </c>
    </row>
    <row r="143" spans="2:10" x14ac:dyDescent="0.25">
      <c r="B143">
        <f>INDEX(exante.Technology!$A$2:$A$4130,MATCH(E143,exante.Technology!$C$2:$C$4130,0))</f>
        <v>1010</v>
      </c>
      <c r="C143">
        <f t="shared" ref="C143" si="188">+C132</f>
        <v>1071</v>
      </c>
      <c r="D143">
        <f>INDEX(Technologies!$B$7:$S$67,H143,I143)</f>
        <v>5.5</v>
      </c>
      <c r="E143" t="str">
        <f>INDEX(Technologies!$B$7:$B$67,H143)</f>
        <v>Stor_EF-Elec-060gal-0.85EF</v>
      </c>
      <c r="G143" t="str">
        <f t="shared" si="109"/>
        <v>BurnCap_kW</v>
      </c>
      <c r="H143">
        <f t="shared" si="134"/>
        <v>10</v>
      </c>
      <c r="I143">
        <f>MATCH(G143,Technologies!$B$6:$S$6,0)</f>
        <v>7</v>
      </c>
      <c r="J143">
        <f t="shared" ref="J143" si="189">+J132</f>
        <v>67</v>
      </c>
    </row>
    <row r="144" spans="2:10" x14ac:dyDescent="0.25">
      <c r="B144">
        <f>INDEX(exante.Technology!$A$2:$A$4130,MATCH(E144,exante.Technology!$C$2:$C$4130,0))</f>
        <v>1010</v>
      </c>
      <c r="C144">
        <f t="shared" ref="C144" si="190">+C133</f>
        <v>1072</v>
      </c>
      <c r="D144">
        <f>INDEX(Technologies!$B$7:$S$67,H144,I144)</f>
        <v>0.98</v>
      </c>
      <c r="E144" t="str">
        <f>INDEX(Technologies!$B$7:$B$67,H144)</f>
        <v>Stor_EF-Elec-060gal-0.85EF</v>
      </c>
      <c r="G144" t="str">
        <f t="shared" si="109"/>
        <v>RecovEff</v>
      </c>
      <c r="H144">
        <f t="shared" si="134"/>
        <v>10</v>
      </c>
      <c r="I144">
        <f>MATCH(G144,Technologies!$B$6:$S$6,0)</f>
        <v>8</v>
      </c>
      <c r="J144">
        <f t="shared" ref="J144" si="191">+J133</f>
        <v>67</v>
      </c>
    </row>
    <row r="145" spans="2:10" x14ac:dyDescent="0.25">
      <c r="B145">
        <f>INDEX(exante.Technology!$A$2:$A$4130,MATCH(E145,exante.Technology!$C$2:$C$4130,0))</f>
        <v>1010</v>
      </c>
      <c r="C145">
        <f t="shared" ref="C145" si="192">+C134</f>
        <v>1073</v>
      </c>
      <c r="D145">
        <f>INDEX(Technologies!$B$7:$S$67,H145,I145)</f>
        <v>4.4489999999999998</v>
      </c>
      <c r="E145" t="str">
        <f>INDEX(Technologies!$B$7:$B$67,H145)</f>
        <v>Stor_EF-Elec-060gal-0.85EF</v>
      </c>
      <c r="G145" t="str">
        <f t="shared" si="109"/>
        <v>TankUA</v>
      </c>
      <c r="H145">
        <f t="shared" si="134"/>
        <v>10</v>
      </c>
      <c r="I145">
        <f>MATCH(G145,Technologies!$B$6:$S$6,0)</f>
        <v>9</v>
      </c>
      <c r="J145">
        <f t="shared" ref="J145" si="193">+J134</f>
        <v>67</v>
      </c>
    </row>
    <row r="146" spans="2:10" x14ac:dyDescent="0.25">
      <c r="B146">
        <f>INDEX(exante.Technology!$A$2:$A$4130,MATCH(E146,exante.Technology!$C$2:$C$4130,0))</f>
        <v>1010</v>
      </c>
      <c r="C146">
        <f t="shared" ref="C146" si="194">+C135</f>
        <v>1074</v>
      </c>
      <c r="D146">
        <f>INDEX(Technologies!$B$7:$S$67,H146,I146)</f>
        <v>0</v>
      </c>
      <c r="E146" t="str">
        <f>INDEX(Technologies!$B$7:$B$67,H146)</f>
        <v>Stor_EF-Elec-060gal-0.85EF</v>
      </c>
      <c r="G146" t="str">
        <f t="shared" si="109"/>
        <v>auxW</v>
      </c>
      <c r="H146">
        <f t="shared" si="134"/>
        <v>10</v>
      </c>
      <c r="I146">
        <f>MATCH(G146,Technologies!$B$6:$S$6,0)</f>
        <v>13</v>
      </c>
      <c r="J146">
        <f t="shared" ref="J146" si="195">+J135</f>
        <v>67</v>
      </c>
    </row>
    <row r="147" spans="2:10" x14ac:dyDescent="0.25">
      <c r="B147">
        <f>INDEX(exante.Technology!$A$2:$A$4130,MATCH(E147,exante.Technology!$C$2:$C$4130,0))</f>
        <v>1010</v>
      </c>
      <c r="C147">
        <f t="shared" ref="C147" si="196">+C136</f>
        <v>1075</v>
      </c>
      <c r="D147">
        <f>INDEX(Technologies!$B$7:$S$67,H147,I147)</f>
        <v>0</v>
      </c>
      <c r="E147" t="str">
        <f>INDEX(Technologies!$B$7:$B$67,H147)</f>
        <v>Stor_EF-Elec-060gal-0.85EF</v>
      </c>
      <c r="G147" t="str">
        <f t="shared" si="109"/>
        <v>auxVentW</v>
      </c>
      <c r="H147">
        <f t="shared" si="134"/>
        <v>10</v>
      </c>
      <c r="I147">
        <f>MATCH(G147,Technologies!$B$6:$S$6,0)</f>
        <v>14</v>
      </c>
      <c r="J147">
        <f t="shared" ref="J147" si="197">+J136</f>
        <v>67</v>
      </c>
    </row>
    <row r="148" spans="2:10" x14ac:dyDescent="0.25">
      <c r="B148">
        <f>INDEX(exante.Technology!$A$2:$A$4130,MATCH(E148,exante.Technology!$C$2:$C$4130,0))</f>
        <v>1010</v>
      </c>
      <c r="C148">
        <f t="shared" ref="C148" si="198">+C137</f>
        <v>1076</v>
      </c>
      <c r="D148">
        <f>INDEX(Technologies!$B$7:$S$67,H148,I148)</f>
        <v>0</v>
      </c>
      <c r="E148" t="str">
        <f>INDEX(Technologies!$B$7:$B$67,H148)</f>
        <v>Stor_EF-Elec-060gal-0.85EF</v>
      </c>
      <c r="G148" t="str">
        <f t="shared" si="109"/>
        <v>pilotBTUh</v>
      </c>
      <c r="H148">
        <f t="shared" si="134"/>
        <v>10</v>
      </c>
      <c r="I148">
        <f>MATCH(G148,Technologies!$B$6:$S$6,0)</f>
        <v>15</v>
      </c>
      <c r="J148">
        <f t="shared" ref="J148" si="199">+J137</f>
        <v>67</v>
      </c>
    </row>
    <row r="149" spans="2:10" x14ac:dyDescent="0.25">
      <c r="B149">
        <f>INDEX(exante.Technology!$A$2:$A$4130,MATCH(E149,exante.Technology!$C$2:$C$4130,0))</f>
        <v>1010</v>
      </c>
      <c r="C149">
        <f t="shared" ref="C149" si="200">+C138</f>
        <v>1077</v>
      </c>
      <c r="D149">
        <f>INDEX(Technologies!$B$7:$S$67,H149,I149)</f>
        <v>0</v>
      </c>
      <c r="E149" t="str">
        <f>INDEX(Technologies!$B$7:$B$67,H149)</f>
        <v>Stor_EF-Elec-060gal-0.85EF</v>
      </c>
      <c r="G149" t="str">
        <f t="shared" si="109"/>
        <v>pilotHtgEff</v>
      </c>
      <c r="H149">
        <f t="shared" si="134"/>
        <v>10</v>
      </c>
      <c r="I149">
        <f>MATCH(G149,Technologies!$B$6:$S$6,0)</f>
        <v>16</v>
      </c>
      <c r="J149">
        <f t="shared" ref="J149" si="201">+J138</f>
        <v>67</v>
      </c>
    </row>
    <row r="150" spans="2:10" x14ac:dyDescent="0.25">
      <c r="B150">
        <f>INDEX(exante.Technology!$A$2:$A$4130,MATCH(E150,exante.Technology!$C$2:$C$4130,0))</f>
        <v>1011</v>
      </c>
      <c r="C150">
        <f t="shared" ref="C150" si="202">+C139</f>
        <v>85</v>
      </c>
      <c r="D150" t="str">
        <f>INDEX(Technologies!$B$7:$S$67,H150,I150)</f>
        <v>Elec</v>
      </c>
      <c r="E150" t="str">
        <f>INDEX(Technologies!$B$7:$B$67,H150)</f>
        <v>Stor_EF-Elec-060gal-0.89EF</v>
      </c>
      <c r="G150" t="str">
        <f t="shared" si="109"/>
        <v>Fuel_Type</v>
      </c>
      <c r="H150">
        <f t="shared" si="134"/>
        <v>11</v>
      </c>
      <c r="I150">
        <f>MATCH(G150,Technologies!$B$6:$S$6,0)</f>
        <v>3</v>
      </c>
      <c r="J150">
        <f t="shared" ref="J150" si="203">+J139</f>
        <v>67</v>
      </c>
    </row>
    <row r="151" spans="2:10" x14ac:dyDescent="0.25">
      <c r="B151">
        <f>INDEX(exante.Technology!$A$2:$A$4130,MATCH(E151,exante.Technology!$C$2:$C$4130,0))</f>
        <v>1011</v>
      </c>
      <c r="C151">
        <f t="shared" ref="C151" si="204">+C140</f>
        <v>1081</v>
      </c>
      <c r="D151">
        <f>INDEX(Technologies!$B$7:$S$67,H151,I151)</f>
        <v>60</v>
      </c>
      <c r="E151" t="str">
        <f>INDEX(Technologies!$B$7:$B$67,H151)</f>
        <v>Stor_EF-Elec-060gal-0.89EF</v>
      </c>
      <c r="G151" t="str">
        <f t="shared" si="109"/>
        <v>Nom_Gallons</v>
      </c>
      <c r="H151">
        <f t="shared" si="134"/>
        <v>11</v>
      </c>
      <c r="I151">
        <f>MATCH(G151,Technologies!$B$6:$S$6,0)</f>
        <v>4</v>
      </c>
      <c r="J151">
        <f t="shared" ref="J151" si="205">+J140</f>
        <v>67</v>
      </c>
    </row>
    <row r="152" spans="2:10" x14ac:dyDescent="0.25">
      <c r="B152">
        <f>INDEX(exante.Technology!$A$2:$A$4130,MATCH(E152,exante.Technology!$C$2:$C$4130,0))</f>
        <v>1011</v>
      </c>
      <c r="C152">
        <f t="shared" ref="C152" si="206">+C141</f>
        <v>58</v>
      </c>
      <c r="D152">
        <f>INDEX(Technologies!$B$7:$S$67,H152,I152)</f>
        <v>0.89080000000000004</v>
      </c>
      <c r="E152" t="str">
        <f>INDEX(Technologies!$B$7:$B$67,H152)</f>
        <v>Stor_EF-Elec-060gal-0.89EF</v>
      </c>
      <c r="G152" t="str">
        <f t="shared" si="109"/>
        <v>Energy_Factor</v>
      </c>
      <c r="H152">
        <f t="shared" si="134"/>
        <v>11</v>
      </c>
      <c r="I152">
        <f>MATCH(G152,Technologies!$B$6:$S$6,0)</f>
        <v>5</v>
      </c>
      <c r="J152">
        <f t="shared" ref="J152" si="207">+J141</f>
        <v>67</v>
      </c>
    </row>
    <row r="153" spans="2:10" x14ac:dyDescent="0.25">
      <c r="B153">
        <f>INDEX(exante.Technology!$A$2:$A$4130,MATCH(E153,exante.Technology!$C$2:$C$4130,0))</f>
        <v>1011</v>
      </c>
      <c r="C153">
        <f t="shared" ref="C153" si="208">+C142</f>
        <v>1070</v>
      </c>
      <c r="D153">
        <f>INDEX(Technologies!$B$7:$S$67,H153,I153)</f>
        <v>0</v>
      </c>
      <c r="E153" t="str">
        <f>INDEX(Technologies!$B$7:$B$67,H153)</f>
        <v>Stor_EF-Elec-060gal-0.89EF</v>
      </c>
      <c r="G153" t="str">
        <f t="shared" si="109"/>
        <v>BurnCap_kBTUh</v>
      </c>
      <c r="H153">
        <f t="shared" si="134"/>
        <v>11</v>
      </c>
      <c r="I153">
        <f>MATCH(G153,Technologies!$B$6:$S$6,0)</f>
        <v>6</v>
      </c>
      <c r="J153">
        <f t="shared" ref="J153" si="209">+J142</f>
        <v>67</v>
      </c>
    </row>
    <row r="154" spans="2:10" x14ac:dyDescent="0.25">
      <c r="B154">
        <f>INDEX(exante.Technology!$A$2:$A$4130,MATCH(E154,exante.Technology!$C$2:$C$4130,0))</f>
        <v>1011</v>
      </c>
      <c r="C154">
        <f t="shared" ref="C154" si="210">+C143</f>
        <v>1071</v>
      </c>
      <c r="D154">
        <f>INDEX(Technologies!$B$7:$S$67,H154,I154)</f>
        <v>5.5</v>
      </c>
      <c r="E154" t="str">
        <f>INDEX(Technologies!$B$7:$B$67,H154)</f>
        <v>Stor_EF-Elec-060gal-0.89EF</v>
      </c>
      <c r="G154" t="str">
        <f t="shared" si="109"/>
        <v>BurnCap_kW</v>
      </c>
      <c r="H154">
        <f t="shared" si="134"/>
        <v>11</v>
      </c>
      <c r="I154">
        <f>MATCH(G154,Technologies!$B$6:$S$6,0)</f>
        <v>7</v>
      </c>
      <c r="J154">
        <f t="shared" ref="J154" si="211">+J143</f>
        <v>67</v>
      </c>
    </row>
    <row r="155" spans="2:10" x14ac:dyDescent="0.25">
      <c r="B155">
        <f>INDEX(exante.Technology!$A$2:$A$4130,MATCH(E155,exante.Technology!$C$2:$C$4130,0))</f>
        <v>1011</v>
      </c>
      <c r="C155">
        <f t="shared" ref="C155" si="212">+C144</f>
        <v>1072</v>
      </c>
      <c r="D155">
        <f>INDEX(Technologies!$B$7:$S$67,H155,I155)</f>
        <v>0.98</v>
      </c>
      <c r="E155" t="str">
        <f>INDEX(Technologies!$B$7:$B$67,H155)</f>
        <v>Stor_EF-Elec-060gal-0.89EF</v>
      </c>
      <c r="G155" t="str">
        <f t="shared" si="109"/>
        <v>RecovEff</v>
      </c>
      <c r="H155">
        <f t="shared" si="134"/>
        <v>11</v>
      </c>
      <c r="I155">
        <f>MATCH(G155,Technologies!$B$6:$S$6,0)</f>
        <v>8</v>
      </c>
      <c r="J155">
        <f t="shared" ref="J155" si="213">+J144</f>
        <v>67</v>
      </c>
    </row>
    <row r="156" spans="2:10" x14ac:dyDescent="0.25">
      <c r="B156">
        <f>INDEX(exante.Technology!$A$2:$A$4130,MATCH(E156,exante.Technology!$C$2:$C$4130,0))</f>
        <v>1011</v>
      </c>
      <c r="C156">
        <f t="shared" ref="C156" si="214">+C145</f>
        <v>1073</v>
      </c>
      <c r="D156">
        <f>INDEX(Technologies!$B$7:$S$67,H156,I156)</f>
        <v>3.11</v>
      </c>
      <c r="E156" t="str">
        <f>INDEX(Technologies!$B$7:$B$67,H156)</f>
        <v>Stor_EF-Elec-060gal-0.89EF</v>
      </c>
      <c r="G156" t="str">
        <f t="shared" si="109"/>
        <v>TankUA</v>
      </c>
      <c r="H156">
        <f t="shared" si="134"/>
        <v>11</v>
      </c>
      <c r="I156">
        <f>MATCH(G156,Technologies!$B$6:$S$6,0)</f>
        <v>9</v>
      </c>
      <c r="J156">
        <f t="shared" ref="J156" si="215">+J145</f>
        <v>67</v>
      </c>
    </row>
    <row r="157" spans="2:10" x14ac:dyDescent="0.25">
      <c r="B157">
        <f>INDEX(exante.Technology!$A$2:$A$4130,MATCH(E157,exante.Technology!$C$2:$C$4130,0))</f>
        <v>1011</v>
      </c>
      <c r="C157">
        <f t="shared" ref="C157" si="216">+C146</f>
        <v>1074</v>
      </c>
      <c r="D157">
        <f>INDEX(Technologies!$B$7:$S$67,H157,I157)</f>
        <v>0</v>
      </c>
      <c r="E157" t="str">
        <f>INDEX(Technologies!$B$7:$B$67,H157)</f>
        <v>Stor_EF-Elec-060gal-0.89EF</v>
      </c>
      <c r="G157" t="str">
        <f t="shared" si="109"/>
        <v>auxW</v>
      </c>
      <c r="H157">
        <f t="shared" si="134"/>
        <v>11</v>
      </c>
      <c r="I157">
        <f>MATCH(G157,Technologies!$B$6:$S$6,0)</f>
        <v>13</v>
      </c>
      <c r="J157">
        <f t="shared" ref="J157" si="217">+J146</f>
        <v>67</v>
      </c>
    </row>
    <row r="158" spans="2:10" x14ac:dyDescent="0.25">
      <c r="B158">
        <f>INDEX(exante.Technology!$A$2:$A$4130,MATCH(E158,exante.Technology!$C$2:$C$4130,0))</f>
        <v>1011</v>
      </c>
      <c r="C158">
        <f t="shared" ref="C158" si="218">+C147</f>
        <v>1075</v>
      </c>
      <c r="D158">
        <f>INDEX(Technologies!$B$7:$S$67,H158,I158)</f>
        <v>0</v>
      </c>
      <c r="E158" t="str">
        <f>INDEX(Technologies!$B$7:$B$67,H158)</f>
        <v>Stor_EF-Elec-060gal-0.89EF</v>
      </c>
      <c r="G158" t="str">
        <f t="shared" si="109"/>
        <v>auxVentW</v>
      </c>
      <c r="H158">
        <f t="shared" si="134"/>
        <v>11</v>
      </c>
      <c r="I158">
        <f>MATCH(G158,Technologies!$B$6:$S$6,0)</f>
        <v>14</v>
      </c>
      <c r="J158">
        <f t="shared" ref="J158" si="219">+J147</f>
        <v>67</v>
      </c>
    </row>
    <row r="159" spans="2:10" x14ac:dyDescent="0.25">
      <c r="B159">
        <f>INDEX(exante.Technology!$A$2:$A$4130,MATCH(E159,exante.Technology!$C$2:$C$4130,0))</f>
        <v>1011</v>
      </c>
      <c r="C159">
        <f t="shared" ref="C159" si="220">+C148</f>
        <v>1076</v>
      </c>
      <c r="D159">
        <f>INDEX(Technologies!$B$7:$S$67,H159,I159)</f>
        <v>0</v>
      </c>
      <c r="E159" t="str">
        <f>INDEX(Technologies!$B$7:$B$67,H159)</f>
        <v>Stor_EF-Elec-060gal-0.89EF</v>
      </c>
      <c r="G159" t="str">
        <f t="shared" si="109"/>
        <v>pilotBTUh</v>
      </c>
      <c r="H159">
        <f t="shared" si="134"/>
        <v>11</v>
      </c>
      <c r="I159">
        <f>MATCH(G159,Technologies!$B$6:$S$6,0)</f>
        <v>15</v>
      </c>
      <c r="J159">
        <f t="shared" ref="J159" si="221">+J148</f>
        <v>67</v>
      </c>
    </row>
    <row r="160" spans="2:10" x14ac:dyDescent="0.25">
      <c r="B160">
        <f>INDEX(exante.Technology!$A$2:$A$4130,MATCH(E160,exante.Technology!$C$2:$C$4130,0))</f>
        <v>1011</v>
      </c>
      <c r="C160">
        <f t="shared" ref="C160" si="222">+C149</f>
        <v>1077</v>
      </c>
      <c r="D160">
        <f>INDEX(Technologies!$B$7:$S$67,H160,I160)</f>
        <v>0</v>
      </c>
      <c r="E160" t="str">
        <f>INDEX(Technologies!$B$7:$B$67,H160)</f>
        <v>Stor_EF-Elec-060gal-0.89EF</v>
      </c>
      <c r="G160" t="str">
        <f t="shared" si="109"/>
        <v>pilotHtgEff</v>
      </c>
      <c r="H160">
        <f t="shared" si="134"/>
        <v>11</v>
      </c>
      <c r="I160">
        <f>MATCH(G160,Technologies!$B$6:$S$6,0)</f>
        <v>16</v>
      </c>
      <c r="J160">
        <f t="shared" ref="J160" si="223">+J149</f>
        <v>67</v>
      </c>
    </row>
    <row r="161" spans="2:10" x14ac:dyDescent="0.25">
      <c r="B161">
        <f>INDEX(exante.Technology!$A$2:$A$4130,MATCH(E161,exante.Technology!$C$2:$C$4130,0))</f>
        <v>1012</v>
      </c>
      <c r="C161">
        <f t="shared" ref="C161" si="224">+C150</f>
        <v>85</v>
      </c>
      <c r="D161" t="str">
        <f>INDEX(Technologies!$B$7:$S$67,H161,I161)</f>
        <v>Elec</v>
      </c>
      <c r="E161" t="str">
        <f>INDEX(Technologies!$B$7:$B$67,H161)</f>
        <v>Stor_EF-Elec-075gal-0.83EF</v>
      </c>
      <c r="G161" t="str">
        <f t="shared" si="109"/>
        <v>Fuel_Type</v>
      </c>
      <c r="H161">
        <f t="shared" si="134"/>
        <v>12</v>
      </c>
      <c r="I161">
        <f>MATCH(G161,Technologies!$B$6:$S$6,0)</f>
        <v>3</v>
      </c>
      <c r="J161">
        <f t="shared" ref="J161" si="225">+J150</f>
        <v>67</v>
      </c>
    </row>
    <row r="162" spans="2:10" x14ac:dyDescent="0.25">
      <c r="B162">
        <f>INDEX(exante.Technology!$A$2:$A$4130,MATCH(E162,exante.Technology!$C$2:$C$4130,0))</f>
        <v>1012</v>
      </c>
      <c r="C162">
        <f t="shared" ref="C162" si="226">+C151</f>
        <v>1081</v>
      </c>
      <c r="D162">
        <f>INDEX(Technologies!$B$7:$S$67,H162,I162)</f>
        <v>75</v>
      </c>
      <c r="E162" t="str">
        <f>INDEX(Technologies!$B$7:$B$67,H162)</f>
        <v>Stor_EF-Elec-075gal-0.83EF</v>
      </c>
      <c r="G162" t="str">
        <f t="shared" si="109"/>
        <v>Nom_Gallons</v>
      </c>
      <c r="H162">
        <f t="shared" si="134"/>
        <v>12</v>
      </c>
      <c r="I162">
        <f>MATCH(G162,Technologies!$B$6:$S$6,0)</f>
        <v>4</v>
      </c>
      <c r="J162">
        <f t="shared" ref="J162" si="227">+J151</f>
        <v>67</v>
      </c>
    </row>
    <row r="163" spans="2:10" x14ac:dyDescent="0.25">
      <c r="B163">
        <f>INDEX(exante.Technology!$A$2:$A$4130,MATCH(E163,exante.Technology!$C$2:$C$4130,0))</f>
        <v>1012</v>
      </c>
      <c r="C163">
        <f t="shared" ref="C163" si="228">+C152</f>
        <v>58</v>
      </c>
      <c r="D163">
        <f>INDEX(Technologies!$B$7:$S$67,H163,I163)</f>
        <v>0.83100000000000007</v>
      </c>
      <c r="E163" t="str">
        <f>INDEX(Technologies!$B$7:$B$67,H163)</f>
        <v>Stor_EF-Elec-075gal-0.83EF</v>
      </c>
      <c r="G163" t="str">
        <f t="shared" si="109"/>
        <v>Energy_Factor</v>
      </c>
      <c r="H163">
        <f t="shared" si="134"/>
        <v>12</v>
      </c>
      <c r="I163">
        <f>MATCH(G163,Technologies!$B$6:$S$6,0)</f>
        <v>5</v>
      </c>
      <c r="J163">
        <f t="shared" ref="J163" si="229">+J152</f>
        <v>67</v>
      </c>
    </row>
    <row r="164" spans="2:10" x14ac:dyDescent="0.25">
      <c r="B164">
        <f>INDEX(exante.Technology!$A$2:$A$4130,MATCH(E164,exante.Technology!$C$2:$C$4130,0))</f>
        <v>1012</v>
      </c>
      <c r="C164">
        <f t="shared" ref="C164" si="230">+C153</f>
        <v>1070</v>
      </c>
      <c r="D164">
        <f>INDEX(Technologies!$B$7:$S$67,H164,I164)</f>
        <v>0</v>
      </c>
      <c r="E164" t="str">
        <f>INDEX(Technologies!$B$7:$B$67,H164)</f>
        <v>Stor_EF-Elec-075gal-0.83EF</v>
      </c>
      <c r="G164" t="str">
        <f t="shared" si="109"/>
        <v>BurnCap_kBTUh</v>
      </c>
      <c r="H164">
        <f t="shared" si="134"/>
        <v>12</v>
      </c>
      <c r="I164">
        <f>MATCH(G164,Technologies!$B$6:$S$6,0)</f>
        <v>6</v>
      </c>
      <c r="J164">
        <f t="shared" ref="J164" si="231">+J153</f>
        <v>67</v>
      </c>
    </row>
    <row r="165" spans="2:10" x14ac:dyDescent="0.25">
      <c r="B165">
        <f>INDEX(exante.Technology!$A$2:$A$4130,MATCH(E165,exante.Technology!$C$2:$C$4130,0))</f>
        <v>1012</v>
      </c>
      <c r="C165">
        <f t="shared" ref="C165" si="232">+C154</f>
        <v>1071</v>
      </c>
      <c r="D165">
        <f>INDEX(Technologies!$B$7:$S$67,H165,I165)</f>
        <v>5.5</v>
      </c>
      <c r="E165" t="str">
        <f>INDEX(Technologies!$B$7:$B$67,H165)</f>
        <v>Stor_EF-Elec-075gal-0.83EF</v>
      </c>
      <c r="G165" t="str">
        <f t="shared" si="109"/>
        <v>BurnCap_kW</v>
      </c>
      <c r="H165">
        <f t="shared" si="134"/>
        <v>12</v>
      </c>
      <c r="I165">
        <f>MATCH(G165,Technologies!$B$6:$S$6,0)</f>
        <v>7</v>
      </c>
      <c r="J165">
        <f t="shared" ref="J165" si="233">+J154</f>
        <v>67</v>
      </c>
    </row>
    <row r="166" spans="2:10" x14ac:dyDescent="0.25">
      <c r="B166">
        <f>INDEX(exante.Technology!$A$2:$A$4130,MATCH(E166,exante.Technology!$C$2:$C$4130,0))</f>
        <v>1012</v>
      </c>
      <c r="C166">
        <f t="shared" ref="C166" si="234">+C155</f>
        <v>1072</v>
      </c>
      <c r="D166">
        <f>INDEX(Technologies!$B$7:$S$67,H166,I166)</f>
        <v>0.98</v>
      </c>
      <c r="E166" t="str">
        <f>INDEX(Technologies!$B$7:$B$67,H166)</f>
        <v>Stor_EF-Elec-075gal-0.83EF</v>
      </c>
      <c r="G166" t="str">
        <f t="shared" si="109"/>
        <v>RecovEff</v>
      </c>
      <c r="H166">
        <f t="shared" si="134"/>
        <v>12</v>
      </c>
      <c r="I166">
        <f>MATCH(G166,Technologies!$B$6:$S$6,0)</f>
        <v>8</v>
      </c>
      <c r="J166">
        <f t="shared" ref="J166" si="235">+J155</f>
        <v>67</v>
      </c>
    </row>
    <row r="167" spans="2:10" x14ac:dyDescent="0.25">
      <c r="B167">
        <f>INDEX(exante.Technology!$A$2:$A$4130,MATCH(E167,exante.Technology!$C$2:$C$4130,0))</f>
        <v>1012</v>
      </c>
      <c r="C167">
        <f t="shared" ref="C167" si="236">+C156</f>
        <v>1073</v>
      </c>
      <c r="D167">
        <f>INDEX(Technologies!$B$7:$S$67,H167,I167)</f>
        <v>5.1595000000000004</v>
      </c>
      <c r="E167" t="str">
        <f>INDEX(Technologies!$B$7:$B$67,H167)</f>
        <v>Stor_EF-Elec-075gal-0.83EF</v>
      </c>
      <c r="G167" t="str">
        <f t="shared" si="109"/>
        <v>TankUA</v>
      </c>
      <c r="H167">
        <f t="shared" si="134"/>
        <v>12</v>
      </c>
      <c r="I167">
        <f>MATCH(G167,Technologies!$B$6:$S$6,0)</f>
        <v>9</v>
      </c>
      <c r="J167">
        <f t="shared" ref="J167" si="237">+J156</f>
        <v>67</v>
      </c>
    </row>
    <row r="168" spans="2:10" x14ac:dyDescent="0.25">
      <c r="B168">
        <f>INDEX(exante.Technology!$A$2:$A$4130,MATCH(E168,exante.Technology!$C$2:$C$4130,0))</f>
        <v>1012</v>
      </c>
      <c r="C168">
        <f t="shared" ref="C168" si="238">+C157</f>
        <v>1074</v>
      </c>
      <c r="D168">
        <f>INDEX(Technologies!$B$7:$S$67,H168,I168)</f>
        <v>0</v>
      </c>
      <c r="E168" t="str">
        <f>INDEX(Technologies!$B$7:$B$67,H168)</f>
        <v>Stor_EF-Elec-075gal-0.83EF</v>
      </c>
      <c r="G168" t="str">
        <f t="shared" ref="G168:G231" si="239">VLOOKUP(C168,$B$3:$C$17,2,FALSE)</f>
        <v>auxW</v>
      </c>
      <c r="H168">
        <f t="shared" si="134"/>
        <v>12</v>
      </c>
      <c r="I168">
        <f>MATCH(G168,Technologies!$B$6:$S$6,0)</f>
        <v>13</v>
      </c>
      <c r="J168">
        <f t="shared" ref="J168" si="240">+J157</f>
        <v>67</v>
      </c>
    </row>
    <row r="169" spans="2:10" x14ac:dyDescent="0.25">
      <c r="B169">
        <f>INDEX(exante.Technology!$A$2:$A$4130,MATCH(E169,exante.Technology!$C$2:$C$4130,0))</f>
        <v>1012</v>
      </c>
      <c r="C169">
        <f t="shared" ref="C169" si="241">+C158</f>
        <v>1075</v>
      </c>
      <c r="D169">
        <f>INDEX(Technologies!$B$7:$S$67,H169,I169)</f>
        <v>0</v>
      </c>
      <c r="E169" t="str">
        <f>INDEX(Technologies!$B$7:$B$67,H169)</f>
        <v>Stor_EF-Elec-075gal-0.83EF</v>
      </c>
      <c r="G169" t="str">
        <f t="shared" si="239"/>
        <v>auxVentW</v>
      </c>
      <c r="H169">
        <f t="shared" si="134"/>
        <v>12</v>
      </c>
      <c r="I169">
        <f>MATCH(G169,Technologies!$B$6:$S$6,0)</f>
        <v>14</v>
      </c>
      <c r="J169">
        <f t="shared" ref="J169" si="242">+J158</f>
        <v>67</v>
      </c>
    </row>
    <row r="170" spans="2:10" x14ac:dyDescent="0.25">
      <c r="B170">
        <f>INDEX(exante.Technology!$A$2:$A$4130,MATCH(E170,exante.Technology!$C$2:$C$4130,0))</f>
        <v>1012</v>
      </c>
      <c r="C170">
        <f t="shared" ref="C170" si="243">+C159</f>
        <v>1076</v>
      </c>
      <c r="D170">
        <f>INDEX(Technologies!$B$7:$S$67,H170,I170)</f>
        <v>0</v>
      </c>
      <c r="E170" t="str">
        <f>INDEX(Technologies!$B$7:$B$67,H170)</f>
        <v>Stor_EF-Elec-075gal-0.83EF</v>
      </c>
      <c r="G170" t="str">
        <f t="shared" si="239"/>
        <v>pilotBTUh</v>
      </c>
      <c r="H170">
        <f t="shared" si="134"/>
        <v>12</v>
      </c>
      <c r="I170">
        <f>MATCH(G170,Technologies!$B$6:$S$6,0)</f>
        <v>15</v>
      </c>
      <c r="J170">
        <f t="shared" ref="J170" si="244">+J159</f>
        <v>67</v>
      </c>
    </row>
    <row r="171" spans="2:10" x14ac:dyDescent="0.25">
      <c r="B171">
        <f>INDEX(exante.Technology!$A$2:$A$4130,MATCH(E171,exante.Technology!$C$2:$C$4130,0))</f>
        <v>1012</v>
      </c>
      <c r="C171">
        <f t="shared" ref="C171" si="245">+C160</f>
        <v>1077</v>
      </c>
      <c r="D171">
        <f>INDEX(Technologies!$B$7:$S$67,H171,I171)</f>
        <v>0</v>
      </c>
      <c r="E171" t="str">
        <f>INDEX(Technologies!$B$7:$B$67,H171)</f>
        <v>Stor_EF-Elec-075gal-0.83EF</v>
      </c>
      <c r="G171" t="str">
        <f t="shared" si="239"/>
        <v>pilotHtgEff</v>
      </c>
      <c r="H171">
        <f t="shared" si="134"/>
        <v>12</v>
      </c>
      <c r="I171">
        <f>MATCH(G171,Technologies!$B$6:$S$6,0)</f>
        <v>16</v>
      </c>
      <c r="J171">
        <f t="shared" ref="J171" si="246">+J160</f>
        <v>67</v>
      </c>
    </row>
    <row r="172" spans="2:10" x14ac:dyDescent="0.25">
      <c r="B172">
        <f>INDEX(exante.Technology!$A$2:$A$4130,MATCH(E172,exante.Technology!$C$2:$C$4130,0))</f>
        <v>1013</v>
      </c>
      <c r="C172">
        <f t="shared" ref="C172" si="247">+C161</f>
        <v>85</v>
      </c>
      <c r="D172" t="str">
        <f>INDEX(Technologies!$B$7:$S$67,H172,I172)</f>
        <v>Elec</v>
      </c>
      <c r="E172" t="str">
        <f>INDEX(Technologies!$B$7:$B$67,H172)</f>
        <v>Stor_EF-Elec-075gal-0.87EF</v>
      </c>
      <c r="G172" t="str">
        <f t="shared" si="239"/>
        <v>Fuel_Type</v>
      </c>
      <c r="H172">
        <f t="shared" si="134"/>
        <v>13</v>
      </c>
      <c r="I172">
        <f>MATCH(G172,Technologies!$B$6:$S$6,0)</f>
        <v>3</v>
      </c>
      <c r="J172">
        <f t="shared" ref="J172" si="248">+J161</f>
        <v>67</v>
      </c>
    </row>
    <row r="173" spans="2:10" x14ac:dyDescent="0.25">
      <c r="B173">
        <f>INDEX(exante.Technology!$A$2:$A$4130,MATCH(E173,exante.Technology!$C$2:$C$4130,0))</f>
        <v>1013</v>
      </c>
      <c r="C173">
        <f t="shared" ref="C173" si="249">+C162</f>
        <v>1081</v>
      </c>
      <c r="D173">
        <f>INDEX(Technologies!$B$7:$S$67,H173,I173)</f>
        <v>75</v>
      </c>
      <c r="E173" t="str">
        <f>INDEX(Technologies!$B$7:$B$67,H173)</f>
        <v>Stor_EF-Elec-075gal-0.87EF</v>
      </c>
      <c r="G173" t="str">
        <f t="shared" si="239"/>
        <v>Nom_Gallons</v>
      </c>
      <c r="H173">
        <f t="shared" si="134"/>
        <v>13</v>
      </c>
      <c r="I173">
        <f>MATCH(G173,Technologies!$B$6:$S$6,0)</f>
        <v>4</v>
      </c>
      <c r="J173">
        <f t="shared" ref="J173" si="250">+J162</f>
        <v>67</v>
      </c>
    </row>
    <row r="174" spans="2:10" x14ac:dyDescent="0.25">
      <c r="B174">
        <f>INDEX(exante.Technology!$A$2:$A$4130,MATCH(E174,exante.Technology!$C$2:$C$4130,0))</f>
        <v>1013</v>
      </c>
      <c r="C174">
        <f t="shared" ref="C174" si="251">+C163</f>
        <v>58</v>
      </c>
      <c r="D174">
        <f>INDEX(Technologies!$B$7:$S$67,H174,I174)</f>
        <v>0.871</v>
      </c>
      <c r="E174" t="str">
        <f>INDEX(Technologies!$B$7:$B$67,H174)</f>
        <v>Stor_EF-Elec-075gal-0.87EF</v>
      </c>
      <c r="G174" t="str">
        <f t="shared" si="239"/>
        <v>Energy_Factor</v>
      </c>
      <c r="H174">
        <f t="shared" si="134"/>
        <v>13</v>
      </c>
      <c r="I174">
        <f>MATCH(G174,Technologies!$B$6:$S$6,0)</f>
        <v>5</v>
      </c>
      <c r="J174">
        <f t="shared" ref="J174" si="252">+J163</f>
        <v>67</v>
      </c>
    </row>
    <row r="175" spans="2:10" x14ac:dyDescent="0.25">
      <c r="B175">
        <f>INDEX(exante.Technology!$A$2:$A$4130,MATCH(E175,exante.Technology!$C$2:$C$4130,0))</f>
        <v>1013</v>
      </c>
      <c r="C175">
        <f t="shared" ref="C175" si="253">+C164</f>
        <v>1070</v>
      </c>
      <c r="D175">
        <f>INDEX(Technologies!$B$7:$S$67,H175,I175)</f>
        <v>0</v>
      </c>
      <c r="E175" t="str">
        <f>INDEX(Technologies!$B$7:$B$67,H175)</f>
        <v>Stor_EF-Elec-075gal-0.87EF</v>
      </c>
      <c r="G175" t="str">
        <f t="shared" si="239"/>
        <v>BurnCap_kBTUh</v>
      </c>
      <c r="H175">
        <f t="shared" si="134"/>
        <v>13</v>
      </c>
      <c r="I175">
        <f>MATCH(G175,Technologies!$B$6:$S$6,0)</f>
        <v>6</v>
      </c>
      <c r="J175">
        <f t="shared" ref="J175" si="254">+J164</f>
        <v>67</v>
      </c>
    </row>
    <row r="176" spans="2:10" x14ac:dyDescent="0.25">
      <c r="B176">
        <f>INDEX(exante.Technology!$A$2:$A$4130,MATCH(E176,exante.Technology!$C$2:$C$4130,0))</f>
        <v>1013</v>
      </c>
      <c r="C176">
        <f t="shared" ref="C176" si="255">+C165</f>
        <v>1071</v>
      </c>
      <c r="D176">
        <f>INDEX(Technologies!$B$7:$S$67,H176,I176)</f>
        <v>5.5</v>
      </c>
      <c r="E176" t="str">
        <f>INDEX(Technologies!$B$7:$B$67,H176)</f>
        <v>Stor_EF-Elec-075gal-0.87EF</v>
      </c>
      <c r="G176" t="str">
        <f t="shared" si="239"/>
        <v>BurnCap_kW</v>
      </c>
      <c r="H176">
        <f t="shared" si="134"/>
        <v>13</v>
      </c>
      <c r="I176">
        <f>MATCH(G176,Technologies!$B$6:$S$6,0)</f>
        <v>7</v>
      </c>
      <c r="J176">
        <f t="shared" ref="J176" si="256">+J165</f>
        <v>67</v>
      </c>
    </row>
    <row r="177" spans="2:10" x14ac:dyDescent="0.25">
      <c r="B177">
        <f>INDEX(exante.Technology!$A$2:$A$4130,MATCH(E177,exante.Technology!$C$2:$C$4130,0))</f>
        <v>1013</v>
      </c>
      <c r="C177">
        <f t="shared" ref="C177" si="257">+C166</f>
        <v>1072</v>
      </c>
      <c r="D177">
        <f>INDEX(Technologies!$B$7:$S$67,H177,I177)</f>
        <v>0.98</v>
      </c>
      <c r="E177" t="str">
        <f>INDEX(Technologies!$B$7:$B$67,H177)</f>
        <v>Stor_EF-Elec-075gal-0.87EF</v>
      </c>
      <c r="G177" t="str">
        <f t="shared" si="239"/>
        <v>RecovEff</v>
      </c>
      <c r="H177">
        <f t="shared" si="134"/>
        <v>13</v>
      </c>
      <c r="I177">
        <f>MATCH(G177,Technologies!$B$6:$S$6,0)</f>
        <v>8</v>
      </c>
      <c r="J177">
        <f t="shared" ref="J177" si="258">+J166</f>
        <v>67</v>
      </c>
    </row>
    <row r="178" spans="2:10" x14ac:dyDescent="0.25">
      <c r="B178">
        <f>INDEX(exante.Technology!$A$2:$A$4130,MATCH(E178,exante.Technology!$C$2:$C$4130,0))</f>
        <v>1013</v>
      </c>
      <c r="C178">
        <f t="shared" ref="C178" si="259">+C167</f>
        <v>1073</v>
      </c>
      <c r="D178">
        <f>INDEX(Technologies!$B$7:$S$67,H178,I178)</f>
        <v>3.7574000000000001</v>
      </c>
      <c r="E178" t="str">
        <f>INDEX(Technologies!$B$7:$B$67,H178)</f>
        <v>Stor_EF-Elec-075gal-0.87EF</v>
      </c>
      <c r="G178" t="str">
        <f t="shared" si="239"/>
        <v>TankUA</v>
      </c>
      <c r="H178">
        <f t="shared" si="134"/>
        <v>13</v>
      </c>
      <c r="I178">
        <f>MATCH(G178,Technologies!$B$6:$S$6,0)</f>
        <v>9</v>
      </c>
      <c r="J178">
        <f t="shared" ref="J178" si="260">+J167</f>
        <v>67</v>
      </c>
    </row>
    <row r="179" spans="2:10" x14ac:dyDescent="0.25">
      <c r="B179">
        <f>INDEX(exante.Technology!$A$2:$A$4130,MATCH(E179,exante.Technology!$C$2:$C$4130,0))</f>
        <v>1013</v>
      </c>
      <c r="C179">
        <f t="shared" ref="C179" si="261">+C168</f>
        <v>1074</v>
      </c>
      <c r="D179">
        <f>INDEX(Technologies!$B$7:$S$67,H179,I179)</f>
        <v>0</v>
      </c>
      <c r="E179" t="str">
        <f>INDEX(Technologies!$B$7:$B$67,H179)</f>
        <v>Stor_EF-Elec-075gal-0.87EF</v>
      </c>
      <c r="G179" t="str">
        <f t="shared" si="239"/>
        <v>auxW</v>
      </c>
      <c r="H179">
        <f t="shared" si="134"/>
        <v>13</v>
      </c>
      <c r="I179">
        <f>MATCH(G179,Technologies!$B$6:$S$6,0)</f>
        <v>13</v>
      </c>
      <c r="J179">
        <f t="shared" ref="J179" si="262">+J168</f>
        <v>67</v>
      </c>
    </row>
    <row r="180" spans="2:10" x14ac:dyDescent="0.25">
      <c r="B180">
        <f>INDEX(exante.Technology!$A$2:$A$4130,MATCH(E180,exante.Technology!$C$2:$C$4130,0))</f>
        <v>1013</v>
      </c>
      <c r="C180">
        <f t="shared" ref="C180" si="263">+C169</f>
        <v>1075</v>
      </c>
      <c r="D180">
        <f>INDEX(Technologies!$B$7:$S$67,H180,I180)</f>
        <v>0</v>
      </c>
      <c r="E180" t="str">
        <f>INDEX(Technologies!$B$7:$B$67,H180)</f>
        <v>Stor_EF-Elec-075gal-0.87EF</v>
      </c>
      <c r="G180" t="str">
        <f t="shared" si="239"/>
        <v>auxVentW</v>
      </c>
      <c r="H180">
        <f t="shared" ref="H180:H182" si="264">+H169+1</f>
        <v>13</v>
      </c>
      <c r="I180">
        <f>MATCH(G180,Technologies!$B$6:$S$6,0)</f>
        <v>14</v>
      </c>
      <c r="J180">
        <f t="shared" ref="J180" si="265">+J169</f>
        <v>67</v>
      </c>
    </row>
    <row r="181" spans="2:10" x14ac:dyDescent="0.25">
      <c r="B181">
        <f>INDEX(exante.Technology!$A$2:$A$4130,MATCH(E181,exante.Technology!$C$2:$C$4130,0))</f>
        <v>1013</v>
      </c>
      <c r="C181">
        <f t="shared" ref="C181" si="266">+C170</f>
        <v>1076</v>
      </c>
      <c r="D181">
        <f>INDEX(Technologies!$B$7:$S$67,H181,I181)</f>
        <v>0</v>
      </c>
      <c r="E181" t="str">
        <f>INDEX(Technologies!$B$7:$B$67,H181)</f>
        <v>Stor_EF-Elec-075gal-0.87EF</v>
      </c>
      <c r="G181" t="str">
        <f t="shared" si="239"/>
        <v>pilotBTUh</v>
      </c>
      <c r="H181">
        <f t="shared" si="264"/>
        <v>13</v>
      </c>
      <c r="I181">
        <f>MATCH(G181,Technologies!$B$6:$S$6,0)</f>
        <v>15</v>
      </c>
      <c r="J181">
        <f t="shared" ref="J181" si="267">+J170</f>
        <v>67</v>
      </c>
    </row>
    <row r="182" spans="2:10" x14ac:dyDescent="0.25">
      <c r="B182">
        <f>INDEX(exante.Technology!$A$2:$A$4130,MATCH(E182,exante.Technology!$C$2:$C$4130,0))</f>
        <v>1013</v>
      </c>
      <c r="C182">
        <f t="shared" ref="C182" si="268">+C171</f>
        <v>1077</v>
      </c>
      <c r="D182">
        <f>INDEX(Technologies!$B$7:$S$67,H182,I182)</f>
        <v>0</v>
      </c>
      <c r="E182" t="str">
        <f>INDEX(Technologies!$B$7:$B$67,H182)</f>
        <v>Stor_EF-Elec-075gal-0.87EF</v>
      </c>
      <c r="G182" t="str">
        <f t="shared" si="239"/>
        <v>pilotHtgEff</v>
      </c>
      <c r="H182">
        <f t="shared" si="264"/>
        <v>13</v>
      </c>
      <c r="I182">
        <f>MATCH(G182,Technologies!$B$6:$S$6,0)</f>
        <v>16</v>
      </c>
      <c r="J182">
        <f t="shared" ref="J182" si="269">+J171</f>
        <v>67</v>
      </c>
    </row>
    <row r="183" spans="2:10" x14ac:dyDescent="0.25">
      <c r="B183">
        <f>INDEX(exante.Technology!$A$2:$A$4130,MATCH(E183,exante.Technology!$C$2:$C$4130,0))</f>
        <v>1029</v>
      </c>
      <c r="C183">
        <f t="shared" ref="C183" si="270">+C172</f>
        <v>85</v>
      </c>
      <c r="D183" t="str">
        <f>INDEX(Technologies!$B$7:$S$67,H183,I183)</f>
        <v>Gas</v>
      </c>
      <c r="E183" t="str">
        <f>INDEX(Technologies!$B$7:$B$67,H183)</f>
        <v>Stor_EF-Gas-030gal-0.57EF</v>
      </c>
      <c r="G183" t="str">
        <f t="shared" si="239"/>
        <v>Fuel_Type</v>
      </c>
      <c r="H183">
        <v>29</v>
      </c>
      <c r="I183">
        <f>MATCH(G183,Technologies!$B$6:$S$6,0)</f>
        <v>3</v>
      </c>
      <c r="J183">
        <f t="shared" ref="J183" si="271">+J172</f>
        <v>67</v>
      </c>
    </row>
    <row r="184" spans="2:10" x14ac:dyDescent="0.25">
      <c r="B184">
        <f>INDEX(exante.Technology!$A$2:$A$4130,MATCH(E184,exante.Technology!$C$2:$C$4130,0))</f>
        <v>1029</v>
      </c>
      <c r="C184">
        <f t="shared" ref="C184" si="272">+C173</f>
        <v>1081</v>
      </c>
      <c r="D184">
        <f>INDEX(Technologies!$B$7:$S$67,H184,I184)</f>
        <v>30</v>
      </c>
      <c r="E184" t="str">
        <f>INDEX(Technologies!$B$7:$B$67,H184)</f>
        <v>Stor_EF-Gas-030gal-0.57EF</v>
      </c>
      <c r="G184" t="str">
        <f t="shared" si="239"/>
        <v>Nom_Gallons</v>
      </c>
      <c r="H184">
        <v>29</v>
      </c>
      <c r="I184">
        <f>MATCH(G184,Technologies!$B$6:$S$6,0)</f>
        <v>4</v>
      </c>
      <c r="J184">
        <f t="shared" ref="J184" si="273">+J173</f>
        <v>67</v>
      </c>
    </row>
    <row r="185" spans="2:10" x14ac:dyDescent="0.25">
      <c r="B185">
        <f>INDEX(exante.Technology!$A$2:$A$4130,MATCH(E185,exante.Technology!$C$2:$C$4130,0))</f>
        <v>1029</v>
      </c>
      <c r="C185">
        <f t="shared" ref="C185" si="274">+C174</f>
        <v>58</v>
      </c>
      <c r="D185">
        <f>INDEX(Technologies!$B$7:$S$67,H185,I185)</f>
        <v>0.56999999999999995</v>
      </c>
      <c r="E185" t="str">
        <f>INDEX(Technologies!$B$7:$B$67,H185)</f>
        <v>Stor_EF-Gas-030gal-0.57EF</v>
      </c>
      <c r="G185" t="str">
        <f t="shared" si="239"/>
        <v>Energy_Factor</v>
      </c>
      <c r="H185">
        <v>29</v>
      </c>
      <c r="I185">
        <f>MATCH(G185,Technologies!$B$6:$S$6,0)</f>
        <v>5</v>
      </c>
      <c r="J185">
        <f t="shared" ref="J185" si="275">+J174</f>
        <v>67</v>
      </c>
    </row>
    <row r="186" spans="2:10" x14ac:dyDescent="0.25">
      <c r="B186">
        <f>INDEX(exante.Technology!$A$2:$A$4130,MATCH(E186,exante.Technology!$C$2:$C$4130,0))</f>
        <v>1029</v>
      </c>
      <c r="C186">
        <f t="shared" ref="C186" si="276">+C175</f>
        <v>1070</v>
      </c>
      <c r="D186">
        <f>INDEX(Technologies!$B$7:$S$67,H186,I186)</f>
        <v>30</v>
      </c>
      <c r="E186" t="str">
        <f>INDEX(Technologies!$B$7:$B$67,H186)</f>
        <v>Stor_EF-Gas-030gal-0.57EF</v>
      </c>
      <c r="G186" t="str">
        <f t="shared" si="239"/>
        <v>BurnCap_kBTUh</v>
      </c>
      <c r="H186">
        <v>29</v>
      </c>
      <c r="I186">
        <f>MATCH(G186,Technologies!$B$6:$S$6,0)</f>
        <v>6</v>
      </c>
      <c r="J186">
        <f t="shared" ref="J186" si="277">+J175</f>
        <v>67</v>
      </c>
    </row>
    <row r="187" spans="2:10" x14ac:dyDescent="0.25">
      <c r="B187">
        <f>INDEX(exante.Technology!$A$2:$A$4130,MATCH(E187,exante.Technology!$C$2:$C$4130,0))</f>
        <v>1029</v>
      </c>
      <c r="C187">
        <f t="shared" ref="C187" si="278">+C176</f>
        <v>1071</v>
      </c>
      <c r="D187">
        <f>INDEX(Technologies!$B$7:$S$67,H187,I187)</f>
        <v>0</v>
      </c>
      <c r="E187" t="str">
        <f>INDEX(Technologies!$B$7:$B$67,H187)</f>
        <v>Stor_EF-Gas-030gal-0.57EF</v>
      </c>
      <c r="G187" t="str">
        <f t="shared" si="239"/>
        <v>BurnCap_kW</v>
      </c>
      <c r="H187">
        <v>29</v>
      </c>
      <c r="I187">
        <f>MATCH(G187,Technologies!$B$6:$S$6,0)</f>
        <v>7</v>
      </c>
      <c r="J187">
        <f t="shared" ref="J187" si="279">+J176</f>
        <v>67</v>
      </c>
    </row>
    <row r="188" spans="2:10" x14ac:dyDescent="0.25">
      <c r="B188">
        <f>INDEX(exante.Technology!$A$2:$A$4130,MATCH(E188,exante.Technology!$C$2:$C$4130,0))</f>
        <v>1029</v>
      </c>
      <c r="C188">
        <f t="shared" ref="C188" si="280">+C177</f>
        <v>1072</v>
      </c>
      <c r="D188">
        <f>INDEX(Technologies!$B$7:$S$67,H188,I188)</f>
        <v>0.75800000000000001</v>
      </c>
      <c r="E188" t="str">
        <f>INDEX(Technologies!$B$7:$B$67,H188)</f>
        <v>Stor_EF-Gas-030gal-0.57EF</v>
      </c>
      <c r="G188" t="str">
        <f t="shared" si="239"/>
        <v>RecovEff</v>
      </c>
      <c r="H188">
        <v>29</v>
      </c>
      <c r="I188">
        <f>MATCH(G188,Technologies!$B$6:$S$6,0)</f>
        <v>8</v>
      </c>
      <c r="J188">
        <f t="shared" ref="J188" si="281">+J177</f>
        <v>67</v>
      </c>
    </row>
    <row r="189" spans="2:10" x14ac:dyDescent="0.25">
      <c r="B189">
        <f>INDEX(exante.Technology!$A$2:$A$4130,MATCH(E189,exante.Technology!$C$2:$C$4130,0))</f>
        <v>1029</v>
      </c>
      <c r="C189">
        <f t="shared" ref="C189" si="282">+C178</f>
        <v>1073</v>
      </c>
      <c r="D189">
        <f>INDEX(Technologies!$B$7:$S$67,H189,I189)</f>
        <v>9.2970000000000006</v>
      </c>
      <c r="E189" t="str">
        <f>INDEX(Technologies!$B$7:$B$67,H189)</f>
        <v>Stor_EF-Gas-030gal-0.57EF</v>
      </c>
      <c r="G189" t="str">
        <f t="shared" si="239"/>
        <v>TankUA</v>
      </c>
      <c r="H189">
        <v>29</v>
      </c>
      <c r="I189">
        <f>MATCH(G189,Technologies!$B$6:$S$6,0)</f>
        <v>9</v>
      </c>
      <c r="J189">
        <f t="shared" ref="J189" si="283">+J178</f>
        <v>67</v>
      </c>
    </row>
    <row r="190" spans="2:10" x14ac:dyDescent="0.25">
      <c r="B190">
        <f>INDEX(exante.Technology!$A$2:$A$4130,MATCH(E190,exante.Technology!$C$2:$C$4130,0))</f>
        <v>1029</v>
      </c>
      <c r="C190">
        <f t="shared" ref="C190" si="284">+C179</f>
        <v>1074</v>
      </c>
      <c r="D190">
        <f>INDEX(Technologies!$B$7:$S$67,H190,I190)</f>
        <v>0</v>
      </c>
      <c r="E190" t="str">
        <f>INDEX(Technologies!$B$7:$B$67,H190)</f>
        <v>Stor_EF-Gas-030gal-0.57EF</v>
      </c>
      <c r="G190" t="str">
        <f t="shared" si="239"/>
        <v>auxW</v>
      </c>
      <c r="H190">
        <v>29</v>
      </c>
      <c r="I190">
        <f>MATCH(G190,Technologies!$B$6:$S$6,0)</f>
        <v>13</v>
      </c>
      <c r="J190">
        <f t="shared" ref="J190" si="285">+J179</f>
        <v>67</v>
      </c>
    </row>
    <row r="191" spans="2:10" x14ac:dyDescent="0.25">
      <c r="B191">
        <f>INDEX(exante.Technology!$A$2:$A$4130,MATCH(E191,exante.Technology!$C$2:$C$4130,0))</f>
        <v>1029</v>
      </c>
      <c r="C191">
        <f t="shared" ref="C191" si="286">+C180</f>
        <v>1075</v>
      </c>
      <c r="D191">
        <f>INDEX(Technologies!$B$7:$S$67,H191,I191)</f>
        <v>0</v>
      </c>
      <c r="E191" t="str">
        <f>INDEX(Technologies!$B$7:$B$67,H191)</f>
        <v>Stor_EF-Gas-030gal-0.57EF</v>
      </c>
      <c r="G191" t="str">
        <f t="shared" si="239"/>
        <v>auxVentW</v>
      </c>
      <c r="H191">
        <v>29</v>
      </c>
      <c r="I191">
        <f>MATCH(G191,Technologies!$B$6:$S$6,0)</f>
        <v>14</v>
      </c>
      <c r="J191">
        <f t="shared" ref="J191" si="287">+J180</f>
        <v>67</v>
      </c>
    </row>
    <row r="192" spans="2:10" x14ac:dyDescent="0.25">
      <c r="B192">
        <f>INDEX(exante.Technology!$A$2:$A$4130,MATCH(E192,exante.Technology!$C$2:$C$4130,0))</f>
        <v>1029</v>
      </c>
      <c r="C192">
        <f t="shared" ref="C192" si="288">+C181</f>
        <v>1076</v>
      </c>
      <c r="D192">
        <f>INDEX(Technologies!$B$7:$S$67,H192,I192)</f>
        <v>350</v>
      </c>
      <c r="E192" t="str">
        <f>INDEX(Technologies!$B$7:$B$67,H192)</f>
        <v>Stor_EF-Gas-030gal-0.57EF</v>
      </c>
      <c r="G192" t="str">
        <f t="shared" si="239"/>
        <v>pilotBTUh</v>
      </c>
      <c r="H192">
        <v>29</v>
      </c>
      <c r="I192">
        <f>MATCH(G192,Technologies!$B$6:$S$6,0)</f>
        <v>15</v>
      </c>
      <c r="J192">
        <f t="shared" ref="J192" si="289">+J181</f>
        <v>67</v>
      </c>
    </row>
    <row r="193" spans="2:10" x14ac:dyDescent="0.25">
      <c r="B193">
        <f>INDEX(exante.Technology!$A$2:$A$4130,MATCH(E193,exante.Technology!$C$2:$C$4130,0))</f>
        <v>1029</v>
      </c>
      <c r="C193">
        <f t="shared" ref="C193" si="290">+C182</f>
        <v>1077</v>
      </c>
      <c r="D193">
        <f>INDEX(Technologies!$B$7:$S$67,H193,I193)</f>
        <v>0.67</v>
      </c>
      <c r="E193" t="str">
        <f>INDEX(Technologies!$B$7:$B$67,H193)</f>
        <v>Stor_EF-Gas-030gal-0.57EF</v>
      </c>
      <c r="G193" t="str">
        <f t="shared" si="239"/>
        <v>pilotHtgEff</v>
      </c>
      <c r="H193">
        <v>29</v>
      </c>
      <c r="I193">
        <f>MATCH(G193,Technologies!$B$6:$S$6,0)</f>
        <v>16</v>
      </c>
      <c r="J193">
        <f t="shared" ref="J193" si="291">+J182</f>
        <v>67</v>
      </c>
    </row>
    <row r="194" spans="2:10" x14ac:dyDescent="0.25">
      <c r="B194">
        <f>INDEX(exante.Technology!$A$2:$A$4130,MATCH(E194,exante.Technology!$C$2:$C$4130,0))</f>
        <v>1030</v>
      </c>
      <c r="C194">
        <f t="shared" ref="C194" si="292">+C183</f>
        <v>85</v>
      </c>
      <c r="D194" t="str">
        <f>INDEX(Technologies!$B$7:$S$67,H194,I194)</f>
        <v>Gas</v>
      </c>
      <c r="E194" t="str">
        <f>INDEX(Technologies!$B$7:$B$67,H194)</f>
        <v>Stor_EF-Gas-030gal-0.58EF</v>
      </c>
      <c r="G194" t="str">
        <f t="shared" si="239"/>
        <v>Fuel_Type</v>
      </c>
      <c r="H194">
        <f>+H183+1</f>
        <v>30</v>
      </c>
      <c r="I194">
        <f>MATCH(G194,Technologies!$B$6:$S$6,0)</f>
        <v>3</v>
      </c>
      <c r="J194">
        <f t="shared" ref="J194" si="293">+J183</f>
        <v>67</v>
      </c>
    </row>
    <row r="195" spans="2:10" x14ac:dyDescent="0.25">
      <c r="B195">
        <f>INDEX(exante.Technology!$A$2:$A$4130,MATCH(E195,exante.Technology!$C$2:$C$4130,0))</f>
        <v>1030</v>
      </c>
      <c r="C195">
        <f t="shared" ref="C195" si="294">+C184</f>
        <v>1081</v>
      </c>
      <c r="D195">
        <f>INDEX(Technologies!$B$7:$S$67,H195,I195)</f>
        <v>30</v>
      </c>
      <c r="E195" t="str">
        <f>INDEX(Technologies!$B$7:$B$67,H195)</f>
        <v>Stor_EF-Gas-030gal-0.58EF</v>
      </c>
      <c r="G195" t="str">
        <f t="shared" si="239"/>
        <v>Nom_Gallons</v>
      </c>
      <c r="H195">
        <f t="shared" ref="H195:H258" si="295">+H184+1</f>
        <v>30</v>
      </c>
      <c r="I195">
        <f>MATCH(G195,Technologies!$B$6:$S$6,0)</f>
        <v>4</v>
      </c>
      <c r="J195">
        <f t="shared" ref="J195" si="296">+J184</f>
        <v>67</v>
      </c>
    </row>
    <row r="196" spans="2:10" x14ac:dyDescent="0.25">
      <c r="B196">
        <f>INDEX(exante.Technology!$A$2:$A$4130,MATCH(E196,exante.Technology!$C$2:$C$4130,0))</f>
        <v>1030</v>
      </c>
      <c r="C196">
        <f t="shared" ref="C196" si="297">+C185</f>
        <v>58</v>
      </c>
      <c r="D196">
        <f>INDEX(Technologies!$B$7:$S$67,H196,I196)</f>
        <v>0.57999999999999996</v>
      </c>
      <c r="E196" t="str">
        <f>INDEX(Technologies!$B$7:$B$67,H196)</f>
        <v>Stor_EF-Gas-030gal-0.58EF</v>
      </c>
      <c r="G196" t="str">
        <f t="shared" si="239"/>
        <v>Energy_Factor</v>
      </c>
      <c r="H196">
        <f t="shared" si="295"/>
        <v>30</v>
      </c>
      <c r="I196">
        <f>MATCH(G196,Technologies!$B$6:$S$6,0)</f>
        <v>5</v>
      </c>
      <c r="J196">
        <f t="shared" ref="J196" si="298">+J185</f>
        <v>67</v>
      </c>
    </row>
    <row r="197" spans="2:10" x14ac:dyDescent="0.25">
      <c r="B197">
        <f>INDEX(exante.Technology!$A$2:$A$4130,MATCH(E197,exante.Technology!$C$2:$C$4130,0))</f>
        <v>1030</v>
      </c>
      <c r="C197">
        <f t="shared" ref="C197" si="299">+C186</f>
        <v>1070</v>
      </c>
      <c r="D197">
        <f>INDEX(Technologies!$B$7:$S$67,H197,I197)</f>
        <v>30</v>
      </c>
      <c r="E197" t="str">
        <f>INDEX(Technologies!$B$7:$B$67,H197)</f>
        <v>Stor_EF-Gas-030gal-0.58EF</v>
      </c>
      <c r="G197" t="str">
        <f t="shared" si="239"/>
        <v>BurnCap_kBTUh</v>
      </c>
      <c r="H197">
        <f t="shared" si="295"/>
        <v>30</v>
      </c>
      <c r="I197">
        <f>MATCH(G197,Technologies!$B$6:$S$6,0)</f>
        <v>6</v>
      </c>
      <c r="J197">
        <f t="shared" ref="J197" si="300">+J186</f>
        <v>67</v>
      </c>
    </row>
    <row r="198" spans="2:10" x14ac:dyDescent="0.25">
      <c r="B198">
        <f>INDEX(exante.Technology!$A$2:$A$4130,MATCH(E198,exante.Technology!$C$2:$C$4130,0))</f>
        <v>1030</v>
      </c>
      <c r="C198">
        <f t="shared" ref="C198" si="301">+C187</f>
        <v>1071</v>
      </c>
      <c r="D198">
        <f>INDEX(Technologies!$B$7:$S$67,H198,I198)</f>
        <v>0</v>
      </c>
      <c r="E198" t="str">
        <f>INDEX(Technologies!$B$7:$B$67,H198)</f>
        <v>Stor_EF-Gas-030gal-0.58EF</v>
      </c>
      <c r="G198" t="str">
        <f t="shared" si="239"/>
        <v>BurnCap_kW</v>
      </c>
      <c r="H198">
        <f t="shared" si="295"/>
        <v>30</v>
      </c>
      <c r="I198">
        <f>MATCH(G198,Technologies!$B$6:$S$6,0)</f>
        <v>7</v>
      </c>
      <c r="J198">
        <f t="shared" ref="J198" si="302">+J187</f>
        <v>67</v>
      </c>
    </row>
    <row r="199" spans="2:10" x14ac:dyDescent="0.25">
      <c r="B199">
        <f>INDEX(exante.Technology!$A$2:$A$4130,MATCH(E199,exante.Technology!$C$2:$C$4130,0))</f>
        <v>1030</v>
      </c>
      <c r="C199">
        <f t="shared" ref="C199" si="303">+C188</f>
        <v>1072</v>
      </c>
      <c r="D199">
        <f>INDEX(Technologies!$B$7:$S$67,H199,I199)</f>
        <v>0.75800000000000001</v>
      </c>
      <c r="E199" t="str">
        <f>INDEX(Technologies!$B$7:$B$67,H199)</f>
        <v>Stor_EF-Gas-030gal-0.58EF</v>
      </c>
      <c r="G199" t="str">
        <f t="shared" si="239"/>
        <v>RecovEff</v>
      </c>
      <c r="H199">
        <f t="shared" si="295"/>
        <v>30</v>
      </c>
      <c r="I199">
        <f>MATCH(G199,Technologies!$B$6:$S$6,0)</f>
        <v>8</v>
      </c>
      <c r="J199">
        <f t="shared" ref="J199" si="304">+J188</f>
        <v>67</v>
      </c>
    </row>
    <row r="200" spans="2:10" x14ac:dyDescent="0.25">
      <c r="B200">
        <f>INDEX(exante.Technology!$A$2:$A$4130,MATCH(E200,exante.Technology!$C$2:$C$4130,0))</f>
        <v>1030</v>
      </c>
      <c r="C200">
        <f t="shared" ref="C200" si="305">+C189</f>
        <v>1073</v>
      </c>
      <c r="D200">
        <f>INDEX(Technologies!$B$7:$S$67,H200,I200)</f>
        <v>8.6341999999999999</v>
      </c>
      <c r="E200" t="str">
        <f>INDEX(Technologies!$B$7:$B$67,H200)</f>
        <v>Stor_EF-Gas-030gal-0.58EF</v>
      </c>
      <c r="G200" t="str">
        <f t="shared" si="239"/>
        <v>TankUA</v>
      </c>
      <c r="H200">
        <f t="shared" si="295"/>
        <v>30</v>
      </c>
      <c r="I200">
        <f>MATCH(G200,Technologies!$B$6:$S$6,0)</f>
        <v>9</v>
      </c>
      <c r="J200">
        <f t="shared" ref="J200" si="306">+J189</f>
        <v>67</v>
      </c>
    </row>
    <row r="201" spans="2:10" x14ac:dyDescent="0.25">
      <c r="B201">
        <f>INDEX(exante.Technology!$A$2:$A$4130,MATCH(E201,exante.Technology!$C$2:$C$4130,0))</f>
        <v>1030</v>
      </c>
      <c r="C201">
        <f t="shared" ref="C201" si="307">+C190</f>
        <v>1074</v>
      </c>
      <c r="D201">
        <f>INDEX(Technologies!$B$7:$S$67,H201,I201)</f>
        <v>0</v>
      </c>
      <c r="E201" t="str">
        <f>INDEX(Technologies!$B$7:$B$67,H201)</f>
        <v>Stor_EF-Gas-030gal-0.58EF</v>
      </c>
      <c r="G201" t="str">
        <f t="shared" si="239"/>
        <v>auxW</v>
      </c>
      <c r="H201">
        <f t="shared" si="295"/>
        <v>30</v>
      </c>
      <c r="I201">
        <f>MATCH(G201,Technologies!$B$6:$S$6,0)</f>
        <v>13</v>
      </c>
      <c r="J201">
        <f t="shared" ref="J201" si="308">+J190</f>
        <v>67</v>
      </c>
    </row>
    <row r="202" spans="2:10" x14ac:dyDescent="0.25">
      <c r="B202">
        <f>INDEX(exante.Technology!$A$2:$A$4130,MATCH(E202,exante.Technology!$C$2:$C$4130,0))</f>
        <v>1030</v>
      </c>
      <c r="C202">
        <f t="shared" ref="C202" si="309">+C191</f>
        <v>1075</v>
      </c>
      <c r="D202">
        <f>INDEX(Technologies!$B$7:$S$67,H202,I202)</f>
        <v>0</v>
      </c>
      <c r="E202" t="str">
        <f>INDEX(Technologies!$B$7:$B$67,H202)</f>
        <v>Stor_EF-Gas-030gal-0.58EF</v>
      </c>
      <c r="G202" t="str">
        <f t="shared" si="239"/>
        <v>auxVentW</v>
      </c>
      <c r="H202">
        <f t="shared" si="295"/>
        <v>30</v>
      </c>
      <c r="I202">
        <f>MATCH(G202,Technologies!$B$6:$S$6,0)</f>
        <v>14</v>
      </c>
      <c r="J202">
        <f t="shared" ref="J202" si="310">+J191</f>
        <v>67</v>
      </c>
    </row>
    <row r="203" spans="2:10" x14ac:dyDescent="0.25">
      <c r="B203">
        <f>INDEX(exante.Technology!$A$2:$A$4130,MATCH(E203,exante.Technology!$C$2:$C$4130,0))</f>
        <v>1030</v>
      </c>
      <c r="C203">
        <f t="shared" ref="C203" si="311">+C192</f>
        <v>1076</v>
      </c>
      <c r="D203">
        <f>INDEX(Technologies!$B$7:$S$67,H203,I203)</f>
        <v>350</v>
      </c>
      <c r="E203" t="str">
        <f>INDEX(Technologies!$B$7:$B$67,H203)</f>
        <v>Stor_EF-Gas-030gal-0.58EF</v>
      </c>
      <c r="G203" t="str">
        <f t="shared" si="239"/>
        <v>pilotBTUh</v>
      </c>
      <c r="H203">
        <f t="shared" si="295"/>
        <v>30</v>
      </c>
      <c r="I203">
        <f>MATCH(G203,Technologies!$B$6:$S$6,0)</f>
        <v>15</v>
      </c>
      <c r="J203">
        <f t="shared" ref="J203" si="312">+J192</f>
        <v>67</v>
      </c>
    </row>
    <row r="204" spans="2:10" x14ac:dyDescent="0.25">
      <c r="B204">
        <f>INDEX(exante.Technology!$A$2:$A$4130,MATCH(E204,exante.Technology!$C$2:$C$4130,0))</f>
        <v>1030</v>
      </c>
      <c r="C204">
        <f t="shared" ref="C204" si="313">+C193</f>
        <v>1077</v>
      </c>
      <c r="D204">
        <f>INDEX(Technologies!$B$7:$S$67,H204,I204)</f>
        <v>0.67</v>
      </c>
      <c r="E204" t="str">
        <f>INDEX(Technologies!$B$7:$B$67,H204)</f>
        <v>Stor_EF-Gas-030gal-0.58EF</v>
      </c>
      <c r="G204" t="str">
        <f t="shared" si="239"/>
        <v>pilotHtgEff</v>
      </c>
      <c r="H204">
        <f t="shared" si="295"/>
        <v>30</v>
      </c>
      <c r="I204">
        <f>MATCH(G204,Technologies!$B$6:$S$6,0)</f>
        <v>16</v>
      </c>
      <c r="J204">
        <f t="shared" ref="J204" si="314">+J193</f>
        <v>67</v>
      </c>
    </row>
    <row r="205" spans="2:10" x14ac:dyDescent="0.25">
      <c r="B205">
        <f>INDEX(exante.Technology!$A$2:$A$4130,MATCH(E205,exante.Technology!$C$2:$C$4130,0))</f>
        <v>1031</v>
      </c>
      <c r="C205">
        <f t="shared" ref="C205" si="315">+C194</f>
        <v>85</v>
      </c>
      <c r="D205" t="str">
        <f>INDEX(Technologies!$B$7:$S$67,H205,I205)</f>
        <v>Gas</v>
      </c>
      <c r="E205" t="str">
        <f>INDEX(Technologies!$B$7:$B$67,H205)</f>
        <v>Stor_EF-Gas-030gal-0.61EF</v>
      </c>
      <c r="G205" t="str">
        <f t="shared" si="239"/>
        <v>Fuel_Type</v>
      </c>
      <c r="H205">
        <f t="shared" si="295"/>
        <v>31</v>
      </c>
      <c r="I205">
        <f>MATCH(G205,Technologies!$B$6:$S$6,0)</f>
        <v>3</v>
      </c>
      <c r="J205">
        <f t="shared" ref="J205" si="316">+J194</f>
        <v>67</v>
      </c>
    </row>
    <row r="206" spans="2:10" x14ac:dyDescent="0.25">
      <c r="B206">
        <f>INDEX(exante.Technology!$A$2:$A$4130,MATCH(E206,exante.Technology!$C$2:$C$4130,0))</f>
        <v>1031</v>
      </c>
      <c r="C206">
        <f t="shared" ref="C206" si="317">+C195</f>
        <v>1081</v>
      </c>
      <c r="D206">
        <f>INDEX(Technologies!$B$7:$S$67,H206,I206)</f>
        <v>30</v>
      </c>
      <c r="E206" t="str">
        <f>INDEX(Technologies!$B$7:$B$67,H206)</f>
        <v>Stor_EF-Gas-030gal-0.61EF</v>
      </c>
      <c r="G206" t="str">
        <f t="shared" si="239"/>
        <v>Nom_Gallons</v>
      </c>
      <c r="H206">
        <f t="shared" si="295"/>
        <v>31</v>
      </c>
      <c r="I206">
        <f>MATCH(G206,Technologies!$B$6:$S$6,0)</f>
        <v>4</v>
      </c>
      <c r="J206">
        <f t="shared" ref="J206" si="318">+J195</f>
        <v>67</v>
      </c>
    </row>
    <row r="207" spans="2:10" x14ac:dyDescent="0.25">
      <c r="B207">
        <f>INDEX(exante.Technology!$A$2:$A$4130,MATCH(E207,exante.Technology!$C$2:$C$4130,0))</f>
        <v>1031</v>
      </c>
      <c r="C207">
        <f t="shared" ref="C207" si="319">+C196</f>
        <v>58</v>
      </c>
      <c r="D207">
        <f>INDEX(Technologies!$B$7:$S$67,H207,I207)</f>
        <v>0.61299999999999999</v>
      </c>
      <c r="E207" t="str">
        <f>INDEX(Technologies!$B$7:$B$67,H207)</f>
        <v>Stor_EF-Gas-030gal-0.61EF</v>
      </c>
      <c r="G207" t="str">
        <f t="shared" si="239"/>
        <v>Energy_Factor</v>
      </c>
      <c r="H207">
        <f t="shared" si="295"/>
        <v>31</v>
      </c>
      <c r="I207">
        <f>MATCH(G207,Technologies!$B$6:$S$6,0)</f>
        <v>5</v>
      </c>
      <c r="J207">
        <f t="shared" ref="J207" si="320">+J196</f>
        <v>67</v>
      </c>
    </row>
    <row r="208" spans="2:10" x14ac:dyDescent="0.25">
      <c r="B208">
        <f>INDEX(exante.Technology!$A$2:$A$4130,MATCH(E208,exante.Technology!$C$2:$C$4130,0))</f>
        <v>1031</v>
      </c>
      <c r="C208">
        <f t="shared" ref="C208" si="321">+C197</f>
        <v>1070</v>
      </c>
      <c r="D208">
        <f>INDEX(Technologies!$B$7:$S$67,H208,I208)</f>
        <v>30</v>
      </c>
      <c r="E208" t="str">
        <f>INDEX(Technologies!$B$7:$B$67,H208)</f>
        <v>Stor_EF-Gas-030gal-0.61EF</v>
      </c>
      <c r="G208" t="str">
        <f t="shared" si="239"/>
        <v>BurnCap_kBTUh</v>
      </c>
      <c r="H208">
        <f t="shared" si="295"/>
        <v>31</v>
      </c>
      <c r="I208">
        <f>MATCH(G208,Technologies!$B$6:$S$6,0)</f>
        <v>6</v>
      </c>
      <c r="J208">
        <f t="shared" ref="J208" si="322">+J197</f>
        <v>67</v>
      </c>
    </row>
    <row r="209" spans="2:10" x14ac:dyDescent="0.25">
      <c r="B209">
        <f>INDEX(exante.Technology!$A$2:$A$4130,MATCH(E209,exante.Technology!$C$2:$C$4130,0))</f>
        <v>1031</v>
      </c>
      <c r="C209">
        <f t="shared" ref="C209" si="323">+C198</f>
        <v>1071</v>
      </c>
      <c r="D209">
        <f>INDEX(Technologies!$B$7:$S$67,H209,I209)</f>
        <v>0</v>
      </c>
      <c r="E209" t="str">
        <f>INDEX(Technologies!$B$7:$B$67,H209)</f>
        <v>Stor_EF-Gas-030gal-0.61EF</v>
      </c>
      <c r="G209" t="str">
        <f t="shared" si="239"/>
        <v>BurnCap_kW</v>
      </c>
      <c r="H209">
        <f t="shared" si="295"/>
        <v>31</v>
      </c>
      <c r="I209">
        <f>MATCH(G209,Technologies!$B$6:$S$6,0)</f>
        <v>7</v>
      </c>
      <c r="J209">
        <f t="shared" ref="J209" si="324">+J198</f>
        <v>67</v>
      </c>
    </row>
    <row r="210" spans="2:10" x14ac:dyDescent="0.25">
      <c r="B210">
        <f>INDEX(exante.Technology!$A$2:$A$4130,MATCH(E210,exante.Technology!$C$2:$C$4130,0))</f>
        <v>1031</v>
      </c>
      <c r="C210">
        <f t="shared" ref="C210" si="325">+C199</f>
        <v>1072</v>
      </c>
      <c r="D210">
        <f>INDEX(Technologies!$B$7:$S$67,H210,I210)</f>
        <v>0.75800000000000001</v>
      </c>
      <c r="E210" t="str">
        <f>INDEX(Technologies!$B$7:$B$67,H210)</f>
        <v>Stor_EF-Gas-030gal-0.61EF</v>
      </c>
      <c r="G210" t="str">
        <f t="shared" si="239"/>
        <v>RecovEff</v>
      </c>
      <c r="H210">
        <f t="shared" si="295"/>
        <v>31</v>
      </c>
      <c r="I210">
        <f>MATCH(G210,Technologies!$B$6:$S$6,0)</f>
        <v>8</v>
      </c>
      <c r="J210">
        <f t="shared" ref="J210" si="326">+J199</f>
        <v>67</v>
      </c>
    </row>
    <row r="211" spans="2:10" x14ac:dyDescent="0.25">
      <c r="B211">
        <f>INDEX(exante.Technology!$A$2:$A$4130,MATCH(E211,exante.Technology!$C$2:$C$4130,0))</f>
        <v>1031</v>
      </c>
      <c r="C211">
        <f t="shared" ref="C211" si="327">+C200</f>
        <v>1073</v>
      </c>
      <c r="D211">
        <f>INDEX(Technologies!$B$7:$S$67,H211,I211)</f>
        <v>6.6158999999999999</v>
      </c>
      <c r="E211" t="str">
        <f>INDEX(Technologies!$B$7:$B$67,H211)</f>
        <v>Stor_EF-Gas-030gal-0.61EF</v>
      </c>
      <c r="G211" t="str">
        <f t="shared" si="239"/>
        <v>TankUA</v>
      </c>
      <c r="H211">
        <f t="shared" si="295"/>
        <v>31</v>
      </c>
      <c r="I211">
        <f>MATCH(G211,Technologies!$B$6:$S$6,0)</f>
        <v>9</v>
      </c>
      <c r="J211">
        <f t="shared" ref="J211" si="328">+J200</f>
        <v>67</v>
      </c>
    </row>
    <row r="212" spans="2:10" x14ac:dyDescent="0.25">
      <c r="B212">
        <f>INDEX(exante.Technology!$A$2:$A$4130,MATCH(E212,exante.Technology!$C$2:$C$4130,0))</f>
        <v>1031</v>
      </c>
      <c r="C212">
        <f t="shared" ref="C212" si="329">+C201</f>
        <v>1074</v>
      </c>
      <c r="D212">
        <f>INDEX(Technologies!$B$7:$S$67,H212,I212)</f>
        <v>0</v>
      </c>
      <c r="E212" t="str">
        <f>INDEX(Technologies!$B$7:$B$67,H212)</f>
        <v>Stor_EF-Gas-030gal-0.61EF</v>
      </c>
      <c r="G212" t="str">
        <f t="shared" si="239"/>
        <v>auxW</v>
      </c>
      <c r="H212">
        <f t="shared" si="295"/>
        <v>31</v>
      </c>
      <c r="I212">
        <f>MATCH(G212,Technologies!$B$6:$S$6,0)</f>
        <v>13</v>
      </c>
      <c r="J212">
        <f t="shared" ref="J212" si="330">+J201</f>
        <v>67</v>
      </c>
    </row>
    <row r="213" spans="2:10" x14ac:dyDescent="0.25">
      <c r="B213">
        <f>INDEX(exante.Technology!$A$2:$A$4130,MATCH(E213,exante.Technology!$C$2:$C$4130,0))</f>
        <v>1031</v>
      </c>
      <c r="C213">
        <f t="shared" ref="C213" si="331">+C202</f>
        <v>1075</v>
      </c>
      <c r="D213">
        <f>INDEX(Technologies!$B$7:$S$67,H213,I213)</f>
        <v>0</v>
      </c>
      <c r="E213" t="str">
        <f>INDEX(Technologies!$B$7:$B$67,H213)</f>
        <v>Stor_EF-Gas-030gal-0.61EF</v>
      </c>
      <c r="G213" t="str">
        <f t="shared" si="239"/>
        <v>auxVentW</v>
      </c>
      <c r="H213">
        <f t="shared" si="295"/>
        <v>31</v>
      </c>
      <c r="I213">
        <f>MATCH(G213,Technologies!$B$6:$S$6,0)</f>
        <v>14</v>
      </c>
      <c r="J213">
        <f t="shared" ref="J213" si="332">+J202</f>
        <v>67</v>
      </c>
    </row>
    <row r="214" spans="2:10" x14ac:dyDescent="0.25">
      <c r="B214">
        <f>INDEX(exante.Technology!$A$2:$A$4130,MATCH(E214,exante.Technology!$C$2:$C$4130,0))</f>
        <v>1031</v>
      </c>
      <c r="C214">
        <f t="shared" ref="C214" si="333">+C203</f>
        <v>1076</v>
      </c>
      <c r="D214">
        <f>INDEX(Technologies!$B$7:$S$67,H214,I214)</f>
        <v>350</v>
      </c>
      <c r="E214" t="str">
        <f>INDEX(Technologies!$B$7:$B$67,H214)</f>
        <v>Stor_EF-Gas-030gal-0.61EF</v>
      </c>
      <c r="G214" t="str">
        <f t="shared" si="239"/>
        <v>pilotBTUh</v>
      </c>
      <c r="H214">
        <f t="shared" si="295"/>
        <v>31</v>
      </c>
      <c r="I214">
        <f>MATCH(G214,Technologies!$B$6:$S$6,0)</f>
        <v>15</v>
      </c>
      <c r="J214">
        <f t="shared" ref="J214" si="334">+J203</f>
        <v>67</v>
      </c>
    </row>
    <row r="215" spans="2:10" x14ac:dyDescent="0.25">
      <c r="B215">
        <f>INDEX(exante.Technology!$A$2:$A$4130,MATCH(E215,exante.Technology!$C$2:$C$4130,0))</f>
        <v>1031</v>
      </c>
      <c r="C215">
        <f t="shared" ref="C215" si="335">+C204</f>
        <v>1077</v>
      </c>
      <c r="D215">
        <f>INDEX(Technologies!$B$7:$S$67,H215,I215)</f>
        <v>0.67</v>
      </c>
      <c r="E215" t="str">
        <f>INDEX(Technologies!$B$7:$B$67,H215)</f>
        <v>Stor_EF-Gas-030gal-0.61EF</v>
      </c>
      <c r="G215" t="str">
        <f t="shared" si="239"/>
        <v>pilotHtgEff</v>
      </c>
      <c r="H215">
        <f t="shared" si="295"/>
        <v>31</v>
      </c>
      <c r="I215">
        <f>MATCH(G215,Technologies!$B$6:$S$6,0)</f>
        <v>16</v>
      </c>
      <c r="J215">
        <f t="shared" ref="J215" si="336">+J204</f>
        <v>67</v>
      </c>
    </row>
    <row r="216" spans="2:10" x14ac:dyDescent="0.25">
      <c r="B216">
        <f>INDEX(exante.Technology!$A$2:$A$4130,MATCH(E216,exante.Technology!$C$2:$C$4130,0))</f>
        <v>1032</v>
      </c>
      <c r="C216">
        <f t="shared" ref="C216" si="337">+C205</f>
        <v>85</v>
      </c>
      <c r="D216" t="str">
        <f>INDEX(Technologies!$B$7:$S$67,H216,I216)</f>
        <v>Gas</v>
      </c>
      <c r="E216" t="str">
        <f>INDEX(Technologies!$B$7:$B$67,H216)</f>
        <v>Stor_EF-Gas-030gal-0.630EF</v>
      </c>
      <c r="G216" t="str">
        <f t="shared" si="239"/>
        <v>Fuel_Type</v>
      </c>
      <c r="H216">
        <f t="shared" si="295"/>
        <v>32</v>
      </c>
      <c r="I216">
        <f>MATCH(G216,Technologies!$B$6:$S$6,0)</f>
        <v>3</v>
      </c>
      <c r="J216">
        <f t="shared" ref="J216" si="338">+J205</f>
        <v>67</v>
      </c>
    </row>
    <row r="217" spans="2:10" x14ac:dyDescent="0.25">
      <c r="B217">
        <f>INDEX(exante.Technology!$A$2:$A$4130,MATCH(E217,exante.Technology!$C$2:$C$4130,0))</f>
        <v>1032</v>
      </c>
      <c r="C217">
        <f t="shared" ref="C217" si="339">+C206</f>
        <v>1081</v>
      </c>
      <c r="D217">
        <f>INDEX(Technologies!$B$7:$S$67,H217,I217)</f>
        <v>30</v>
      </c>
      <c r="E217" t="str">
        <f>INDEX(Technologies!$B$7:$B$67,H217)</f>
        <v>Stor_EF-Gas-030gal-0.630EF</v>
      </c>
      <c r="G217" t="str">
        <f t="shared" si="239"/>
        <v>Nom_Gallons</v>
      </c>
      <c r="H217">
        <f t="shared" si="295"/>
        <v>32</v>
      </c>
      <c r="I217">
        <f>MATCH(G217,Technologies!$B$6:$S$6,0)</f>
        <v>4</v>
      </c>
      <c r="J217">
        <f t="shared" ref="J217" si="340">+J206</f>
        <v>67</v>
      </c>
    </row>
    <row r="218" spans="2:10" x14ac:dyDescent="0.25">
      <c r="B218">
        <f>INDEX(exante.Technology!$A$2:$A$4130,MATCH(E218,exante.Technology!$C$2:$C$4130,0))</f>
        <v>1032</v>
      </c>
      <c r="C218">
        <f t="shared" ref="C218" si="341">+C207</f>
        <v>58</v>
      </c>
      <c r="D218">
        <f>INDEX(Technologies!$B$7:$S$67,H218,I218)</f>
        <v>0.63</v>
      </c>
      <c r="E218" t="str">
        <f>INDEX(Technologies!$B$7:$B$67,H218)</f>
        <v>Stor_EF-Gas-030gal-0.630EF</v>
      </c>
      <c r="G218" t="str">
        <f t="shared" si="239"/>
        <v>Energy_Factor</v>
      </c>
      <c r="H218">
        <f t="shared" si="295"/>
        <v>32</v>
      </c>
      <c r="I218">
        <f>MATCH(G218,Technologies!$B$6:$S$6,0)</f>
        <v>5</v>
      </c>
      <c r="J218">
        <f t="shared" ref="J218" si="342">+J207</f>
        <v>67</v>
      </c>
    </row>
    <row r="219" spans="2:10" x14ac:dyDescent="0.25">
      <c r="B219">
        <f>INDEX(exante.Technology!$A$2:$A$4130,MATCH(E219,exante.Technology!$C$2:$C$4130,0))</f>
        <v>1032</v>
      </c>
      <c r="C219">
        <f t="shared" ref="C219" si="343">+C208</f>
        <v>1070</v>
      </c>
      <c r="D219">
        <f>INDEX(Technologies!$B$7:$S$67,H219,I219)</f>
        <v>30</v>
      </c>
      <c r="E219" t="str">
        <f>INDEX(Technologies!$B$7:$B$67,H219)</f>
        <v>Stor_EF-Gas-030gal-0.630EF</v>
      </c>
      <c r="G219" t="str">
        <f t="shared" si="239"/>
        <v>BurnCap_kBTUh</v>
      </c>
      <c r="H219">
        <f t="shared" si="295"/>
        <v>32</v>
      </c>
      <c r="I219">
        <f>MATCH(G219,Technologies!$B$6:$S$6,0)</f>
        <v>6</v>
      </c>
      <c r="J219">
        <f t="shared" ref="J219" si="344">+J208</f>
        <v>67</v>
      </c>
    </row>
    <row r="220" spans="2:10" x14ac:dyDescent="0.25">
      <c r="B220">
        <f>INDEX(exante.Technology!$A$2:$A$4130,MATCH(E220,exante.Technology!$C$2:$C$4130,0))</f>
        <v>1032</v>
      </c>
      <c r="C220">
        <f t="shared" ref="C220" si="345">+C209</f>
        <v>1071</v>
      </c>
      <c r="D220">
        <f>INDEX(Technologies!$B$7:$S$67,H220,I220)</f>
        <v>0</v>
      </c>
      <c r="E220" t="str">
        <f>INDEX(Technologies!$B$7:$B$67,H220)</f>
        <v>Stor_EF-Gas-030gal-0.630EF</v>
      </c>
      <c r="G220" t="str">
        <f t="shared" si="239"/>
        <v>BurnCap_kW</v>
      </c>
      <c r="H220">
        <f t="shared" si="295"/>
        <v>32</v>
      </c>
      <c r="I220">
        <f>MATCH(G220,Technologies!$B$6:$S$6,0)</f>
        <v>7</v>
      </c>
      <c r="J220">
        <f t="shared" ref="J220" si="346">+J209</f>
        <v>67</v>
      </c>
    </row>
    <row r="221" spans="2:10" x14ac:dyDescent="0.25">
      <c r="B221">
        <f>INDEX(exante.Technology!$A$2:$A$4130,MATCH(E221,exante.Technology!$C$2:$C$4130,0))</f>
        <v>1032</v>
      </c>
      <c r="C221">
        <f t="shared" ref="C221" si="347">+C210</f>
        <v>1072</v>
      </c>
      <c r="D221">
        <f>INDEX(Technologies!$B$7:$S$67,H221,I221)</f>
        <v>0.81</v>
      </c>
      <c r="E221" t="str">
        <f>INDEX(Technologies!$B$7:$B$67,H221)</f>
        <v>Stor_EF-Gas-030gal-0.630EF</v>
      </c>
      <c r="G221" t="str">
        <f t="shared" si="239"/>
        <v>RecovEff</v>
      </c>
      <c r="H221">
        <f t="shared" si="295"/>
        <v>32</v>
      </c>
      <c r="I221">
        <f>MATCH(G221,Technologies!$B$6:$S$6,0)</f>
        <v>8</v>
      </c>
      <c r="J221">
        <f t="shared" ref="J221" si="348">+J210</f>
        <v>67</v>
      </c>
    </row>
    <row r="222" spans="2:10" x14ac:dyDescent="0.25">
      <c r="B222">
        <f>INDEX(exante.Technology!$A$2:$A$4130,MATCH(E222,exante.Technology!$C$2:$C$4130,0))</f>
        <v>1032</v>
      </c>
      <c r="C222">
        <f t="shared" ref="C222" si="349">+C211</f>
        <v>1073</v>
      </c>
      <c r="D222">
        <f>INDEX(Technologies!$B$7:$S$67,H222,I222)</f>
        <v>7.9691999999999998</v>
      </c>
      <c r="E222" t="str">
        <f>INDEX(Technologies!$B$7:$B$67,H222)</f>
        <v>Stor_EF-Gas-030gal-0.630EF</v>
      </c>
      <c r="G222" t="str">
        <f t="shared" si="239"/>
        <v>TankUA</v>
      </c>
      <c r="H222">
        <f t="shared" si="295"/>
        <v>32</v>
      </c>
      <c r="I222">
        <f>MATCH(G222,Technologies!$B$6:$S$6,0)</f>
        <v>9</v>
      </c>
      <c r="J222">
        <f t="shared" ref="J222" si="350">+J211</f>
        <v>67</v>
      </c>
    </row>
    <row r="223" spans="2:10" x14ac:dyDescent="0.25">
      <c r="B223">
        <f>INDEX(exante.Technology!$A$2:$A$4130,MATCH(E223,exante.Technology!$C$2:$C$4130,0))</f>
        <v>1032</v>
      </c>
      <c r="C223">
        <f t="shared" ref="C223" si="351">+C212</f>
        <v>1074</v>
      </c>
      <c r="D223">
        <f>INDEX(Technologies!$B$7:$S$67,H223,I223)</f>
        <v>0</v>
      </c>
      <c r="E223" t="str">
        <f>INDEX(Technologies!$B$7:$B$67,H223)</f>
        <v>Stor_EF-Gas-030gal-0.630EF</v>
      </c>
      <c r="G223" t="str">
        <f t="shared" si="239"/>
        <v>auxW</v>
      </c>
      <c r="H223">
        <f t="shared" si="295"/>
        <v>32</v>
      </c>
      <c r="I223">
        <f>MATCH(G223,Technologies!$B$6:$S$6,0)</f>
        <v>13</v>
      </c>
      <c r="J223">
        <f t="shared" ref="J223" si="352">+J212</f>
        <v>67</v>
      </c>
    </row>
    <row r="224" spans="2:10" x14ac:dyDescent="0.25">
      <c r="B224">
        <f>INDEX(exante.Technology!$A$2:$A$4130,MATCH(E224,exante.Technology!$C$2:$C$4130,0))</f>
        <v>1032</v>
      </c>
      <c r="C224">
        <f t="shared" ref="C224" si="353">+C213</f>
        <v>1075</v>
      </c>
      <c r="D224">
        <f>INDEX(Technologies!$B$7:$S$67,H224,I224)</f>
        <v>0</v>
      </c>
      <c r="E224" t="str">
        <f>INDEX(Technologies!$B$7:$B$67,H224)</f>
        <v>Stor_EF-Gas-030gal-0.630EF</v>
      </c>
      <c r="G224" t="str">
        <f t="shared" si="239"/>
        <v>auxVentW</v>
      </c>
      <c r="H224">
        <f t="shared" si="295"/>
        <v>32</v>
      </c>
      <c r="I224">
        <f>MATCH(G224,Technologies!$B$6:$S$6,0)</f>
        <v>14</v>
      </c>
      <c r="J224">
        <f t="shared" ref="J224" si="354">+J213</f>
        <v>67</v>
      </c>
    </row>
    <row r="225" spans="2:10" x14ac:dyDescent="0.25">
      <c r="B225">
        <f>INDEX(exante.Technology!$A$2:$A$4130,MATCH(E225,exante.Technology!$C$2:$C$4130,0))</f>
        <v>1032</v>
      </c>
      <c r="C225">
        <f t="shared" ref="C225" si="355">+C214</f>
        <v>1076</v>
      </c>
      <c r="D225">
        <f>INDEX(Technologies!$B$7:$S$67,H225,I225)</f>
        <v>350</v>
      </c>
      <c r="E225" t="str">
        <f>INDEX(Technologies!$B$7:$B$67,H225)</f>
        <v>Stor_EF-Gas-030gal-0.630EF</v>
      </c>
      <c r="G225" t="str">
        <f t="shared" si="239"/>
        <v>pilotBTUh</v>
      </c>
      <c r="H225">
        <f t="shared" si="295"/>
        <v>32</v>
      </c>
      <c r="I225">
        <f>MATCH(G225,Technologies!$B$6:$S$6,0)</f>
        <v>15</v>
      </c>
      <c r="J225">
        <f t="shared" ref="J225" si="356">+J214</f>
        <v>67</v>
      </c>
    </row>
    <row r="226" spans="2:10" x14ac:dyDescent="0.25">
      <c r="B226">
        <f>INDEX(exante.Technology!$A$2:$A$4130,MATCH(E226,exante.Technology!$C$2:$C$4130,0))</f>
        <v>1032</v>
      </c>
      <c r="C226">
        <f t="shared" ref="C226" si="357">+C215</f>
        <v>1077</v>
      </c>
      <c r="D226">
        <f>INDEX(Technologies!$B$7:$S$67,H226,I226)</f>
        <v>0.67</v>
      </c>
      <c r="E226" t="str">
        <f>INDEX(Technologies!$B$7:$B$67,H226)</f>
        <v>Stor_EF-Gas-030gal-0.630EF</v>
      </c>
      <c r="G226" t="str">
        <f t="shared" si="239"/>
        <v>pilotHtgEff</v>
      </c>
      <c r="H226">
        <f t="shared" si="295"/>
        <v>32</v>
      </c>
      <c r="I226">
        <f>MATCH(G226,Technologies!$B$6:$S$6,0)</f>
        <v>16</v>
      </c>
      <c r="J226">
        <f t="shared" ref="J226" si="358">+J215</f>
        <v>67</v>
      </c>
    </row>
    <row r="227" spans="2:10" x14ac:dyDescent="0.25">
      <c r="B227">
        <f>INDEX(exante.Technology!$A$2:$A$4130,MATCH(E227,exante.Technology!$C$2:$C$4130,0))</f>
        <v>1033</v>
      </c>
      <c r="C227">
        <f t="shared" ref="C227" si="359">+C216</f>
        <v>85</v>
      </c>
      <c r="D227" t="str">
        <f>INDEX(Technologies!$B$7:$S$67,H227,I227)</f>
        <v>Gas</v>
      </c>
      <c r="E227" t="str">
        <f>INDEX(Technologies!$B$7:$B$67,H227)</f>
        <v>Stor_EF-Gas-030gal-0.65EF</v>
      </c>
      <c r="G227" t="str">
        <f t="shared" si="239"/>
        <v>Fuel_Type</v>
      </c>
      <c r="H227">
        <f t="shared" si="295"/>
        <v>33</v>
      </c>
      <c r="I227">
        <f>MATCH(G227,Technologies!$B$6:$S$6,0)</f>
        <v>3</v>
      </c>
      <c r="J227">
        <f t="shared" ref="J227" si="360">+J216</f>
        <v>67</v>
      </c>
    </row>
    <row r="228" spans="2:10" x14ac:dyDescent="0.25">
      <c r="B228">
        <f>INDEX(exante.Technology!$A$2:$A$4130,MATCH(E228,exante.Technology!$C$2:$C$4130,0))</f>
        <v>1033</v>
      </c>
      <c r="C228">
        <f t="shared" ref="C228" si="361">+C217</f>
        <v>1081</v>
      </c>
      <c r="D228">
        <f>INDEX(Technologies!$B$7:$S$67,H228,I228)</f>
        <v>30</v>
      </c>
      <c r="E228" t="str">
        <f>INDEX(Technologies!$B$7:$B$67,H228)</f>
        <v>Stor_EF-Gas-030gal-0.65EF</v>
      </c>
      <c r="G228" t="str">
        <f t="shared" si="239"/>
        <v>Nom_Gallons</v>
      </c>
      <c r="H228">
        <f t="shared" si="295"/>
        <v>33</v>
      </c>
      <c r="I228">
        <f>MATCH(G228,Technologies!$B$6:$S$6,0)</f>
        <v>4</v>
      </c>
      <c r="J228">
        <f t="shared" ref="J228" si="362">+J217</f>
        <v>67</v>
      </c>
    </row>
    <row r="229" spans="2:10" x14ac:dyDescent="0.25">
      <c r="B229">
        <f>INDEX(exante.Technology!$A$2:$A$4130,MATCH(E229,exante.Technology!$C$2:$C$4130,0))</f>
        <v>1033</v>
      </c>
      <c r="C229">
        <f t="shared" ref="C229" si="363">+C218</f>
        <v>58</v>
      </c>
      <c r="D229">
        <f>INDEX(Technologies!$B$7:$S$67,H229,I229)</f>
        <v>0.65</v>
      </c>
      <c r="E229" t="str">
        <f>INDEX(Technologies!$B$7:$B$67,H229)</f>
        <v>Stor_EF-Gas-030gal-0.65EF</v>
      </c>
      <c r="G229" t="str">
        <f t="shared" si="239"/>
        <v>Energy_Factor</v>
      </c>
      <c r="H229">
        <f t="shared" si="295"/>
        <v>33</v>
      </c>
      <c r="I229">
        <f>MATCH(G229,Technologies!$B$6:$S$6,0)</f>
        <v>5</v>
      </c>
      <c r="J229">
        <f t="shared" ref="J229" si="364">+J218</f>
        <v>67</v>
      </c>
    </row>
    <row r="230" spans="2:10" x14ac:dyDescent="0.25">
      <c r="B230">
        <f>INDEX(exante.Technology!$A$2:$A$4130,MATCH(E230,exante.Technology!$C$2:$C$4130,0))</f>
        <v>1033</v>
      </c>
      <c r="C230">
        <f t="shared" ref="C230" si="365">+C219</f>
        <v>1070</v>
      </c>
      <c r="D230">
        <f>INDEX(Technologies!$B$7:$S$67,H230,I230)</f>
        <v>30</v>
      </c>
      <c r="E230" t="str">
        <f>INDEX(Technologies!$B$7:$B$67,H230)</f>
        <v>Stor_EF-Gas-030gal-0.65EF</v>
      </c>
      <c r="G230" t="str">
        <f t="shared" si="239"/>
        <v>BurnCap_kBTUh</v>
      </c>
      <c r="H230">
        <f t="shared" si="295"/>
        <v>33</v>
      </c>
      <c r="I230">
        <f>MATCH(G230,Technologies!$B$6:$S$6,0)</f>
        <v>6</v>
      </c>
      <c r="J230">
        <f t="shared" ref="J230" si="366">+J219</f>
        <v>67</v>
      </c>
    </row>
    <row r="231" spans="2:10" x14ac:dyDescent="0.25">
      <c r="B231">
        <f>INDEX(exante.Technology!$A$2:$A$4130,MATCH(E231,exante.Technology!$C$2:$C$4130,0))</f>
        <v>1033</v>
      </c>
      <c r="C231">
        <f t="shared" ref="C231" si="367">+C220</f>
        <v>1071</v>
      </c>
      <c r="D231">
        <f>INDEX(Technologies!$B$7:$S$67,H231,I231)</f>
        <v>0</v>
      </c>
      <c r="E231" t="str">
        <f>INDEX(Technologies!$B$7:$B$67,H231)</f>
        <v>Stor_EF-Gas-030gal-0.65EF</v>
      </c>
      <c r="G231" t="str">
        <f t="shared" si="239"/>
        <v>BurnCap_kW</v>
      </c>
      <c r="H231">
        <f t="shared" si="295"/>
        <v>33</v>
      </c>
      <c r="I231">
        <f>MATCH(G231,Technologies!$B$6:$S$6,0)</f>
        <v>7</v>
      </c>
      <c r="J231">
        <f t="shared" ref="J231" si="368">+J220</f>
        <v>67</v>
      </c>
    </row>
    <row r="232" spans="2:10" x14ac:dyDescent="0.25">
      <c r="B232">
        <f>INDEX(exante.Technology!$A$2:$A$4130,MATCH(E232,exante.Technology!$C$2:$C$4130,0))</f>
        <v>1033</v>
      </c>
      <c r="C232">
        <f t="shared" ref="C232" si="369">+C221</f>
        <v>1072</v>
      </c>
      <c r="D232">
        <f>INDEX(Technologies!$B$7:$S$67,H232,I232)</f>
        <v>0.81</v>
      </c>
      <c r="E232" t="str">
        <f>INDEX(Technologies!$B$7:$B$67,H232)</f>
        <v>Stor_EF-Gas-030gal-0.65EF</v>
      </c>
      <c r="G232" t="str">
        <f t="shared" ref="G232:G295" si="370">VLOOKUP(C232,$B$3:$C$17,2,FALSE)</f>
        <v>RecovEff</v>
      </c>
      <c r="H232">
        <f t="shared" si="295"/>
        <v>33</v>
      </c>
      <c r="I232">
        <f>MATCH(G232,Technologies!$B$6:$S$6,0)</f>
        <v>8</v>
      </c>
      <c r="J232">
        <f t="shared" ref="J232" si="371">+J221</f>
        <v>67</v>
      </c>
    </row>
    <row r="233" spans="2:10" x14ac:dyDescent="0.25">
      <c r="B233">
        <f>INDEX(exante.Technology!$A$2:$A$4130,MATCH(E233,exante.Technology!$C$2:$C$4130,0))</f>
        <v>1033</v>
      </c>
      <c r="C233">
        <f t="shared" ref="C233" si="372">+C222</f>
        <v>1073</v>
      </c>
      <c r="D233">
        <f>INDEX(Technologies!$B$7:$S$67,H233,I233)</f>
        <v>6.8448000000000002</v>
      </c>
      <c r="E233" t="str">
        <f>INDEX(Technologies!$B$7:$B$67,H233)</f>
        <v>Stor_EF-Gas-030gal-0.65EF</v>
      </c>
      <c r="G233" t="str">
        <f t="shared" si="370"/>
        <v>TankUA</v>
      </c>
      <c r="H233">
        <f t="shared" si="295"/>
        <v>33</v>
      </c>
      <c r="I233">
        <f>MATCH(G233,Technologies!$B$6:$S$6,0)</f>
        <v>9</v>
      </c>
      <c r="J233">
        <f t="shared" ref="J233" si="373">+J222</f>
        <v>67</v>
      </c>
    </row>
    <row r="234" spans="2:10" x14ac:dyDescent="0.25">
      <c r="B234">
        <f>INDEX(exante.Technology!$A$2:$A$4130,MATCH(E234,exante.Technology!$C$2:$C$4130,0))</f>
        <v>1033</v>
      </c>
      <c r="C234">
        <f t="shared" ref="C234" si="374">+C223</f>
        <v>1074</v>
      </c>
      <c r="D234">
        <f>INDEX(Technologies!$B$7:$S$67,H234,I234)</f>
        <v>0</v>
      </c>
      <c r="E234" t="str">
        <f>INDEX(Technologies!$B$7:$B$67,H234)</f>
        <v>Stor_EF-Gas-030gal-0.65EF</v>
      </c>
      <c r="G234" t="str">
        <f t="shared" si="370"/>
        <v>auxW</v>
      </c>
      <c r="H234">
        <f t="shared" si="295"/>
        <v>33</v>
      </c>
      <c r="I234">
        <f>MATCH(G234,Technologies!$B$6:$S$6,0)</f>
        <v>13</v>
      </c>
      <c r="J234">
        <f t="shared" ref="J234" si="375">+J223</f>
        <v>67</v>
      </c>
    </row>
    <row r="235" spans="2:10" x14ac:dyDescent="0.25">
      <c r="B235">
        <f>INDEX(exante.Technology!$A$2:$A$4130,MATCH(E235,exante.Technology!$C$2:$C$4130,0))</f>
        <v>1033</v>
      </c>
      <c r="C235">
        <f t="shared" ref="C235" si="376">+C224</f>
        <v>1075</v>
      </c>
      <c r="D235">
        <f>INDEX(Technologies!$B$7:$S$67,H235,I235)</f>
        <v>0</v>
      </c>
      <c r="E235" t="str">
        <f>INDEX(Technologies!$B$7:$B$67,H235)</f>
        <v>Stor_EF-Gas-030gal-0.65EF</v>
      </c>
      <c r="G235" t="str">
        <f t="shared" si="370"/>
        <v>auxVentW</v>
      </c>
      <c r="H235">
        <f t="shared" si="295"/>
        <v>33</v>
      </c>
      <c r="I235">
        <f>MATCH(G235,Technologies!$B$6:$S$6,0)</f>
        <v>14</v>
      </c>
      <c r="J235">
        <f t="shared" ref="J235" si="377">+J224</f>
        <v>67</v>
      </c>
    </row>
    <row r="236" spans="2:10" x14ac:dyDescent="0.25">
      <c r="B236">
        <f>INDEX(exante.Technology!$A$2:$A$4130,MATCH(E236,exante.Technology!$C$2:$C$4130,0))</f>
        <v>1033</v>
      </c>
      <c r="C236">
        <f t="shared" ref="C236" si="378">+C225</f>
        <v>1076</v>
      </c>
      <c r="D236">
        <f>INDEX(Technologies!$B$7:$S$67,H236,I236)</f>
        <v>350</v>
      </c>
      <c r="E236" t="str">
        <f>INDEX(Technologies!$B$7:$B$67,H236)</f>
        <v>Stor_EF-Gas-030gal-0.65EF</v>
      </c>
      <c r="G236" t="str">
        <f t="shared" si="370"/>
        <v>pilotBTUh</v>
      </c>
      <c r="H236">
        <f t="shared" si="295"/>
        <v>33</v>
      </c>
      <c r="I236">
        <f>MATCH(G236,Technologies!$B$6:$S$6,0)</f>
        <v>15</v>
      </c>
      <c r="J236">
        <f t="shared" ref="J236" si="379">+J225</f>
        <v>67</v>
      </c>
    </row>
    <row r="237" spans="2:10" x14ac:dyDescent="0.25">
      <c r="B237">
        <f>INDEX(exante.Technology!$A$2:$A$4130,MATCH(E237,exante.Technology!$C$2:$C$4130,0))</f>
        <v>1033</v>
      </c>
      <c r="C237">
        <f t="shared" ref="C237" si="380">+C226</f>
        <v>1077</v>
      </c>
      <c r="D237">
        <f>INDEX(Technologies!$B$7:$S$67,H237,I237)</f>
        <v>0.67</v>
      </c>
      <c r="E237" t="str">
        <f>INDEX(Technologies!$B$7:$B$67,H237)</f>
        <v>Stor_EF-Gas-030gal-0.65EF</v>
      </c>
      <c r="G237" t="str">
        <f t="shared" si="370"/>
        <v>pilotHtgEff</v>
      </c>
      <c r="H237">
        <f t="shared" si="295"/>
        <v>33</v>
      </c>
      <c r="I237">
        <f>MATCH(G237,Technologies!$B$6:$S$6,0)</f>
        <v>16</v>
      </c>
      <c r="J237">
        <f t="shared" ref="J237" si="381">+J226</f>
        <v>67</v>
      </c>
    </row>
    <row r="238" spans="2:10" x14ac:dyDescent="0.25">
      <c r="B238">
        <f>INDEX(exante.Technology!$A$2:$A$4130,MATCH(E238,exante.Technology!$C$2:$C$4130,0))</f>
        <v>1034</v>
      </c>
      <c r="C238">
        <f t="shared" ref="C238" si="382">+C227</f>
        <v>85</v>
      </c>
      <c r="D238" t="str">
        <f>INDEX(Technologies!$B$7:$S$67,H238,I238)</f>
        <v>Gas</v>
      </c>
      <c r="E238" t="str">
        <f>INDEX(Technologies!$B$7:$B$67,H238)</f>
        <v>Stor_EF-Gas-030gal-0.70EF</v>
      </c>
      <c r="G238" t="str">
        <f t="shared" si="370"/>
        <v>Fuel_Type</v>
      </c>
      <c r="H238">
        <f t="shared" si="295"/>
        <v>34</v>
      </c>
      <c r="I238">
        <f>MATCH(G238,Technologies!$B$6:$S$6,0)</f>
        <v>3</v>
      </c>
      <c r="J238">
        <f t="shared" ref="J238" si="383">+J227</f>
        <v>67</v>
      </c>
    </row>
    <row r="239" spans="2:10" x14ac:dyDescent="0.25">
      <c r="B239">
        <f>INDEX(exante.Technology!$A$2:$A$4130,MATCH(E239,exante.Technology!$C$2:$C$4130,0))</f>
        <v>1034</v>
      </c>
      <c r="C239">
        <f t="shared" ref="C239" si="384">+C228</f>
        <v>1081</v>
      </c>
      <c r="D239">
        <f>INDEX(Technologies!$B$7:$S$67,H239,I239)</f>
        <v>30</v>
      </c>
      <c r="E239" t="str">
        <f>INDEX(Technologies!$B$7:$B$67,H239)</f>
        <v>Stor_EF-Gas-030gal-0.70EF</v>
      </c>
      <c r="G239" t="str">
        <f t="shared" si="370"/>
        <v>Nom_Gallons</v>
      </c>
      <c r="H239">
        <f t="shared" si="295"/>
        <v>34</v>
      </c>
      <c r="I239">
        <f>MATCH(G239,Technologies!$B$6:$S$6,0)</f>
        <v>4</v>
      </c>
      <c r="J239">
        <f t="shared" ref="J239" si="385">+J228</f>
        <v>67</v>
      </c>
    </row>
    <row r="240" spans="2:10" x14ac:dyDescent="0.25">
      <c r="B240">
        <f>INDEX(exante.Technology!$A$2:$A$4130,MATCH(E240,exante.Technology!$C$2:$C$4130,0))</f>
        <v>1034</v>
      </c>
      <c r="C240">
        <f t="shared" ref="C240" si="386">+C229</f>
        <v>58</v>
      </c>
      <c r="D240">
        <f>INDEX(Technologies!$B$7:$S$67,H240,I240)</f>
        <v>0.7</v>
      </c>
      <c r="E240" t="str">
        <f>INDEX(Technologies!$B$7:$B$67,H240)</f>
        <v>Stor_EF-Gas-030gal-0.70EF</v>
      </c>
      <c r="G240" t="str">
        <f t="shared" si="370"/>
        <v>Energy_Factor</v>
      </c>
      <c r="H240">
        <f t="shared" si="295"/>
        <v>34</v>
      </c>
      <c r="I240">
        <f>MATCH(G240,Technologies!$B$6:$S$6,0)</f>
        <v>5</v>
      </c>
      <c r="J240">
        <f t="shared" ref="J240" si="387">+J229</f>
        <v>67</v>
      </c>
    </row>
    <row r="241" spans="2:10" x14ac:dyDescent="0.25">
      <c r="B241">
        <f>INDEX(exante.Technology!$A$2:$A$4130,MATCH(E241,exante.Technology!$C$2:$C$4130,0))</f>
        <v>1034</v>
      </c>
      <c r="C241">
        <f t="shared" ref="C241" si="388">+C230</f>
        <v>1070</v>
      </c>
      <c r="D241">
        <f>INDEX(Technologies!$B$7:$S$67,H241,I241)</f>
        <v>30</v>
      </c>
      <c r="E241" t="str">
        <f>INDEX(Technologies!$B$7:$B$67,H241)</f>
        <v>Stor_EF-Gas-030gal-0.70EF</v>
      </c>
      <c r="G241" t="str">
        <f t="shared" si="370"/>
        <v>BurnCap_kBTUh</v>
      </c>
      <c r="H241">
        <f t="shared" si="295"/>
        <v>34</v>
      </c>
      <c r="I241">
        <f>MATCH(G241,Technologies!$B$6:$S$6,0)</f>
        <v>6</v>
      </c>
      <c r="J241">
        <f t="shared" ref="J241" si="389">+J230</f>
        <v>67</v>
      </c>
    </row>
    <row r="242" spans="2:10" x14ac:dyDescent="0.25">
      <c r="B242">
        <f>INDEX(exante.Technology!$A$2:$A$4130,MATCH(E242,exante.Technology!$C$2:$C$4130,0))</f>
        <v>1034</v>
      </c>
      <c r="C242">
        <f t="shared" ref="C242" si="390">+C231</f>
        <v>1071</v>
      </c>
      <c r="D242">
        <f>INDEX(Technologies!$B$7:$S$67,H242,I242)</f>
        <v>0</v>
      </c>
      <c r="E242" t="str">
        <f>INDEX(Technologies!$B$7:$B$67,H242)</f>
        <v>Stor_EF-Gas-030gal-0.70EF</v>
      </c>
      <c r="G242" t="str">
        <f t="shared" si="370"/>
        <v>BurnCap_kW</v>
      </c>
      <c r="H242">
        <f t="shared" si="295"/>
        <v>34</v>
      </c>
      <c r="I242">
        <f>MATCH(G242,Technologies!$B$6:$S$6,0)</f>
        <v>7</v>
      </c>
      <c r="J242">
        <f t="shared" ref="J242" si="391">+J231</f>
        <v>67</v>
      </c>
    </row>
    <row r="243" spans="2:10" x14ac:dyDescent="0.25">
      <c r="B243">
        <f>INDEX(exante.Technology!$A$2:$A$4130,MATCH(E243,exante.Technology!$C$2:$C$4130,0))</f>
        <v>1034</v>
      </c>
      <c r="C243">
        <f t="shared" ref="C243" si="392">+C232</f>
        <v>1072</v>
      </c>
      <c r="D243">
        <f>INDEX(Technologies!$B$7:$S$67,H243,I243)</f>
        <v>0.81</v>
      </c>
      <c r="E243" t="str">
        <f>INDEX(Technologies!$B$7:$B$67,H243)</f>
        <v>Stor_EF-Gas-030gal-0.70EF</v>
      </c>
      <c r="G243" t="str">
        <f t="shared" si="370"/>
        <v>RecovEff</v>
      </c>
      <c r="H243">
        <f t="shared" si="295"/>
        <v>34</v>
      </c>
      <c r="I243">
        <f>MATCH(G243,Technologies!$B$6:$S$6,0)</f>
        <v>8</v>
      </c>
      <c r="J243">
        <f t="shared" ref="J243" si="393">+J232</f>
        <v>67</v>
      </c>
    </row>
    <row r="244" spans="2:10" x14ac:dyDescent="0.25">
      <c r="B244">
        <f>INDEX(exante.Technology!$A$2:$A$4130,MATCH(E244,exante.Technology!$C$2:$C$4130,0))</f>
        <v>1034</v>
      </c>
      <c r="C244">
        <f t="shared" ref="C244" si="394">+C233</f>
        <v>1073</v>
      </c>
      <c r="D244">
        <f>INDEX(Technologies!$B$7:$S$67,H244,I244)</f>
        <v>4.3398000000000003</v>
      </c>
      <c r="E244" t="str">
        <f>INDEX(Technologies!$B$7:$B$67,H244)</f>
        <v>Stor_EF-Gas-030gal-0.70EF</v>
      </c>
      <c r="G244" t="str">
        <f t="shared" si="370"/>
        <v>TankUA</v>
      </c>
      <c r="H244">
        <f t="shared" si="295"/>
        <v>34</v>
      </c>
      <c r="I244">
        <f>MATCH(G244,Technologies!$B$6:$S$6,0)</f>
        <v>9</v>
      </c>
      <c r="J244">
        <f t="shared" ref="J244" si="395">+J233</f>
        <v>67</v>
      </c>
    </row>
    <row r="245" spans="2:10" x14ac:dyDescent="0.25">
      <c r="B245">
        <f>INDEX(exante.Technology!$A$2:$A$4130,MATCH(E245,exante.Technology!$C$2:$C$4130,0))</f>
        <v>1034</v>
      </c>
      <c r="C245">
        <f t="shared" ref="C245" si="396">+C234</f>
        <v>1074</v>
      </c>
      <c r="D245">
        <f>INDEX(Technologies!$B$7:$S$67,H245,I245)</f>
        <v>0</v>
      </c>
      <c r="E245" t="str">
        <f>INDEX(Technologies!$B$7:$B$67,H245)</f>
        <v>Stor_EF-Gas-030gal-0.70EF</v>
      </c>
      <c r="G245" t="str">
        <f t="shared" si="370"/>
        <v>auxW</v>
      </c>
      <c r="H245">
        <f t="shared" si="295"/>
        <v>34</v>
      </c>
      <c r="I245">
        <f>MATCH(G245,Technologies!$B$6:$S$6,0)</f>
        <v>13</v>
      </c>
      <c r="J245">
        <f t="shared" ref="J245" si="397">+J234</f>
        <v>67</v>
      </c>
    </row>
    <row r="246" spans="2:10" x14ac:dyDescent="0.25">
      <c r="B246">
        <f>INDEX(exante.Technology!$A$2:$A$4130,MATCH(E246,exante.Technology!$C$2:$C$4130,0))</f>
        <v>1034</v>
      </c>
      <c r="C246">
        <f t="shared" ref="C246" si="398">+C235</f>
        <v>1075</v>
      </c>
      <c r="D246">
        <f>INDEX(Technologies!$B$7:$S$67,H246,I246)</f>
        <v>0</v>
      </c>
      <c r="E246" t="str">
        <f>INDEX(Technologies!$B$7:$B$67,H246)</f>
        <v>Stor_EF-Gas-030gal-0.70EF</v>
      </c>
      <c r="G246" t="str">
        <f t="shared" si="370"/>
        <v>auxVentW</v>
      </c>
      <c r="H246">
        <f t="shared" si="295"/>
        <v>34</v>
      </c>
      <c r="I246">
        <f>MATCH(G246,Technologies!$B$6:$S$6,0)</f>
        <v>14</v>
      </c>
      <c r="J246">
        <f t="shared" ref="J246" si="399">+J235</f>
        <v>67</v>
      </c>
    </row>
    <row r="247" spans="2:10" x14ac:dyDescent="0.25">
      <c r="B247">
        <f>INDEX(exante.Technology!$A$2:$A$4130,MATCH(E247,exante.Technology!$C$2:$C$4130,0))</f>
        <v>1034</v>
      </c>
      <c r="C247">
        <f t="shared" ref="C247" si="400">+C236</f>
        <v>1076</v>
      </c>
      <c r="D247">
        <f>INDEX(Technologies!$B$7:$S$67,H247,I247)</f>
        <v>350</v>
      </c>
      <c r="E247" t="str">
        <f>INDEX(Technologies!$B$7:$B$67,H247)</f>
        <v>Stor_EF-Gas-030gal-0.70EF</v>
      </c>
      <c r="G247" t="str">
        <f t="shared" si="370"/>
        <v>pilotBTUh</v>
      </c>
      <c r="H247">
        <f t="shared" si="295"/>
        <v>34</v>
      </c>
      <c r="I247">
        <f>MATCH(G247,Technologies!$B$6:$S$6,0)</f>
        <v>15</v>
      </c>
      <c r="J247">
        <f t="shared" ref="J247" si="401">+J236</f>
        <v>67</v>
      </c>
    </row>
    <row r="248" spans="2:10" x14ac:dyDescent="0.25">
      <c r="B248">
        <f>INDEX(exante.Technology!$A$2:$A$4130,MATCH(E248,exante.Technology!$C$2:$C$4130,0))</f>
        <v>1034</v>
      </c>
      <c r="C248">
        <f t="shared" ref="C248" si="402">+C237</f>
        <v>1077</v>
      </c>
      <c r="D248">
        <f>INDEX(Technologies!$B$7:$S$67,H248,I248)</f>
        <v>0.67</v>
      </c>
      <c r="E248" t="str">
        <f>INDEX(Technologies!$B$7:$B$67,H248)</f>
        <v>Stor_EF-Gas-030gal-0.70EF</v>
      </c>
      <c r="G248" t="str">
        <f t="shared" si="370"/>
        <v>pilotHtgEff</v>
      </c>
      <c r="H248">
        <f t="shared" si="295"/>
        <v>34</v>
      </c>
      <c r="I248">
        <f>MATCH(G248,Technologies!$B$6:$S$6,0)</f>
        <v>16</v>
      </c>
      <c r="J248">
        <f t="shared" ref="J248" si="403">+J237</f>
        <v>67</v>
      </c>
    </row>
    <row r="249" spans="2:10" x14ac:dyDescent="0.25">
      <c r="B249">
        <f>INDEX(exante.Technology!$A$2:$A$4130,MATCH(E249,exante.Technology!$C$2:$C$4130,0))</f>
        <v>1035</v>
      </c>
      <c r="C249">
        <f t="shared" ref="C249" si="404">+C238</f>
        <v>85</v>
      </c>
      <c r="D249" t="str">
        <f>INDEX(Technologies!$B$7:$S$67,H249,I249)</f>
        <v>Gas</v>
      </c>
      <c r="E249" t="str">
        <f>INDEX(Technologies!$B$7:$B$67,H249)</f>
        <v>Stor_EF-Gas-030gal-0.72EF</v>
      </c>
      <c r="G249" t="str">
        <f t="shared" si="370"/>
        <v>Fuel_Type</v>
      </c>
      <c r="H249">
        <f t="shared" si="295"/>
        <v>35</v>
      </c>
      <c r="I249">
        <f>MATCH(G249,Technologies!$B$6:$S$6,0)</f>
        <v>3</v>
      </c>
      <c r="J249">
        <f t="shared" ref="J249" si="405">+J238</f>
        <v>67</v>
      </c>
    </row>
    <row r="250" spans="2:10" x14ac:dyDescent="0.25">
      <c r="B250">
        <f>INDEX(exante.Technology!$A$2:$A$4130,MATCH(E250,exante.Technology!$C$2:$C$4130,0))</f>
        <v>1035</v>
      </c>
      <c r="C250">
        <f t="shared" ref="C250" si="406">+C239</f>
        <v>1081</v>
      </c>
      <c r="D250">
        <f>INDEX(Technologies!$B$7:$S$67,H250,I250)</f>
        <v>30</v>
      </c>
      <c r="E250" t="str">
        <f>INDEX(Technologies!$B$7:$B$67,H250)</f>
        <v>Stor_EF-Gas-030gal-0.72EF</v>
      </c>
      <c r="G250" t="str">
        <f t="shared" si="370"/>
        <v>Nom_Gallons</v>
      </c>
      <c r="H250">
        <f t="shared" si="295"/>
        <v>35</v>
      </c>
      <c r="I250">
        <f>MATCH(G250,Technologies!$B$6:$S$6,0)</f>
        <v>4</v>
      </c>
      <c r="J250">
        <f t="shared" ref="J250" si="407">+J239</f>
        <v>67</v>
      </c>
    </row>
    <row r="251" spans="2:10" x14ac:dyDescent="0.25">
      <c r="B251">
        <f>INDEX(exante.Technology!$A$2:$A$4130,MATCH(E251,exante.Technology!$C$2:$C$4130,0))</f>
        <v>1035</v>
      </c>
      <c r="C251">
        <f t="shared" ref="C251" si="408">+C240</f>
        <v>58</v>
      </c>
      <c r="D251">
        <f>INDEX(Technologies!$B$7:$S$67,H251,I251)</f>
        <v>0.72</v>
      </c>
      <c r="E251" t="str">
        <f>INDEX(Technologies!$B$7:$B$67,H251)</f>
        <v>Stor_EF-Gas-030gal-0.72EF</v>
      </c>
      <c r="G251" t="str">
        <f t="shared" si="370"/>
        <v>Energy_Factor</v>
      </c>
      <c r="H251">
        <f t="shared" si="295"/>
        <v>35</v>
      </c>
      <c r="I251">
        <f>MATCH(G251,Technologies!$B$6:$S$6,0)</f>
        <v>5</v>
      </c>
      <c r="J251">
        <f t="shared" ref="J251" si="409">+J240</f>
        <v>67</v>
      </c>
    </row>
    <row r="252" spans="2:10" x14ac:dyDescent="0.25">
      <c r="B252">
        <f>INDEX(exante.Technology!$A$2:$A$4130,MATCH(E252,exante.Technology!$C$2:$C$4130,0))</f>
        <v>1035</v>
      </c>
      <c r="C252">
        <f t="shared" ref="C252" si="410">+C241</f>
        <v>1070</v>
      </c>
      <c r="D252">
        <f>INDEX(Technologies!$B$7:$S$67,H252,I252)</f>
        <v>30</v>
      </c>
      <c r="E252" t="str">
        <f>INDEX(Technologies!$B$7:$B$67,H252)</f>
        <v>Stor_EF-Gas-030gal-0.72EF</v>
      </c>
      <c r="G252" t="str">
        <f t="shared" si="370"/>
        <v>BurnCap_kBTUh</v>
      </c>
      <c r="H252">
        <f t="shared" si="295"/>
        <v>35</v>
      </c>
      <c r="I252">
        <f>MATCH(G252,Technologies!$B$6:$S$6,0)</f>
        <v>6</v>
      </c>
      <c r="J252">
        <f t="shared" ref="J252" si="411">+J241</f>
        <v>67</v>
      </c>
    </row>
    <row r="253" spans="2:10" x14ac:dyDescent="0.25">
      <c r="B253">
        <f>INDEX(exante.Technology!$A$2:$A$4130,MATCH(E253,exante.Technology!$C$2:$C$4130,0))</f>
        <v>1035</v>
      </c>
      <c r="C253">
        <f t="shared" ref="C253" si="412">+C242</f>
        <v>1071</v>
      </c>
      <c r="D253">
        <f>INDEX(Technologies!$B$7:$S$67,H253,I253)</f>
        <v>0</v>
      </c>
      <c r="E253" t="str">
        <f>INDEX(Technologies!$B$7:$B$67,H253)</f>
        <v>Stor_EF-Gas-030gal-0.72EF</v>
      </c>
      <c r="G253" t="str">
        <f t="shared" si="370"/>
        <v>BurnCap_kW</v>
      </c>
      <c r="H253">
        <f t="shared" si="295"/>
        <v>35</v>
      </c>
      <c r="I253">
        <f>MATCH(G253,Technologies!$B$6:$S$6,0)</f>
        <v>7</v>
      </c>
      <c r="J253">
        <f t="shared" ref="J253" si="413">+J242</f>
        <v>67</v>
      </c>
    </row>
    <row r="254" spans="2:10" x14ac:dyDescent="0.25">
      <c r="B254">
        <f>INDEX(exante.Technology!$A$2:$A$4130,MATCH(E254,exante.Technology!$C$2:$C$4130,0))</f>
        <v>1035</v>
      </c>
      <c r="C254">
        <f t="shared" ref="C254" si="414">+C243</f>
        <v>1072</v>
      </c>
      <c r="D254">
        <f>INDEX(Technologies!$B$7:$S$67,H254,I254)</f>
        <v>0.83</v>
      </c>
      <c r="E254" t="str">
        <f>INDEX(Technologies!$B$7:$B$67,H254)</f>
        <v>Stor_EF-Gas-030gal-0.72EF</v>
      </c>
      <c r="G254" t="str">
        <f t="shared" si="370"/>
        <v>RecovEff</v>
      </c>
      <c r="H254">
        <f t="shared" si="295"/>
        <v>35</v>
      </c>
      <c r="I254">
        <f>MATCH(G254,Technologies!$B$6:$S$6,0)</f>
        <v>8</v>
      </c>
      <c r="J254">
        <f t="shared" ref="J254" si="415">+J243</f>
        <v>67</v>
      </c>
    </row>
    <row r="255" spans="2:10" x14ac:dyDescent="0.25">
      <c r="B255">
        <f>INDEX(exante.Technology!$A$2:$A$4130,MATCH(E255,exante.Technology!$C$2:$C$4130,0))</f>
        <v>1035</v>
      </c>
      <c r="C255">
        <f t="shared" ref="C255" si="416">+C244</f>
        <v>1073</v>
      </c>
      <c r="D255">
        <f>INDEX(Technologies!$B$7:$S$67,H255,I255)</f>
        <v>4.2088999999999999</v>
      </c>
      <c r="E255" t="str">
        <f>INDEX(Technologies!$B$7:$B$67,H255)</f>
        <v>Stor_EF-Gas-030gal-0.72EF</v>
      </c>
      <c r="G255" t="str">
        <f t="shared" si="370"/>
        <v>TankUA</v>
      </c>
      <c r="H255">
        <f t="shared" si="295"/>
        <v>35</v>
      </c>
      <c r="I255">
        <f>MATCH(G255,Technologies!$B$6:$S$6,0)</f>
        <v>9</v>
      </c>
      <c r="J255">
        <f t="shared" ref="J255" si="417">+J244</f>
        <v>67</v>
      </c>
    </row>
    <row r="256" spans="2:10" x14ac:dyDescent="0.25">
      <c r="B256">
        <f>INDEX(exante.Technology!$A$2:$A$4130,MATCH(E256,exante.Technology!$C$2:$C$4130,0))</f>
        <v>1035</v>
      </c>
      <c r="C256">
        <f t="shared" ref="C256" si="418">+C245</f>
        <v>1074</v>
      </c>
      <c r="D256">
        <f>INDEX(Technologies!$B$7:$S$67,H256,I256)</f>
        <v>0</v>
      </c>
      <c r="E256" t="str">
        <f>INDEX(Technologies!$B$7:$B$67,H256)</f>
        <v>Stor_EF-Gas-030gal-0.72EF</v>
      </c>
      <c r="G256" t="str">
        <f t="shared" si="370"/>
        <v>auxW</v>
      </c>
      <c r="H256">
        <f t="shared" si="295"/>
        <v>35</v>
      </c>
      <c r="I256">
        <f>MATCH(G256,Technologies!$B$6:$S$6,0)</f>
        <v>13</v>
      </c>
      <c r="J256">
        <f t="shared" ref="J256" si="419">+J245</f>
        <v>67</v>
      </c>
    </row>
    <row r="257" spans="2:10" x14ac:dyDescent="0.25">
      <c r="B257">
        <f>INDEX(exante.Technology!$A$2:$A$4130,MATCH(E257,exante.Technology!$C$2:$C$4130,0))</f>
        <v>1035</v>
      </c>
      <c r="C257">
        <f t="shared" ref="C257" si="420">+C246</f>
        <v>1075</v>
      </c>
      <c r="D257">
        <f>INDEX(Technologies!$B$7:$S$67,H257,I257)</f>
        <v>0</v>
      </c>
      <c r="E257" t="str">
        <f>INDEX(Technologies!$B$7:$B$67,H257)</f>
        <v>Stor_EF-Gas-030gal-0.72EF</v>
      </c>
      <c r="G257" t="str">
        <f t="shared" si="370"/>
        <v>auxVentW</v>
      </c>
      <c r="H257">
        <f t="shared" si="295"/>
        <v>35</v>
      </c>
      <c r="I257">
        <f>MATCH(G257,Technologies!$B$6:$S$6,0)</f>
        <v>14</v>
      </c>
      <c r="J257">
        <f t="shared" ref="J257" si="421">+J246</f>
        <v>67</v>
      </c>
    </row>
    <row r="258" spans="2:10" x14ac:dyDescent="0.25">
      <c r="B258">
        <f>INDEX(exante.Technology!$A$2:$A$4130,MATCH(E258,exante.Technology!$C$2:$C$4130,0))</f>
        <v>1035</v>
      </c>
      <c r="C258">
        <f t="shared" ref="C258" si="422">+C247</f>
        <v>1076</v>
      </c>
      <c r="D258">
        <f>INDEX(Technologies!$B$7:$S$67,H258,I258)</f>
        <v>350</v>
      </c>
      <c r="E258" t="str">
        <f>INDEX(Technologies!$B$7:$B$67,H258)</f>
        <v>Stor_EF-Gas-030gal-0.72EF</v>
      </c>
      <c r="G258" t="str">
        <f t="shared" si="370"/>
        <v>pilotBTUh</v>
      </c>
      <c r="H258">
        <f t="shared" si="295"/>
        <v>35</v>
      </c>
      <c r="I258">
        <f>MATCH(G258,Technologies!$B$6:$S$6,0)</f>
        <v>15</v>
      </c>
      <c r="J258">
        <f t="shared" ref="J258" si="423">+J247</f>
        <v>67</v>
      </c>
    </row>
    <row r="259" spans="2:10" x14ac:dyDescent="0.25">
      <c r="B259">
        <f>INDEX(exante.Technology!$A$2:$A$4130,MATCH(E259,exante.Technology!$C$2:$C$4130,0))</f>
        <v>1035</v>
      </c>
      <c r="C259">
        <f t="shared" ref="C259" si="424">+C248</f>
        <v>1077</v>
      </c>
      <c r="D259">
        <f>INDEX(Technologies!$B$7:$S$67,H259,I259)</f>
        <v>0.67</v>
      </c>
      <c r="E259" t="str">
        <f>INDEX(Technologies!$B$7:$B$67,H259)</f>
        <v>Stor_EF-Gas-030gal-0.72EF</v>
      </c>
      <c r="G259" t="str">
        <f t="shared" si="370"/>
        <v>pilotHtgEff</v>
      </c>
      <c r="H259">
        <f t="shared" ref="H259:H322" si="425">+H248+1</f>
        <v>35</v>
      </c>
      <c r="I259">
        <f>MATCH(G259,Technologies!$B$6:$S$6,0)</f>
        <v>16</v>
      </c>
      <c r="J259">
        <f t="shared" ref="J259" si="426">+J248</f>
        <v>67</v>
      </c>
    </row>
    <row r="260" spans="2:10" x14ac:dyDescent="0.25">
      <c r="B260">
        <f>INDEX(exante.Technology!$A$2:$A$4130,MATCH(E260,exante.Technology!$C$2:$C$4130,0))</f>
        <v>1036</v>
      </c>
      <c r="C260">
        <f t="shared" ref="C260" si="427">+C249</f>
        <v>85</v>
      </c>
      <c r="D260" t="str">
        <f>INDEX(Technologies!$B$7:$S$67,H260,I260)</f>
        <v>Gas</v>
      </c>
      <c r="E260" t="str">
        <f>INDEX(Technologies!$B$7:$B$67,H260)</f>
        <v>Stor_EF-Gas-040gal-0.57EF</v>
      </c>
      <c r="G260" t="str">
        <f t="shared" si="370"/>
        <v>Fuel_Type</v>
      </c>
      <c r="H260">
        <f t="shared" si="425"/>
        <v>36</v>
      </c>
      <c r="I260">
        <f>MATCH(G260,Technologies!$B$6:$S$6,0)</f>
        <v>3</v>
      </c>
      <c r="J260">
        <f t="shared" ref="J260" si="428">+J249</f>
        <v>67</v>
      </c>
    </row>
    <row r="261" spans="2:10" x14ac:dyDescent="0.25">
      <c r="B261">
        <f>INDEX(exante.Technology!$A$2:$A$4130,MATCH(E261,exante.Technology!$C$2:$C$4130,0))</f>
        <v>1036</v>
      </c>
      <c r="C261">
        <f t="shared" ref="C261" si="429">+C250</f>
        <v>1081</v>
      </c>
      <c r="D261">
        <f>INDEX(Technologies!$B$7:$S$67,H261,I261)</f>
        <v>40</v>
      </c>
      <c r="E261" t="str">
        <f>INDEX(Technologies!$B$7:$B$67,H261)</f>
        <v>Stor_EF-Gas-040gal-0.57EF</v>
      </c>
      <c r="G261" t="str">
        <f t="shared" si="370"/>
        <v>Nom_Gallons</v>
      </c>
      <c r="H261">
        <f t="shared" si="425"/>
        <v>36</v>
      </c>
      <c r="I261">
        <f>MATCH(G261,Technologies!$B$6:$S$6,0)</f>
        <v>4</v>
      </c>
      <c r="J261">
        <f t="shared" ref="J261" si="430">+J250</f>
        <v>67</v>
      </c>
    </row>
    <row r="262" spans="2:10" x14ac:dyDescent="0.25">
      <c r="B262">
        <f>INDEX(exante.Technology!$A$2:$A$4130,MATCH(E262,exante.Technology!$C$2:$C$4130,0))</f>
        <v>1036</v>
      </c>
      <c r="C262">
        <f t="shared" ref="C262" si="431">+C251</f>
        <v>58</v>
      </c>
      <c r="D262">
        <f>INDEX(Technologies!$B$7:$S$67,H262,I262)</f>
        <v>0.56999999999999995</v>
      </c>
      <c r="E262" t="str">
        <f>INDEX(Technologies!$B$7:$B$67,H262)</f>
        <v>Stor_EF-Gas-040gal-0.57EF</v>
      </c>
      <c r="G262" t="str">
        <f t="shared" si="370"/>
        <v>Energy_Factor</v>
      </c>
      <c r="H262">
        <f t="shared" si="425"/>
        <v>36</v>
      </c>
      <c r="I262">
        <f>MATCH(G262,Technologies!$B$6:$S$6,0)</f>
        <v>5</v>
      </c>
      <c r="J262">
        <f t="shared" ref="J262" si="432">+J251</f>
        <v>67</v>
      </c>
    </row>
    <row r="263" spans="2:10" x14ac:dyDescent="0.25">
      <c r="B263">
        <f>INDEX(exante.Technology!$A$2:$A$4130,MATCH(E263,exante.Technology!$C$2:$C$4130,0))</f>
        <v>1036</v>
      </c>
      <c r="C263">
        <f t="shared" ref="C263" si="433">+C252</f>
        <v>1070</v>
      </c>
      <c r="D263">
        <f>INDEX(Technologies!$B$7:$S$67,H263,I263)</f>
        <v>40</v>
      </c>
      <c r="E263" t="str">
        <f>INDEX(Technologies!$B$7:$B$67,H263)</f>
        <v>Stor_EF-Gas-040gal-0.57EF</v>
      </c>
      <c r="G263" t="str">
        <f t="shared" si="370"/>
        <v>BurnCap_kBTUh</v>
      </c>
      <c r="H263">
        <f t="shared" si="425"/>
        <v>36</v>
      </c>
      <c r="I263">
        <f>MATCH(G263,Technologies!$B$6:$S$6,0)</f>
        <v>6</v>
      </c>
      <c r="J263">
        <f t="shared" ref="J263" si="434">+J252</f>
        <v>67</v>
      </c>
    </row>
    <row r="264" spans="2:10" x14ac:dyDescent="0.25">
      <c r="B264">
        <f>INDEX(exante.Technology!$A$2:$A$4130,MATCH(E264,exante.Technology!$C$2:$C$4130,0))</f>
        <v>1036</v>
      </c>
      <c r="C264">
        <f t="shared" ref="C264" si="435">+C253</f>
        <v>1071</v>
      </c>
      <c r="D264">
        <f>INDEX(Technologies!$B$7:$S$67,H264,I264)</f>
        <v>0</v>
      </c>
      <c r="E264" t="str">
        <f>INDEX(Technologies!$B$7:$B$67,H264)</f>
        <v>Stor_EF-Gas-040gal-0.57EF</v>
      </c>
      <c r="G264" t="str">
        <f t="shared" si="370"/>
        <v>BurnCap_kW</v>
      </c>
      <c r="H264">
        <f t="shared" si="425"/>
        <v>36</v>
      </c>
      <c r="I264">
        <f>MATCH(G264,Technologies!$B$6:$S$6,0)</f>
        <v>7</v>
      </c>
      <c r="J264">
        <f t="shared" ref="J264" si="436">+J253</f>
        <v>67</v>
      </c>
    </row>
    <row r="265" spans="2:10" x14ac:dyDescent="0.25">
      <c r="B265">
        <f>INDEX(exante.Technology!$A$2:$A$4130,MATCH(E265,exante.Technology!$C$2:$C$4130,0))</f>
        <v>1036</v>
      </c>
      <c r="C265">
        <f t="shared" ref="C265" si="437">+C254</f>
        <v>1072</v>
      </c>
      <c r="D265">
        <f>INDEX(Technologies!$B$7:$S$67,H265,I265)</f>
        <v>0.75800000000000001</v>
      </c>
      <c r="E265" t="str">
        <f>INDEX(Technologies!$B$7:$B$67,H265)</f>
        <v>Stor_EF-Gas-040gal-0.57EF</v>
      </c>
      <c r="G265" t="str">
        <f t="shared" si="370"/>
        <v>RecovEff</v>
      </c>
      <c r="H265">
        <f t="shared" si="425"/>
        <v>36</v>
      </c>
      <c r="I265">
        <f>MATCH(G265,Technologies!$B$6:$S$6,0)</f>
        <v>8</v>
      </c>
      <c r="J265">
        <f t="shared" ref="J265" si="438">+J254</f>
        <v>67</v>
      </c>
    </row>
    <row r="266" spans="2:10" x14ac:dyDescent="0.25">
      <c r="B266">
        <f>INDEX(exante.Technology!$A$2:$A$4130,MATCH(E266,exante.Technology!$C$2:$C$4130,0))</f>
        <v>1036</v>
      </c>
      <c r="C266">
        <f t="shared" ref="C266" si="439">+C255</f>
        <v>1073</v>
      </c>
      <c r="D266">
        <f>INDEX(Technologies!$B$7:$S$67,H266,I266)</f>
        <v>9.0454000000000008</v>
      </c>
      <c r="E266" t="str">
        <f>INDEX(Technologies!$B$7:$B$67,H266)</f>
        <v>Stor_EF-Gas-040gal-0.57EF</v>
      </c>
      <c r="G266" t="str">
        <f t="shared" si="370"/>
        <v>TankUA</v>
      </c>
      <c r="H266">
        <f t="shared" si="425"/>
        <v>36</v>
      </c>
      <c r="I266">
        <f>MATCH(G266,Technologies!$B$6:$S$6,0)</f>
        <v>9</v>
      </c>
      <c r="J266">
        <f t="shared" ref="J266" si="440">+J255</f>
        <v>67</v>
      </c>
    </row>
    <row r="267" spans="2:10" x14ac:dyDescent="0.25">
      <c r="B267">
        <f>INDEX(exante.Technology!$A$2:$A$4130,MATCH(E267,exante.Technology!$C$2:$C$4130,0))</f>
        <v>1036</v>
      </c>
      <c r="C267">
        <f t="shared" ref="C267" si="441">+C256</f>
        <v>1074</v>
      </c>
      <c r="D267">
        <f>INDEX(Technologies!$B$7:$S$67,H267,I267)</f>
        <v>0</v>
      </c>
      <c r="E267" t="str">
        <f>INDEX(Technologies!$B$7:$B$67,H267)</f>
        <v>Stor_EF-Gas-040gal-0.57EF</v>
      </c>
      <c r="G267" t="str">
        <f t="shared" si="370"/>
        <v>auxW</v>
      </c>
      <c r="H267">
        <f t="shared" si="425"/>
        <v>36</v>
      </c>
      <c r="I267">
        <f>MATCH(G267,Technologies!$B$6:$S$6,0)</f>
        <v>13</v>
      </c>
      <c r="J267">
        <f t="shared" ref="J267" si="442">+J256</f>
        <v>67</v>
      </c>
    </row>
    <row r="268" spans="2:10" x14ac:dyDescent="0.25">
      <c r="B268">
        <f>INDEX(exante.Technology!$A$2:$A$4130,MATCH(E268,exante.Technology!$C$2:$C$4130,0))</f>
        <v>1036</v>
      </c>
      <c r="C268">
        <f t="shared" ref="C268" si="443">+C257</f>
        <v>1075</v>
      </c>
      <c r="D268">
        <f>INDEX(Technologies!$B$7:$S$67,H268,I268)</f>
        <v>0</v>
      </c>
      <c r="E268" t="str">
        <f>INDEX(Technologies!$B$7:$B$67,H268)</f>
        <v>Stor_EF-Gas-040gal-0.57EF</v>
      </c>
      <c r="G268" t="str">
        <f t="shared" si="370"/>
        <v>auxVentW</v>
      </c>
      <c r="H268">
        <f t="shared" si="425"/>
        <v>36</v>
      </c>
      <c r="I268">
        <f>MATCH(G268,Technologies!$B$6:$S$6,0)</f>
        <v>14</v>
      </c>
      <c r="J268">
        <f t="shared" ref="J268" si="444">+J257</f>
        <v>67</v>
      </c>
    </row>
    <row r="269" spans="2:10" x14ac:dyDescent="0.25">
      <c r="B269">
        <f>INDEX(exante.Technology!$A$2:$A$4130,MATCH(E269,exante.Technology!$C$2:$C$4130,0))</f>
        <v>1036</v>
      </c>
      <c r="C269">
        <f t="shared" ref="C269" si="445">+C258</f>
        <v>1076</v>
      </c>
      <c r="D269">
        <f>INDEX(Technologies!$B$7:$S$67,H269,I269)</f>
        <v>350</v>
      </c>
      <c r="E269" t="str">
        <f>INDEX(Technologies!$B$7:$B$67,H269)</f>
        <v>Stor_EF-Gas-040gal-0.57EF</v>
      </c>
      <c r="G269" t="str">
        <f t="shared" si="370"/>
        <v>pilotBTUh</v>
      </c>
      <c r="H269">
        <f t="shared" si="425"/>
        <v>36</v>
      </c>
      <c r="I269">
        <f>MATCH(G269,Technologies!$B$6:$S$6,0)</f>
        <v>15</v>
      </c>
      <c r="J269">
        <f t="shared" ref="J269" si="446">+J258</f>
        <v>67</v>
      </c>
    </row>
    <row r="270" spans="2:10" x14ac:dyDescent="0.25">
      <c r="B270">
        <f>INDEX(exante.Technology!$A$2:$A$4130,MATCH(E270,exante.Technology!$C$2:$C$4130,0))</f>
        <v>1036</v>
      </c>
      <c r="C270">
        <f t="shared" ref="C270" si="447">+C259</f>
        <v>1077</v>
      </c>
      <c r="D270">
        <f>INDEX(Technologies!$B$7:$S$67,H270,I270)</f>
        <v>0.67</v>
      </c>
      <c r="E270" t="str">
        <f>INDEX(Technologies!$B$7:$B$67,H270)</f>
        <v>Stor_EF-Gas-040gal-0.57EF</v>
      </c>
      <c r="G270" t="str">
        <f t="shared" si="370"/>
        <v>pilotHtgEff</v>
      </c>
      <c r="H270">
        <f t="shared" si="425"/>
        <v>36</v>
      </c>
      <c r="I270">
        <f>MATCH(G270,Technologies!$B$6:$S$6,0)</f>
        <v>16</v>
      </c>
      <c r="J270">
        <f t="shared" ref="J270" si="448">+J259</f>
        <v>67</v>
      </c>
    </row>
    <row r="271" spans="2:10" x14ac:dyDescent="0.25">
      <c r="B271">
        <f>INDEX(exante.Technology!$A$2:$A$4130,MATCH(E271,exante.Technology!$C$2:$C$4130,0))</f>
        <v>1037</v>
      </c>
      <c r="C271">
        <f t="shared" ref="C271" si="449">+C260</f>
        <v>85</v>
      </c>
      <c r="D271" t="str">
        <f>INDEX(Technologies!$B$7:$S$67,H271,I271)</f>
        <v>Gas</v>
      </c>
      <c r="E271" t="str">
        <f>INDEX(Technologies!$B$7:$B$67,H271)</f>
        <v>Stor_EF-Gas-040gal-0.58EF</v>
      </c>
      <c r="G271" t="str">
        <f t="shared" si="370"/>
        <v>Fuel_Type</v>
      </c>
      <c r="H271">
        <f t="shared" si="425"/>
        <v>37</v>
      </c>
      <c r="I271">
        <f>MATCH(G271,Technologies!$B$6:$S$6,0)</f>
        <v>3</v>
      </c>
      <c r="J271">
        <f t="shared" ref="J271" si="450">+J260</f>
        <v>67</v>
      </c>
    </row>
    <row r="272" spans="2:10" x14ac:dyDescent="0.25">
      <c r="B272">
        <f>INDEX(exante.Technology!$A$2:$A$4130,MATCH(E272,exante.Technology!$C$2:$C$4130,0))</f>
        <v>1037</v>
      </c>
      <c r="C272">
        <f t="shared" ref="C272" si="451">+C261</f>
        <v>1081</v>
      </c>
      <c r="D272">
        <f>INDEX(Technologies!$B$7:$S$67,H272,I272)</f>
        <v>40</v>
      </c>
      <c r="E272" t="str">
        <f>INDEX(Technologies!$B$7:$B$67,H272)</f>
        <v>Stor_EF-Gas-040gal-0.58EF</v>
      </c>
      <c r="G272" t="str">
        <f t="shared" si="370"/>
        <v>Nom_Gallons</v>
      </c>
      <c r="H272">
        <f t="shared" si="425"/>
        <v>37</v>
      </c>
      <c r="I272">
        <f>MATCH(G272,Technologies!$B$6:$S$6,0)</f>
        <v>4</v>
      </c>
      <c r="J272">
        <f t="shared" ref="J272" si="452">+J261</f>
        <v>67</v>
      </c>
    </row>
    <row r="273" spans="2:10" x14ac:dyDescent="0.25">
      <c r="B273">
        <f>INDEX(exante.Technology!$A$2:$A$4130,MATCH(E273,exante.Technology!$C$2:$C$4130,0))</f>
        <v>1037</v>
      </c>
      <c r="C273">
        <f t="shared" ref="C273" si="453">+C262</f>
        <v>58</v>
      </c>
      <c r="D273">
        <f>INDEX(Technologies!$B$7:$S$67,H273,I273)</f>
        <v>0.57999999999999996</v>
      </c>
      <c r="E273" t="str">
        <f>INDEX(Technologies!$B$7:$B$67,H273)</f>
        <v>Stor_EF-Gas-040gal-0.58EF</v>
      </c>
      <c r="G273" t="str">
        <f t="shared" si="370"/>
        <v>Energy_Factor</v>
      </c>
      <c r="H273">
        <f t="shared" si="425"/>
        <v>37</v>
      </c>
      <c r="I273">
        <f>MATCH(G273,Technologies!$B$6:$S$6,0)</f>
        <v>5</v>
      </c>
      <c r="J273">
        <f t="shared" ref="J273" si="454">+J262</f>
        <v>67</v>
      </c>
    </row>
    <row r="274" spans="2:10" x14ac:dyDescent="0.25">
      <c r="B274">
        <f>INDEX(exante.Technology!$A$2:$A$4130,MATCH(E274,exante.Technology!$C$2:$C$4130,0))</f>
        <v>1037</v>
      </c>
      <c r="C274">
        <f t="shared" ref="C274" si="455">+C263</f>
        <v>1070</v>
      </c>
      <c r="D274">
        <f>INDEX(Technologies!$B$7:$S$67,H274,I274)</f>
        <v>40</v>
      </c>
      <c r="E274" t="str">
        <f>INDEX(Technologies!$B$7:$B$67,H274)</f>
        <v>Stor_EF-Gas-040gal-0.58EF</v>
      </c>
      <c r="G274" t="str">
        <f t="shared" si="370"/>
        <v>BurnCap_kBTUh</v>
      </c>
      <c r="H274">
        <f t="shared" si="425"/>
        <v>37</v>
      </c>
      <c r="I274">
        <f>MATCH(G274,Technologies!$B$6:$S$6,0)</f>
        <v>6</v>
      </c>
      <c r="J274">
        <f t="shared" ref="J274" si="456">+J263</f>
        <v>67</v>
      </c>
    </row>
    <row r="275" spans="2:10" x14ac:dyDescent="0.25">
      <c r="B275">
        <f>INDEX(exante.Technology!$A$2:$A$4130,MATCH(E275,exante.Technology!$C$2:$C$4130,0))</f>
        <v>1037</v>
      </c>
      <c r="C275">
        <f t="shared" ref="C275" si="457">+C264</f>
        <v>1071</v>
      </c>
      <c r="D275">
        <f>INDEX(Technologies!$B$7:$S$67,H275,I275)</f>
        <v>0</v>
      </c>
      <c r="E275" t="str">
        <f>INDEX(Technologies!$B$7:$B$67,H275)</f>
        <v>Stor_EF-Gas-040gal-0.58EF</v>
      </c>
      <c r="G275" t="str">
        <f t="shared" si="370"/>
        <v>BurnCap_kW</v>
      </c>
      <c r="H275">
        <f t="shared" si="425"/>
        <v>37</v>
      </c>
      <c r="I275">
        <f>MATCH(G275,Technologies!$B$6:$S$6,0)</f>
        <v>7</v>
      </c>
      <c r="J275">
        <f t="shared" ref="J275" si="458">+J264</f>
        <v>67</v>
      </c>
    </row>
    <row r="276" spans="2:10" x14ac:dyDescent="0.25">
      <c r="B276">
        <f>INDEX(exante.Technology!$A$2:$A$4130,MATCH(E276,exante.Technology!$C$2:$C$4130,0))</f>
        <v>1037</v>
      </c>
      <c r="C276">
        <f t="shared" ref="C276" si="459">+C265</f>
        <v>1072</v>
      </c>
      <c r="D276">
        <f>INDEX(Technologies!$B$7:$S$67,H276,I276)</f>
        <v>0.75800000000000001</v>
      </c>
      <c r="E276" t="str">
        <f>INDEX(Technologies!$B$7:$B$67,H276)</f>
        <v>Stor_EF-Gas-040gal-0.58EF</v>
      </c>
      <c r="G276" t="str">
        <f t="shared" si="370"/>
        <v>RecovEff</v>
      </c>
      <c r="H276">
        <f t="shared" si="425"/>
        <v>37</v>
      </c>
      <c r="I276">
        <f>MATCH(G276,Technologies!$B$6:$S$6,0)</f>
        <v>8</v>
      </c>
      <c r="J276">
        <f t="shared" ref="J276" si="460">+J265</f>
        <v>67</v>
      </c>
    </row>
    <row r="277" spans="2:10" x14ac:dyDescent="0.25">
      <c r="B277">
        <f>INDEX(exante.Technology!$A$2:$A$4130,MATCH(E277,exante.Technology!$C$2:$C$4130,0))</f>
        <v>1037</v>
      </c>
      <c r="C277">
        <f t="shared" ref="C277" si="461">+C266</f>
        <v>1073</v>
      </c>
      <c r="D277">
        <f>INDEX(Technologies!$B$7:$S$67,H277,I277)</f>
        <v>8.4047999999999998</v>
      </c>
      <c r="E277" t="str">
        <f>INDEX(Technologies!$B$7:$B$67,H277)</f>
        <v>Stor_EF-Gas-040gal-0.58EF</v>
      </c>
      <c r="G277" t="str">
        <f t="shared" si="370"/>
        <v>TankUA</v>
      </c>
      <c r="H277">
        <f t="shared" si="425"/>
        <v>37</v>
      </c>
      <c r="I277">
        <f>MATCH(G277,Technologies!$B$6:$S$6,0)</f>
        <v>9</v>
      </c>
      <c r="J277">
        <f t="shared" ref="J277" si="462">+J266</f>
        <v>67</v>
      </c>
    </row>
    <row r="278" spans="2:10" x14ac:dyDescent="0.25">
      <c r="B278">
        <f>INDEX(exante.Technology!$A$2:$A$4130,MATCH(E278,exante.Technology!$C$2:$C$4130,0))</f>
        <v>1037</v>
      </c>
      <c r="C278">
        <f t="shared" ref="C278" si="463">+C267</f>
        <v>1074</v>
      </c>
      <c r="D278">
        <f>INDEX(Technologies!$B$7:$S$67,H278,I278)</f>
        <v>0</v>
      </c>
      <c r="E278" t="str">
        <f>INDEX(Technologies!$B$7:$B$67,H278)</f>
        <v>Stor_EF-Gas-040gal-0.58EF</v>
      </c>
      <c r="G278" t="str">
        <f t="shared" si="370"/>
        <v>auxW</v>
      </c>
      <c r="H278">
        <f t="shared" si="425"/>
        <v>37</v>
      </c>
      <c r="I278">
        <f>MATCH(G278,Technologies!$B$6:$S$6,0)</f>
        <v>13</v>
      </c>
      <c r="J278">
        <f t="shared" ref="J278" si="464">+J267</f>
        <v>67</v>
      </c>
    </row>
    <row r="279" spans="2:10" x14ac:dyDescent="0.25">
      <c r="B279">
        <f>INDEX(exante.Technology!$A$2:$A$4130,MATCH(E279,exante.Technology!$C$2:$C$4130,0))</f>
        <v>1037</v>
      </c>
      <c r="C279">
        <f t="shared" ref="C279" si="465">+C268</f>
        <v>1075</v>
      </c>
      <c r="D279">
        <f>INDEX(Technologies!$B$7:$S$67,H279,I279)</f>
        <v>0</v>
      </c>
      <c r="E279" t="str">
        <f>INDEX(Technologies!$B$7:$B$67,H279)</f>
        <v>Stor_EF-Gas-040gal-0.58EF</v>
      </c>
      <c r="G279" t="str">
        <f t="shared" si="370"/>
        <v>auxVentW</v>
      </c>
      <c r="H279">
        <f t="shared" si="425"/>
        <v>37</v>
      </c>
      <c r="I279">
        <f>MATCH(G279,Technologies!$B$6:$S$6,0)</f>
        <v>14</v>
      </c>
      <c r="J279">
        <f t="shared" ref="J279" si="466">+J268</f>
        <v>67</v>
      </c>
    </row>
    <row r="280" spans="2:10" x14ac:dyDescent="0.25">
      <c r="B280">
        <f>INDEX(exante.Technology!$A$2:$A$4130,MATCH(E280,exante.Technology!$C$2:$C$4130,0))</f>
        <v>1037</v>
      </c>
      <c r="C280">
        <f t="shared" ref="C280" si="467">+C269</f>
        <v>1076</v>
      </c>
      <c r="D280">
        <f>INDEX(Technologies!$B$7:$S$67,H280,I280)</f>
        <v>350</v>
      </c>
      <c r="E280" t="str">
        <f>INDEX(Technologies!$B$7:$B$67,H280)</f>
        <v>Stor_EF-Gas-040gal-0.58EF</v>
      </c>
      <c r="G280" t="str">
        <f t="shared" si="370"/>
        <v>pilotBTUh</v>
      </c>
      <c r="H280">
        <f t="shared" si="425"/>
        <v>37</v>
      </c>
      <c r="I280">
        <f>MATCH(G280,Technologies!$B$6:$S$6,0)</f>
        <v>15</v>
      </c>
      <c r="J280">
        <f t="shared" ref="J280" si="468">+J269</f>
        <v>67</v>
      </c>
    </row>
    <row r="281" spans="2:10" x14ac:dyDescent="0.25">
      <c r="B281">
        <f>INDEX(exante.Technology!$A$2:$A$4130,MATCH(E281,exante.Technology!$C$2:$C$4130,0))</f>
        <v>1037</v>
      </c>
      <c r="C281">
        <f t="shared" ref="C281" si="469">+C270</f>
        <v>1077</v>
      </c>
      <c r="D281">
        <f>INDEX(Technologies!$B$7:$S$67,H281,I281)</f>
        <v>0.67</v>
      </c>
      <c r="E281" t="str">
        <f>INDEX(Technologies!$B$7:$B$67,H281)</f>
        <v>Stor_EF-Gas-040gal-0.58EF</v>
      </c>
      <c r="G281" t="str">
        <f t="shared" si="370"/>
        <v>pilotHtgEff</v>
      </c>
      <c r="H281">
        <f t="shared" si="425"/>
        <v>37</v>
      </c>
      <c r="I281">
        <f>MATCH(G281,Technologies!$B$6:$S$6,0)</f>
        <v>16</v>
      </c>
      <c r="J281">
        <f t="shared" ref="J281" si="470">+J270</f>
        <v>67</v>
      </c>
    </row>
    <row r="282" spans="2:10" x14ac:dyDescent="0.25">
      <c r="B282">
        <f>INDEX(exante.Technology!$A$2:$A$4130,MATCH(E282,exante.Technology!$C$2:$C$4130,0))</f>
        <v>1038</v>
      </c>
      <c r="C282">
        <f t="shared" ref="C282" si="471">+C271</f>
        <v>85</v>
      </c>
      <c r="D282" t="str">
        <f>INDEX(Technologies!$B$7:$S$67,H282,I282)</f>
        <v>Gas</v>
      </c>
      <c r="E282" t="str">
        <f>INDEX(Technologies!$B$7:$B$67,H282)</f>
        <v>Stor_EF-Gas-040gal-0.59EF</v>
      </c>
      <c r="G282" t="str">
        <f t="shared" si="370"/>
        <v>Fuel_Type</v>
      </c>
      <c r="H282">
        <f t="shared" si="425"/>
        <v>38</v>
      </c>
      <c r="I282">
        <f>MATCH(G282,Technologies!$B$6:$S$6,0)</f>
        <v>3</v>
      </c>
      <c r="J282">
        <f t="shared" ref="J282" si="472">+J271</f>
        <v>67</v>
      </c>
    </row>
    <row r="283" spans="2:10" x14ac:dyDescent="0.25">
      <c r="B283">
        <f>INDEX(exante.Technology!$A$2:$A$4130,MATCH(E283,exante.Technology!$C$2:$C$4130,0))</f>
        <v>1038</v>
      </c>
      <c r="C283">
        <f t="shared" ref="C283" si="473">+C272</f>
        <v>1081</v>
      </c>
      <c r="D283">
        <f>INDEX(Technologies!$B$7:$S$67,H283,I283)</f>
        <v>40</v>
      </c>
      <c r="E283" t="str">
        <f>INDEX(Technologies!$B$7:$B$67,H283)</f>
        <v>Stor_EF-Gas-040gal-0.59EF</v>
      </c>
      <c r="G283" t="str">
        <f t="shared" si="370"/>
        <v>Nom_Gallons</v>
      </c>
      <c r="H283">
        <f t="shared" si="425"/>
        <v>38</v>
      </c>
      <c r="I283">
        <f>MATCH(G283,Technologies!$B$6:$S$6,0)</f>
        <v>4</v>
      </c>
      <c r="J283">
        <f t="shared" ref="J283" si="474">+J272</f>
        <v>67</v>
      </c>
    </row>
    <row r="284" spans="2:10" x14ac:dyDescent="0.25">
      <c r="B284">
        <f>INDEX(exante.Technology!$A$2:$A$4130,MATCH(E284,exante.Technology!$C$2:$C$4130,0))</f>
        <v>1038</v>
      </c>
      <c r="C284">
        <f t="shared" ref="C284" si="475">+C273</f>
        <v>58</v>
      </c>
      <c r="D284">
        <f>INDEX(Technologies!$B$7:$S$67,H284,I284)</f>
        <v>0.59399999999999997</v>
      </c>
      <c r="E284" t="str">
        <f>INDEX(Technologies!$B$7:$B$67,H284)</f>
        <v>Stor_EF-Gas-040gal-0.59EF</v>
      </c>
      <c r="G284" t="str">
        <f t="shared" si="370"/>
        <v>Energy_Factor</v>
      </c>
      <c r="H284">
        <f t="shared" si="425"/>
        <v>38</v>
      </c>
      <c r="I284">
        <f>MATCH(G284,Technologies!$B$6:$S$6,0)</f>
        <v>5</v>
      </c>
      <c r="J284">
        <f t="shared" ref="J284" si="476">+J273</f>
        <v>67</v>
      </c>
    </row>
    <row r="285" spans="2:10" x14ac:dyDescent="0.25">
      <c r="B285">
        <f>INDEX(exante.Technology!$A$2:$A$4130,MATCH(E285,exante.Technology!$C$2:$C$4130,0))</f>
        <v>1038</v>
      </c>
      <c r="C285">
        <f t="shared" ref="C285" si="477">+C274</f>
        <v>1070</v>
      </c>
      <c r="D285">
        <f>INDEX(Technologies!$B$7:$S$67,H285,I285)</f>
        <v>40</v>
      </c>
      <c r="E285" t="str">
        <f>INDEX(Technologies!$B$7:$B$67,H285)</f>
        <v>Stor_EF-Gas-040gal-0.59EF</v>
      </c>
      <c r="G285" t="str">
        <f t="shared" si="370"/>
        <v>BurnCap_kBTUh</v>
      </c>
      <c r="H285">
        <f t="shared" si="425"/>
        <v>38</v>
      </c>
      <c r="I285">
        <f>MATCH(G285,Technologies!$B$6:$S$6,0)</f>
        <v>6</v>
      </c>
      <c r="J285">
        <f t="shared" ref="J285" si="478">+J274</f>
        <v>67</v>
      </c>
    </row>
    <row r="286" spans="2:10" x14ac:dyDescent="0.25">
      <c r="B286">
        <f>INDEX(exante.Technology!$A$2:$A$4130,MATCH(E286,exante.Technology!$C$2:$C$4130,0))</f>
        <v>1038</v>
      </c>
      <c r="C286">
        <f t="shared" ref="C286" si="479">+C275</f>
        <v>1071</v>
      </c>
      <c r="D286">
        <f>INDEX(Technologies!$B$7:$S$67,H286,I286)</f>
        <v>0</v>
      </c>
      <c r="E286" t="str">
        <f>INDEX(Technologies!$B$7:$B$67,H286)</f>
        <v>Stor_EF-Gas-040gal-0.59EF</v>
      </c>
      <c r="G286" t="str">
        <f t="shared" si="370"/>
        <v>BurnCap_kW</v>
      </c>
      <c r="H286">
        <f t="shared" si="425"/>
        <v>38</v>
      </c>
      <c r="I286">
        <f>MATCH(G286,Technologies!$B$6:$S$6,0)</f>
        <v>7</v>
      </c>
      <c r="J286">
        <f t="shared" ref="J286" si="480">+J275</f>
        <v>67</v>
      </c>
    </row>
    <row r="287" spans="2:10" x14ac:dyDescent="0.25">
      <c r="B287">
        <f>INDEX(exante.Technology!$A$2:$A$4130,MATCH(E287,exante.Technology!$C$2:$C$4130,0))</f>
        <v>1038</v>
      </c>
      <c r="C287">
        <f t="shared" ref="C287" si="481">+C276</f>
        <v>1072</v>
      </c>
      <c r="D287">
        <f>INDEX(Technologies!$B$7:$S$67,H287,I287)</f>
        <v>0.75800000000000001</v>
      </c>
      <c r="E287" t="str">
        <f>INDEX(Technologies!$B$7:$B$67,H287)</f>
        <v>Stor_EF-Gas-040gal-0.59EF</v>
      </c>
      <c r="G287" t="str">
        <f t="shared" si="370"/>
        <v>RecovEff</v>
      </c>
      <c r="H287">
        <f t="shared" si="425"/>
        <v>38</v>
      </c>
      <c r="I287">
        <f>MATCH(G287,Technologies!$B$6:$S$6,0)</f>
        <v>8</v>
      </c>
      <c r="J287">
        <f t="shared" ref="J287" si="482">+J276</f>
        <v>67</v>
      </c>
    </row>
    <row r="288" spans="2:10" x14ac:dyDescent="0.25">
      <c r="B288">
        <f>INDEX(exante.Technology!$A$2:$A$4130,MATCH(E288,exante.Technology!$C$2:$C$4130,0))</f>
        <v>1038</v>
      </c>
      <c r="C288">
        <f t="shared" ref="C288" si="483">+C277</f>
        <v>1073</v>
      </c>
      <c r="D288">
        <f>INDEX(Technologies!$B$7:$S$67,H288,I288)</f>
        <v>7.5471000000000004</v>
      </c>
      <c r="E288" t="str">
        <f>INDEX(Technologies!$B$7:$B$67,H288)</f>
        <v>Stor_EF-Gas-040gal-0.59EF</v>
      </c>
      <c r="G288" t="str">
        <f t="shared" si="370"/>
        <v>TankUA</v>
      </c>
      <c r="H288">
        <f t="shared" si="425"/>
        <v>38</v>
      </c>
      <c r="I288">
        <f>MATCH(G288,Technologies!$B$6:$S$6,0)</f>
        <v>9</v>
      </c>
      <c r="J288">
        <f t="shared" ref="J288" si="484">+J277</f>
        <v>67</v>
      </c>
    </row>
    <row r="289" spans="2:10" x14ac:dyDescent="0.25">
      <c r="B289">
        <f>INDEX(exante.Technology!$A$2:$A$4130,MATCH(E289,exante.Technology!$C$2:$C$4130,0))</f>
        <v>1038</v>
      </c>
      <c r="C289">
        <f t="shared" ref="C289" si="485">+C278</f>
        <v>1074</v>
      </c>
      <c r="D289">
        <f>INDEX(Technologies!$B$7:$S$67,H289,I289)</f>
        <v>0</v>
      </c>
      <c r="E289" t="str">
        <f>INDEX(Technologies!$B$7:$B$67,H289)</f>
        <v>Stor_EF-Gas-040gal-0.59EF</v>
      </c>
      <c r="G289" t="str">
        <f t="shared" si="370"/>
        <v>auxW</v>
      </c>
      <c r="H289">
        <f t="shared" si="425"/>
        <v>38</v>
      </c>
      <c r="I289">
        <f>MATCH(G289,Technologies!$B$6:$S$6,0)</f>
        <v>13</v>
      </c>
      <c r="J289">
        <f t="shared" ref="J289" si="486">+J278</f>
        <v>67</v>
      </c>
    </row>
    <row r="290" spans="2:10" x14ac:dyDescent="0.25">
      <c r="B290">
        <f>INDEX(exante.Technology!$A$2:$A$4130,MATCH(E290,exante.Technology!$C$2:$C$4130,0))</f>
        <v>1038</v>
      </c>
      <c r="C290">
        <f t="shared" ref="C290" si="487">+C279</f>
        <v>1075</v>
      </c>
      <c r="D290">
        <f>INDEX(Technologies!$B$7:$S$67,H290,I290)</f>
        <v>0</v>
      </c>
      <c r="E290" t="str">
        <f>INDEX(Technologies!$B$7:$B$67,H290)</f>
        <v>Stor_EF-Gas-040gal-0.59EF</v>
      </c>
      <c r="G290" t="str">
        <f t="shared" si="370"/>
        <v>auxVentW</v>
      </c>
      <c r="H290">
        <f t="shared" si="425"/>
        <v>38</v>
      </c>
      <c r="I290">
        <f>MATCH(G290,Technologies!$B$6:$S$6,0)</f>
        <v>14</v>
      </c>
      <c r="J290">
        <f t="shared" ref="J290" si="488">+J279</f>
        <v>67</v>
      </c>
    </row>
    <row r="291" spans="2:10" x14ac:dyDescent="0.25">
      <c r="B291">
        <f>INDEX(exante.Technology!$A$2:$A$4130,MATCH(E291,exante.Technology!$C$2:$C$4130,0))</f>
        <v>1038</v>
      </c>
      <c r="C291">
        <f t="shared" ref="C291" si="489">+C280</f>
        <v>1076</v>
      </c>
      <c r="D291">
        <f>INDEX(Technologies!$B$7:$S$67,H291,I291)</f>
        <v>350</v>
      </c>
      <c r="E291" t="str">
        <f>INDEX(Technologies!$B$7:$B$67,H291)</f>
        <v>Stor_EF-Gas-040gal-0.59EF</v>
      </c>
      <c r="G291" t="str">
        <f t="shared" si="370"/>
        <v>pilotBTUh</v>
      </c>
      <c r="H291">
        <f t="shared" si="425"/>
        <v>38</v>
      </c>
      <c r="I291">
        <f>MATCH(G291,Technologies!$B$6:$S$6,0)</f>
        <v>15</v>
      </c>
      <c r="J291">
        <f t="shared" ref="J291" si="490">+J280</f>
        <v>67</v>
      </c>
    </row>
    <row r="292" spans="2:10" x14ac:dyDescent="0.25">
      <c r="B292">
        <f>INDEX(exante.Technology!$A$2:$A$4130,MATCH(E292,exante.Technology!$C$2:$C$4130,0))</f>
        <v>1038</v>
      </c>
      <c r="C292">
        <f t="shared" ref="C292" si="491">+C281</f>
        <v>1077</v>
      </c>
      <c r="D292">
        <f>INDEX(Technologies!$B$7:$S$67,H292,I292)</f>
        <v>0.67</v>
      </c>
      <c r="E292" t="str">
        <f>INDEX(Technologies!$B$7:$B$67,H292)</f>
        <v>Stor_EF-Gas-040gal-0.59EF</v>
      </c>
      <c r="G292" t="str">
        <f t="shared" si="370"/>
        <v>pilotHtgEff</v>
      </c>
      <c r="H292">
        <f t="shared" si="425"/>
        <v>38</v>
      </c>
      <c r="I292">
        <f>MATCH(G292,Technologies!$B$6:$S$6,0)</f>
        <v>16</v>
      </c>
      <c r="J292">
        <f t="shared" ref="J292" si="492">+J281</f>
        <v>67</v>
      </c>
    </row>
    <row r="293" spans="2:10" x14ac:dyDescent="0.25">
      <c r="B293">
        <f>INDEX(exante.Technology!$A$2:$A$4130,MATCH(E293,exante.Technology!$C$2:$C$4130,0))</f>
        <v>1039</v>
      </c>
      <c r="C293">
        <f t="shared" ref="C293" si="493">+C282</f>
        <v>85</v>
      </c>
      <c r="D293" t="str">
        <f>INDEX(Technologies!$B$7:$S$67,H293,I293)</f>
        <v>Gas</v>
      </c>
      <c r="E293" t="str">
        <f>INDEX(Technologies!$B$7:$B$67,H293)</f>
        <v>Stor_EF-Gas-040gal-0.615EF</v>
      </c>
      <c r="G293" t="str">
        <f t="shared" si="370"/>
        <v>Fuel_Type</v>
      </c>
      <c r="H293">
        <f t="shared" si="425"/>
        <v>39</v>
      </c>
      <c r="I293">
        <f>MATCH(G293,Technologies!$B$6:$S$6,0)</f>
        <v>3</v>
      </c>
      <c r="J293">
        <f t="shared" ref="J293" si="494">+J282</f>
        <v>67</v>
      </c>
    </row>
    <row r="294" spans="2:10" x14ac:dyDescent="0.25">
      <c r="B294">
        <f>INDEX(exante.Technology!$A$2:$A$4130,MATCH(E294,exante.Technology!$C$2:$C$4130,0))</f>
        <v>1039</v>
      </c>
      <c r="C294">
        <f t="shared" ref="C294" si="495">+C283</f>
        <v>1081</v>
      </c>
      <c r="D294">
        <f>INDEX(Technologies!$B$7:$S$67,H294,I294)</f>
        <v>40</v>
      </c>
      <c r="E294" t="str">
        <f>INDEX(Technologies!$B$7:$B$67,H294)</f>
        <v>Stor_EF-Gas-040gal-0.615EF</v>
      </c>
      <c r="G294" t="str">
        <f t="shared" si="370"/>
        <v>Nom_Gallons</v>
      </c>
      <c r="H294">
        <f t="shared" si="425"/>
        <v>39</v>
      </c>
      <c r="I294">
        <f>MATCH(G294,Technologies!$B$6:$S$6,0)</f>
        <v>4</v>
      </c>
      <c r="J294">
        <f t="shared" ref="J294" si="496">+J283</f>
        <v>67</v>
      </c>
    </row>
    <row r="295" spans="2:10" x14ac:dyDescent="0.25">
      <c r="B295">
        <f>INDEX(exante.Technology!$A$2:$A$4130,MATCH(E295,exante.Technology!$C$2:$C$4130,0))</f>
        <v>1039</v>
      </c>
      <c r="C295">
        <f t="shared" ref="C295" si="497">+C284</f>
        <v>58</v>
      </c>
      <c r="D295">
        <f>INDEX(Technologies!$B$7:$S$67,H295,I295)</f>
        <v>0.61499999999999999</v>
      </c>
      <c r="E295" t="str">
        <f>INDEX(Technologies!$B$7:$B$67,H295)</f>
        <v>Stor_EF-Gas-040gal-0.615EF</v>
      </c>
      <c r="G295" t="str">
        <f t="shared" si="370"/>
        <v>Energy_Factor</v>
      </c>
      <c r="H295">
        <f t="shared" si="425"/>
        <v>39</v>
      </c>
      <c r="I295">
        <f>MATCH(G295,Technologies!$B$6:$S$6,0)</f>
        <v>5</v>
      </c>
      <c r="J295">
        <f t="shared" ref="J295" si="498">+J284</f>
        <v>67</v>
      </c>
    </row>
    <row r="296" spans="2:10" x14ac:dyDescent="0.25">
      <c r="B296">
        <f>INDEX(exante.Technology!$A$2:$A$4130,MATCH(E296,exante.Technology!$C$2:$C$4130,0))</f>
        <v>1039</v>
      </c>
      <c r="C296">
        <f t="shared" ref="C296" si="499">+C285</f>
        <v>1070</v>
      </c>
      <c r="D296">
        <f>INDEX(Technologies!$B$7:$S$67,H296,I296)</f>
        <v>40</v>
      </c>
      <c r="E296" t="str">
        <f>INDEX(Technologies!$B$7:$B$67,H296)</f>
        <v>Stor_EF-Gas-040gal-0.615EF</v>
      </c>
      <c r="G296" t="str">
        <f t="shared" ref="G296:G359" si="500">VLOOKUP(C296,$B$3:$C$17,2,FALSE)</f>
        <v>BurnCap_kBTUh</v>
      </c>
      <c r="H296">
        <f t="shared" si="425"/>
        <v>39</v>
      </c>
      <c r="I296">
        <f>MATCH(G296,Technologies!$B$6:$S$6,0)</f>
        <v>6</v>
      </c>
      <c r="J296">
        <f t="shared" ref="J296" si="501">+J285</f>
        <v>67</v>
      </c>
    </row>
    <row r="297" spans="2:10" x14ac:dyDescent="0.25">
      <c r="B297">
        <f>INDEX(exante.Technology!$A$2:$A$4130,MATCH(E297,exante.Technology!$C$2:$C$4130,0))</f>
        <v>1039</v>
      </c>
      <c r="C297">
        <f t="shared" ref="C297" si="502">+C286</f>
        <v>1071</v>
      </c>
      <c r="D297">
        <f>INDEX(Technologies!$B$7:$S$67,H297,I297)</f>
        <v>0</v>
      </c>
      <c r="E297" t="str">
        <f>INDEX(Technologies!$B$7:$B$67,H297)</f>
        <v>Stor_EF-Gas-040gal-0.615EF</v>
      </c>
      <c r="G297" t="str">
        <f t="shared" si="500"/>
        <v>BurnCap_kW</v>
      </c>
      <c r="H297">
        <f t="shared" si="425"/>
        <v>39</v>
      </c>
      <c r="I297">
        <f>MATCH(G297,Technologies!$B$6:$S$6,0)</f>
        <v>7</v>
      </c>
      <c r="J297">
        <f t="shared" ref="J297" si="503">+J286</f>
        <v>67</v>
      </c>
    </row>
    <row r="298" spans="2:10" x14ac:dyDescent="0.25">
      <c r="B298">
        <f>INDEX(exante.Technology!$A$2:$A$4130,MATCH(E298,exante.Technology!$C$2:$C$4130,0))</f>
        <v>1039</v>
      </c>
      <c r="C298">
        <f t="shared" ref="C298" si="504">+C287</f>
        <v>1072</v>
      </c>
      <c r="D298">
        <f>INDEX(Technologies!$B$7:$S$67,H298,I298)</f>
        <v>0.76</v>
      </c>
      <c r="E298" t="str">
        <f>INDEX(Technologies!$B$7:$B$67,H298)</f>
        <v>Stor_EF-Gas-040gal-0.615EF</v>
      </c>
      <c r="G298" t="str">
        <f t="shared" si="500"/>
        <v>RecovEff</v>
      </c>
      <c r="H298">
        <f t="shared" si="425"/>
        <v>39</v>
      </c>
      <c r="I298">
        <f>MATCH(G298,Technologies!$B$6:$S$6,0)</f>
        <v>8</v>
      </c>
      <c r="J298">
        <f t="shared" ref="J298" si="505">+J287</f>
        <v>67</v>
      </c>
    </row>
    <row r="299" spans="2:10" x14ac:dyDescent="0.25">
      <c r="B299">
        <f>INDEX(exante.Technology!$A$2:$A$4130,MATCH(E299,exante.Technology!$C$2:$C$4130,0))</f>
        <v>1039</v>
      </c>
      <c r="C299">
        <f t="shared" ref="C299" si="506">+C288</f>
        <v>1073</v>
      </c>
      <c r="D299">
        <f>INDEX(Technologies!$B$7:$S$67,H299,I299)</f>
        <v>6.4278000000000004</v>
      </c>
      <c r="E299" t="str">
        <f>INDEX(Technologies!$B$7:$B$67,H299)</f>
        <v>Stor_EF-Gas-040gal-0.615EF</v>
      </c>
      <c r="G299" t="str">
        <f t="shared" si="500"/>
        <v>TankUA</v>
      </c>
      <c r="H299">
        <f t="shared" si="425"/>
        <v>39</v>
      </c>
      <c r="I299">
        <f>MATCH(G299,Technologies!$B$6:$S$6,0)</f>
        <v>9</v>
      </c>
      <c r="J299">
        <f t="shared" ref="J299" si="507">+J288</f>
        <v>67</v>
      </c>
    </row>
    <row r="300" spans="2:10" x14ac:dyDescent="0.25">
      <c r="B300">
        <f>INDEX(exante.Technology!$A$2:$A$4130,MATCH(E300,exante.Technology!$C$2:$C$4130,0))</f>
        <v>1039</v>
      </c>
      <c r="C300">
        <f t="shared" ref="C300" si="508">+C289</f>
        <v>1074</v>
      </c>
      <c r="D300">
        <f>INDEX(Technologies!$B$7:$S$67,H300,I300)</f>
        <v>0</v>
      </c>
      <c r="E300" t="str">
        <f>INDEX(Technologies!$B$7:$B$67,H300)</f>
        <v>Stor_EF-Gas-040gal-0.615EF</v>
      </c>
      <c r="G300" t="str">
        <f t="shared" si="500"/>
        <v>auxW</v>
      </c>
      <c r="H300">
        <f t="shared" si="425"/>
        <v>39</v>
      </c>
      <c r="I300">
        <f>MATCH(G300,Technologies!$B$6:$S$6,0)</f>
        <v>13</v>
      </c>
      <c r="J300">
        <f t="shared" ref="J300" si="509">+J289</f>
        <v>67</v>
      </c>
    </row>
    <row r="301" spans="2:10" x14ac:dyDescent="0.25">
      <c r="B301">
        <f>INDEX(exante.Technology!$A$2:$A$4130,MATCH(E301,exante.Technology!$C$2:$C$4130,0))</f>
        <v>1039</v>
      </c>
      <c r="C301">
        <f t="shared" ref="C301" si="510">+C290</f>
        <v>1075</v>
      </c>
      <c r="D301">
        <f>INDEX(Technologies!$B$7:$S$67,H301,I301)</f>
        <v>0</v>
      </c>
      <c r="E301" t="str">
        <f>INDEX(Technologies!$B$7:$B$67,H301)</f>
        <v>Stor_EF-Gas-040gal-0.615EF</v>
      </c>
      <c r="G301" t="str">
        <f t="shared" si="500"/>
        <v>auxVentW</v>
      </c>
      <c r="H301">
        <f t="shared" si="425"/>
        <v>39</v>
      </c>
      <c r="I301">
        <f>MATCH(G301,Technologies!$B$6:$S$6,0)</f>
        <v>14</v>
      </c>
      <c r="J301">
        <f t="shared" ref="J301" si="511">+J290</f>
        <v>67</v>
      </c>
    </row>
    <row r="302" spans="2:10" x14ac:dyDescent="0.25">
      <c r="B302">
        <f>INDEX(exante.Technology!$A$2:$A$4130,MATCH(E302,exante.Technology!$C$2:$C$4130,0))</f>
        <v>1039</v>
      </c>
      <c r="C302">
        <f t="shared" ref="C302" si="512">+C291</f>
        <v>1076</v>
      </c>
      <c r="D302">
        <f>INDEX(Technologies!$B$7:$S$67,H302,I302)</f>
        <v>350</v>
      </c>
      <c r="E302" t="str">
        <f>INDEX(Technologies!$B$7:$B$67,H302)</f>
        <v>Stor_EF-Gas-040gal-0.615EF</v>
      </c>
      <c r="G302" t="str">
        <f t="shared" si="500"/>
        <v>pilotBTUh</v>
      </c>
      <c r="H302">
        <f t="shared" si="425"/>
        <v>39</v>
      </c>
      <c r="I302">
        <f>MATCH(G302,Technologies!$B$6:$S$6,0)</f>
        <v>15</v>
      </c>
      <c r="J302">
        <f t="shared" ref="J302" si="513">+J291</f>
        <v>67</v>
      </c>
    </row>
    <row r="303" spans="2:10" x14ac:dyDescent="0.25">
      <c r="B303">
        <f>INDEX(exante.Technology!$A$2:$A$4130,MATCH(E303,exante.Technology!$C$2:$C$4130,0))</f>
        <v>1039</v>
      </c>
      <c r="C303">
        <f t="shared" ref="C303" si="514">+C292</f>
        <v>1077</v>
      </c>
      <c r="D303">
        <f>INDEX(Technologies!$B$7:$S$67,H303,I303)</f>
        <v>0.67</v>
      </c>
      <c r="E303" t="str">
        <f>INDEX(Technologies!$B$7:$B$67,H303)</f>
        <v>Stor_EF-Gas-040gal-0.615EF</v>
      </c>
      <c r="G303" t="str">
        <f t="shared" si="500"/>
        <v>pilotHtgEff</v>
      </c>
      <c r="H303">
        <f t="shared" si="425"/>
        <v>39</v>
      </c>
      <c r="I303">
        <f>MATCH(G303,Technologies!$B$6:$S$6,0)</f>
        <v>16</v>
      </c>
      <c r="J303">
        <f t="shared" ref="J303" si="515">+J292</f>
        <v>67</v>
      </c>
    </row>
    <row r="304" spans="2:10" x14ac:dyDescent="0.25">
      <c r="B304">
        <f>INDEX(exante.Technology!$A$2:$A$4130,MATCH(E304,exante.Technology!$C$2:$C$4130,0))</f>
        <v>1040</v>
      </c>
      <c r="C304">
        <f t="shared" ref="C304" si="516">+C293</f>
        <v>85</v>
      </c>
      <c r="D304" t="str">
        <f>INDEX(Technologies!$B$7:$S$67,H304,I304)</f>
        <v>Gas</v>
      </c>
      <c r="E304" t="str">
        <f>INDEX(Technologies!$B$7:$B$67,H304)</f>
        <v>Stor_EF-Gas-040gal-0.65EF</v>
      </c>
      <c r="G304" t="str">
        <f t="shared" si="500"/>
        <v>Fuel_Type</v>
      </c>
      <c r="H304">
        <f t="shared" si="425"/>
        <v>40</v>
      </c>
      <c r="I304">
        <f>MATCH(G304,Technologies!$B$6:$S$6,0)</f>
        <v>3</v>
      </c>
      <c r="J304">
        <f t="shared" ref="J304" si="517">+J293</f>
        <v>67</v>
      </c>
    </row>
    <row r="305" spans="2:10" x14ac:dyDescent="0.25">
      <c r="B305">
        <f>INDEX(exante.Technology!$A$2:$A$4130,MATCH(E305,exante.Technology!$C$2:$C$4130,0))</f>
        <v>1040</v>
      </c>
      <c r="C305">
        <f t="shared" ref="C305" si="518">+C294</f>
        <v>1081</v>
      </c>
      <c r="D305">
        <f>INDEX(Technologies!$B$7:$S$67,H305,I305)</f>
        <v>40</v>
      </c>
      <c r="E305" t="str">
        <f>INDEX(Technologies!$B$7:$B$67,H305)</f>
        <v>Stor_EF-Gas-040gal-0.65EF</v>
      </c>
      <c r="G305" t="str">
        <f t="shared" si="500"/>
        <v>Nom_Gallons</v>
      </c>
      <c r="H305">
        <f t="shared" si="425"/>
        <v>40</v>
      </c>
      <c r="I305">
        <f>MATCH(G305,Technologies!$B$6:$S$6,0)</f>
        <v>4</v>
      </c>
      <c r="J305">
        <f t="shared" ref="J305" si="519">+J294</f>
        <v>67</v>
      </c>
    </row>
    <row r="306" spans="2:10" x14ac:dyDescent="0.25">
      <c r="B306">
        <f>INDEX(exante.Technology!$A$2:$A$4130,MATCH(E306,exante.Technology!$C$2:$C$4130,0))</f>
        <v>1040</v>
      </c>
      <c r="C306">
        <f t="shared" ref="C306" si="520">+C295</f>
        <v>58</v>
      </c>
      <c r="D306">
        <f>INDEX(Technologies!$B$7:$S$67,H306,I306)</f>
        <v>0.65</v>
      </c>
      <c r="E306" t="str">
        <f>INDEX(Technologies!$B$7:$B$67,H306)</f>
        <v>Stor_EF-Gas-040gal-0.65EF</v>
      </c>
      <c r="G306" t="str">
        <f t="shared" si="500"/>
        <v>Energy_Factor</v>
      </c>
      <c r="H306">
        <f t="shared" si="425"/>
        <v>40</v>
      </c>
      <c r="I306">
        <f>MATCH(G306,Technologies!$B$6:$S$6,0)</f>
        <v>5</v>
      </c>
      <c r="J306">
        <f t="shared" ref="J306" si="521">+J295</f>
        <v>67</v>
      </c>
    </row>
    <row r="307" spans="2:10" x14ac:dyDescent="0.25">
      <c r="B307">
        <f>INDEX(exante.Technology!$A$2:$A$4130,MATCH(E307,exante.Technology!$C$2:$C$4130,0))</f>
        <v>1040</v>
      </c>
      <c r="C307">
        <f t="shared" ref="C307" si="522">+C296</f>
        <v>1070</v>
      </c>
      <c r="D307">
        <f>INDEX(Technologies!$B$7:$S$67,H307,I307)</f>
        <v>40</v>
      </c>
      <c r="E307" t="str">
        <f>INDEX(Technologies!$B$7:$B$67,H307)</f>
        <v>Stor_EF-Gas-040gal-0.65EF</v>
      </c>
      <c r="G307" t="str">
        <f t="shared" si="500"/>
        <v>BurnCap_kBTUh</v>
      </c>
      <c r="H307">
        <f t="shared" si="425"/>
        <v>40</v>
      </c>
      <c r="I307">
        <f>MATCH(G307,Technologies!$B$6:$S$6,0)</f>
        <v>6</v>
      </c>
      <c r="J307">
        <f t="shared" ref="J307" si="523">+J296</f>
        <v>67</v>
      </c>
    </row>
    <row r="308" spans="2:10" x14ac:dyDescent="0.25">
      <c r="B308">
        <f>INDEX(exante.Technology!$A$2:$A$4130,MATCH(E308,exante.Technology!$C$2:$C$4130,0))</f>
        <v>1040</v>
      </c>
      <c r="C308">
        <f t="shared" ref="C308" si="524">+C297</f>
        <v>1071</v>
      </c>
      <c r="D308">
        <f>INDEX(Technologies!$B$7:$S$67,H308,I308)</f>
        <v>0</v>
      </c>
      <c r="E308" t="str">
        <f>INDEX(Technologies!$B$7:$B$67,H308)</f>
        <v>Stor_EF-Gas-040gal-0.65EF</v>
      </c>
      <c r="G308" t="str">
        <f t="shared" si="500"/>
        <v>BurnCap_kW</v>
      </c>
      <c r="H308">
        <f t="shared" si="425"/>
        <v>40</v>
      </c>
      <c r="I308">
        <f>MATCH(G308,Technologies!$B$6:$S$6,0)</f>
        <v>7</v>
      </c>
      <c r="J308">
        <f t="shared" ref="J308" si="525">+J297</f>
        <v>67</v>
      </c>
    </row>
    <row r="309" spans="2:10" x14ac:dyDescent="0.25">
      <c r="B309">
        <f>INDEX(exante.Technology!$A$2:$A$4130,MATCH(E309,exante.Technology!$C$2:$C$4130,0))</f>
        <v>1040</v>
      </c>
      <c r="C309">
        <f t="shared" ref="C309" si="526">+C298</f>
        <v>1072</v>
      </c>
      <c r="D309">
        <f>INDEX(Technologies!$B$7:$S$67,H309,I309)</f>
        <v>0.76</v>
      </c>
      <c r="E309" t="str">
        <f>INDEX(Technologies!$B$7:$B$67,H309)</f>
        <v>Stor_EF-Gas-040gal-0.65EF</v>
      </c>
      <c r="G309" t="str">
        <f t="shared" si="500"/>
        <v>RecovEff</v>
      </c>
      <c r="H309">
        <f t="shared" si="425"/>
        <v>40</v>
      </c>
      <c r="I309">
        <f>MATCH(G309,Technologies!$B$6:$S$6,0)</f>
        <v>8</v>
      </c>
      <c r="J309">
        <f t="shared" ref="J309" si="527">+J298</f>
        <v>67</v>
      </c>
    </row>
    <row r="310" spans="2:10" x14ac:dyDescent="0.25">
      <c r="B310">
        <f>INDEX(exante.Technology!$A$2:$A$4130,MATCH(E310,exante.Technology!$C$2:$C$4130,0))</f>
        <v>1040</v>
      </c>
      <c r="C310">
        <f t="shared" ref="C310" si="528">+C299</f>
        <v>1073</v>
      </c>
      <c r="D310">
        <f>INDEX(Technologies!$B$7:$S$67,H310,I310)</f>
        <v>4.5952000000000002</v>
      </c>
      <c r="E310" t="str">
        <f>INDEX(Technologies!$B$7:$B$67,H310)</f>
        <v>Stor_EF-Gas-040gal-0.65EF</v>
      </c>
      <c r="G310" t="str">
        <f t="shared" si="500"/>
        <v>TankUA</v>
      </c>
      <c r="H310">
        <f t="shared" si="425"/>
        <v>40</v>
      </c>
      <c r="I310">
        <f>MATCH(G310,Technologies!$B$6:$S$6,0)</f>
        <v>9</v>
      </c>
      <c r="J310">
        <f t="shared" ref="J310" si="529">+J299</f>
        <v>67</v>
      </c>
    </row>
    <row r="311" spans="2:10" x14ac:dyDescent="0.25">
      <c r="B311">
        <f>INDEX(exante.Technology!$A$2:$A$4130,MATCH(E311,exante.Technology!$C$2:$C$4130,0))</f>
        <v>1040</v>
      </c>
      <c r="C311">
        <f t="shared" ref="C311" si="530">+C300</f>
        <v>1074</v>
      </c>
      <c r="D311">
        <f>INDEX(Technologies!$B$7:$S$67,H311,I311)</f>
        <v>0</v>
      </c>
      <c r="E311" t="str">
        <f>INDEX(Technologies!$B$7:$B$67,H311)</f>
        <v>Stor_EF-Gas-040gal-0.65EF</v>
      </c>
      <c r="G311" t="str">
        <f t="shared" si="500"/>
        <v>auxW</v>
      </c>
      <c r="H311">
        <f t="shared" si="425"/>
        <v>40</v>
      </c>
      <c r="I311">
        <f>MATCH(G311,Technologies!$B$6:$S$6,0)</f>
        <v>13</v>
      </c>
      <c r="J311">
        <f t="shared" ref="J311" si="531">+J300</f>
        <v>67</v>
      </c>
    </row>
    <row r="312" spans="2:10" x14ac:dyDescent="0.25">
      <c r="B312">
        <f>INDEX(exante.Technology!$A$2:$A$4130,MATCH(E312,exante.Technology!$C$2:$C$4130,0))</f>
        <v>1040</v>
      </c>
      <c r="C312">
        <f t="shared" ref="C312" si="532">+C301</f>
        <v>1075</v>
      </c>
      <c r="D312">
        <f>INDEX(Technologies!$B$7:$S$67,H312,I312)</f>
        <v>0</v>
      </c>
      <c r="E312" t="str">
        <f>INDEX(Technologies!$B$7:$B$67,H312)</f>
        <v>Stor_EF-Gas-040gal-0.65EF</v>
      </c>
      <c r="G312" t="str">
        <f t="shared" si="500"/>
        <v>auxVentW</v>
      </c>
      <c r="H312">
        <f t="shared" si="425"/>
        <v>40</v>
      </c>
      <c r="I312">
        <f>MATCH(G312,Technologies!$B$6:$S$6,0)</f>
        <v>14</v>
      </c>
      <c r="J312">
        <f t="shared" ref="J312" si="533">+J301</f>
        <v>67</v>
      </c>
    </row>
    <row r="313" spans="2:10" x14ac:dyDescent="0.25">
      <c r="B313">
        <f>INDEX(exante.Technology!$A$2:$A$4130,MATCH(E313,exante.Technology!$C$2:$C$4130,0))</f>
        <v>1040</v>
      </c>
      <c r="C313">
        <f t="shared" ref="C313" si="534">+C302</f>
        <v>1076</v>
      </c>
      <c r="D313">
        <f>INDEX(Technologies!$B$7:$S$67,H313,I313)</f>
        <v>350</v>
      </c>
      <c r="E313" t="str">
        <f>INDEX(Technologies!$B$7:$B$67,H313)</f>
        <v>Stor_EF-Gas-040gal-0.65EF</v>
      </c>
      <c r="G313" t="str">
        <f t="shared" si="500"/>
        <v>pilotBTUh</v>
      </c>
      <c r="H313">
        <f t="shared" si="425"/>
        <v>40</v>
      </c>
      <c r="I313">
        <f>MATCH(G313,Technologies!$B$6:$S$6,0)</f>
        <v>15</v>
      </c>
      <c r="J313">
        <f t="shared" ref="J313" si="535">+J302</f>
        <v>67</v>
      </c>
    </row>
    <row r="314" spans="2:10" x14ac:dyDescent="0.25">
      <c r="B314">
        <f>INDEX(exante.Technology!$A$2:$A$4130,MATCH(E314,exante.Technology!$C$2:$C$4130,0))</f>
        <v>1040</v>
      </c>
      <c r="C314">
        <f t="shared" ref="C314" si="536">+C303</f>
        <v>1077</v>
      </c>
      <c r="D314">
        <f>INDEX(Technologies!$B$7:$S$67,H314,I314)</f>
        <v>0.67</v>
      </c>
      <c r="E314" t="str">
        <f>INDEX(Technologies!$B$7:$B$67,H314)</f>
        <v>Stor_EF-Gas-040gal-0.65EF</v>
      </c>
      <c r="G314" t="str">
        <f t="shared" si="500"/>
        <v>pilotHtgEff</v>
      </c>
      <c r="H314">
        <f t="shared" si="425"/>
        <v>40</v>
      </c>
      <c r="I314">
        <f>MATCH(G314,Technologies!$B$6:$S$6,0)</f>
        <v>16</v>
      </c>
      <c r="J314">
        <f t="shared" ref="J314" si="537">+J303</f>
        <v>67</v>
      </c>
    </row>
    <row r="315" spans="2:10" x14ac:dyDescent="0.25">
      <c r="B315">
        <f>INDEX(exante.Technology!$A$2:$A$4130,MATCH(E315,exante.Technology!$C$2:$C$4130,0))</f>
        <v>1041</v>
      </c>
      <c r="C315">
        <f t="shared" ref="C315" si="538">+C304</f>
        <v>85</v>
      </c>
      <c r="D315" t="str">
        <f>INDEX(Technologies!$B$7:$S$67,H315,I315)</f>
        <v>Gas</v>
      </c>
      <c r="E315" t="str">
        <f>INDEX(Technologies!$B$7:$B$67,H315)</f>
        <v>Stor_EF-Gas-040gal-0.70EF</v>
      </c>
      <c r="G315" t="str">
        <f t="shared" si="500"/>
        <v>Fuel_Type</v>
      </c>
      <c r="H315">
        <f t="shared" si="425"/>
        <v>41</v>
      </c>
      <c r="I315">
        <f>MATCH(G315,Technologies!$B$6:$S$6,0)</f>
        <v>3</v>
      </c>
      <c r="J315">
        <f t="shared" ref="J315" si="539">+J304</f>
        <v>67</v>
      </c>
    </row>
    <row r="316" spans="2:10" x14ac:dyDescent="0.25">
      <c r="B316">
        <f>INDEX(exante.Technology!$A$2:$A$4130,MATCH(E316,exante.Technology!$C$2:$C$4130,0))</f>
        <v>1041</v>
      </c>
      <c r="C316">
        <f t="shared" ref="C316" si="540">+C305</f>
        <v>1081</v>
      </c>
      <c r="D316">
        <f>INDEX(Technologies!$B$7:$S$67,H316,I316)</f>
        <v>40</v>
      </c>
      <c r="E316" t="str">
        <f>INDEX(Technologies!$B$7:$B$67,H316)</f>
        <v>Stor_EF-Gas-040gal-0.70EF</v>
      </c>
      <c r="G316" t="str">
        <f t="shared" si="500"/>
        <v>Nom_Gallons</v>
      </c>
      <c r="H316">
        <f t="shared" si="425"/>
        <v>41</v>
      </c>
      <c r="I316">
        <f>MATCH(G316,Technologies!$B$6:$S$6,0)</f>
        <v>4</v>
      </c>
      <c r="J316">
        <f t="shared" ref="J316" si="541">+J305</f>
        <v>67</v>
      </c>
    </row>
    <row r="317" spans="2:10" x14ac:dyDescent="0.25">
      <c r="B317">
        <f>INDEX(exante.Technology!$A$2:$A$4130,MATCH(E317,exante.Technology!$C$2:$C$4130,0))</f>
        <v>1041</v>
      </c>
      <c r="C317">
        <f t="shared" ref="C317" si="542">+C306</f>
        <v>58</v>
      </c>
      <c r="D317">
        <f>INDEX(Technologies!$B$7:$S$67,H317,I317)</f>
        <v>0.7</v>
      </c>
      <c r="E317" t="str">
        <f>INDEX(Technologies!$B$7:$B$67,H317)</f>
        <v>Stor_EF-Gas-040gal-0.70EF</v>
      </c>
      <c r="G317" t="str">
        <f t="shared" si="500"/>
        <v>Energy_Factor</v>
      </c>
      <c r="H317">
        <f t="shared" si="425"/>
        <v>41</v>
      </c>
      <c r="I317">
        <f>MATCH(G317,Technologies!$B$6:$S$6,0)</f>
        <v>5</v>
      </c>
      <c r="J317">
        <f t="shared" ref="J317" si="543">+J306</f>
        <v>67</v>
      </c>
    </row>
    <row r="318" spans="2:10" x14ac:dyDescent="0.25">
      <c r="B318">
        <f>INDEX(exante.Technology!$A$2:$A$4130,MATCH(E318,exante.Technology!$C$2:$C$4130,0))</f>
        <v>1041</v>
      </c>
      <c r="C318">
        <f t="shared" ref="C318" si="544">+C307</f>
        <v>1070</v>
      </c>
      <c r="D318">
        <f>INDEX(Technologies!$B$7:$S$67,H318,I318)</f>
        <v>40</v>
      </c>
      <c r="E318" t="str">
        <f>INDEX(Technologies!$B$7:$B$67,H318)</f>
        <v>Stor_EF-Gas-040gal-0.70EF</v>
      </c>
      <c r="G318" t="str">
        <f t="shared" si="500"/>
        <v>BurnCap_kBTUh</v>
      </c>
      <c r="H318">
        <f t="shared" si="425"/>
        <v>41</v>
      </c>
      <c r="I318">
        <f>MATCH(G318,Technologies!$B$6:$S$6,0)</f>
        <v>6</v>
      </c>
      <c r="J318">
        <f t="shared" ref="J318" si="545">+J307</f>
        <v>67</v>
      </c>
    </row>
    <row r="319" spans="2:10" x14ac:dyDescent="0.25">
      <c r="B319">
        <f>INDEX(exante.Technology!$A$2:$A$4130,MATCH(E319,exante.Technology!$C$2:$C$4130,0))</f>
        <v>1041</v>
      </c>
      <c r="C319">
        <f t="shared" ref="C319" si="546">+C308</f>
        <v>1071</v>
      </c>
      <c r="D319">
        <f>INDEX(Technologies!$B$7:$S$67,H319,I319)</f>
        <v>0</v>
      </c>
      <c r="E319" t="str">
        <f>INDEX(Technologies!$B$7:$B$67,H319)</f>
        <v>Stor_EF-Gas-040gal-0.70EF</v>
      </c>
      <c r="G319" t="str">
        <f t="shared" si="500"/>
        <v>BurnCap_kW</v>
      </c>
      <c r="H319">
        <f t="shared" si="425"/>
        <v>41</v>
      </c>
      <c r="I319">
        <f>MATCH(G319,Technologies!$B$6:$S$6,0)</f>
        <v>7</v>
      </c>
      <c r="J319">
        <f t="shared" ref="J319" si="547">+J308</f>
        <v>67</v>
      </c>
    </row>
    <row r="320" spans="2:10" x14ac:dyDescent="0.25">
      <c r="B320">
        <f>INDEX(exante.Technology!$A$2:$A$4130,MATCH(E320,exante.Technology!$C$2:$C$4130,0))</f>
        <v>1041</v>
      </c>
      <c r="C320">
        <f t="shared" ref="C320" si="548">+C309</f>
        <v>1072</v>
      </c>
      <c r="D320">
        <f>INDEX(Technologies!$B$7:$S$67,H320,I320)</f>
        <v>0.82</v>
      </c>
      <c r="E320" t="str">
        <f>INDEX(Technologies!$B$7:$B$67,H320)</f>
        <v>Stor_EF-Gas-040gal-0.70EF</v>
      </c>
      <c r="G320" t="str">
        <f t="shared" si="500"/>
        <v>RecovEff</v>
      </c>
      <c r="H320">
        <f t="shared" si="425"/>
        <v>41</v>
      </c>
      <c r="I320">
        <f>MATCH(G320,Technologies!$B$6:$S$6,0)</f>
        <v>8</v>
      </c>
      <c r="J320">
        <f t="shared" ref="J320" si="549">+J309</f>
        <v>67</v>
      </c>
    </row>
    <row r="321" spans="2:10" x14ac:dyDescent="0.25">
      <c r="B321">
        <f>INDEX(exante.Technology!$A$2:$A$4130,MATCH(E321,exante.Technology!$C$2:$C$4130,0))</f>
        <v>1041</v>
      </c>
      <c r="C321">
        <f t="shared" ref="C321" si="550">+C310</f>
        <v>1073</v>
      </c>
      <c r="D321">
        <f>INDEX(Technologies!$B$7:$S$67,H321,I321)</f>
        <v>4.6315999999999997</v>
      </c>
      <c r="E321" t="str">
        <f>INDEX(Technologies!$B$7:$B$67,H321)</f>
        <v>Stor_EF-Gas-040gal-0.70EF</v>
      </c>
      <c r="G321" t="str">
        <f t="shared" si="500"/>
        <v>TankUA</v>
      </c>
      <c r="H321">
        <f t="shared" si="425"/>
        <v>41</v>
      </c>
      <c r="I321">
        <f>MATCH(G321,Technologies!$B$6:$S$6,0)</f>
        <v>9</v>
      </c>
      <c r="J321">
        <f t="shared" ref="J321" si="551">+J310</f>
        <v>67</v>
      </c>
    </row>
    <row r="322" spans="2:10" x14ac:dyDescent="0.25">
      <c r="B322">
        <f>INDEX(exante.Technology!$A$2:$A$4130,MATCH(E322,exante.Technology!$C$2:$C$4130,0))</f>
        <v>1041</v>
      </c>
      <c r="C322">
        <f t="shared" ref="C322" si="552">+C311</f>
        <v>1074</v>
      </c>
      <c r="D322">
        <f>INDEX(Technologies!$B$7:$S$67,H322,I322)</f>
        <v>0</v>
      </c>
      <c r="E322" t="str">
        <f>INDEX(Technologies!$B$7:$B$67,H322)</f>
        <v>Stor_EF-Gas-040gal-0.70EF</v>
      </c>
      <c r="G322" t="str">
        <f t="shared" si="500"/>
        <v>auxW</v>
      </c>
      <c r="H322">
        <f t="shared" si="425"/>
        <v>41</v>
      </c>
      <c r="I322">
        <f>MATCH(G322,Technologies!$B$6:$S$6,0)</f>
        <v>13</v>
      </c>
      <c r="J322">
        <f t="shared" ref="J322" si="553">+J311</f>
        <v>67</v>
      </c>
    </row>
    <row r="323" spans="2:10" x14ac:dyDescent="0.25">
      <c r="B323">
        <f>INDEX(exante.Technology!$A$2:$A$4130,MATCH(E323,exante.Technology!$C$2:$C$4130,0))</f>
        <v>1041</v>
      </c>
      <c r="C323">
        <f t="shared" ref="C323" si="554">+C312</f>
        <v>1075</v>
      </c>
      <c r="D323">
        <f>INDEX(Technologies!$B$7:$S$67,H323,I323)</f>
        <v>0</v>
      </c>
      <c r="E323" t="str">
        <f>INDEX(Technologies!$B$7:$B$67,H323)</f>
        <v>Stor_EF-Gas-040gal-0.70EF</v>
      </c>
      <c r="G323" t="str">
        <f t="shared" si="500"/>
        <v>auxVentW</v>
      </c>
      <c r="H323">
        <f t="shared" ref="H323:H386" si="555">+H312+1</f>
        <v>41</v>
      </c>
      <c r="I323">
        <f>MATCH(G323,Technologies!$B$6:$S$6,0)</f>
        <v>14</v>
      </c>
      <c r="J323">
        <f t="shared" ref="J323" si="556">+J312</f>
        <v>67</v>
      </c>
    </row>
    <row r="324" spans="2:10" x14ac:dyDescent="0.25">
      <c r="B324">
        <f>INDEX(exante.Technology!$A$2:$A$4130,MATCH(E324,exante.Technology!$C$2:$C$4130,0))</f>
        <v>1041</v>
      </c>
      <c r="C324">
        <f t="shared" ref="C324" si="557">+C313</f>
        <v>1076</v>
      </c>
      <c r="D324">
        <f>INDEX(Technologies!$B$7:$S$67,H324,I324)</f>
        <v>350</v>
      </c>
      <c r="E324" t="str">
        <f>INDEX(Technologies!$B$7:$B$67,H324)</f>
        <v>Stor_EF-Gas-040gal-0.70EF</v>
      </c>
      <c r="G324" t="str">
        <f t="shared" si="500"/>
        <v>pilotBTUh</v>
      </c>
      <c r="H324">
        <f t="shared" si="555"/>
        <v>41</v>
      </c>
      <c r="I324">
        <f>MATCH(G324,Technologies!$B$6:$S$6,0)</f>
        <v>15</v>
      </c>
      <c r="J324">
        <f t="shared" ref="J324" si="558">+J313</f>
        <v>67</v>
      </c>
    </row>
    <row r="325" spans="2:10" x14ac:dyDescent="0.25">
      <c r="B325">
        <f>INDEX(exante.Technology!$A$2:$A$4130,MATCH(E325,exante.Technology!$C$2:$C$4130,0))</f>
        <v>1041</v>
      </c>
      <c r="C325">
        <f t="shared" ref="C325" si="559">+C314</f>
        <v>1077</v>
      </c>
      <c r="D325">
        <f>INDEX(Technologies!$B$7:$S$67,H325,I325)</f>
        <v>0.67</v>
      </c>
      <c r="E325" t="str">
        <f>INDEX(Technologies!$B$7:$B$67,H325)</f>
        <v>Stor_EF-Gas-040gal-0.70EF</v>
      </c>
      <c r="G325" t="str">
        <f t="shared" si="500"/>
        <v>pilotHtgEff</v>
      </c>
      <c r="H325">
        <f t="shared" si="555"/>
        <v>41</v>
      </c>
      <c r="I325">
        <f>MATCH(G325,Technologies!$B$6:$S$6,0)</f>
        <v>16</v>
      </c>
      <c r="J325">
        <f t="shared" ref="J325" si="560">+J314</f>
        <v>67</v>
      </c>
    </row>
    <row r="326" spans="2:10" x14ac:dyDescent="0.25">
      <c r="B326">
        <f>INDEX(exante.Technology!$A$2:$A$4130,MATCH(E326,exante.Technology!$C$2:$C$4130,0))</f>
        <v>1042</v>
      </c>
      <c r="C326">
        <f t="shared" ref="C326" si="561">+C315</f>
        <v>85</v>
      </c>
      <c r="D326" t="str">
        <f>INDEX(Technologies!$B$7:$S$67,H326,I326)</f>
        <v>Gas</v>
      </c>
      <c r="E326" t="str">
        <f>INDEX(Technologies!$B$7:$B$67,H326)</f>
        <v>Stor_EF-Gas-040gal-0.82EF</v>
      </c>
      <c r="G326" t="str">
        <f t="shared" si="500"/>
        <v>Fuel_Type</v>
      </c>
      <c r="H326">
        <f t="shared" si="555"/>
        <v>42</v>
      </c>
      <c r="I326">
        <f>MATCH(G326,Technologies!$B$6:$S$6,0)</f>
        <v>3</v>
      </c>
      <c r="J326">
        <f t="shared" ref="J326" si="562">+J315</f>
        <v>67</v>
      </c>
    </row>
    <row r="327" spans="2:10" x14ac:dyDescent="0.25">
      <c r="B327">
        <f>INDEX(exante.Technology!$A$2:$A$4130,MATCH(E327,exante.Technology!$C$2:$C$4130,0))</f>
        <v>1042</v>
      </c>
      <c r="C327">
        <f t="shared" ref="C327" si="563">+C316</f>
        <v>1081</v>
      </c>
      <c r="D327">
        <f>INDEX(Technologies!$B$7:$S$67,H327,I327)</f>
        <v>40</v>
      </c>
      <c r="E327" t="str">
        <f>INDEX(Technologies!$B$7:$B$67,H327)</f>
        <v>Stor_EF-Gas-040gal-0.82EF</v>
      </c>
      <c r="G327" t="str">
        <f t="shared" si="500"/>
        <v>Nom_Gallons</v>
      </c>
      <c r="H327">
        <f t="shared" si="555"/>
        <v>42</v>
      </c>
      <c r="I327">
        <f>MATCH(G327,Technologies!$B$6:$S$6,0)</f>
        <v>4</v>
      </c>
      <c r="J327">
        <f t="shared" ref="J327" si="564">+J316</f>
        <v>67</v>
      </c>
    </row>
    <row r="328" spans="2:10" x14ac:dyDescent="0.25">
      <c r="B328">
        <f>INDEX(exante.Technology!$A$2:$A$4130,MATCH(E328,exante.Technology!$C$2:$C$4130,0))</f>
        <v>1042</v>
      </c>
      <c r="C328">
        <f t="shared" ref="C328" si="565">+C317</f>
        <v>58</v>
      </c>
      <c r="D328">
        <f>INDEX(Technologies!$B$7:$S$67,H328,I328)</f>
        <v>0.82</v>
      </c>
      <c r="E328" t="str">
        <f>INDEX(Technologies!$B$7:$B$67,H328)</f>
        <v>Stor_EF-Gas-040gal-0.82EF</v>
      </c>
      <c r="G328" t="str">
        <f t="shared" si="500"/>
        <v>Energy_Factor</v>
      </c>
      <c r="H328">
        <f t="shared" si="555"/>
        <v>42</v>
      </c>
      <c r="I328">
        <f>MATCH(G328,Technologies!$B$6:$S$6,0)</f>
        <v>5</v>
      </c>
      <c r="J328">
        <f t="shared" ref="J328" si="566">+J317</f>
        <v>67</v>
      </c>
    </row>
    <row r="329" spans="2:10" x14ac:dyDescent="0.25">
      <c r="B329">
        <f>INDEX(exante.Technology!$A$2:$A$4130,MATCH(E329,exante.Technology!$C$2:$C$4130,0))</f>
        <v>1042</v>
      </c>
      <c r="C329">
        <f t="shared" ref="C329" si="567">+C318</f>
        <v>1070</v>
      </c>
      <c r="D329">
        <f>INDEX(Technologies!$B$7:$S$67,H329,I329)</f>
        <v>40</v>
      </c>
      <c r="E329" t="str">
        <f>INDEX(Technologies!$B$7:$B$67,H329)</f>
        <v>Stor_EF-Gas-040gal-0.82EF</v>
      </c>
      <c r="G329" t="str">
        <f t="shared" si="500"/>
        <v>BurnCap_kBTUh</v>
      </c>
      <c r="H329">
        <f t="shared" si="555"/>
        <v>42</v>
      </c>
      <c r="I329">
        <f>MATCH(G329,Technologies!$B$6:$S$6,0)</f>
        <v>6</v>
      </c>
      <c r="J329">
        <f t="shared" ref="J329" si="568">+J318</f>
        <v>67</v>
      </c>
    </row>
    <row r="330" spans="2:10" x14ac:dyDescent="0.25">
      <c r="B330">
        <f>INDEX(exante.Technology!$A$2:$A$4130,MATCH(E330,exante.Technology!$C$2:$C$4130,0))</f>
        <v>1042</v>
      </c>
      <c r="C330">
        <f t="shared" ref="C330" si="569">+C319</f>
        <v>1071</v>
      </c>
      <c r="D330">
        <f>INDEX(Technologies!$B$7:$S$67,H330,I330)</f>
        <v>0</v>
      </c>
      <c r="E330" t="str">
        <f>INDEX(Technologies!$B$7:$B$67,H330)</f>
        <v>Stor_EF-Gas-040gal-0.82EF</v>
      </c>
      <c r="G330" t="str">
        <f t="shared" si="500"/>
        <v>BurnCap_kW</v>
      </c>
      <c r="H330">
        <f t="shared" si="555"/>
        <v>42</v>
      </c>
      <c r="I330">
        <f>MATCH(G330,Technologies!$B$6:$S$6,0)</f>
        <v>7</v>
      </c>
      <c r="J330">
        <f t="shared" ref="J330" si="570">+J319</f>
        <v>67</v>
      </c>
    </row>
    <row r="331" spans="2:10" x14ac:dyDescent="0.25">
      <c r="B331">
        <f>INDEX(exante.Technology!$A$2:$A$4130,MATCH(E331,exante.Technology!$C$2:$C$4130,0))</f>
        <v>1042</v>
      </c>
      <c r="C331">
        <f t="shared" ref="C331" si="571">+C320</f>
        <v>1072</v>
      </c>
      <c r="D331">
        <f>INDEX(Technologies!$B$7:$S$67,H331,I331)</f>
        <v>0.9</v>
      </c>
      <c r="E331" t="str">
        <f>INDEX(Technologies!$B$7:$B$67,H331)</f>
        <v>Stor_EF-Gas-040gal-0.82EF</v>
      </c>
      <c r="G331" t="str">
        <f t="shared" si="500"/>
        <v>RecovEff</v>
      </c>
      <c r="H331">
        <f t="shared" si="555"/>
        <v>42</v>
      </c>
      <c r="I331">
        <f>MATCH(G331,Technologies!$B$6:$S$6,0)</f>
        <v>8</v>
      </c>
      <c r="J331">
        <f t="shared" ref="J331" si="572">+J320</f>
        <v>67</v>
      </c>
    </row>
    <row r="332" spans="2:10" x14ac:dyDescent="0.25">
      <c r="B332">
        <f>INDEX(exante.Technology!$A$2:$A$4130,MATCH(E332,exante.Technology!$C$2:$C$4130,0))</f>
        <v>1042</v>
      </c>
      <c r="C332">
        <f t="shared" ref="C332" si="573">+C321</f>
        <v>1073</v>
      </c>
      <c r="D332">
        <f>INDEX(Technologies!$B$7:$S$67,H332,I332)</f>
        <v>2.6110000000000002</v>
      </c>
      <c r="E332" t="str">
        <f>INDEX(Technologies!$B$7:$B$67,H332)</f>
        <v>Stor_EF-Gas-040gal-0.82EF</v>
      </c>
      <c r="G332" t="str">
        <f t="shared" si="500"/>
        <v>TankUA</v>
      </c>
      <c r="H332">
        <f t="shared" si="555"/>
        <v>42</v>
      </c>
      <c r="I332">
        <f>MATCH(G332,Technologies!$B$6:$S$6,0)</f>
        <v>9</v>
      </c>
      <c r="J332">
        <f t="shared" ref="J332" si="574">+J321</f>
        <v>67</v>
      </c>
    </row>
    <row r="333" spans="2:10" x14ac:dyDescent="0.25">
      <c r="B333">
        <f>INDEX(exante.Technology!$A$2:$A$4130,MATCH(E333,exante.Technology!$C$2:$C$4130,0))</f>
        <v>1042</v>
      </c>
      <c r="C333">
        <f t="shared" ref="C333" si="575">+C322</f>
        <v>1074</v>
      </c>
      <c r="D333">
        <f>INDEX(Technologies!$B$7:$S$67,H333,I333)</f>
        <v>0</v>
      </c>
      <c r="E333" t="str">
        <f>INDEX(Technologies!$B$7:$B$67,H333)</f>
        <v>Stor_EF-Gas-040gal-0.82EF</v>
      </c>
      <c r="G333" t="str">
        <f t="shared" si="500"/>
        <v>auxW</v>
      </c>
      <c r="H333">
        <f t="shared" si="555"/>
        <v>42</v>
      </c>
      <c r="I333">
        <f>MATCH(G333,Technologies!$B$6:$S$6,0)</f>
        <v>13</v>
      </c>
      <c r="J333">
        <f t="shared" ref="J333" si="576">+J322</f>
        <v>67</v>
      </c>
    </row>
    <row r="334" spans="2:10" x14ac:dyDescent="0.25">
      <c r="B334">
        <f>INDEX(exante.Technology!$A$2:$A$4130,MATCH(E334,exante.Technology!$C$2:$C$4130,0))</f>
        <v>1042</v>
      </c>
      <c r="C334">
        <f t="shared" ref="C334" si="577">+C323</f>
        <v>1075</v>
      </c>
      <c r="D334">
        <f>INDEX(Technologies!$B$7:$S$67,H334,I334)</f>
        <v>50</v>
      </c>
      <c r="E334" t="str">
        <f>INDEX(Technologies!$B$7:$B$67,H334)</f>
        <v>Stor_EF-Gas-040gal-0.82EF</v>
      </c>
      <c r="G334" t="str">
        <f t="shared" si="500"/>
        <v>auxVentW</v>
      </c>
      <c r="H334">
        <f t="shared" si="555"/>
        <v>42</v>
      </c>
      <c r="I334">
        <f>MATCH(G334,Technologies!$B$6:$S$6,0)</f>
        <v>14</v>
      </c>
      <c r="J334">
        <f t="shared" ref="J334" si="578">+J323</f>
        <v>67</v>
      </c>
    </row>
    <row r="335" spans="2:10" x14ac:dyDescent="0.25">
      <c r="B335">
        <f>INDEX(exante.Technology!$A$2:$A$4130,MATCH(E335,exante.Technology!$C$2:$C$4130,0))</f>
        <v>1042</v>
      </c>
      <c r="C335">
        <f t="shared" ref="C335" si="579">+C324</f>
        <v>1076</v>
      </c>
      <c r="D335">
        <f>INDEX(Technologies!$B$7:$S$67,H335,I335)</f>
        <v>350</v>
      </c>
      <c r="E335" t="str">
        <f>INDEX(Technologies!$B$7:$B$67,H335)</f>
        <v>Stor_EF-Gas-040gal-0.82EF</v>
      </c>
      <c r="G335" t="str">
        <f t="shared" si="500"/>
        <v>pilotBTUh</v>
      </c>
      <c r="H335">
        <f t="shared" si="555"/>
        <v>42</v>
      </c>
      <c r="I335">
        <f>MATCH(G335,Technologies!$B$6:$S$6,0)</f>
        <v>15</v>
      </c>
      <c r="J335">
        <f t="shared" ref="J335" si="580">+J324</f>
        <v>67</v>
      </c>
    </row>
    <row r="336" spans="2:10" x14ac:dyDescent="0.25">
      <c r="B336">
        <f>INDEX(exante.Technology!$A$2:$A$4130,MATCH(E336,exante.Technology!$C$2:$C$4130,0))</f>
        <v>1042</v>
      </c>
      <c r="C336">
        <f t="shared" ref="C336" si="581">+C325</f>
        <v>1077</v>
      </c>
      <c r="D336">
        <f>INDEX(Technologies!$B$7:$S$67,H336,I336)</f>
        <v>0.67</v>
      </c>
      <c r="E336" t="str">
        <f>INDEX(Technologies!$B$7:$B$67,H336)</f>
        <v>Stor_EF-Gas-040gal-0.82EF</v>
      </c>
      <c r="G336" t="str">
        <f t="shared" si="500"/>
        <v>pilotHtgEff</v>
      </c>
      <c r="H336">
        <f t="shared" si="555"/>
        <v>42</v>
      </c>
      <c r="I336">
        <f>MATCH(G336,Technologies!$B$6:$S$6,0)</f>
        <v>16</v>
      </c>
      <c r="J336">
        <f t="shared" ref="J336" si="582">+J325</f>
        <v>67</v>
      </c>
    </row>
    <row r="337" spans="2:10" x14ac:dyDescent="0.25">
      <c r="B337">
        <f>INDEX(exante.Technology!$A$2:$A$4130,MATCH(E337,exante.Technology!$C$2:$C$4130,0))</f>
        <v>1043</v>
      </c>
      <c r="C337">
        <f t="shared" ref="C337" si="583">+C326</f>
        <v>85</v>
      </c>
      <c r="D337" t="str">
        <f>INDEX(Technologies!$B$7:$S$67,H337,I337)</f>
        <v>Gas</v>
      </c>
      <c r="E337" t="str">
        <f>INDEX(Technologies!$B$7:$B$67,H337)</f>
        <v>Stor_EF-Gas-050gal-0.57EF</v>
      </c>
      <c r="G337" t="str">
        <f t="shared" si="500"/>
        <v>Fuel_Type</v>
      </c>
      <c r="H337">
        <f t="shared" si="555"/>
        <v>43</v>
      </c>
      <c r="I337">
        <f>MATCH(G337,Technologies!$B$6:$S$6,0)</f>
        <v>3</v>
      </c>
      <c r="J337">
        <f t="shared" ref="J337" si="584">+J326</f>
        <v>67</v>
      </c>
    </row>
    <row r="338" spans="2:10" x14ac:dyDescent="0.25">
      <c r="B338">
        <f>INDEX(exante.Technology!$A$2:$A$4130,MATCH(E338,exante.Technology!$C$2:$C$4130,0))</f>
        <v>1043</v>
      </c>
      <c r="C338">
        <f t="shared" ref="C338" si="585">+C327</f>
        <v>1081</v>
      </c>
      <c r="D338">
        <f>INDEX(Technologies!$B$7:$S$67,H338,I338)</f>
        <v>50</v>
      </c>
      <c r="E338" t="str">
        <f>INDEX(Technologies!$B$7:$B$67,H338)</f>
        <v>Stor_EF-Gas-050gal-0.57EF</v>
      </c>
      <c r="G338" t="str">
        <f t="shared" si="500"/>
        <v>Nom_Gallons</v>
      </c>
      <c r="H338">
        <f t="shared" si="555"/>
        <v>43</v>
      </c>
      <c r="I338">
        <f>MATCH(G338,Technologies!$B$6:$S$6,0)</f>
        <v>4</v>
      </c>
      <c r="J338">
        <f t="shared" ref="J338" si="586">+J327</f>
        <v>67</v>
      </c>
    </row>
    <row r="339" spans="2:10" x14ac:dyDescent="0.25">
      <c r="B339">
        <f>INDEX(exante.Technology!$A$2:$A$4130,MATCH(E339,exante.Technology!$C$2:$C$4130,0))</f>
        <v>1043</v>
      </c>
      <c r="C339">
        <f t="shared" ref="C339" si="587">+C328</f>
        <v>58</v>
      </c>
      <c r="D339">
        <f>INDEX(Technologies!$B$7:$S$67,H339,I339)</f>
        <v>0.56999999999999995</v>
      </c>
      <c r="E339" t="str">
        <f>INDEX(Technologies!$B$7:$B$67,H339)</f>
        <v>Stor_EF-Gas-050gal-0.57EF</v>
      </c>
      <c r="G339" t="str">
        <f t="shared" si="500"/>
        <v>Energy_Factor</v>
      </c>
      <c r="H339">
        <f t="shared" si="555"/>
        <v>43</v>
      </c>
      <c r="I339">
        <f>MATCH(G339,Technologies!$B$6:$S$6,0)</f>
        <v>5</v>
      </c>
      <c r="J339">
        <f t="shared" ref="J339" si="588">+J328</f>
        <v>67</v>
      </c>
    </row>
    <row r="340" spans="2:10" x14ac:dyDescent="0.25">
      <c r="B340">
        <f>INDEX(exante.Technology!$A$2:$A$4130,MATCH(E340,exante.Technology!$C$2:$C$4130,0))</f>
        <v>1043</v>
      </c>
      <c r="C340">
        <f t="shared" ref="C340" si="589">+C329</f>
        <v>1070</v>
      </c>
      <c r="D340">
        <f>INDEX(Technologies!$B$7:$S$67,H340,I340)</f>
        <v>40</v>
      </c>
      <c r="E340" t="str">
        <f>INDEX(Technologies!$B$7:$B$67,H340)</f>
        <v>Stor_EF-Gas-050gal-0.57EF</v>
      </c>
      <c r="G340" t="str">
        <f t="shared" si="500"/>
        <v>BurnCap_kBTUh</v>
      </c>
      <c r="H340">
        <f t="shared" si="555"/>
        <v>43</v>
      </c>
      <c r="I340">
        <f>MATCH(G340,Technologies!$B$6:$S$6,0)</f>
        <v>6</v>
      </c>
      <c r="J340">
        <f t="shared" ref="J340" si="590">+J329</f>
        <v>67</v>
      </c>
    </row>
    <row r="341" spans="2:10" x14ac:dyDescent="0.25">
      <c r="B341">
        <f>INDEX(exante.Technology!$A$2:$A$4130,MATCH(E341,exante.Technology!$C$2:$C$4130,0))</f>
        <v>1043</v>
      </c>
      <c r="C341">
        <f t="shared" ref="C341" si="591">+C330</f>
        <v>1071</v>
      </c>
      <c r="D341">
        <f>INDEX(Technologies!$B$7:$S$67,H341,I341)</f>
        <v>0</v>
      </c>
      <c r="E341" t="str">
        <f>INDEX(Technologies!$B$7:$B$67,H341)</f>
        <v>Stor_EF-Gas-050gal-0.57EF</v>
      </c>
      <c r="G341" t="str">
        <f t="shared" si="500"/>
        <v>BurnCap_kW</v>
      </c>
      <c r="H341">
        <f t="shared" si="555"/>
        <v>43</v>
      </c>
      <c r="I341">
        <f>MATCH(G341,Technologies!$B$6:$S$6,0)</f>
        <v>7</v>
      </c>
      <c r="J341">
        <f t="shared" ref="J341" si="592">+J330</f>
        <v>67</v>
      </c>
    </row>
    <row r="342" spans="2:10" x14ac:dyDescent="0.25">
      <c r="B342">
        <f>INDEX(exante.Technology!$A$2:$A$4130,MATCH(E342,exante.Technology!$C$2:$C$4130,0))</f>
        <v>1043</v>
      </c>
      <c r="C342">
        <f t="shared" ref="C342" si="593">+C331</f>
        <v>1072</v>
      </c>
      <c r="D342">
        <f>INDEX(Technologies!$B$7:$S$67,H342,I342)</f>
        <v>0.76300000000000001</v>
      </c>
      <c r="E342" t="str">
        <f>INDEX(Technologies!$B$7:$B$67,H342)</f>
        <v>Stor_EF-Gas-050gal-0.57EF</v>
      </c>
      <c r="G342" t="str">
        <f t="shared" si="500"/>
        <v>RecovEff</v>
      </c>
      <c r="H342">
        <f t="shared" si="555"/>
        <v>43</v>
      </c>
      <c r="I342">
        <f>MATCH(G342,Technologies!$B$6:$S$6,0)</f>
        <v>8</v>
      </c>
      <c r="J342">
        <f t="shared" ref="J342" si="594">+J331</f>
        <v>67</v>
      </c>
    </row>
    <row r="343" spans="2:10" x14ac:dyDescent="0.25">
      <c r="B343">
        <f>INDEX(exante.Technology!$A$2:$A$4130,MATCH(E343,exante.Technology!$C$2:$C$4130,0))</f>
        <v>1043</v>
      </c>
      <c r="C343">
        <f t="shared" ref="C343" si="595">+C332</f>
        <v>1073</v>
      </c>
      <c r="D343">
        <f>INDEX(Technologies!$B$7:$S$67,H343,I343)</f>
        <v>9.2859999999999996</v>
      </c>
      <c r="E343" t="str">
        <f>INDEX(Technologies!$B$7:$B$67,H343)</f>
        <v>Stor_EF-Gas-050gal-0.57EF</v>
      </c>
      <c r="G343" t="str">
        <f t="shared" si="500"/>
        <v>TankUA</v>
      </c>
      <c r="H343">
        <f t="shared" si="555"/>
        <v>43</v>
      </c>
      <c r="I343">
        <f>MATCH(G343,Technologies!$B$6:$S$6,0)</f>
        <v>9</v>
      </c>
      <c r="J343">
        <f t="shared" ref="J343" si="596">+J332</f>
        <v>67</v>
      </c>
    </row>
    <row r="344" spans="2:10" x14ac:dyDescent="0.25">
      <c r="B344">
        <f>INDEX(exante.Technology!$A$2:$A$4130,MATCH(E344,exante.Technology!$C$2:$C$4130,0))</f>
        <v>1043</v>
      </c>
      <c r="C344">
        <f t="shared" ref="C344" si="597">+C333</f>
        <v>1074</v>
      </c>
      <c r="D344">
        <f>INDEX(Technologies!$B$7:$S$67,H344,I344)</f>
        <v>0</v>
      </c>
      <c r="E344" t="str">
        <f>INDEX(Technologies!$B$7:$B$67,H344)</f>
        <v>Stor_EF-Gas-050gal-0.57EF</v>
      </c>
      <c r="G344" t="str">
        <f t="shared" si="500"/>
        <v>auxW</v>
      </c>
      <c r="H344">
        <f t="shared" si="555"/>
        <v>43</v>
      </c>
      <c r="I344">
        <f>MATCH(G344,Technologies!$B$6:$S$6,0)</f>
        <v>13</v>
      </c>
      <c r="J344">
        <f t="shared" ref="J344" si="598">+J333</f>
        <v>67</v>
      </c>
    </row>
    <row r="345" spans="2:10" x14ac:dyDescent="0.25">
      <c r="B345">
        <f>INDEX(exante.Technology!$A$2:$A$4130,MATCH(E345,exante.Technology!$C$2:$C$4130,0))</f>
        <v>1043</v>
      </c>
      <c r="C345">
        <f t="shared" ref="C345" si="599">+C334</f>
        <v>1075</v>
      </c>
      <c r="D345">
        <f>INDEX(Technologies!$B$7:$S$67,H345,I345)</f>
        <v>0</v>
      </c>
      <c r="E345" t="str">
        <f>INDEX(Technologies!$B$7:$B$67,H345)</f>
        <v>Stor_EF-Gas-050gal-0.57EF</v>
      </c>
      <c r="G345" t="str">
        <f t="shared" si="500"/>
        <v>auxVentW</v>
      </c>
      <c r="H345">
        <f t="shared" si="555"/>
        <v>43</v>
      </c>
      <c r="I345">
        <f>MATCH(G345,Technologies!$B$6:$S$6,0)</f>
        <v>14</v>
      </c>
      <c r="J345">
        <f t="shared" ref="J345" si="600">+J334</f>
        <v>67</v>
      </c>
    </row>
    <row r="346" spans="2:10" x14ac:dyDescent="0.25">
      <c r="B346">
        <f>INDEX(exante.Technology!$A$2:$A$4130,MATCH(E346,exante.Technology!$C$2:$C$4130,0))</f>
        <v>1043</v>
      </c>
      <c r="C346">
        <f t="shared" ref="C346" si="601">+C335</f>
        <v>1076</v>
      </c>
      <c r="D346">
        <f>INDEX(Technologies!$B$7:$S$67,H346,I346)</f>
        <v>350</v>
      </c>
      <c r="E346" t="str">
        <f>INDEX(Technologies!$B$7:$B$67,H346)</f>
        <v>Stor_EF-Gas-050gal-0.57EF</v>
      </c>
      <c r="G346" t="str">
        <f t="shared" si="500"/>
        <v>pilotBTUh</v>
      </c>
      <c r="H346">
        <f t="shared" si="555"/>
        <v>43</v>
      </c>
      <c r="I346">
        <f>MATCH(G346,Technologies!$B$6:$S$6,0)</f>
        <v>15</v>
      </c>
      <c r="J346">
        <f t="shared" ref="J346" si="602">+J335</f>
        <v>67</v>
      </c>
    </row>
    <row r="347" spans="2:10" x14ac:dyDescent="0.25">
      <c r="B347">
        <f>INDEX(exante.Technology!$A$2:$A$4130,MATCH(E347,exante.Technology!$C$2:$C$4130,0))</f>
        <v>1043</v>
      </c>
      <c r="C347">
        <f t="shared" ref="C347" si="603">+C336</f>
        <v>1077</v>
      </c>
      <c r="D347">
        <f>INDEX(Technologies!$B$7:$S$67,H347,I347)</f>
        <v>0.67</v>
      </c>
      <c r="E347" t="str">
        <f>INDEX(Technologies!$B$7:$B$67,H347)</f>
        <v>Stor_EF-Gas-050gal-0.57EF</v>
      </c>
      <c r="G347" t="str">
        <f t="shared" si="500"/>
        <v>pilotHtgEff</v>
      </c>
      <c r="H347">
        <f t="shared" si="555"/>
        <v>43</v>
      </c>
      <c r="I347">
        <f>MATCH(G347,Technologies!$B$6:$S$6,0)</f>
        <v>16</v>
      </c>
      <c r="J347">
        <f t="shared" ref="J347" si="604">+J336</f>
        <v>67</v>
      </c>
    </row>
    <row r="348" spans="2:10" x14ac:dyDescent="0.25">
      <c r="B348">
        <f>INDEX(exante.Technology!$A$2:$A$4130,MATCH(E348,exante.Technology!$C$2:$C$4130,0))</f>
        <v>1044</v>
      </c>
      <c r="C348">
        <f t="shared" ref="C348" si="605">+C337</f>
        <v>85</v>
      </c>
      <c r="D348" t="str">
        <f>INDEX(Technologies!$B$7:$S$67,H348,I348)</f>
        <v>Gas</v>
      </c>
      <c r="E348" t="str">
        <f>INDEX(Technologies!$B$7:$B$67,H348)</f>
        <v>Stor_EF-Gas-050gal-0.58EF</v>
      </c>
      <c r="G348" t="str">
        <f t="shared" si="500"/>
        <v>Fuel_Type</v>
      </c>
      <c r="H348">
        <f t="shared" si="555"/>
        <v>44</v>
      </c>
      <c r="I348">
        <f>MATCH(G348,Technologies!$B$6:$S$6,0)</f>
        <v>3</v>
      </c>
      <c r="J348">
        <f t="shared" ref="J348" si="606">+J337</f>
        <v>67</v>
      </c>
    </row>
    <row r="349" spans="2:10" x14ac:dyDescent="0.25">
      <c r="B349">
        <f>INDEX(exante.Technology!$A$2:$A$4130,MATCH(E349,exante.Technology!$C$2:$C$4130,0))</f>
        <v>1044</v>
      </c>
      <c r="C349">
        <f t="shared" ref="C349" si="607">+C338</f>
        <v>1081</v>
      </c>
      <c r="D349">
        <f>INDEX(Technologies!$B$7:$S$67,H349,I349)</f>
        <v>50</v>
      </c>
      <c r="E349" t="str">
        <f>INDEX(Technologies!$B$7:$B$67,H349)</f>
        <v>Stor_EF-Gas-050gal-0.58EF</v>
      </c>
      <c r="G349" t="str">
        <f t="shared" si="500"/>
        <v>Nom_Gallons</v>
      </c>
      <c r="H349">
        <f t="shared" si="555"/>
        <v>44</v>
      </c>
      <c r="I349">
        <f>MATCH(G349,Technologies!$B$6:$S$6,0)</f>
        <v>4</v>
      </c>
      <c r="J349">
        <f t="shared" ref="J349" si="608">+J338</f>
        <v>67</v>
      </c>
    </row>
    <row r="350" spans="2:10" x14ac:dyDescent="0.25">
      <c r="B350">
        <f>INDEX(exante.Technology!$A$2:$A$4130,MATCH(E350,exante.Technology!$C$2:$C$4130,0))</f>
        <v>1044</v>
      </c>
      <c r="C350">
        <f t="shared" ref="C350" si="609">+C339</f>
        <v>58</v>
      </c>
      <c r="D350">
        <f>INDEX(Technologies!$B$7:$S$67,H350,I350)</f>
        <v>0.57499999999999996</v>
      </c>
      <c r="E350" t="str">
        <f>INDEX(Technologies!$B$7:$B$67,H350)</f>
        <v>Stor_EF-Gas-050gal-0.58EF</v>
      </c>
      <c r="G350" t="str">
        <f t="shared" si="500"/>
        <v>Energy_Factor</v>
      </c>
      <c r="H350">
        <f t="shared" si="555"/>
        <v>44</v>
      </c>
      <c r="I350">
        <f>MATCH(G350,Technologies!$B$6:$S$6,0)</f>
        <v>5</v>
      </c>
      <c r="J350">
        <f t="shared" ref="J350" si="610">+J339</f>
        <v>67</v>
      </c>
    </row>
    <row r="351" spans="2:10" x14ac:dyDescent="0.25">
      <c r="B351">
        <f>INDEX(exante.Technology!$A$2:$A$4130,MATCH(E351,exante.Technology!$C$2:$C$4130,0))</f>
        <v>1044</v>
      </c>
      <c r="C351">
        <f t="shared" ref="C351" si="611">+C340</f>
        <v>1070</v>
      </c>
      <c r="D351">
        <f>INDEX(Technologies!$B$7:$S$67,H351,I351)</f>
        <v>40</v>
      </c>
      <c r="E351" t="str">
        <f>INDEX(Technologies!$B$7:$B$67,H351)</f>
        <v>Stor_EF-Gas-050gal-0.58EF</v>
      </c>
      <c r="G351" t="str">
        <f t="shared" si="500"/>
        <v>BurnCap_kBTUh</v>
      </c>
      <c r="H351">
        <f t="shared" si="555"/>
        <v>44</v>
      </c>
      <c r="I351">
        <f>MATCH(G351,Technologies!$B$6:$S$6,0)</f>
        <v>6</v>
      </c>
      <c r="J351">
        <f t="shared" ref="J351" si="612">+J340</f>
        <v>67</v>
      </c>
    </row>
    <row r="352" spans="2:10" x14ac:dyDescent="0.25">
      <c r="B352">
        <f>INDEX(exante.Technology!$A$2:$A$4130,MATCH(E352,exante.Technology!$C$2:$C$4130,0))</f>
        <v>1044</v>
      </c>
      <c r="C352">
        <f t="shared" ref="C352" si="613">+C341</f>
        <v>1071</v>
      </c>
      <c r="D352">
        <f>INDEX(Technologies!$B$7:$S$67,H352,I352)</f>
        <v>0</v>
      </c>
      <c r="E352" t="str">
        <f>INDEX(Technologies!$B$7:$B$67,H352)</f>
        <v>Stor_EF-Gas-050gal-0.58EF</v>
      </c>
      <c r="G352" t="str">
        <f t="shared" si="500"/>
        <v>BurnCap_kW</v>
      </c>
      <c r="H352">
        <f t="shared" si="555"/>
        <v>44</v>
      </c>
      <c r="I352">
        <f>MATCH(G352,Technologies!$B$6:$S$6,0)</f>
        <v>7</v>
      </c>
      <c r="J352">
        <f t="shared" ref="J352" si="614">+J341</f>
        <v>67</v>
      </c>
    </row>
    <row r="353" spans="2:10" x14ac:dyDescent="0.25">
      <c r="B353">
        <f>INDEX(exante.Technology!$A$2:$A$4130,MATCH(E353,exante.Technology!$C$2:$C$4130,0))</f>
        <v>1044</v>
      </c>
      <c r="C353">
        <f t="shared" ref="C353" si="615">+C342</f>
        <v>1072</v>
      </c>
      <c r="D353">
        <f>INDEX(Technologies!$B$7:$S$67,H353,I353)</f>
        <v>0.76300000000000001</v>
      </c>
      <c r="E353" t="str">
        <f>INDEX(Technologies!$B$7:$B$67,H353)</f>
        <v>Stor_EF-Gas-050gal-0.58EF</v>
      </c>
      <c r="G353" t="str">
        <f t="shared" si="500"/>
        <v>RecovEff</v>
      </c>
      <c r="H353">
        <f t="shared" si="555"/>
        <v>44</v>
      </c>
      <c r="I353">
        <f>MATCH(G353,Technologies!$B$6:$S$6,0)</f>
        <v>8</v>
      </c>
      <c r="J353">
        <f t="shared" ref="J353" si="616">+J342</f>
        <v>67</v>
      </c>
    </row>
    <row r="354" spans="2:10" x14ac:dyDescent="0.25">
      <c r="B354">
        <f>INDEX(exante.Technology!$A$2:$A$4130,MATCH(E354,exante.Technology!$C$2:$C$4130,0))</f>
        <v>1044</v>
      </c>
      <c r="C354">
        <f t="shared" ref="C354" si="617">+C343</f>
        <v>1073</v>
      </c>
      <c r="D354">
        <f>INDEX(Technologies!$B$7:$S$67,H354,I354)</f>
        <v>8.9603999999999999</v>
      </c>
      <c r="E354" t="str">
        <f>INDEX(Technologies!$B$7:$B$67,H354)</f>
        <v>Stor_EF-Gas-050gal-0.58EF</v>
      </c>
      <c r="G354" t="str">
        <f t="shared" si="500"/>
        <v>TankUA</v>
      </c>
      <c r="H354">
        <f t="shared" si="555"/>
        <v>44</v>
      </c>
      <c r="I354">
        <f>MATCH(G354,Technologies!$B$6:$S$6,0)</f>
        <v>9</v>
      </c>
      <c r="J354">
        <f t="shared" ref="J354" si="618">+J343</f>
        <v>67</v>
      </c>
    </row>
    <row r="355" spans="2:10" x14ac:dyDescent="0.25">
      <c r="B355">
        <f>INDEX(exante.Technology!$A$2:$A$4130,MATCH(E355,exante.Technology!$C$2:$C$4130,0))</f>
        <v>1044</v>
      </c>
      <c r="C355">
        <f t="shared" ref="C355" si="619">+C344</f>
        <v>1074</v>
      </c>
      <c r="D355">
        <f>INDEX(Technologies!$B$7:$S$67,H355,I355)</f>
        <v>0</v>
      </c>
      <c r="E355" t="str">
        <f>INDEX(Technologies!$B$7:$B$67,H355)</f>
        <v>Stor_EF-Gas-050gal-0.58EF</v>
      </c>
      <c r="G355" t="str">
        <f t="shared" si="500"/>
        <v>auxW</v>
      </c>
      <c r="H355">
        <f t="shared" si="555"/>
        <v>44</v>
      </c>
      <c r="I355">
        <f>MATCH(G355,Technologies!$B$6:$S$6,0)</f>
        <v>13</v>
      </c>
      <c r="J355">
        <f t="shared" ref="J355" si="620">+J344</f>
        <v>67</v>
      </c>
    </row>
    <row r="356" spans="2:10" x14ac:dyDescent="0.25">
      <c r="B356">
        <f>INDEX(exante.Technology!$A$2:$A$4130,MATCH(E356,exante.Technology!$C$2:$C$4130,0))</f>
        <v>1044</v>
      </c>
      <c r="C356">
        <f t="shared" ref="C356" si="621">+C345</f>
        <v>1075</v>
      </c>
      <c r="D356">
        <f>INDEX(Technologies!$B$7:$S$67,H356,I356)</f>
        <v>0</v>
      </c>
      <c r="E356" t="str">
        <f>INDEX(Technologies!$B$7:$B$67,H356)</f>
        <v>Stor_EF-Gas-050gal-0.58EF</v>
      </c>
      <c r="G356" t="str">
        <f t="shared" si="500"/>
        <v>auxVentW</v>
      </c>
      <c r="H356">
        <f t="shared" si="555"/>
        <v>44</v>
      </c>
      <c r="I356">
        <f>MATCH(G356,Technologies!$B$6:$S$6,0)</f>
        <v>14</v>
      </c>
      <c r="J356">
        <f t="shared" ref="J356" si="622">+J345</f>
        <v>67</v>
      </c>
    </row>
    <row r="357" spans="2:10" x14ac:dyDescent="0.25">
      <c r="B357">
        <f>INDEX(exante.Technology!$A$2:$A$4130,MATCH(E357,exante.Technology!$C$2:$C$4130,0))</f>
        <v>1044</v>
      </c>
      <c r="C357">
        <f t="shared" ref="C357" si="623">+C346</f>
        <v>1076</v>
      </c>
      <c r="D357">
        <f>INDEX(Technologies!$B$7:$S$67,H357,I357)</f>
        <v>350</v>
      </c>
      <c r="E357" t="str">
        <f>INDEX(Technologies!$B$7:$B$67,H357)</f>
        <v>Stor_EF-Gas-050gal-0.58EF</v>
      </c>
      <c r="G357" t="str">
        <f t="shared" si="500"/>
        <v>pilotBTUh</v>
      </c>
      <c r="H357">
        <f t="shared" si="555"/>
        <v>44</v>
      </c>
      <c r="I357">
        <f>MATCH(G357,Technologies!$B$6:$S$6,0)</f>
        <v>15</v>
      </c>
      <c r="J357">
        <f t="shared" ref="J357" si="624">+J346</f>
        <v>67</v>
      </c>
    </row>
    <row r="358" spans="2:10" x14ac:dyDescent="0.25">
      <c r="B358">
        <f>INDEX(exante.Technology!$A$2:$A$4130,MATCH(E358,exante.Technology!$C$2:$C$4130,0))</f>
        <v>1044</v>
      </c>
      <c r="C358">
        <f t="shared" ref="C358" si="625">+C347</f>
        <v>1077</v>
      </c>
      <c r="D358">
        <f>INDEX(Technologies!$B$7:$S$67,H358,I358)</f>
        <v>0.67</v>
      </c>
      <c r="E358" t="str">
        <f>INDEX(Technologies!$B$7:$B$67,H358)</f>
        <v>Stor_EF-Gas-050gal-0.58EF</v>
      </c>
      <c r="G358" t="str">
        <f t="shared" si="500"/>
        <v>pilotHtgEff</v>
      </c>
      <c r="H358">
        <f t="shared" si="555"/>
        <v>44</v>
      </c>
      <c r="I358">
        <f>MATCH(G358,Technologies!$B$6:$S$6,0)</f>
        <v>16</v>
      </c>
      <c r="J358">
        <f t="shared" ref="J358" si="626">+J347</f>
        <v>67</v>
      </c>
    </row>
    <row r="359" spans="2:10" x14ac:dyDescent="0.25">
      <c r="B359">
        <f>INDEX(exante.Technology!$A$2:$A$4130,MATCH(E359,exante.Technology!$C$2:$C$4130,0))</f>
        <v>1045</v>
      </c>
      <c r="C359">
        <f t="shared" ref="C359" si="627">+C348</f>
        <v>85</v>
      </c>
      <c r="D359" t="str">
        <f>INDEX(Technologies!$B$7:$S$67,H359,I359)</f>
        <v>Gas</v>
      </c>
      <c r="E359" t="str">
        <f>INDEX(Technologies!$B$7:$B$67,H359)</f>
        <v>Stor_EF-Gas-050gal-0.600EF</v>
      </c>
      <c r="G359" t="str">
        <f t="shared" si="500"/>
        <v>Fuel_Type</v>
      </c>
      <c r="H359">
        <f t="shared" si="555"/>
        <v>45</v>
      </c>
      <c r="I359">
        <f>MATCH(G359,Technologies!$B$6:$S$6,0)</f>
        <v>3</v>
      </c>
      <c r="J359">
        <f t="shared" ref="J359" si="628">+J348</f>
        <v>67</v>
      </c>
    </row>
    <row r="360" spans="2:10" x14ac:dyDescent="0.25">
      <c r="B360">
        <f>INDEX(exante.Technology!$A$2:$A$4130,MATCH(E360,exante.Technology!$C$2:$C$4130,0))</f>
        <v>1045</v>
      </c>
      <c r="C360">
        <f t="shared" ref="C360" si="629">+C349</f>
        <v>1081</v>
      </c>
      <c r="D360">
        <f>INDEX(Technologies!$B$7:$S$67,H360,I360)</f>
        <v>50</v>
      </c>
      <c r="E360" t="str">
        <f>INDEX(Technologies!$B$7:$B$67,H360)</f>
        <v>Stor_EF-Gas-050gal-0.600EF</v>
      </c>
      <c r="G360" t="str">
        <f t="shared" ref="G360:G423" si="630">VLOOKUP(C360,$B$3:$C$17,2,FALSE)</f>
        <v>Nom_Gallons</v>
      </c>
      <c r="H360">
        <f t="shared" si="555"/>
        <v>45</v>
      </c>
      <c r="I360">
        <f>MATCH(G360,Technologies!$B$6:$S$6,0)</f>
        <v>4</v>
      </c>
      <c r="J360">
        <f t="shared" ref="J360" si="631">+J349</f>
        <v>67</v>
      </c>
    </row>
    <row r="361" spans="2:10" x14ac:dyDescent="0.25">
      <c r="B361">
        <f>INDEX(exante.Technology!$A$2:$A$4130,MATCH(E361,exante.Technology!$C$2:$C$4130,0))</f>
        <v>1045</v>
      </c>
      <c r="C361">
        <f t="shared" ref="C361" si="632">+C350</f>
        <v>58</v>
      </c>
      <c r="D361">
        <f>INDEX(Technologies!$B$7:$S$67,H361,I361)</f>
        <v>0.6</v>
      </c>
      <c r="E361" t="str">
        <f>INDEX(Technologies!$B$7:$B$67,H361)</f>
        <v>Stor_EF-Gas-050gal-0.600EF</v>
      </c>
      <c r="G361" t="str">
        <f t="shared" si="630"/>
        <v>Energy_Factor</v>
      </c>
      <c r="H361">
        <f t="shared" si="555"/>
        <v>45</v>
      </c>
      <c r="I361">
        <f>MATCH(G361,Technologies!$B$6:$S$6,0)</f>
        <v>5</v>
      </c>
      <c r="J361">
        <f t="shared" ref="J361" si="633">+J350</f>
        <v>67</v>
      </c>
    </row>
    <row r="362" spans="2:10" x14ac:dyDescent="0.25">
      <c r="B362">
        <f>INDEX(exante.Technology!$A$2:$A$4130,MATCH(E362,exante.Technology!$C$2:$C$4130,0))</f>
        <v>1045</v>
      </c>
      <c r="C362">
        <f t="shared" ref="C362" si="634">+C351</f>
        <v>1070</v>
      </c>
      <c r="D362">
        <f>INDEX(Technologies!$B$7:$S$67,H362,I362)</f>
        <v>40</v>
      </c>
      <c r="E362" t="str">
        <f>INDEX(Technologies!$B$7:$B$67,H362)</f>
        <v>Stor_EF-Gas-050gal-0.600EF</v>
      </c>
      <c r="G362" t="str">
        <f t="shared" si="630"/>
        <v>BurnCap_kBTUh</v>
      </c>
      <c r="H362">
        <f t="shared" si="555"/>
        <v>45</v>
      </c>
      <c r="I362">
        <f>MATCH(G362,Technologies!$B$6:$S$6,0)</f>
        <v>6</v>
      </c>
      <c r="J362">
        <f t="shared" ref="J362" si="635">+J351</f>
        <v>67</v>
      </c>
    </row>
    <row r="363" spans="2:10" x14ac:dyDescent="0.25">
      <c r="B363">
        <f>INDEX(exante.Technology!$A$2:$A$4130,MATCH(E363,exante.Technology!$C$2:$C$4130,0))</f>
        <v>1045</v>
      </c>
      <c r="C363">
        <f t="shared" ref="C363" si="636">+C352</f>
        <v>1071</v>
      </c>
      <c r="D363">
        <f>INDEX(Technologies!$B$7:$S$67,H363,I363)</f>
        <v>0</v>
      </c>
      <c r="E363" t="str">
        <f>INDEX(Technologies!$B$7:$B$67,H363)</f>
        <v>Stor_EF-Gas-050gal-0.600EF</v>
      </c>
      <c r="G363" t="str">
        <f t="shared" si="630"/>
        <v>BurnCap_kW</v>
      </c>
      <c r="H363">
        <f t="shared" si="555"/>
        <v>45</v>
      </c>
      <c r="I363">
        <f>MATCH(G363,Technologies!$B$6:$S$6,0)</f>
        <v>7</v>
      </c>
      <c r="J363">
        <f t="shared" ref="J363" si="637">+J352</f>
        <v>67</v>
      </c>
    </row>
    <row r="364" spans="2:10" x14ac:dyDescent="0.25">
      <c r="B364">
        <f>INDEX(exante.Technology!$A$2:$A$4130,MATCH(E364,exante.Technology!$C$2:$C$4130,0))</f>
        <v>1045</v>
      </c>
      <c r="C364">
        <f t="shared" ref="C364" si="638">+C353</f>
        <v>1072</v>
      </c>
      <c r="D364">
        <f>INDEX(Technologies!$B$7:$S$67,H364,I364)</f>
        <v>0.76300000000000001</v>
      </c>
      <c r="E364" t="str">
        <f>INDEX(Technologies!$B$7:$B$67,H364)</f>
        <v>Stor_EF-Gas-050gal-0.600EF</v>
      </c>
      <c r="G364" t="str">
        <f t="shared" si="630"/>
        <v>RecovEff</v>
      </c>
      <c r="H364">
        <f t="shared" si="555"/>
        <v>45</v>
      </c>
      <c r="I364">
        <f>MATCH(G364,Technologies!$B$6:$S$6,0)</f>
        <v>8</v>
      </c>
      <c r="J364">
        <f t="shared" ref="J364" si="639">+J353</f>
        <v>67</v>
      </c>
    </row>
    <row r="365" spans="2:10" x14ac:dyDescent="0.25">
      <c r="B365">
        <f>INDEX(exante.Technology!$A$2:$A$4130,MATCH(E365,exante.Technology!$C$2:$C$4130,0))</f>
        <v>1045</v>
      </c>
      <c r="C365">
        <f t="shared" ref="C365" si="640">+C354</f>
        <v>1073</v>
      </c>
      <c r="D365">
        <f>INDEX(Technologies!$B$7:$S$67,H365,I365)</f>
        <v>7.4203000000000001</v>
      </c>
      <c r="E365" t="str">
        <f>INDEX(Technologies!$B$7:$B$67,H365)</f>
        <v>Stor_EF-Gas-050gal-0.600EF</v>
      </c>
      <c r="G365" t="str">
        <f t="shared" si="630"/>
        <v>TankUA</v>
      </c>
      <c r="H365">
        <f t="shared" si="555"/>
        <v>45</v>
      </c>
      <c r="I365">
        <f>MATCH(G365,Technologies!$B$6:$S$6,0)</f>
        <v>9</v>
      </c>
      <c r="J365">
        <f t="shared" ref="J365" si="641">+J354</f>
        <v>67</v>
      </c>
    </row>
    <row r="366" spans="2:10" x14ac:dyDescent="0.25">
      <c r="B366">
        <f>INDEX(exante.Technology!$A$2:$A$4130,MATCH(E366,exante.Technology!$C$2:$C$4130,0))</f>
        <v>1045</v>
      </c>
      <c r="C366">
        <f t="shared" ref="C366" si="642">+C355</f>
        <v>1074</v>
      </c>
      <c r="D366">
        <f>INDEX(Technologies!$B$7:$S$67,H366,I366)</f>
        <v>0</v>
      </c>
      <c r="E366" t="str">
        <f>INDEX(Technologies!$B$7:$B$67,H366)</f>
        <v>Stor_EF-Gas-050gal-0.600EF</v>
      </c>
      <c r="G366" t="str">
        <f t="shared" si="630"/>
        <v>auxW</v>
      </c>
      <c r="H366">
        <f t="shared" si="555"/>
        <v>45</v>
      </c>
      <c r="I366">
        <f>MATCH(G366,Technologies!$B$6:$S$6,0)</f>
        <v>13</v>
      </c>
      <c r="J366">
        <f t="shared" ref="J366" si="643">+J355</f>
        <v>67</v>
      </c>
    </row>
    <row r="367" spans="2:10" x14ac:dyDescent="0.25">
      <c r="B367">
        <f>INDEX(exante.Technology!$A$2:$A$4130,MATCH(E367,exante.Technology!$C$2:$C$4130,0))</f>
        <v>1045</v>
      </c>
      <c r="C367">
        <f t="shared" ref="C367" si="644">+C356</f>
        <v>1075</v>
      </c>
      <c r="D367">
        <f>INDEX(Technologies!$B$7:$S$67,H367,I367)</f>
        <v>0</v>
      </c>
      <c r="E367" t="str">
        <f>INDEX(Technologies!$B$7:$B$67,H367)</f>
        <v>Stor_EF-Gas-050gal-0.600EF</v>
      </c>
      <c r="G367" t="str">
        <f t="shared" si="630"/>
        <v>auxVentW</v>
      </c>
      <c r="H367">
        <f t="shared" si="555"/>
        <v>45</v>
      </c>
      <c r="I367">
        <f>MATCH(G367,Technologies!$B$6:$S$6,0)</f>
        <v>14</v>
      </c>
      <c r="J367">
        <f t="shared" ref="J367" si="645">+J356</f>
        <v>67</v>
      </c>
    </row>
    <row r="368" spans="2:10" x14ac:dyDescent="0.25">
      <c r="B368">
        <f>INDEX(exante.Technology!$A$2:$A$4130,MATCH(E368,exante.Technology!$C$2:$C$4130,0))</f>
        <v>1045</v>
      </c>
      <c r="C368">
        <f t="shared" ref="C368" si="646">+C357</f>
        <v>1076</v>
      </c>
      <c r="D368">
        <f>INDEX(Technologies!$B$7:$S$67,H368,I368)</f>
        <v>350</v>
      </c>
      <c r="E368" t="str">
        <f>INDEX(Technologies!$B$7:$B$67,H368)</f>
        <v>Stor_EF-Gas-050gal-0.600EF</v>
      </c>
      <c r="G368" t="str">
        <f t="shared" si="630"/>
        <v>pilotBTUh</v>
      </c>
      <c r="H368">
        <f t="shared" si="555"/>
        <v>45</v>
      </c>
      <c r="I368">
        <f>MATCH(G368,Technologies!$B$6:$S$6,0)</f>
        <v>15</v>
      </c>
      <c r="J368">
        <f t="shared" ref="J368" si="647">+J357</f>
        <v>67</v>
      </c>
    </row>
    <row r="369" spans="2:10" x14ac:dyDescent="0.25">
      <c r="B369">
        <f>INDEX(exante.Technology!$A$2:$A$4130,MATCH(E369,exante.Technology!$C$2:$C$4130,0))</f>
        <v>1045</v>
      </c>
      <c r="C369">
        <f t="shared" ref="C369" si="648">+C358</f>
        <v>1077</v>
      </c>
      <c r="D369">
        <f>INDEX(Technologies!$B$7:$S$67,H369,I369)</f>
        <v>0.67</v>
      </c>
      <c r="E369" t="str">
        <f>INDEX(Technologies!$B$7:$B$67,H369)</f>
        <v>Stor_EF-Gas-050gal-0.600EF</v>
      </c>
      <c r="G369" t="str">
        <f t="shared" si="630"/>
        <v>pilotHtgEff</v>
      </c>
      <c r="H369">
        <f t="shared" si="555"/>
        <v>45</v>
      </c>
      <c r="I369">
        <f>MATCH(G369,Technologies!$B$6:$S$6,0)</f>
        <v>16</v>
      </c>
      <c r="J369">
        <f t="shared" ref="J369" si="649">+J358</f>
        <v>67</v>
      </c>
    </row>
    <row r="370" spans="2:10" x14ac:dyDescent="0.25">
      <c r="B370">
        <f>INDEX(exante.Technology!$A$2:$A$4130,MATCH(E370,exante.Technology!$C$2:$C$4130,0))</f>
        <v>1046</v>
      </c>
      <c r="C370">
        <f t="shared" ref="C370" si="650">+C359</f>
        <v>85</v>
      </c>
      <c r="D370" t="str">
        <f>INDEX(Technologies!$B$7:$S$67,H370,I370)</f>
        <v>Gas</v>
      </c>
      <c r="E370" t="str">
        <f>INDEX(Technologies!$B$7:$B$67,H370)</f>
        <v>Stor_EF-Gas-050gal-0.67EF</v>
      </c>
      <c r="G370" t="str">
        <f t="shared" si="630"/>
        <v>Fuel_Type</v>
      </c>
      <c r="H370">
        <f t="shared" si="555"/>
        <v>46</v>
      </c>
      <c r="I370">
        <f>MATCH(G370,Technologies!$B$6:$S$6,0)</f>
        <v>3</v>
      </c>
      <c r="J370">
        <f t="shared" ref="J370" si="651">+J359</f>
        <v>67</v>
      </c>
    </row>
    <row r="371" spans="2:10" x14ac:dyDescent="0.25">
      <c r="B371">
        <f>INDEX(exante.Technology!$A$2:$A$4130,MATCH(E371,exante.Technology!$C$2:$C$4130,0))</f>
        <v>1046</v>
      </c>
      <c r="C371">
        <f t="shared" ref="C371" si="652">+C360</f>
        <v>1081</v>
      </c>
      <c r="D371">
        <f>INDEX(Technologies!$B$7:$S$67,H371,I371)</f>
        <v>50</v>
      </c>
      <c r="E371" t="str">
        <f>INDEX(Technologies!$B$7:$B$67,H371)</f>
        <v>Stor_EF-Gas-050gal-0.67EF</v>
      </c>
      <c r="G371" t="str">
        <f t="shared" si="630"/>
        <v>Nom_Gallons</v>
      </c>
      <c r="H371">
        <f t="shared" si="555"/>
        <v>46</v>
      </c>
      <c r="I371">
        <f>MATCH(G371,Technologies!$B$6:$S$6,0)</f>
        <v>4</v>
      </c>
      <c r="J371">
        <f t="shared" ref="J371" si="653">+J360</f>
        <v>67</v>
      </c>
    </row>
    <row r="372" spans="2:10" x14ac:dyDescent="0.25">
      <c r="B372">
        <f>INDEX(exante.Technology!$A$2:$A$4130,MATCH(E372,exante.Technology!$C$2:$C$4130,0))</f>
        <v>1046</v>
      </c>
      <c r="C372">
        <f t="shared" ref="C372" si="654">+C361</f>
        <v>58</v>
      </c>
      <c r="D372">
        <f>INDEX(Technologies!$B$7:$S$67,H372,I372)</f>
        <v>0.67</v>
      </c>
      <c r="E372" t="str">
        <f>INDEX(Technologies!$B$7:$B$67,H372)</f>
        <v>Stor_EF-Gas-050gal-0.67EF</v>
      </c>
      <c r="G372" t="str">
        <f t="shared" si="630"/>
        <v>Energy_Factor</v>
      </c>
      <c r="H372">
        <f t="shared" si="555"/>
        <v>46</v>
      </c>
      <c r="I372">
        <f>MATCH(G372,Technologies!$B$6:$S$6,0)</f>
        <v>5</v>
      </c>
      <c r="J372">
        <f t="shared" ref="J372" si="655">+J361</f>
        <v>67</v>
      </c>
    </row>
    <row r="373" spans="2:10" x14ac:dyDescent="0.25">
      <c r="B373">
        <f>INDEX(exante.Technology!$A$2:$A$4130,MATCH(E373,exante.Technology!$C$2:$C$4130,0))</f>
        <v>1046</v>
      </c>
      <c r="C373">
        <f t="shared" ref="C373" si="656">+C362</f>
        <v>1070</v>
      </c>
      <c r="D373">
        <f>INDEX(Technologies!$B$7:$S$67,H373,I373)</f>
        <v>40</v>
      </c>
      <c r="E373" t="str">
        <f>INDEX(Technologies!$B$7:$B$67,H373)</f>
        <v>Stor_EF-Gas-050gal-0.67EF</v>
      </c>
      <c r="G373" t="str">
        <f t="shared" si="630"/>
        <v>BurnCap_kBTUh</v>
      </c>
      <c r="H373">
        <f t="shared" si="555"/>
        <v>46</v>
      </c>
      <c r="I373">
        <f>MATCH(G373,Technologies!$B$6:$S$6,0)</f>
        <v>6</v>
      </c>
      <c r="J373">
        <f t="shared" ref="J373" si="657">+J362</f>
        <v>67</v>
      </c>
    </row>
    <row r="374" spans="2:10" x14ac:dyDescent="0.25">
      <c r="B374">
        <f>INDEX(exante.Technology!$A$2:$A$4130,MATCH(E374,exante.Technology!$C$2:$C$4130,0))</f>
        <v>1046</v>
      </c>
      <c r="C374">
        <f t="shared" ref="C374" si="658">+C363</f>
        <v>1071</v>
      </c>
      <c r="D374">
        <f>INDEX(Technologies!$B$7:$S$67,H374,I374)</f>
        <v>0</v>
      </c>
      <c r="E374" t="str">
        <f>INDEX(Technologies!$B$7:$B$67,H374)</f>
        <v>Stor_EF-Gas-050gal-0.67EF</v>
      </c>
      <c r="G374" t="str">
        <f t="shared" si="630"/>
        <v>BurnCap_kW</v>
      </c>
      <c r="H374">
        <f t="shared" si="555"/>
        <v>46</v>
      </c>
      <c r="I374">
        <f>MATCH(G374,Technologies!$B$6:$S$6,0)</f>
        <v>7</v>
      </c>
      <c r="J374">
        <f t="shared" ref="J374" si="659">+J363</f>
        <v>67</v>
      </c>
    </row>
    <row r="375" spans="2:10" x14ac:dyDescent="0.25">
      <c r="B375">
        <f>INDEX(exante.Technology!$A$2:$A$4130,MATCH(E375,exante.Technology!$C$2:$C$4130,0))</f>
        <v>1046</v>
      </c>
      <c r="C375">
        <f t="shared" ref="C375" si="660">+C364</f>
        <v>1072</v>
      </c>
      <c r="D375">
        <f>INDEX(Technologies!$B$7:$S$67,H375,I375)</f>
        <v>0.79</v>
      </c>
      <c r="E375" t="str">
        <f>INDEX(Technologies!$B$7:$B$67,H375)</f>
        <v>Stor_EF-Gas-050gal-0.67EF</v>
      </c>
      <c r="G375" t="str">
        <f t="shared" si="630"/>
        <v>RecovEff</v>
      </c>
      <c r="H375">
        <f t="shared" si="555"/>
        <v>46</v>
      </c>
      <c r="I375">
        <f>MATCH(G375,Technologies!$B$6:$S$6,0)</f>
        <v>8</v>
      </c>
      <c r="J375">
        <f t="shared" ref="J375" si="661">+J364</f>
        <v>67</v>
      </c>
    </row>
    <row r="376" spans="2:10" x14ac:dyDescent="0.25">
      <c r="B376">
        <f>INDEX(exante.Technology!$A$2:$A$4130,MATCH(E376,exante.Technology!$C$2:$C$4130,0))</f>
        <v>1046</v>
      </c>
      <c r="C376">
        <f t="shared" ref="C376" si="662">+C365</f>
        <v>1073</v>
      </c>
      <c r="D376">
        <f>INDEX(Technologies!$B$7:$S$67,H376,I376)</f>
        <v>4.8531000000000004</v>
      </c>
      <c r="E376" t="str">
        <f>INDEX(Technologies!$B$7:$B$67,H376)</f>
        <v>Stor_EF-Gas-050gal-0.67EF</v>
      </c>
      <c r="G376" t="str">
        <f t="shared" si="630"/>
        <v>TankUA</v>
      </c>
      <c r="H376">
        <f t="shared" si="555"/>
        <v>46</v>
      </c>
      <c r="I376">
        <f>MATCH(G376,Technologies!$B$6:$S$6,0)</f>
        <v>9</v>
      </c>
      <c r="J376">
        <f t="shared" ref="J376" si="663">+J365</f>
        <v>67</v>
      </c>
    </row>
    <row r="377" spans="2:10" x14ac:dyDescent="0.25">
      <c r="B377">
        <f>INDEX(exante.Technology!$A$2:$A$4130,MATCH(E377,exante.Technology!$C$2:$C$4130,0))</f>
        <v>1046</v>
      </c>
      <c r="C377">
        <f t="shared" ref="C377" si="664">+C366</f>
        <v>1074</v>
      </c>
      <c r="D377">
        <f>INDEX(Technologies!$B$7:$S$67,H377,I377)</f>
        <v>0</v>
      </c>
      <c r="E377" t="str">
        <f>INDEX(Technologies!$B$7:$B$67,H377)</f>
        <v>Stor_EF-Gas-050gal-0.67EF</v>
      </c>
      <c r="G377" t="str">
        <f t="shared" si="630"/>
        <v>auxW</v>
      </c>
      <c r="H377">
        <f t="shared" si="555"/>
        <v>46</v>
      </c>
      <c r="I377">
        <f>MATCH(G377,Technologies!$B$6:$S$6,0)</f>
        <v>13</v>
      </c>
      <c r="J377">
        <f t="shared" ref="J377" si="665">+J366</f>
        <v>67</v>
      </c>
    </row>
    <row r="378" spans="2:10" x14ac:dyDescent="0.25">
      <c r="B378">
        <f>INDEX(exante.Technology!$A$2:$A$4130,MATCH(E378,exante.Technology!$C$2:$C$4130,0))</f>
        <v>1046</v>
      </c>
      <c r="C378">
        <f t="shared" ref="C378" si="666">+C367</f>
        <v>1075</v>
      </c>
      <c r="D378">
        <f>INDEX(Technologies!$B$7:$S$67,H378,I378)</f>
        <v>0</v>
      </c>
      <c r="E378" t="str">
        <f>INDEX(Technologies!$B$7:$B$67,H378)</f>
        <v>Stor_EF-Gas-050gal-0.67EF</v>
      </c>
      <c r="G378" t="str">
        <f t="shared" si="630"/>
        <v>auxVentW</v>
      </c>
      <c r="H378">
        <f t="shared" si="555"/>
        <v>46</v>
      </c>
      <c r="I378">
        <f>MATCH(G378,Technologies!$B$6:$S$6,0)</f>
        <v>14</v>
      </c>
      <c r="J378">
        <f t="shared" ref="J378" si="667">+J367</f>
        <v>67</v>
      </c>
    </row>
    <row r="379" spans="2:10" x14ac:dyDescent="0.25">
      <c r="B379">
        <f>INDEX(exante.Technology!$A$2:$A$4130,MATCH(E379,exante.Technology!$C$2:$C$4130,0))</f>
        <v>1046</v>
      </c>
      <c r="C379">
        <f t="shared" ref="C379" si="668">+C368</f>
        <v>1076</v>
      </c>
      <c r="D379">
        <f>INDEX(Technologies!$B$7:$S$67,H379,I379)</f>
        <v>350</v>
      </c>
      <c r="E379" t="str">
        <f>INDEX(Technologies!$B$7:$B$67,H379)</f>
        <v>Stor_EF-Gas-050gal-0.67EF</v>
      </c>
      <c r="G379" t="str">
        <f t="shared" si="630"/>
        <v>pilotBTUh</v>
      </c>
      <c r="H379">
        <f t="shared" si="555"/>
        <v>46</v>
      </c>
      <c r="I379">
        <f>MATCH(G379,Technologies!$B$6:$S$6,0)</f>
        <v>15</v>
      </c>
      <c r="J379">
        <f t="shared" ref="J379" si="669">+J368</f>
        <v>67</v>
      </c>
    </row>
    <row r="380" spans="2:10" x14ac:dyDescent="0.25">
      <c r="B380">
        <f>INDEX(exante.Technology!$A$2:$A$4130,MATCH(E380,exante.Technology!$C$2:$C$4130,0))</f>
        <v>1046</v>
      </c>
      <c r="C380">
        <f t="shared" ref="C380" si="670">+C369</f>
        <v>1077</v>
      </c>
      <c r="D380">
        <f>INDEX(Technologies!$B$7:$S$67,H380,I380)</f>
        <v>0.67</v>
      </c>
      <c r="E380" t="str">
        <f>INDEX(Technologies!$B$7:$B$67,H380)</f>
        <v>Stor_EF-Gas-050gal-0.67EF</v>
      </c>
      <c r="G380" t="str">
        <f t="shared" si="630"/>
        <v>pilotHtgEff</v>
      </c>
      <c r="H380">
        <f t="shared" si="555"/>
        <v>46</v>
      </c>
      <c r="I380">
        <f>MATCH(G380,Technologies!$B$6:$S$6,0)</f>
        <v>16</v>
      </c>
      <c r="J380">
        <f t="shared" ref="J380" si="671">+J369</f>
        <v>67</v>
      </c>
    </row>
    <row r="381" spans="2:10" x14ac:dyDescent="0.25">
      <c r="B381">
        <f>INDEX(exante.Technology!$A$2:$A$4130,MATCH(E381,exante.Technology!$C$2:$C$4130,0))</f>
        <v>1047</v>
      </c>
      <c r="C381">
        <f t="shared" ref="C381" si="672">+C370</f>
        <v>85</v>
      </c>
      <c r="D381" t="str">
        <f>INDEX(Technologies!$B$7:$S$67,H381,I381)</f>
        <v>Gas</v>
      </c>
      <c r="E381" t="str">
        <f>INDEX(Technologies!$B$7:$B$67,H381)</f>
        <v>Stor_EF-Gas-050gal-0.70EF</v>
      </c>
      <c r="G381" t="str">
        <f t="shared" si="630"/>
        <v>Fuel_Type</v>
      </c>
      <c r="H381">
        <f t="shared" si="555"/>
        <v>47</v>
      </c>
      <c r="I381">
        <f>MATCH(G381,Technologies!$B$6:$S$6,0)</f>
        <v>3</v>
      </c>
      <c r="J381">
        <f t="shared" ref="J381" si="673">+J370</f>
        <v>67</v>
      </c>
    </row>
    <row r="382" spans="2:10" x14ac:dyDescent="0.25">
      <c r="B382">
        <f>INDEX(exante.Technology!$A$2:$A$4130,MATCH(E382,exante.Technology!$C$2:$C$4130,0))</f>
        <v>1047</v>
      </c>
      <c r="C382">
        <f t="shared" ref="C382" si="674">+C371</f>
        <v>1081</v>
      </c>
      <c r="D382">
        <f>INDEX(Technologies!$B$7:$S$67,H382,I382)</f>
        <v>50</v>
      </c>
      <c r="E382" t="str">
        <f>INDEX(Technologies!$B$7:$B$67,H382)</f>
        <v>Stor_EF-Gas-050gal-0.70EF</v>
      </c>
      <c r="G382" t="str">
        <f t="shared" si="630"/>
        <v>Nom_Gallons</v>
      </c>
      <c r="H382">
        <f t="shared" si="555"/>
        <v>47</v>
      </c>
      <c r="I382">
        <f>MATCH(G382,Technologies!$B$6:$S$6,0)</f>
        <v>4</v>
      </c>
      <c r="J382">
        <f t="shared" ref="J382" si="675">+J371</f>
        <v>67</v>
      </c>
    </row>
    <row r="383" spans="2:10" x14ac:dyDescent="0.25">
      <c r="B383">
        <f>INDEX(exante.Technology!$A$2:$A$4130,MATCH(E383,exante.Technology!$C$2:$C$4130,0))</f>
        <v>1047</v>
      </c>
      <c r="C383">
        <f t="shared" ref="C383" si="676">+C372</f>
        <v>58</v>
      </c>
      <c r="D383">
        <f>INDEX(Technologies!$B$7:$S$67,H383,I383)</f>
        <v>0.7</v>
      </c>
      <c r="E383" t="str">
        <f>INDEX(Technologies!$B$7:$B$67,H383)</f>
        <v>Stor_EF-Gas-050gal-0.70EF</v>
      </c>
      <c r="G383" t="str">
        <f t="shared" si="630"/>
        <v>Energy_Factor</v>
      </c>
      <c r="H383">
        <f t="shared" si="555"/>
        <v>47</v>
      </c>
      <c r="I383">
        <f>MATCH(G383,Technologies!$B$6:$S$6,0)</f>
        <v>5</v>
      </c>
      <c r="J383">
        <f t="shared" ref="J383" si="677">+J372</f>
        <v>67</v>
      </c>
    </row>
    <row r="384" spans="2:10" x14ac:dyDescent="0.25">
      <c r="B384">
        <f>INDEX(exante.Technology!$A$2:$A$4130,MATCH(E384,exante.Technology!$C$2:$C$4130,0))</f>
        <v>1047</v>
      </c>
      <c r="C384">
        <f t="shared" ref="C384" si="678">+C373</f>
        <v>1070</v>
      </c>
      <c r="D384">
        <f>INDEX(Technologies!$B$7:$S$67,H384,I384)</f>
        <v>40</v>
      </c>
      <c r="E384" t="str">
        <f>INDEX(Technologies!$B$7:$B$67,H384)</f>
        <v>Stor_EF-Gas-050gal-0.70EF</v>
      </c>
      <c r="G384" t="str">
        <f t="shared" si="630"/>
        <v>BurnCap_kBTUh</v>
      </c>
      <c r="H384">
        <f t="shared" si="555"/>
        <v>47</v>
      </c>
      <c r="I384">
        <f>MATCH(G384,Technologies!$B$6:$S$6,0)</f>
        <v>6</v>
      </c>
      <c r="J384">
        <f t="shared" ref="J384" si="679">+J373</f>
        <v>67</v>
      </c>
    </row>
    <row r="385" spans="2:10" x14ac:dyDescent="0.25">
      <c r="B385">
        <f>INDEX(exante.Technology!$A$2:$A$4130,MATCH(E385,exante.Technology!$C$2:$C$4130,0))</f>
        <v>1047</v>
      </c>
      <c r="C385">
        <f t="shared" ref="C385" si="680">+C374</f>
        <v>1071</v>
      </c>
      <c r="D385">
        <f>INDEX(Technologies!$B$7:$S$67,H385,I385)</f>
        <v>0</v>
      </c>
      <c r="E385" t="str">
        <f>INDEX(Technologies!$B$7:$B$67,H385)</f>
        <v>Stor_EF-Gas-050gal-0.70EF</v>
      </c>
      <c r="G385" t="str">
        <f t="shared" si="630"/>
        <v>BurnCap_kW</v>
      </c>
      <c r="H385">
        <f t="shared" si="555"/>
        <v>47</v>
      </c>
      <c r="I385">
        <f>MATCH(G385,Technologies!$B$6:$S$6,0)</f>
        <v>7</v>
      </c>
      <c r="J385">
        <f t="shared" ref="J385" si="681">+J374</f>
        <v>67</v>
      </c>
    </row>
    <row r="386" spans="2:10" x14ac:dyDescent="0.25">
      <c r="B386">
        <f>INDEX(exante.Technology!$A$2:$A$4130,MATCH(E386,exante.Technology!$C$2:$C$4130,0))</f>
        <v>1047</v>
      </c>
      <c r="C386">
        <f t="shared" ref="C386" si="682">+C375</f>
        <v>1072</v>
      </c>
      <c r="D386">
        <f>INDEX(Technologies!$B$7:$S$67,H386,I386)</f>
        <v>0.82</v>
      </c>
      <c r="E386" t="str">
        <f>INDEX(Technologies!$B$7:$B$67,H386)</f>
        <v>Stor_EF-Gas-050gal-0.70EF</v>
      </c>
      <c r="G386" t="str">
        <f t="shared" si="630"/>
        <v>RecovEff</v>
      </c>
      <c r="H386">
        <f t="shared" si="555"/>
        <v>47</v>
      </c>
      <c r="I386">
        <f>MATCH(G386,Technologies!$B$6:$S$6,0)</f>
        <v>8</v>
      </c>
      <c r="J386">
        <f t="shared" ref="J386" si="683">+J375</f>
        <v>67</v>
      </c>
    </row>
    <row r="387" spans="2:10" x14ac:dyDescent="0.25">
      <c r="B387">
        <f>INDEX(exante.Technology!$A$2:$A$4130,MATCH(E387,exante.Technology!$C$2:$C$4130,0))</f>
        <v>1047</v>
      </c>
      <c r="C387">
        <f t="shared" ref="C387" si="684">+C376</f>
        <v>1073</v>
      </c>
      <c r="D387">
        <f>INDEX(Technologies!$B$7:$S$67,H387,I387)</f>
        <v>4.6315999999999997</v>
      </c>
      <c r="E387" t="str">
        <f>INDEX(Technologies!$B$7:$B$67,H387)</f>
        <v>Stor_EF-Gas-050gal-0.70EF</v>
      </c>
      <c r="G387" t="str">
        <f t="shared" si="630"/>
        <v>TankUA</v>
      </c>
      <c r="H387">
        <f t="shared" ref="H387:H450" si="685">+H376+1</f>
        <v>47</v>
      </c>
      <c r="I387">
        <f>MATCH(G387,Technologies!$B$6:$S$6,0)</f>
        <v>9</v>
      </c>
      <c r="J387">
        <f t="shared" ref="J387" si="686">+J376</f>
        <v>67</v>
      </c>
    </row>
    <row r="388" spans="2:10" x14ac:dyDescent="0.25">
      <c r="B388">
        <f>INDEX(exante.Technology!$A$2:$A$4130,MATCH(E388,exante.Technology!$C$2:$C$4130,0))</f>
        <v>1047</v>
      </c>
      <c r="C388">
        <f t="shared" ref="C388" si="687">+C377</f>
        <v>1074</v>
      </c>
      <c r="D388">
        <f>INDEX(Technologies!$B$7:$S$67,H388,I388)</f>
        <v>0</v>
      </c>
      <c r="E388" t="str">
        <f>INDEX(Technologies!$B$7:$B$67,H388)</f>
        <v>Stor_EF-Gas-050gal-0.70EF</v>
      </c>
      <c r="G388" t="str">
        <f t="shared" si="630"/>
        <v>auxW</v>
      </c>
      <c r="H388">
        <f t="shared" si="685"/>
        <v>47</v>
      </c>
      <c r="I388">
        <f>MATCH(G388,Technologies!$B$6:$S$6,0)</f>
        <v>13</v>
      </c>
      <c r="J388">
        <f t="shared" ref="J388" si="688">+J377</f>
        <v>67</v>
      </c>
    </row>
    <row r="389" spans="2:10" x14ac:dyDescent="0.25">
      <c r="B389">
        <f>INDEX(exante.Technology!$A$2:$A$4130,MATCH(E389,exante.Technology!$C$2:$C$4130,0))</f>
        <v>1047</v>
      </c>
      <c r="C389">
        <f t="shared" ref="C389" si="689">+C378</f>
        <v>1075</v>
      </c>
      <c r="D389">
        <f>INDEX(Technologies!$B$7:$S$67,H389,I389)</f>
        <v>0</v>
      </c>
      <c r="E389" t="str">
        <f>INDEX(Technologies!$B$7:$B$67,H389)</f>
        <v>Stor_EF-Gas-050gal-0.70EF</v>
      </c>
      <c r="G389" t="str">
        <f t="shared" si="630"/>
        <v>auxVentW</v>
      </c>
      <c r="H389">
        <f t="shared" si="685"/>
        <v>47</v>
      </c>
      <c r="I389">
        <f>MATCH(G389,Technologies!$B$6:$S$6,0)</f>
        <v>14</v>
      </c>
      <c r="J389">
        <f t="shared" ref="J389" si="690">+J378</f>
        <v>67</v>
      </c>
    </row>
    <row r="390" spans="2:10" x14ac:dyDescent="0.25">
      <c r="B390">
        <f>INDEX(exante.Technology!$A$2:$A$4130,MATCH(E390,exante.Technology!$C$2:$C$4130,0))</f>
        <v>1047</v>
      </c>
      <c r="C390">
        <f t="shared" ref="C390" si="691">+C379</f>
        <v>1076</v>
      </c>
      <c r="D390">
        <f>INDEX(Technologies!$B$7:$S$67,H390,I390)</f>
        <v>350</v>
      </c>
      <c r="E390" t="str">
        <f>INDEX(Technologies!$B$7:$B$67,H390)</f>
        <v>Stor_EF-Gas-050gal-0.70EF</v>
      </c>
      <c r="G390" t="str">
        <f t="shared" si="630"/>
        <v>pilotBTUh</v>
      </c>
      <c r="H390">
        <f t="shared" si="685"/>
        <v>47</v>
      </c>
      <c r="I390">
        <f>MATCH(G390,Technologies!$B$6:$S$6,0)</f>
        <v>15</v>
      </c>
      <c r="J390">
        <f t="shared" ref="J390" si="692">+J379</f>
        <v>67</v>
      </c>
    </row>
    <row r="391" spans="2:10" x14ac:dyDescent="0.25">
      <c r="B391">
        <f>INDEX(exante.Technology!$A$2:$A$4130,MATCH(E391,exante.Technology!$C$2:$C$4130,0))</f>
        <v>1047</v>
      </c>
      <c r="C391">
        <f t="shared" ref="C391" si="693">+C380</f>
        <v>1077</v>
      </c>
      <c r="D391">
        <f>INDEX(Technologies!$B$7:$S$67,H391,I391)</f>
        <v>0.67</v>
      </c>
      <c r="E391" t="str">
        <f>INDEX(Technologies!$B$7:$B$67,H391)</f>
        <v>Stor_EF-Gas-050gal-0.70EF</v>
      </c>
      <c r="G391" t="str">
        <f t="shared" si="630"/>
        <v>pilotHtgEff</v>
      </c>
      <c r="H391">
        <f t="shared" si="685"/>
        <v>47</v>
      </c>
      <c r="I391">
        <f>MATCH(G391,Technologies!$B$6:$S$6,0)</f>
        <v>16</v>
      </c>
      <c r="J391">
        <f t="shared" ref="J391" si="694">+J380</f>
        <v>67</v>
      </c>
    </row>
    <row r="392" spans="2:10" x14ac:dyDescent="0.25">
      <c r="B392">
        <f>INDEX(exante.Technology!$A$2:$A$4130,MATCH(E392,exante.Technology!$C$2:$C$4130,0))</f>
        <v>1048</v>
      </c>
      <c r="C392">
        <f t="shared" ref="C392" si="695">+C381</f>
        <v>85</v>
      </c>
      <c r="D392" t="str">
        <f>INDEX(Technologies!$B$7:$S$67,H392,I392)</f>
        <v>Gas</v>
      </c>
      <c r="E392" t="str">
        <f>INDEX(Technologies!$B$7:$B$67,H392)</f>
        <v>Stor_EF-Gas-050gal-0.82EF</v>
      </c>
      <c r="G392" t="str">
        <f t="shared" si="630"/>
        <v>Fuel_Type</v>
      </c>
      <c r="H392">
        <f t="shared" si="685"/>
        <v>48</v>
      </c>
      <c r="I392">
        <f>MATCH(G392,Technologies!$B$6:$S$6,0)</f>
        <v>3</v>
      </c>
      <c r="J392">
        <f t="shared" ref="J392" si="696">+J381</f>
        <v>67</v>
      </c>
    </row>
    <row r="393" spans="2:10" x14ac:dyDescent="0.25">
      <c r="B393">
        <f>INDEX(exante.Technology!$A$2:$A$4130,MATCH(E393,exante.Technology!$C$2:$C$4130,0))</f>
        <v>1048</v>
      </c>
      <c r="C393">
        <f t="shared" ref="C393" si="697">+C382</f>
        <v>1081</v>
      </c>
      <c r="D393">
        <f>INDEX(Technologies!$B$7:$S$67,H393,I393)</f>
        <v>50</v>
      </c>
      <c r="E393" t="str">
        <f>INDEX(Technologies!$B$7:$B$67,H393)</f>
        <v>Stor_EF-Gas-050gal-0.82EF</v>
      </c>
      <c r="G393" t="str">
        <f t="shared" si="630"/>
        <v>Nom_Gallons</v>
      </c>
      <c r="H393">
        <f t="shared" si="685"/>
        <v>48</v>
      </c>
      <c r="I393">
        <f>MATCH(G393,Technologies!$B$6:$S$6,0)</f>
        <v>4</v>
      </c>
      <c r="J393">
        <f t="shared" ref="J393" si="698">+J382</f>
        <v>67</v>
      </c>
    </row>
    <row r="394" spans="2:10" x14ac:dyDescent="0.25">
      <c r="B394">
        <f>INDEX(exante.Technology!$A$2:$A$4130,MATCH(E394,exante.Technology!$C$2:$C$4130,0))</f>
        <v>1048</v>
      </c>
      <c r="C394">
        <f t="shared" ref="C394" si="699">+C383</f>
        <v>58</v>
      </c>
      <c r="D394">
        <f>INDEX(Technologies!$B$7:$S$67,H394,I394)</f>
        <v>0.82</v>
      </c>
      <c r="E394" t="str">
        <f>INDEX(Technologies!$B$7:$B$67,H394)</f>
        <v>Stor_EF-Gas-050gal-0.82EF</v>
      </c>
      <c r="G394" t="str">
        <f t="shared" si="630"/>
        <v>Energy_Factor</v>
      </c>
      <c r="H394">
        <f t="shared" si="685"/>
        <v>48</v>
      </c>
      <c r="I394">
        <f>MATCH(G394,Technologies!$B$6:$S$6,0)</f>
        <v>5</v>
      </c>
      <c r="J394">
        <f t="shared" ref="J394" si="700">+J383</f>
        <v>67</v>
      </c>
    </row>
    <row r="395" spans="2:10" x14ac:dyDescent="0.25">
      <c r="B395">
        <f>INDEX(exante.Technology!$A$2:$A$4130,MATCH(E395,exante.Technology!$C$2:$C$4130,0))</f>
        <v>1048</v>
      </c>
      <c r="C395">
        <f t="shared" ref="C395" si="701">+C384</f>
        <v>1070</v>
      </c>
      <c r="D395">
        <f>INDEX(Technologies!$B$7:$S$67,H395,I395)</f>
        <v>40</v>
      </c>
      <c r="E395" t="str">
        <f>INDEX(Technologies!$B$7:$B$67,H395)</f>
        <v>Stor_EF-Gas-050gal-0.82EF</v>
      </c>
      <c r="G395" t="str">
        <f t="shared" si="630"/>
        <v>BurnCap_kBTUh</v>
      </c>
      <c r="H395">
        <f t="shared" si="685"/>
        <v>48</v>
      </c>
      <c r="I395">
        <f>MATCH(G395,Technologies!$B$6:$S$6,0)</f>
        <v>6</v>
      </c>
      <c r="J395">
        <f t="shared" ref="J395" si="702">+J384</f>
        <v>67</v>
      </c>
    </row>
    <row r="396" spans="2:10" x14ac:dyDescent="0.25">
      <c r="B396">
        <f>INDEX(exante.Technology!$A$2:$A$4130,MATCH(E396,exante.Technology!$C$2:$C$4130,0))</f>
        <v>1048</v>
      </c>
      <c r="C396">
        <f t="shared" ref="C396" si="703">+C385</f>
        <v>1071</v>
      </c>
      <c r="D396">
        <f>INDEX(Technologies!$B$7:$S$67,H396,I396)</f>
        <v>0</v>
      </c>
      <c r="E396" t="str">
        <f>INDEX(Technologies!$B$7:$B$67,H396)</f>
        <v>Stor_EF-Gas-050gal-0.82EF</v>
      </c>
      <c r="G396" t="str">
        <f t="shared" si="630"/>
        <v>BurnCap_kW</v>
      </c>
      <c r="H396">
        <f t="shared" si="685"/>
        <v>48</v>
      </c>
      <c r="I396">
        <f>MATCH(G396,Technologies!$B$6:$S$6,0)</f>
        <v>7</v>
      </c>
      <c r="J396">
        <f t="shared" ref="J396" si="704">+J385</f>
        <v>67</v>
      </c>
    </row>
    <row r="397" spans="2:10" x14ac:dyDescent="0.25">
      <c r="B397">
        <f>INDEX(exante.Technology!$A$2:$A$4130,MATCH(E397,exante.Technology!$C$2:$C$4130,0))</f>
        <v>1048</v>
      </c>
      <c r="C397">
        <f t="shared" ref="C397" si="705">+C386</f>
        <v>1072</v>
      </c>
      <c r="D397">
        <f>INDEX(Technologies!$B$7:$S$67,H397,I397)</f>
        <v>0.9</v>
      </c>
      <c r="E397" t="str">
        <f>INDEX(Technologies!$B$7:$B$67,H397)</f>
        <v>Stor_EF-Gas-050gal-0.82EF</v>
      </c>
      <c r="G397" t="str">
        <f t="shared" si="630"/>
        <v>RecovEff</v>
      </c>
      <c r="H397">
        <f t="shared" si="685"/>
        <v>48</v>
      </c>
      <c r="I397">
        <f>MATCH(G397,Technologies!$B$6:$S$6,0)</f>
        <v>8</v>
      </c>
      <c r="J397">
        <f t="shared" ref="J397" si="706">+J386</f>
        <v>67</v>
      </c>
    </row>
    <row r="398" spans="2:10" x14ac:dyDescent="0.25">
      <c r="B398">
        <f>INDEX(exante.Technology!$A$2:$A$4130,MATCH(E398,exante.Technology!$C$2:$C$4130,0))</f>
        <v>1048</v>
      </c>
      <c r="C398">
        <f t="shared" ref="C398" si="707">+C387</f>
        <v>1073</v>
      </c>
      <c r="D398">
        <f>INDEX(Technologies!$B$7:$S$67,H398,I398)</f>
        <v>2.6110000000000002</v>
      </c>
      <c r="E398" t="str">
        <f>INDEX(Technologies!$B$7:$B$67,H398)</f>
        <v>Stor_EF-Gas-050gal-0.82EF</v>
      </c>
      <c r="G398" t="str">
        <f t="shared" si="630"/>
        <v>TankUA</v>
      </c>
      <c r="H398">
        <f t="shared" si="685"/>
        <v>48</v>
      </c>
      <c r="I398">
        <f>MATCH(G398,Technologies!$B$6:$S$6,0)</f>
        <v>9</v>
      </c>
      <c r="J398">
        <f t="shared" ref="J398" si="708">+J387</f>
        <v>67</v>
      </c>
    </row>
    <row r="399" spans="2:10" x14ac:dyDescent="0.25">
      <c r="B399">
        <f>INDEX(exante.Technology!$A$2:$A$4130,MATCH(E399,exante.Technology!$C$2:$C$4130,0))</f>
        <v>1048</v>
      </c>
      <c r="C399">
        <f t="shared" ref="C399" si="709">+C388</f>
        <v>1074</v>
      </c>
      <c r="D399">
        <f>INDEX(Technologies!$B$7:$S$67,H399,I399)</f>
        <v>0</v>
      </c>
      <c r="E399" t="str">
        <f>INDEX(Technologies!$B$7:$B$67,H399)</f>
        <v>Stor_EF-Gas-050gal-0.82EF</v>
      </c>
      <c r="G399" t="str">
        <f t="shared" si="630"/>
        <v>auxW</v>
      </c>
      <c r="H399">
        <f t="shared" si="685"/>
        <v>48</v>
      </c>
      <c r="I399">
        <f>MATCH(G399,Technologies!$B$6:$S$6,0)</f>
        <v>13</v>
      </c>
      <c r="J399">
        <f t="shared" ref="J399" si="710">+J388</f>
        <v>67</v>
      </c>
    </row>
    <row r="400" spans="2:10" x14ac:dyDescent="0.25">
      <c r="B400">
        <f>INDEX(exante.Technology!$A$2:$A$4130,MATCH(E400,exante.Technology!$C$2:$C$4130,0))</f>
        <v>1048</v>
      </c>
      <c r="C400">
        <f t="shared" ref="C400" si="711">+C389</f>
        <v>1075</v>
      </c>
      <c r="D400">
        <f>INDEX(Technologies!$B$7:$S$67,H400,I400)</f>
        <v>50</v>
      </c>
      <c r="E400" t="str">
        <f>INDEX(Technologies!$B$7:$B$67,H400)</f>
        <v>Stor_EF-Gas-050gal-0.82EF</v>
      </c>
      <c r="G400" t="str">
        <f t="shared" si="630"/>
        <v>auxVentW</v>
      </c>
      <c r="H400">
        <f t="shared" si="685"/>
        <v>48</v>
      </c>
      <c r="I400">
        <f>MATCH(G400,Technologies!$B$6:$S$6,0)</f>
        <v>14</v>
      </c>
      <c r="J400">
        <f t="shared" ref="J400" si="712">+J389</f>
        <v>67</v>
      </c>
    </row>
    <row r="401" spans="2:10" x14ac:dyDescent="0.25">
      <c r="B401">
        <f>INDEX(exante.Technology!$A$2:$A$4130,MATCH(E401,exante.Technology!$C$2:$C$4130,0))</f>
        <v>1048</v>
      </c>
      <c r="C401">
        <f t="shared" ref="C401" si="713">+C390</f>
        <v>1076</v>
      </c>
      <c r="D401">
        <f>INDEX(Technologies!$B$7:$S$67,H401,I401)</f>
        <v>350</v>
      </c>
      <c r="E401" t="str">
        <f>INDEX(Technologies!$B$7:$B$67,H401)</f>
        <v>Stor_EF-Gas-050gal-0.82EF</v>
      </c>
      <c r="G401" t="str">
        <f t="shared" si="630"/>
        <v>pilotBTUh</v>
      </c>
      <c r="H401">
        <f t="shared" si="685"/>
        <v>48</v>
      </c>
      <c r="I401">
        <f>MATCH(G401,Technologies!$B$6:$S$6,0)</f>
        <v>15</v>
      </c>
      <c r="J401">
        <f t="shared" ref="J401" si="714">+J390</f>
        <v>67</v>
      </c>
    </row>
    <row r="402" spans="2:10" x14ac:dyDescent="0.25">
      <c r="B402">
        <f>INDEX(exante.Technology!$A$2:$A$4130,MATCH(E402,exante.Technology!$C$2:$C$4130,0))</f>
        <v>1048</v>
      </c>
      <c r="C402">
        <f t="shared" ref="C402" si="715">+C391</f>
        <v>1077</v>
      </c>
      <c r="D402">
        <f>INDEX(Technologies!$B$7:$S$67,H402,I402)</f>
        <v>0.67</v>
      </c>
      <c r="E402" t="str">
        <f>INDEX(Technologies!$B$7:$B$67,H402)</f>
        <v>Stor_EF-Gas-050gal-0.82EF</v>
      </c>
      <c r="G402" t="str">
        <f t="shared" si="630"/>
        <v>pilotHtgEff</v>
      </c>
      <c r="H402">
        <f t="shared" si="685"/>
        <v>48</v>
      </c>
      <c r="I402">
        <f>MATCH(G402,Technologies!$B$6:$S$6,0)</f>
        <v>16</v>
      </c>
      <c r="J402">
        <f t="shared" ref="J402" si="716">+J391</f>
        <v>67</v>
      </c>
    </row>
    <row r="403" spans="2:10" x14ac:dyDescent="0.25">
      <c r="B403">
        <f>INDEX(exante.Technology!$A$2:$A$4130,MATCH(E403,exante.Technology!$C$2:$C$4130,0))</f>
        <v>1049</v>
      </c>
      <c r="C403">
        <f t="shared" ref="C403" si="717">+C392</f>
        <v>85</v>
      </c>
      <c r="D403" t="str">
        <f>INDEX(Technologies!$B$7:$S$67,H403,I403)</f>
        <v>Gas</v>
      </c>
      <c r="E403" t="str">
        <f>INDEX(Technologies!$B$7:$B$67,H403)</f>
        <v>Stor_EF-Gas-060gal-0.56EF</v>
      </c>
      <c r="G403" t="str">
        <f t="shared" si="630"/>
        <v>Fuel_Type</v>
      </c>
      <c r="H403">
        <f t="shared" si="685"/>
        <v>49</v>
      </c>
      <c r="I403">
        <f>MATCH(G403,Technologies!$B$6:$S$6,0)</f>
        <v>3</v>
      </c>
      <c r="J403">
        <f t="shared" ref="J403" si="718">+J392</f>
        <v>67</v>
      </c>
    </row>
    <row r="404" spans="2:10" x14ac:dyDescent="0.25">
      <c r="B404">
        <f>INDEX(exante.Technology!$A$2:$A$4130,MATCH(E404,exante.Technology!$C$2:$C$4130,0))</f>
        <v>1049</v>
      </c>
      <c r="C404">
        <f t="shared" ref="C404" si="719">+C393</f>
        <v>1081</v>
      </c>
      <c r="D404">
        <f>INDEX(Technologies!$B$7:$S$67,H404,I404)</f>
        <v>60</v>
      </c>
      <c r="E404" t="str">
        <f>INDEX(Technologies!$B$7:$B$67,H404)</f>
        <v>Stor_EF-Gas-060gal-0.56EF</v>
      </c>
      <c r="G404" t="str">
        <f t="shared" si="630"/>
        <v>Nom_Gallons</v>
      </c>
      <c r="H404">
        <f t="shared" si="685"/>
        <v>49</v>
      </c>
      <c r="I404">
        <f>MATCH(G404,Technologies!$B$6:$S$6,0)</f>
        <v>4</v>
      </c>
      <c r="J404">
        <f t="shared" ref="J404" si="720">+J393</f>
        <v>67</v>
      </c>
    </row>
    <row r="405" spans="2:10" x14ac:dyDescent="0.25">
      <c r="B405">
        <f>INDEX(exante.Technology!$A$2:$A$4130,MATCH(E405,exante.Technology!$C$2:$C$4130,0))</f>
        <v>1049</v>
      </c>
      <c r="C405">
        <f t="shared" ref="C405" si="721">+C394</f>
        <v>58</v>
      </c>
      <c r="D405">
        <f>INDEX(Technologies!$B$7:$S$67,H405,I405)</f>
        <v>0.55600000000000005</v>
      </c>
      <c r="E405" t="str">
        <f>INDEX(Technologies!$B$7:$B$67,H405)</f>
        <v>Stor_EF-Gas-060gal-0.56EF</v>
      </c>
      <c r="G405" t="str">
        <f t="shared" si="630"/>
        <v>Energy_Factor</v>
      </c>
      <c r="H405">
        <f t="shared" si="685"/>
        <v>49</v>
      </c>
      <c r="I405">
        <f>MATCH(G405,Technologies!$B$6:$S$6,0)</f>
        <v>5</v>
      </c>
      <c r="J405">
        <f t="shared" ref="J405" si="722">+J394</f>
        <v>67</v>
      </c>
    </row>
    <row r="406" spans="2:10" x14ac:dyDescent="0.25">
      <c r="B406">
        <f>INDEX(exante.Technology!$A$2:$A$4130,MATCH(E406,exante.Technology!$C$2:$C$4130,0))</f>
        <v>1049</v>
      </c>
      <c r="C406">
        <f t="shared" ref="C406" si="723">+C395</f>
        <v>1070</v>
      </c>
      <c r="D406">
        <f>INDEX(Technologies!$B$7:$S$67,H406,I406)</f>
        <v>55</v>
      </c>
      <c r="E406" t="str">
        <f>INDEX(Technologies!$B$7:$B$67,H406)</f>
        <v>Stor_EF-Gas-060gal-0.56EF</v>
      </c>
      <c r="G406" t="str">
        <f t="shared" si="630"/>
        <v>BurnCap_kBTUh</v>
      </c>
      <c r="H406">
        <f t="shared" si="685"/>
        <v>49</v>
      </c>
      <c r="I406">
        <f>MATCH(G406,Technologies!$B$6:$S$6,0)</f>
        <v>6</v>
      </c>
      <c r="J406">
        <f t="shared" ref="J406" si="724">+J395</f>
        <v>67</v>
      </c>
    </row>
    <row r="407" spans="2:10" x14ac:dyDescent="0.25">
      <c r="B407">
        <f>INDEX(exante.Technology!$A$2:$A$4130,MATCH(E407,exante.Technology!$C$2:$C$4130,0))</f>
        <v>1049</v>
      </c>
      <c r="C407">
        <f t="shared" ref="C407" si="725">+C396</f>
        <v>1071</v>
      </c>
      <c r="D407">
        <f>INDEX(Technologies!$B$7:$S$67,H407,I407)</f>
        <v>0</v>
      </c>
      <c r="E407" t="str">
        <f>INDEX(Technologies!$B$7:$B$67,H407)</f>
        <v>Stor_EF-Gas-060gal-0.56EF</v>
      </c>
      <c r="G407" t="str">
        <f t="shared" si="630"/>
        <v>BurnCap_kW</v>
      </c>
      <c r="H407">
        <f t="shared" si="685"/>
        <v>49</v>
      </c>
      <c r="I407">
        <f>MATCH(G407,Technologies!$B$6:$S$6,0)</f>
        <v>7</v>
      </c>
      <c r="J407">
        <f t="shared" ref="J407" si="726">+J396</f>
        <v>67</v>
      </c>
    </row>
    <row r="408" spans="2:10" x14ac:dyDescent="0.25">
      <c r="B408">
        <f>INDEX(exante.Technology!$A$2:$A$4130,MATCH(E408,exante.Technology!$C$2:$C$4130,0))</f>
        <v>1049</v>
      </c>
      <c r="C408">
        <f t="shared" ref="C408" si="727">+C397</f>
        <v>1072</v>
      </c>
      <c r="D408">
        <f>INDEX(Technologies!$B$7:$S$67,H408,I408)</f>
        <v>0.76</v>
      </c>
      <c r="E408" t="str">
        <f>INDEX(Technologies!$B$7:$B$67,H408)</f>
        <v>Stor_EF-Gas-060gal-0.56EF</v>
      </c>
      <c r="G408" t="str">
        <f t="shared" si="630"/>
        <v>RecovEff</v>
      </c>
      <c r="H408">
        <f t="shared" si="685"/>
        <v>49</v>
      </c>
      <c r="I408">
        <f>MATCH(G408,Technologies!$B$6:$S$6,0)</f>
        <v>8</v>
      </c>
      <c r="J408">
        <f t="shared" ref="J408" si="728">+J397</f>
        <v>67</v>
      </c>
    </row>
    <row r="409" spans="2:10" x14ac:dyDescent="0.25">
      <c r="B409">
        <f>INDEX(exante.Technology!$A$2:$A$4130,MATCH(E409,exante.Technology!$C$2:$C$4130,0))</f>
        <v>1049</v>
      </c>
      <c r="C409">
        <f t="shared" ref="C409" si="729">+C398</f>
        <v>1073</v>
      </c>
      <c r="D409">
        <f>INDEX(Technologies!$B$7:$S$67,H409,I409)</f>
        <v>9.8587000000000007</v>
      </c>
      <c r="E409" t="str">
        <f>INDEX(Technologies!$B$7:$B$67,H409)</f>
        <v>Stor_EF-Gas-060gal-0.56EF</v>
      </c>
      <c r="G409" t="str">
        <f t="shared" si="630"/>
        <v>TankUA</v>
      </c>
      <c r="H409">
        <f t="shared" si="685"/>
        <v>49</v>
      </c>
      <c r="I409">
        <f>MATCH(G409,Technologies!$B$6:$S$6,0)</f>
        <v>9</v>
      </c>
      <c r="J409">
        <f t="shared" ref="J409" si="730">+J398</f>
        <v>67</v>
      </c>
    </row>
    <row r="410" spans="2:10" x14ac:dyDescent="0.25">
      <c r="B410">
        <f>INDEX(exante.Technology!$A$2:$A$4130,MATCH(E410,exante.Technology!$C$2:$C$4130,0))</f>
        <v>1049</v>
      </c>
      <c r="C410">
        <f t="shared" ref="C410" si="731">+C399</f>
        <v>1074</v>
      </c>
      <c r="D410">
        <f>INDEX(Technologies!$B$7:$S$67,H410,I410)</f>
        <v>0</v>
      </c>
      <c r="E410" t="str">
        <f>INDEX(Technologies!$B$7:$B$67,H410)</f>
        <v>Stor_EF-Gas-060gal-0.56EF</v>
      </c>
      <c r="G410" t="str">
        <f t="shared" si="630"/>
        <v>auxW</v>
      </c>
      <c r="H410">
        <f t="shared" si="685"/>
        <v>49</v>
      </c>
      <c r="I410">
        <f>MATCH(G410,Technologies!$B$6:$S$6,0)</f>
        <v>13</v>
      </c>
      <c r="J410">
        <f t="shared" ref="J410" si="732">+J399</f>
        <v>67</v>
      </c>
    </row>
    <row r="411" spans="2:10" x14ac:dyDescent="0.25">
      <c r="B411">
        <f>INDEX(exante.Technology!$A$2:$A$4130,MATCH(E411,exante.Technology!$C$2:$C$4130,0))</f>
        <v>1049</v>
      </c>
      <c r="C411">
        <f t="shared" ref="C411" si="733">+C400</f>
        <v>1075</v>
      </c>
      <c r="D411">
        <f>INDEX(Technologies!$B$7:$S$67,H411,I411)</f>
        <v>0</v>
      </c>
      <c r="E411" t="str">
        <f>INDEX(Technologies!$B$7:$B$67,H411)</f>
        <v>Stor_EF-Gas-060gal-0.56EF</v>
      </c>
      <c r="G411" t="str">
        <f t="shared" si="630"/>
        <v>auxVentW</v>
      </c>
      <c r="H411">
        <f t="shared" si="685"/>
        <v>49</v>
      </c>
      <c r="I411">
        <f>MATCH(G411,Technologies!$B$6:$S$6,0)</f>
        <v>14</v>
      </c>
      <c r="J411">
        <f t="shared" ref="J411" si="734">+J400</f>
        <v>67</v>
      </c>
    </row>
    <row r="412" spans="2:10" x14ac:dyDescent="0.25">
      <c r="B412">
        <f>INDEX(exante.Technology!$A$2:$A$4130,MATCH(E412,exante.Technology!$C$2:$C$4130,0))</f>
        <v>1049</v>
      </c>
      <c r="C412">
        <f t="shared" ref="C412" si="735">+C401</f>
        <v>1076</v>
      </c>
      <c r="D412">
        <f>INDEX(Technologies!$B$7:$S$67,H412,I412)</f>
        <v>350</v>
      </c>
      <c r="E412" t="str">
        <f>INDEX(Technologies!$B$7:$B$67,H412)</f>
        <v>Stor_EF-Gas-060gal-0.56EF</v>
      </c>
      <c r="G412" t="str">
        <f t="shared" si="630"/>
        <v>pilotBTUh</v>
      </c>
      <c r="H412">
        <f t="shared" si="685"/>
        <v>49</v>
      </c>
      <c r="I412">
        <f>MATCH(G412,Technologies!$B$6:$S$6,0)</f>
        <v>15</v>
      </c>
      <c r="J412">
        <f t="shared" ref="J412" si="736">+J401</f>
        <v>67</v>
      </c>
    </row>
    <row r="413" spans="2:10" x14ac:dyDescent="0.25">
      <c r="B413">
        <f>INDEX(exante.Technology!$A$2:$A$4130,MATCH(E413,exante.Technology!$C$2:$C$4130,0))</f>
        <v>1049</v>
      </c>
      <c r="C413">
        <f t="shared" ref="C413" si="737">+C402</f>
        <v>1077</v>
      </c>
      <c r="D413">
        <f>INDEX(Technologies!$B$7:$S$67,H413,I413)</f>
        <v>0.67</v>
      </c>
      <c r="E413" t="str">
        <f>INDEX(Technologies!$B$7:$B$67,H413)</f>
        <v>Stor_EF-Gas-060gal-0.56EF</v>
      </c>
      <c r="G413" t="str">
        <f t="shared" si="630"/>
        <v>pilotHtgEff</v>
      </c>
      <c r="H413">
        <f t="shared" si="685"/>
        <v>49</v>
      </c>
      <c r="I413">
        <f>MATCH(G413,Technologies!$B$6:$S$6,0)</f>
        <v>16</v>
      </c>
      <c r="J413">
        <f t="shared" ref="J413" si="738">+J402</f>
        <v>67</v>
      </c>
    </row>
    <row r="414" spans="2:10" x14ac:dyDescent="0.25">
      <c r="B414">
        <f>INDEX(exante.Technology!$A$2:$A$4130,MATCH(E414,exante.Technology!$C$2:$C$4130,0))</f>
        <v>1050</v>
      </c>
      <c r="C414">
        <f t="shared" ref="C414" si="739">+C403</f>
        <v>85</v>
      </c>
      <c r="D414" t="str">
        <f>INDEX(Technologies!$B$7:$S$67,H414,I414)</f>
        <v>Gas</v>
      </c>
      <c r="E414" t="str">
        <f>INDEX(Technologies!$B$7:$B$67,H414)</f>
        <v>Stor_EF-Gas-060gal-0.754EF</v>
      </c>
      <c r="G414" t="str">
        <f t="shared" si="630"/>
        <v>Fuel_Type</v>
      </c>
      <c r="H414">
        <f t="shared" si="685"/>
        <v>50</v>
      </c>
      <c r="I414">
        <f>MATCH(G414,Technologies!$B$6:$S$6,0)</f>
        <v>3</v>
      </c>
      <c r="J414">
        <f t="shared" ref="J414" si="740">+J403</f>
        <v>67</v>
      </c>
    </row>
    <row r="415" spans="2:10" x14ac:dyDescent="0.25">
      <c r="B415">
        <f>INDEX(exante.Technology!$A$2:$A$4130,MATCH(E415,exante.Technology!$C$2:$C$4130,0))</f>
        <v>1050</v>
      </c>
      <c r="C415">
        <f t="shared" ref="C415" si="741">+C404</f>
        <v>1081</v>
      </c>
      <c r="D415">
        <f>INDEX(Technologies!$B$7:$S$67,H415,I415)</f>
        <v>60</v>
      </c>
      <c r="E415" t="str">
        <f>INDEX(Technologies!$B$7:$B$67,H415)</f>
        <v>Stor_EF-Gas-060gal-0.754EF</v>
      </c>
      <c r="G415" t="str">
        <f t="shared" si="630"/>
        <v>Nom_Gallons</v>
      </c>
      <c r="H415">
        <f t="shared" si="685"/>
        <v>50</v>
      </c>
      <c r="I415">
        <f>MATCH(G415,Technologies!$B$6:$S$6,0)</f>
        <v>4</v>
      </c>
      <c r="J415">
        <f t="shared" ref="J415" si="742">+J404</f>
        <v>67</v>
      </c>
    </row>
    <row r="416" spans="2:10" x14ac:dyDescent="0.25">
      <c r="B416">
        <f>INDEX(exante.Technology!$A$2:$A$4130,MATCH(E416,exante.Technology!$C$2:$C$4130,0))</f>
        <v>1050</v>
      </c>
      <c r="C416">
        <f t="shared" ref="C416" si="743">+C405</f>
        <v>58</v>
      </c>
      <c r="D416">
        <f>INDEX(Technologies!$B$7:$S$67,H416,I416)</f>
        <v>0.754</v>
      </c>
      <c r="E416" t="str">
        <f>INDEX(Technologies!$B$7:$B$67,H416)</f>
        <v>Stor_EF-Gas-060gal-0.754EF</v>
      </c>
      <c r="G416" t="str">
        <f t="shared" si="630"/>
        <v>Energy_Factor</v>
      </c>
      <c r="H416">
        <f t="shared" si="685"/>
        <v>50</v>
      </c>
      <c r="I416">
        <f>MATCH(G416,Technologies!$B$6:$S$6,0)</f>
        <v>5</v>
      </c>
      <c r="J416">
        <f t="shared" ref="J416" si="744">+J405</f>
        <v>67</v>
      </c>
    </row>
    <row r="417" spans="2:10" x14ac:dyDescent="0.25">
      <c r="B417">
        <f>INDEX(exante.Technology!$A$2:$A$4130,MATCH(E417,exante.Technology!$C$2:$C$4130,0))</f>
        <v>1050</v>
      </c>
      <c r="C417">
        <f t="shared" ref="C417" si="745">+C406</f>
        <v>1070</v>
      </c>
      <c r="D417">
        <f>INDEX(Technologies!$B$7:$S$67,H417,I417)</f>
        <v>40</v>
      </c>
      <c r="E417" t="str">
        <f>INDEX(Technologies!$B$7:$B$67,H417)</f>
        <v>Stor_EF-Gas-060gal-0.754EF</v>
      </c>
      <c r="G417" t="str">
        <f t="shared" si="630"/>
        <v>BurnCap_kBTUh</v>
      </c>
      <c r="H417">
        <f t="shared" si="685"/>
        <v>50</v>
      </c>
      <c r="I417">
        <f>MATCH(G417,Technologies!$B$6:$S$6,0)</f>
        <v>6</v>
      </c>
      <c r="J417">
        <f t="shared" ref="J417" si="746">+J406</f>
        <v>67</v>
      </c>
    </row>
    <row r="418" spans="2:10" x14ac:dyDescent="0.25">
      <c r="B418">
        <f>INDEX(exante.Technology!$A$2:$A$4130,MATCH(E418,exante.Technology!$C$2:$C$4130,0))</f>
        <v>1050</v>
      </c>
      <c r="C418">
        <f t="shared" ref="C418" si="747">+C407</f>
        <v>1071</v>
      </c>
      <c r="D418">
        <f>INDEX(Technologies!$B$7:$S$67,H418,I418)</f>
        <v>0</v>
      </c>
      <c r="E418" t="str">
        <f>INDEX(Technologies!$B$7:$B$67,H418)</f>
        <v>Stor_EF-Gas-060gal-0.754EF</v>
      </c>
      <c r="G418" t="str">
        <f t="shared" si="630"/>
        <v>BurnCap_kW</v>
      </c>
      <c r="H418">
        <f t="shared" si="685"/>
        <v>50</v>
      </c>
      <c r="I418">
        <f>MATCH(G418,Technologies!$B$6:$S$6,0)</f>
        <v>7</v>
      </c>
      <c r="J418">
        <f t="shared" ref="J418" si="748">+J407</f>
        <v>67</v>
      </c>
    </row>
    <row r="419" spans="2:10" x14ac:dyDescent="0.25">
      <c r="B419">
        <f>INDEX(exante.Technology!$A$2:$A$4130,MATCH(E419,exante.Technology!$C$2:$C$4130,0))</f>
        <v>1050</v>
      </c>
      <c r="C419">
        <f t="shared" ref="C419" si="749">+C408</f>
        <v>1072</v>
      </c>
      <c r="D419">
        <f>INDEX(Technologies!$B$7:$S$67,H419,I419)</f>
        <v>0.85</v>
      </c>
      <c r="E419" t="str">
        <f>INDEX(Technologies!$B$7:$B$67,H419)</f>
        <v>Stor_EF-Gas-060gal-0.754EF</v>
      </c>
      <c r="G419" t="str">
        <f t="shared" si="630"/>
        <v>RecovEff</v>
      </c>
      <c r="H419">
        <f t="shared" si="685"/>
        <v>50</v>
      </c>
      <c r="I419">
        <f>MATCH(G419,Technologies!$B$6:$S$6,0)</f>
        <v>8</v>
      </c>
      <c r="J419">
        <f t="shared" ref="J419" si="750">+J408</f>
        <v>67</v>
      </c>
    </row>
    <row r="420" spans="2:10" x14ac:dyDescent="0.25">
      <c r="B420">
        <f>INDEX(exante.Technology!$A$2:$A$4130,MATCH(E420,exante.Technology!$C$2:$C$4130,0))</f>
        <v>1050</v>
      </c>
      <c r="C420">
        <f t="shared" ref="C420" si="751">+C409</f>
        <v>1073</v>
      </c>
      <c r="D420">
        <f>INDEX(Technologies!$B$7:$S$67,H420,I420)</f>
        <v>3.4239000000000002</v>
      </c>
      <c r="E420" t="str">
        <f>INDEX(Technologies!$B$7:$B$67,H420)</f>
        <v>Stor_EF-Gas-060gal-0.754EF</v>
      </c>
      <c r="G420" t="str">
        <f t="shared" si="630"/>
        <v>TankUA</v>
      </c>
      <c r="H420">
        <f t="shared" si="685"/>
        <v>50</v>
      </c>
      <c r="I420">
        <f>MATCH(G420,Technologies!$B$6:$S$6,0)</f>
        <v>9</v>
      </c>
      <c r="J420">
        <f t="shared" ref="J420" si="752">+J409</f>
        <v>67</v>
      </c>
    </row>
    <row r="421" spans="2:10" x14ac:dyDescent="0.25">
      <c r="B421">
        <f>INDEX(exante.Technology!$A$2:$A$4130,MATCH(E421,exante.Technology!$C$2:$C$4130,0))</f>
        <v>1050</v>
      </c>
      <c r="C421">
        <f t="shared" ref="C421" si="753">+C410</f>
        <v>1074</v>
      </c>
      <c r="D421">
        <f>INDEX(Technologies!$B$7:$S$67,H421,I421)</f>
        <v>0</v>
      </c>
      <c r="E421" t="str">
        <f>INDEX(Technologies!$B$7:$B$67,H421)</f>
        <v>Stor_EF-Gas-060gal-0.754EF</v>
      </c>
      <c r="G421" t="str">
        <f t="shared" si="630"/>
        <v>auxW</v>
      </c>
      <c r="H421">
        <f t="shared" si="685"/>
        <v>50</v>
      </c>
      <c r="I421">
        <f>MATCH(G421,Technologies!$B$6:$S$6,0)</f>
        <v>13</v>
      </c>
      <c r="J421">
        <f t="shared" ref="J421" si="754">+J410</f>
        <v>67</v>
      </c>
    </row>
    <row r="422" spans="2:10" x14ac:dyDescent="0.25">
      <c r="B422">
        <f>INDEX(exante.Technology!$A$2:$A$4130,MATCH(E422,exante.Technology!$C$2:$C$4130,0))</f>
        <v>1050</v>
      </c>
      <c r="C422">
        <f t="shared" ref="C422" si="755">+C411</f>
        <v>1075</v>
      </c>
      <c r="D422">
        <f>INDEX(Technologies!$B$7:$S$67,H422,I422)</f>
        <v>50</v>
      </c>
      <c r="E422" t="str">
        <f>INDEX(Technologies!$B$7:$B$67,H422)</f>
        <v>Stor_EF-Gas-060gal-0.754EF</v>
      </c>
      <c r="G422" t="str">
        <f t="shared" si="630"/>
        <v>auxVentW</v>
      </c>
      <c r="H422">
        <f t="shared" si="685"/>
        <v>50</v>
      </c>
      <c r="I422">
        <f>MATCH(G422,Technologies!$B$6:$S$6,0)</f>
        <v>14</v>
      </c>
      <c r="J422">
        <f t="shared" ref="J422" si="756">+J411</f>
        <v>67</v>
      </c>
    </row>
    <row r="423" spans="2:10" x14ac:dyDescent="0.25">
      <c r="B423">
        <f>INDEX(exante.Technology!$A$2:$A$4130,MATCH(E423,exante.Technology!$C$2:$C$4130,0))</f>
        <v>1050</v>
      </c>
      <c r="C423">
        <f t="shared" ref="C423" si="757">+C412</f>
        <v>1076</v>
      </c>
      <c r="D423">
        <f>INDEX(Technologies!$B$7:$S$67,H423,I423)</f>
        <v>350</v>
      </c>
      <c r="E423" t="str">
        <f>INDEX(Technologies!$B$7:$B$67,H423)</f>
        <v>Stor_EF-Gas-060gal-0.754EF</v>
      </c>
      <c r="G423" t="str">
        <f t="shared" si="630"/>
        <v>pilotBTUh</v>
      </c>
      <c r="H423">
        <f t="shared" si="685"/>
        <v>50</v>
      </c>
      <c r="I423">
        <f>MATCH(G423,Technologies!$B$6:$S$6,0)</f>
        <v>15</v>
      </c>
      <c r="J423">
        <f t="shared" ref="J423" si="758">+J412</f>
        <v>67</v>
      </c>
    </row>
    <row r="424" spans="2:10" x14ac:dyDescent="0.25">
      <c r="B424">
        <f>INDEX(exante.Technology!$A$2:$A$4130,MATCH(E424,exante.Technology!$C$2:$C$4130,0))</f>
        <v>1050</v>
      </c>
      <c r="C424">
        <f t="shared" ref="C424" si="759">+C413</f>
        <v>1077</v>
      </c>
      <c r="D424">
        <f>INDEX(Technologies!$B$7:$S$67,H424,I424)</f>
        <v>0.67</v>
      </c>
      <c r="E424" t="str">
        <f>INDEX(Technologies!$B$7:$B$67,H424)</f>
        <v>Stor_EF-Gas-060gal-0.754EF</v>
      </c>
      <c r="G424" t="str">
        <f t="shared" ref="G424:G487" si="760">VLOOKUP(C424,$B$3:$C$17,2,FALSE)</f>
        <v>pilotHtgEff</v>
      </c>
      <c r="H424">
        <f t="shared" si="685"/>
        <v>50</v>
      </c>
      <c r="I424">
        <f>MATCH(G424,Technologies!$B$6:$S$6,0)</f>
        <v>16</v>
      </c>
      <c r="J424">
        <f t="shared" ref="J424" si="761">+J413</f>
        <v>67</v>
      </c>
    </row>
    <row r="425" spans="2:10" x14ac:dyDescent="0.25">
      <c r="B425">
        <f>INDEX(exante.Technology!$A$2:$A$4130,MATCH(E425,exante.Technology!$C$2:$C$4130,0))</f>
        <v>1051</v>
      </c>
      <c r="C425">
        <f t="shared" ref="C425" si="762">+C414</f>
        <v>85</v>
      </c>
      <c r="D425" t="str">
        <f>INDEX(Technologies!$B$7:$S$67,H425,I425)</f>
        <v>Gas</v>
      </c>
      <c r="E425" t="str">
        <f>INDEX(Technologies!$B$7:$B$67,H425)</f>
        <v>Stor_EF-Gas-060gal-0.78EF</v>
      </c>
      <c r="G425" t="str">
        <f t="shared" si="760"/>
        <v>Fuel_Type</v>
      </c>
      <c r="H425">
        <f t="shared" si="685"/>
        <v>51</v>
      </c>
      <c r="I425">
        <f>MATCH(G425,Technologies!$B$6:$S$6,0)</f>
        <v>3</v>
      </c>
      <c r="J425">
        <f t="shared" ref="J425" si="763">+J414</f>
        <v>67</v>
      </c>
    </row>
    <row r="426" spans="2:10" x14ac:dyDescent="0.25">
      <c r="B426">
        <f>INDEX(exante.Technology!$A$2:$A$4130,MATCH(E426,exante.Technology!$C$2:$C$4130,0))</f>
        <v>1051</v>
      </c>
      <c r="C426">
        <f t="shared" ref="C426" si="764">+C415</f>
        <v>1081</v>
      </c>
      <c r="D426">
        <f>INDEX(Technologies!$B$7:$S$67,H426,I426)</f>
        <v>60</v>
      </c>
      <c r="E426" t="str">
        <f>INDEX(Technologies!$B$7:$B$67,H426)</f>
        <v>Stor_EF-Gas-060gal-0.78EF</v>
      </c>
      <c r="G426" t="str">
        <f t="shared" si="760"/>
        <v>Nom_Gallons</v>
      </c>
      <c r="H426">
        <f t="shared" si="685"/>
        <v>51</v>
      </c>
      <c r="I426">
        <f>MATCH(G426,Technologies!$B$6:$S$6,0)</f>
        <v>4</v>
      </c>
      <c r="J426">
        <f t="shared" ref="J426" si="765">+J415</f>
        <v>67</v>
      </c>
    </row>
    <row r="427" spans="2:10" x14ac:dyDescent="0.25">
      <c r="B427">
        <f>INDEX(exante.Technology!$A$2:$A$4130,MATCH(E427,exante.Technology!$C$2:$C$4130,0))</f>
        <v>1051</v>
      </c>
      <c r="C427">
        <f t="shared" ref="C427" si="766">+C416</f>
        <v>58</v>
      </c>
      <c r="D427">
        <f>INDEX(Technologies!$B$7:$S$67,H427,I427)</f>
        <v>0.78</v>
      </c>
      <c r="E427" t="str">
        <f>INDEX(Technologies!$B$7:$B$67,H427)</f>
        <v>Stor_EF-Gas-060gal-0.78EF</v>
      </c>
      <c r="G427" t="str">
        <f t="shared" si="760"/>
        <v>Energy_Factor</v>
      </c>
      <c r="H427">
        <f t="shared" si="685"/>
        <v>51</v>
      </c>
      <c r="I427">
        <f>MATCH(G427,Technologies!$B$6:$S$6,0)</f>
        <v>5</v>
      </c>
      <c r="J427">
        <f t="shared" ref="J427" si="767">+J416</f>
        <v>67</v>
      </c>
    </row>
    <row r="428" spans="2:10" x14ac:dyDescent="0.25">
      <c r="B428">
        <f>INDEX(exante.Technology!$A$2:$A$4130,MATCH(E428,exante.Technology!$C$2:$C$4130,0))</f>
        <v>1051</v>
      </c>
      <c r="C428">
        <f t="shared" ref="C428" si="768">+C417</f>
        <v>1070</v>
      </c>
      <c r="D428">
        <f>INDEX(Technologies!$B$7:$S$67,H428,I428)</f>
        <v>40</v>
      </c>
      <c r="E428" t="str">
        <f>INDEX(Technologies!$B$7:$B$67,H428)</f>
        <v>Stor_EF-Gas-060gal-0.78EF</v>
      </c>
      <c r="G428" t="str">
        <f t="shared" si="760"/>
        <v>BurnCap_kBTUh</v>
      </c>
      <c r="H428">
        <f t="shared" si="685"/>
        <v>51</v>
      </c>
      <c r="I428">
        <f>MATCH(G428,Technologies!$B$6:$S$6,0)</f>
        <v>6</v>
      </c>
      <c r="J428">
        <f t="shared" ref="J428" si="769">+J417</f>
        <v>67</v>
      </c>
    </row>
    <row r="429" spans="2:10" x14ac:dyDescent="0.25">
      <c r="B429">
        <f>INDEX(exante.Technology!$A$2:$A$4130,MATCH(E429,exante.Technology!$C$2:$C$4130,0))</f>
        <v>1051</v>
      </c>
      <c r="C429">
        <f t="shared" ref="C429" si="770">+C418</f>
        <v>1071</v>
      </c>
      <c r="D429">
        <f>INDEX(Technologies!$B$7:$S$67,H429,I429)</f>
        <v>0</v>
      </c>
      <c r="E429" t="str">
        <f>INDEX(Technologies!$B$7:$B$67,H429)</f>
        <v>Stor_EF-Gas-060gal-0.78EF</v>
      </c>
      <c r="G429" t="str">
        <f t="shared" si="760"/>
        <v>BurnCap_kW</v>
      </c>
      <c r="H429">
        <f t="shared" si="685"/>
        <v>51</v>
      </c>
      <c r="I429">
        <f>MATCH(G429,Technologies!$B$6:$S$6,0)</f>
        <v>7</v>
      </c>
      <c r="J429">
        <f t="shared" ref="J429" si="771">+J418</f>
        <v>67</v>
      </c>
    </row>
    <row r="430" spans="2:10" x14ac:dyDescent="0.25">
      <c r="B430">
        <f>INDEX(exante.Technology!$A$2:$A$4130,MATCH(E430,exante.Technology!$C$2:$C$4130,0))</f>
        <v>1051</v>
      </c>
      <c r="C430">
        <f t="shared" ref="C430" si="772">+C419</f>
        <v>1072</v>
      </c>
      <c r="D430">
        <f>INDEX(Technologies!$B$7:$S$67,H430,I430)</f>
        <v>0.9</v>
      </c>
      <c r="E430" t="str">
        <f>INDEX(Technologies!$B$7:$B$67,H430)</f>
        <v>Stor_EF-Gas-060gal-0.78EF</v>
      </c>
      <c r="G430" t="str">
        <f t="shared" si="760"/>
        <v>RecovEff</v>
      </c>
      <c r="H430">
        <f t="shared" si="685"/>
        <v>51</v>
      </c>
      <c r="I430">
        <f>MATCH(G430,Technologies!$B$6:$S$6,0)</f>
        <v>8</v>
      </c>
      <c r="J430">
        <f t="shared" ref="J430" si="773">+J419</f>
        <v>67</v>
      </c>
    </row>
    <row r="431" spans="2:10" x14ac:dyDescent="0.25">
      <c r="B431">
        <f>INDEX(exante.Technology!$A$2:$A$4130,MATCH(E431,exante.Technology!$C$2:$C$4130,0))</f>
        <v>1051</v>
      </c>
      <c r="C431">
        <f t="shared" ref="C431" si="774">+C420</f>
        <v>1073</v>
      </c>
      <c r="D431">
        <f>INDEX(Technologies!$B$7:$S$67,H431,I431)</f>
        <v>4.1289999999999996</v>
      </c>
      <c r="E431" t="str">
        <f>INDEX(Technologies!$B$7:$B$67,H431)</f>
        <v>Stor_EF-Gas-060gal-0.78EF</v>
      </c>
      <c r="G431" t="str">
        <f t="shared" si="760"/>
        <v>TankUA</v>
      </c>
      <c r="H431">
        <f t="shared" si="685"/>
        <v>51</v>
      </c>
      <c r="I431">
        <f>MATCH(G431,Technologies!$B$6:$S$6,0)</f>
        <v>9</v>
      </c>
      <c r="J431">
        <f t="shared" ref="J431" si="775">+J420</f>
        <v>67</v>
      </c>
    </row>
    <row r="432" spans="2:10" x14ac:dyDescent="0.25">
      <c r="B432">
        <f>INDEX(exante.Technology!$A$2:$A$4130,MATCH(E432,exante.Technology!$C$2:$C$4130,0))</f>
        <v>1051</v>
      </c>
      <c r="C432">
        <f t="shared" ref="C432" si="776">+C421</f>
        <v>1074</v>
      </c>
      <c r="D432">
        <f>INDEX(Technologies!$B$7:$S$67,H432,I432)</f>
        <v>0</v>
      </c>
      <c r="E432" t="str">
        <f>INDEX(Technologies!$B$7:$B$67,H432)</f>
        <v>Stor_EF-Gas-060gal-0.78EF</v>
      </c>
      <c r="G432" t="str">
        <f t="shared" si="760"/>
        <v>auxW</v>
      </c>
      <c r="H432">
        <f t="shared" si="685"/>
        <v>51</v>
      </c>
      <c r="I432">
        <f>MATCH(G432,Technologies!$B$6:$S$6,0)</f>
        <v>13</v>
      </c>
      <c r="J432">
        <f t="shared" ref="J432" si="777">+J421</f>
        <v>67</v>
      </c>
    </row>
    <row r="433" spans="2:10" x14ac:dyDescent="0.25">
      <c r="B433">
        <f>INDEX(exante.Technology!$A$2:$A$4130,MATCH(E433,exante.Technology!$C$2:$C$4130,0))</f>
        <v>1051</v>
      </c>
      <c r="C433">
        <f t="shared" ref="C433" si="778">+C422</f>
        <v>1075</v>
      </c>
      <c r="D433">
        <f>INDEX(Technologies!$B$7:$S$67,H433,I433)</f>
        <v>50</v>
      </c>
      <c r="E433" t="str">
        <f>INDEX(Technologies!$B$7:$B$67,H433)</f>
        <v>Stor_EF-Gas-060gal-0.78EF</v>
      </c>
      <c r="G433" t="str">
        <f t="shared" si="760"/>
        <v>auxVentW</v>
      </c>
      <c r="H433">
        <f t="shared" si="685"/>
        <v>51</v>
      </c>
      <c r="I433">
        <f>MATCH(G433,Technologies!$B$6:$S$6,0)</f>
        <v>14</v>
      </c>
      <c r="J433">
        <f t="shared" ref="J433" si="779">+J422</f>
        <v>67</v>
      </c>
    </row>
    <row r="434" spans="2:10" x14ac:dyDescent="0.25">
      <c r="B434">
        <f>INDEX(exante.Technology!$A$2:$A$4130,MATCH(E434,exante.Technology!$C$2:$C$4130,0))</f>
        <v>1051</v>
      </c>
      <c r="C434">
        <f t="shared" ref="C434" si="780">+C423</f>
        <v>1076</v>
      </c>
      <c r="D434">
        <f>INDEX(Technologies!$B$7:$S$67,H434,I434)</f>
        <v>350</v>
      </c>
      <c r="E434" t="str">
        <f>INDEX(Technologies!$B$7:$B$67,H434)</f>
        <v>Stor_EF-Gas-060gal-0.78EF</v>
      </c>
      <c r="G434" t="str">
        <f t="shared" si="760"/>
        <v>pilotBTUh</v>
      </c>
      <c r="H434">
        <f t="shared" si="685"/>
        <v>51</v>
      </c>
      <c r="I434">
        <f>MATCH(G434,Technologies!$B$6:$S$6,0)</f>
        <v>15</v>
      </c>
      <c r="J434">
        <f t="shared" ref="J434" si="781">+J423</f>
        <v>67</v>
      </c>
    </row>
    <row r="435" spans="2:10" x14ac:dyDescent="0.25">
      <c r="B435">
        <f>INDEX(exante.Technology!$A$2:$A$4130,MATCH(E435,exante.Technology!$C$2:$C$4130,0))</f>
        <v>1051</v>
      </c>
      <c r="C435">
        <f t="shared" ref="C435" si="782">+C424</f>
        <v>1077</v>
      </c>
      <c r="D435">
        <f>INDEX(Technologies!$B$7:$S$67,H435,I435)</f>
        <v>0.67</v>
      </c>
      <c r="E435" t="str">
        <f>INDEX(Technologies!$B$7:$B$67,H435)</f>
        <v>Stor_EF-Gas-060gal-0.78EF</v>
      </c>
      <c r="G435" t="str">
        <f t="shared" si="760"/>
        <v>pilotHtgEff</v>
      </c>
      <c r="H435">
        <f t="shared" si="685"/>
        <v>51</v>
      </c>
      <c r="I435">
        <f>MATCH(G435,Technologies!$B$6:$S$6,0)</f>
        <v>16</v>
      </c>
      <c r="J435">
        <f t="shared" ref="J435" si="783">+J424</f>
        <v>67</v>
      </c>
    </row>
    <row r="436" spans="2:10" x14ac:dyDescent="0.25">
      <c r="B436">
        <f>INDEX(exante.Technology!$A$2:$A$4130,MATCH(E436,exante.Technology!$C$2:$C$4130,0))</f>
        <v>1052</v>
      </c>
      <c r="C436">
        <f t="shared" ref="C436" si="784">+C425</f>
        <v>85</v>
      </c>
      <c r="D436" t="str">
        <f>INDEX(Technologies!$B$7:$S$67,H436,I436)</f>
        <v>Gas</v>
      </c>
      <c r="E436" t="str">
        <f>INDEX(Technologies!$B$7:$B$67,H436)</f>
        <v>Stor_EF-Gas-060gal-0.80EF</v>
      </c>
      <c r="G436" t="str">
        <f t="shared" si="760"/>
        <v>Fuel_Type</v>
      </c>
      <c r="H436">
        <f t="shared" si="685"/>
        <v>52</v>
      </c>
      <c r="I436">
        <f>MATCH(G436,Technologies!$B$6:$S$6,0)</f>
        <v>3</v>
      </c>
      <c r="J436">
        <f t="shared" ref="J436" si="785">+J425</f>
        <v>67</v>
      </c>
    </row>
    <row r="437" spans="2:10" x14ac:dyDescent="0.25">
      <c r="B437">
        <f>INDEX(exante.Technology!$A$2:$A$4130,MATCH(E437,exante.Technology!$C$2:$C$4130,0))</f>
        <v>1052</v>
      </c>
      <c r="C437">
        <f t="shared" ref="C437" si="786">+C426</f>
        <v>1081</v>
      </c>
      <c r="D437">
        <f>INDEX(Technologies!$B$7:$S$67,H437,I437)</f>
        <v>60</v>
      </c>
      <c r="E437" t="str">
        <f>INDEX(Technologies!$B$7:$B$67,H437)</f>
        <v>Stor_EF-Gas-060gal-0.80EF</v>
      </c>
      <c r="G437" t="str">
        <f t="shared" si="760"/>
        <v>Nom_Gallons</v>
      </c>
      <c r="H437">
        <f t="shared" si="685"/>
        <v>52</v>
      </c>
      <c r="I437">
        <f>MATCH(G437,Technologies!$B$6:$S$6,0)</f>
        <v>4</v>
      </c>
      <c r="J437">
        <f t="shared" ref="J437" si="787">+J426</f>
        <v>67</v>
      </c>
    </row>
    <row r="438" spans="2:10" x14ac:dyDescent="0.25">
      <c r="B438">
        <f>INDEX(exante.Technology!$A$2:$A$4130,MATCH(E438,exante.Technology!$C$2:$C$4130,0))</f>
        <v>1052</v>
      </c>
      <c r="C438">
        <f t="shared" ref="C438" si="788">+C427</f>
        <v>58</v>
      </c>
      <c r="D438">
        <f>INDEX(Technologies!$B$7:$S$67,H438,I438)</f>
        <v>0.8</v>
      </c>
      <c r="E438" t="str">
        <f>INDEX(Technologies!$B$7:$B$67,H438)</f>
        <v>Stor_EF-Gas-060gal-0.80EF</v>
      </c>
      <c r="G438" t="str">
        <f t="shared" si="760"/>
        <v>Energy_Factor</v>
      </c>
      <c r="H438">
        <f t="shared" si="685"/>
        <v>52</v>
      </c>
      <c r="I438">
        <f>MATCH(G438,Technologies!$B$6:$S$6,0)</f>
        <v>5</v>
      </c>
      <c r="J438">
        <f t="shared" ref="J438" si="789">+J427</f>
        <v>67</v>
      </c>
    </row>
    <row r="439" spans="2:10" x14ac:dyDescent="0.25">
      <c r="B439">
        <f>INDEX(exante.Technology!$A$2:$A$4130,MATCH(E439,exante.Technology!$C$2:$C$4130,0))</f>
        <v>1052</v>
      </c>
      <c r="C439">
        <f t="shared" ref="C439" si="790">+C428</f>
        <v>1070</v>
      </c>
      <c r="D439">
        <f>INDEX(Technologies!$B$7:$S$67,H439,I439)</f>
        <v>40</v>
      </c>
      <c r="E439" t="str">
        <f>INDEX(Technologies!$B$7:$B$67,H439)</f>
        <v>Stor_EF-Gas-060gal-0.80EF</v>
      </c>
      <c r="G439" t="str">
        <f t="shared" si="760"/>
        <v>BurnCap_kBTUh</v>
      </c>
      <c r="H439">
        <f t="shared" si="685"/>
        <v>52</v>
      </c>
      <c r="I439">
        <f>MATCH(G439,Technologies!$B$6:$S$6,0)</f>
        <v>6</v>
      </c>
      <c r="J439">
        <f t="shared" ref="J439" si="791">+J428</f>
        <v>67</v>
      </c>
    </row>
    <row r="440" spans="2:10" x14ac:dyDescent="0.25">
      <c r="B440">
        <f>INDEX(exante.Technology!$A$2:$A$4130,MATCH(E440,exante.Technology!$C$2:$C$4130,0))</f>
        <v>1052</v>
      </c>
      <c r="C440">
        <f t="shared" ref="C440" si="792">+C429</f>
        <v>1071</v>
      </c>
      <c r="D440">
        <f>INDEX(Technologies!$B$7:$S$67,H440,I440)</f>
        <v>0</v>
      </c>
      <c r="E440" t="str">
        <f>INDEX(Technologies!$B$7:$B$67,H440)</f>
        <v>Stor_EF-Gas-060gal-0.80EF</v>
      </c>
      <c r="G440" t="str">
        <f t="shared" si="760"/>
        <v>BurnCap_kW</v>
      </c>
      <c r="H440">
        <f t="shared" si="685"/>
        <v>52</v>
      </c>
      <c r="I440">
        <f>MATCH(G440,Technologies!$B$6:$S$6,0)</f>
        <v>7</v>
      </c>
      <c r="J440">
        <f t="shared" ref="J440" si="793">+J429</f>
        <v>67</v>
      </c>
    </row>
    <row r="441" spans="2:10" x14ac:dyDescent="0.25">
      <c r="B441">
        <f>INDEX(exante.Technology!$A$2:$A$4130,MATCH(E441,exante.Technology!$C$2:$C$4130,0))</f>
        <v>1052</v>
      </c>
      <c r="C441">
        <f t="shared" ref="C441" si="794">+C430</f>
        <v>1072</v>
      </c>
      <c r="D441">
        <f>INDEX(Technologies!$B$7:$S$67,H441,I441)</f>
        <v>0.92</v>
      </c>
      <c r="E441" t="str">
        <f>INDEX(Technologies!$B$7:$B$67,H441)</f>
        <v>Stor_EF-Gas-060gal-0.80EF</v>
      </c>
      <c r="G441" t="str">
        <f t="shared" si="760"/>
        <v>RecovEff</v>
      </c>
      <c r="H441">
        <f t="shared" si="685"/>
        <v>52</v>
      </c>
      <c r="I441">
        <f>MATCH(G441,Technologies!$B$6:$S$6,0)</f>
        <v>8</v>
      </c>
      <c r="J441">
        <f t="shared" ref="J441" si="795">+J430</f>
        <v>67</v>
      </c>
    </row>
    <row r="442" spans="2:10" x14ac:dyDescent="0.25">
      <c r="B442">
        <f>INDEX(exante.Technology!$A$2:$A$4130,MATCH(E442,exante.Technology!$C$2:$C$4130,0))</f>
        <v>1052</v>
      </c>
      <c r="C442">
        <f t="shared" ref="C442" si="796">+C431</f>
        <v>1073</v>
      </c>
      <c r="D442">
        <f>INDEX(Technologies!$B$7:$S$67,H442,I442)</f>
        <v>4.0198999999999998</v>
      </c>
      <c r="E442" t="str">
        <f>INDEX(Technologies!$B$7:$B$67,H442)</f>
        <v>Stor_EF-Gas-060gal-0.80EF</v>
      </c>
      <c r="G442" t="str">
        <f t="shared" si="760"/>
        <v>TankUA</v>
      </c>
      <c r="H442">
        <f t="shared" si="685"/>
        <v>52</v>
      </c>
      <c r="I442">
        <f>MATCH(G442,Technologies!$B$6:$S$6,0)</f>
        <v>9</v>
      </c>
      <c r="J442">
        <f t="shared" ref="J442" si="797">+J431</f>
        <v>67</v>
      </c>
    </row>
    <row r="443" spans="2:10" x14ac:dyDescent="0.25">
      <c r="B443">
        <f>INDEX(exante.Technology!$A$2:$A$4130,MATCH(E443,exante.Technology!$C$2:$C$4130,0))</f>
        <v>1052</v>
      </c>
      <c r="C443">
        <f t="shared" ref="C443" si="798">+C432</f>
        <v>1074</v>
      </c>
      <c r="D443">
        <f>INDEX(Technologies!$B$7:$S$67,H443,I443)</f>
        <v>0</v>
      </c>
      <c r="E443" t="str">
        <f>INDEX(Technologies!$B$7:$B$67,H443)</f>
        <v>Stor_EF-Gas-060gal-0.80EF</v>
      </c>
      <c r="G443" t="str">
        <f t="shared" si="760"/>
        <v>auxW</v>
      </c>
      <c r="H443">
        <f t="shared" si="685"/>
        <v>52</v>
      </c>
      <c r="I443">
        <f>MATCH(G443,Technologies!$B$6:$S$6,0)</f>
        <v>13</v>
      </c>
      <c r="J443">
        <f t="shared" ref="J443" si="799">+J432</f>
        <v>67</v>
      </c>
    </row>
    <row r="444" spans="2:10" x14ac:dyDescent="0.25">
      <c r="B444">
        <f>INDEX(exante.Technology!$A$2:$A$4130,MATCH(E444,exante.Technology!$C$2:$C$4130,0))</f>
        <v>1052</v>
      </c>
      <c r="C444">
        <f t="shared" ref="C444" si="800">+C433</f>
        <v>1075</v>
      </c>
      <c r="D444">
        <f>INDEX(Technologies!$B$7:$S$67,H444,I444)</f>
        <v>50</v>
      </c>
      <c r="E444" t="str">
        <f>INDEX(Technologies!$B$7:$B$67,H444)</f>
        <v>Stor_EF-Gas-060gal-0.80EF</v>
      </c>
      <c r="G444" t="str">
        <f t="shared" si="760"/>
        <v>auxVentW</v>
      </c>
      <c r="H444">
        <f t="shared" si="685"/>
        <v>52</v>
      </c>
      <c r="I444">
        <f>MATCH(G444,Technologies!$B$6:$S$6,0)</f>
        <v>14</v>
      </c>
      <c r="J444">
        <f t="shared" ref="J444" si="801">+J433</f>
        <v>67</v>
      </c>
    </row>
    <row r="445" spans="2:10" x14ac:dyDescent="0.25">
      <c r="B445">
        <f>INDEX(exante.Technology!$A$2:$A$4130,MATCH(E445,exante.Technology!$C$2:$C$4130,0))</f>
        <v>1052</v>
      </c>
      <c r="C445">
        <f t="shared" ref="C445" si="802">+C434</f>
        <v>1076</v>
      </c>
      <c r="D445">
        <f>INDEX(Technologies!$B$7:$S$67,H445,I445)</f>
        <v>350</v>
      </c>
      <c r="E445" t="str">
        <f>INDEX(Technologies!$B$7:$B$67,H445)</f>
        <v>Stor_EF-Gas-060gal-0.80EF</v>
      </c>
      <c r="G445" t="str">
        <f t="shared" si="760"/>
        <v>pilotBTUh</v>
      </c>
      <c r="H445">
        <f t="shared" si="685"/>
        <v>52</v>
      </c>
      <c r="I445">
        <f>MATCH(G445,Technologies!$B$6:$S$6,0)</f>
        <v>15</v>
      </c>
      <c r="J445">
        <f t="shared" ref="J445" si="803">+J434</f>
        <v>67</v>
      </c>
    </row>
    <row r="446" spans="2:10" x14ac:dyDescent="0.25">
      <c r="B446">
        <f>INDEX(exante.Technology!$A$2:$A$4130,MATCH(E446,exante.Technology!$C$2:$C$4130,0))</f>
        <v>1052</v>
      </c>
      <c r="C446">
        <f t="shared" ref="C446" si="804">+C435</f>
        <v>1077</v>
      </c>
      <c r="D446">
        <f>INDEX(Technologies!$B$7:$S$67,H446,I446)</f>
        <v>0.67</v>
      </c>
      <c r="E446" t="str">
        <f>INDEX(Technologies!$B$7:$B$67,H446)</f>
        <v>Stor_EF-Gas-060gal-0.80EF</v>
      </c>
      <c r="G446" t="str">
        <f t="shared" si="760"/>
        <v>pilotHtgEff</v>
      </c>
      <c r="H446">
        <f t="shared" si="685"/>
        <v>52</v>
      </c>
      <c r="I446">
        <f>MATCH(G446,Technologies!$B$6:$S$6,0)</f>
        <v>16</v>
      </c>
      <c r="J446">
        <f t="shared" ref="J446" si="805">+J435</f>
        <v>67</v>
      </c>
    </row>
    <row r="447" spans="2:10" x14ac:dyDescent="0.25">
      <c r="B447">
        <f>INDEX(exante.Technology!$A$2:$A$4130,MATCH(E447,exante.Technology!$C$2:$C$4130,0))</f>
        <v>1053</v>
      </c>
      <c r="C447">
        <f t="shared" ref="C447" si="806">+C436</f>
        <v>85</v>
      </c>
      <c r="D447" t="str">
        <f>INDEX(Technologies!$B$7:$S$67,H447,I447)</f>
        <v>Gas</v>
      </c>
      <c r="E447" t="str">
        <f>INDEX(Technologies!$B$7:$B$67,H447)</f>
        <v>Stor_EF-Gas-060gal-0.82EF</v>
      </c>
      <c r="G447" t="str">
        <f t="shared" si="760"/>
        <v>Fuel_Type</v>
      </c>
      <c r="H447">
        <f t="shared" si="685"/>
        <v>53</v>
      </c>
      <c r="I447">
        <f>MATCH(G447,Technologies!$B$6:$S$6,0)</f>
        <v>3</v>
      </c>
      <c r="J447">
        <f t="shared" ref="J447" si="807">+J436</f>
        <v>67</v>
      </c>
    </row>
    <row r="448" spans="2:10" x14ac:dyDescent="0.25">
      <c r="B448">
        <f>INDEX(exante.Technology!$A$2:$A$4130,MATCH(E448,exante.Technology!$C$2:$C$4130,0))</f>
        <v>1053</v>
      </c>
      <c r="C448">
        <f t="shared" ref="C448" si="808">+C437</f>
        <v>1081</v>
      </c>
      <c r="D448">
        <f>INDEX(Technologies!$B$7:$S$67,H448,I448)</f>
        <v>60</v>
      </c>
      <c r="E448" t="str">
        <f>INDEX(Technologies!$B$7:$B$67,H448)</f>
        <v>Stor_EF-Gas-060gal-0.82EF</v>
      </c>
      <c r="G448" t="str">
        <f t="shared" si="760"/>
        <v>Nom_Gallons</v>
      </c>
      <c r="H448">
        <f t="shared" si="685"/>
        <v>53</v>
      </c>
      <c r="I448">
        <f>MATCH(G448,Technologies!$B$6:$S$6,0)</f>
        <v>4</v>
      </c>
      <c r="J448">
        <f t="shared" ref="J448" si="809">+J437</f>
        <v>67</v>
      </c>
    </row>
    <row r="449" spans="2:10" x14ac:dyDescent="0.25">
      <c r="B449">
        <f>INDEX(exante.Technology!$A$2:$A$4130,MATCH(E449,exante.Technology!$C$2:$C$4130,0))</f>
        <v>1053</v>
      </c>
      <c r="C449">
        <f t="shared" ref="C449" si="810">+C438</f>
        <v>58</v>
      </c>
      <c r="D449">
        <f>INDEX(Technologies!$B$7:$S$67,H449,I449)</f>
        <v>0.82</v>
      </c>
      <c r="E449" t="str">
        <f>INDEX(Technologies!$B$7:$B$67,H449)</f>
        <v>Stor_EF-Gas-060gal-0.82EF</v>
      </c>
      <c r="G449" t="str">
        <f t="shared" si="760"/>
        <v>Energy_Factor</v>
      </c>
      <c r="H449">
        <f t="shared" si="685"/>
        <v>53</v>
      </c>
      <c r="I449">
        <f>MATCH(G449,Technologies!$B$6:$S$6,0)</f>
        <v>5</v>
      </c>
      <c r="J449">
        <f t="shared" ref="J449" si="811">+J438</f>
        <v>67</v>
      </c>
    </row>
    <row r="450" spans="2:10" x14ac:dyDescent="0.25">
      <c r="B450">
        <f>INDEX(exante.Technology!$A$2:$A$4130,MATCH(E450,exante.Technology!$C$2:$C$4130,0))</f>
        <v>1053</v>
      </c>
      <c r="C450">
        <f t="shared" ref="C450" si="812">+C439</f>
        <v>1070</v>
      </c>
      <c r="D450">
        <f>INDEX(Technologies!$B$7:$S$67,H450,I450)</f>
        <v>40</v>
      </c>
      <c r="E450" t="str">
        <f>INDEX(Technologies!$B$7:$B$67,H450)</f>
        <v>Stor_EF-Gas-060gal-0.82EF</v>
      </c>
      <c r="G450" t="str">
        <f t="shared" si="760"/>
        <v>BurnCap_kBTUh</v>
      </c>
      <c r="H450">
        <f t="shared" si="685"/>
        <v>53</v>
      </c>
      <c r="I450">
        <f>MATCH(G450,Technologies!$B$6:$S$6,0)</f>
        <v>6</v>
      </c>
      <c r="J450">
        <f t="shared" ref="J450" si="813">+J439</f>
        <v>67</v>
      </c>
    </row>
    <row r="451" spans="2:10" x14ac:dyDescent="0.25">
      <c r="B451">
        <f>INDEX(exante.Technology!$A$2:$A$4130,MATCH(E451,exante.Technology!$C$2:$C$4130,0))</f>
        <v>1053</v>
      </c>
      <c r="C451">
        <f t="shared" ref="C451" si="814">+C440</f>
        <v>1071</v>
      </c>
      <c r="D451">
        <f>INDEX(Technologies!$B$7:$S$67,H451,I451)</f>
        <v>0</v>
      </c>
      <c r="E451" t="str">
        <f>INDEX(Technologies!$B$7:$B$67,H451)</f>
        <v>Stor_EF-Gas-060gal-0.82EF</v>
      </c>
      <c r="G451" t="str">
        <f t="shared" si="760"/>
        <v>BurnCap_kW</v>
      </c>
      <c r="H451">
        <f t="shared" ref="H451:H514" si="815">+H440+1</f>
        <v>53</v>
      </c>
      <c r="I451">
        <f>MATCH(G451,Technologies!$B$6:$S$6,0)</f>
        <v>7</v>
      </c>
      <c r="J451">
        <f t="shared" ref="J451" si="816">+J440</f>
        <v>67</v>
      </c>
    </row>
    <row r="452" spans="2:10" x14ac:dyDescent="0.25">
      <c r="B452">
        <f>INDEX(exante.Technology!$A$2:$A$4130,MATCH(E452,exante.Technology!$C$2:$C$4130,0))</f>
        <v>1053</v>
      </c>
      <c r="C452">
        <f t="shared" ref="C452" si="817">+C441</f>
        <v>1072</v>
      </c>
      <c r="D452">
        <f>INDEX(Technologies!$B$7:$S$67,H452,I452)</f>
        <v>0.92</v>
      </c>
      <c r="E452" t="str">
        <f>INDEX(Technologies!$B$7:$B$67,H452)</f>
        <v>Stor_EF-Gas-060gal-0.82EF</v>
      </c>
      <c r="G452" t="str">
        <f t="shared" si="760"/>
        <v>RecovEff</v>
      </c>
      <c r="H452">
        <f t="shared" si="815"/>
        <v>53</v>
      </c>
      <c r="I452">
        <f>MATCH(G452,Technologies!$B$6:$S$6,0)</f>
        <v>8</v>
      </c>
      <c r="J452">
        <f t="shared" ref="J452" si="818">+J441</f>
        <v>67</v>
      </c>
    </row>
    <row r="453" spans="2:10" x14ac:dyDescent="0.25">
      <c r="B453">
        <f>INDEX(exante.Technology!$A$2:$A$4130,MATCH(E453,exante.Technology!$C$2:$C$4130,0))</f>
        <v>1053</v>
      </c>
      <c r="C453">
        <f t="shared" ref="C453" si="819">+C442</f>
        <v>1073</v>
      </c>
      <c r="D453">
        <f>INDEX(Technologies!$B$7:$S$67,H453,I453)</f>
        <v>3.2637</v>
      </c>
      <c r="E453" t="str">
        <f>INDEX(Technologies!$B$7:$B$67,H453)</f>
        <v>Stor_EF-Gas-060gal-0.82EF</v>
      </c>
      <c r="G453" t="str">
        <f t="shared" si="760"/>
        <v>TankUA</v>
      </c>
      <c r="H453">
        <f t="shared" si="815"/>
        <v>53</v>
      </c>
      <c r="I453">
        <f>MATCH(G453,Technologies!$B$6:$S$6,0)</f>
        <v>9</v>
      </c>
      <c r="J453">
        <f t="shared" ref="J453" si="820">+J442</f>
        <v>67</v>
      </c>
    </row>
    <row r="454" spans="2:10" x14ac:dyDescent="0.25">
      <c r="B454">
        <f>INDEX(exante.Technology!$A$2:$A$4130,MATCH(E454,exante.Technology!$C$2:$C$4130,0))</f>
        <v>1053</v>
      </c>
      <c r="C454">
        <f t="shared" ref="C454" si="821">+C443</f>
        <v>1074</v>
      </c>
      <c r="D454">
        <f>INDEX(Technologies!$B$7:$S$67,H454,I454)</f>
        <v>0</v>
      </c>
      <c r="E454" t="str">
        <f>INDEX(Technologies!$B$7:$B$67,H454)</f>
        <v>Stor_EF-Gas-060gal-0.82EF</v>
      </c>
      <c r="G454" t="str">
        <f t="shared" si="760"/>
        <v>auxW</v>
      </c>
      <c r="H454">
        <f t="shared" si="815"/>
        <v>53</v>
      </c>
      <c r="I454">
        <f>MATCH(G454,Technologies!$B$6:$S$6,0)</f>
        <v>13</v>
      </c>
      <c r="J454">
        <f t="shared" ref="J454" si="822">+J443</f>
        <v>67</v>
      </c>
    </row>
    <row r="455" spans="2:10" x14ac:dyDescent="0.25">
      <c r="B455">
        <f>INDEX(exante.Technology!$A$2:$A$4130,MATCH(E455,exante.Technology!$C$2:$C$4130,0))</f>
        <v>1053</v>
      </c>
      <c r="C455">
        <f t="shared" ref="C455" si="823">+C444</f>
        <v>1075</v>
      </c>
      <c r="D455">
        <f>INDEX(Technologies!$B$7:$S$67,H455,I455)</f>
        <v>50</v>
      </c>
      <c r="E455" t="str">
        <f>INDEX(Technologies!$B$7:$B$67,H455)</f>
        <v>Stor_EF-Gas-060gal-0.82EF</v>
      </c>
      <c r="G455" t="str">
        <f t="shared" si="760"/>
        <v>auxVentW</v>
      </c>
      <c r="H455">
        <f t="shared" si="815"/>
        <v>53</v>
      </c>
      <c r="I455">
        <f>MATCH(G455,Technologies!$B$6:$S$6,0)</f>
        <v>14</v>
      </c>
      <c r="J455">
        <f t="shared" ref="J455" si="824">+J444</f>
        <v>67</v>
      </c>
    </row>
    <row r="456" spans="2:10" x14ac:dyDescent="0.25">
      <c r="B456">
        <f>INDEX(exante.Technology!$A$2:$A$4130,MATCH(E456,exante.Technology!$C$2:$C$4130,0))</f>
        <v>1053</v>
      </c>
      <c r="C456">
        <f t="shared" ref="C456" si="825">+C445</f>
        <v>1076</v>
      </c>
      <c r="D456">
        <f>INDEX(Technologies!$B$7:$S$67,H456,I456)</f>
        <v>350</v>
      </c>
      <c r="E456" t="str">
        <f>INDEX(Technologies!$B$7:$B$67,H456)</f>
        <v>Stor_EF-Gas-060gal-0.82EF</v>
      </c>
      <c r="G456" t="str">
        <f t="shared" si="760"/>
        <v>pilotBTUh</v>
      </c>
      <c r="H456">
        <f t="shared" si="815"/>
        <v>53</v>
      </c>
      <c r="I456">
        <f>MATCH(G456,Technologies!$B$6:$S$6,0)</f>
        <v>15</v>
      </c>
      <c r="J456">
        <f t="shared" ref="J456" si="826">+J445</f>
        <v>67</v>
      </c>
    </row>
    <row r="457" spans="2:10" x14ac:dyDescent="0.25">
      <c r="B457">
        <f>INDEX(exante.Technology!$A$2:$A$4130,MATCH(E457,exante.Technology!$C$2:$C$4130,0))</f>
        <v>1053</v>
      </c>
      <c r="C457">
        <f t="shared" ref="C457" si="827">+C446</f>
        <v>1077</v>
      </c>
      <c r="D457">
        <f>INDEX(Technologies!$B$7:$S$67,H457,I457)</f>
        <v>0.67</v>
      </c>
      <c r="E457" t="str">
        <f>INDEX(Technologies!$B$7:$B$67,H457)</f>
        <v>Stor_EF-Gas-060gal-0.82EF</v>
      </c>
      <c r="G457" t="str">
        <f t="shared" si="760"/>
        <v>pilotHtgEff</v>
      </c>
      <c r="H457">
        <f t="shared" si="815"/>
        <v>53</v>
      </c>
      <c r="I457">
        <f>MATCH(G457,Technologies!$B$6:$S$6,0)</f>
        <v>16</v>
      </c>
      <c r="J457">
        <f t="shared" ref="J457" si="828">+J446</f>
        <v>67</v>
      </c>
    </row>
    <row r="458" spans="2:10" x14ac:dyDescent="0.25">
      <c r="B458">
        <f>INDEX(exante.Technology!$A$2:$A$4130,MATCH(E458,exante.Technology!$C$2:$C$4130,0))</f>
        <v>1054</v>
      </c>
      <c r="C458">
        <f t="shared" ref="C458" si="829">+C447</f>
        <v>85</v>
      </c>
      <c r="D458" t="str">
        <f>INDEX(Technologies!$B$7:$S$67,H458,I458)</f>
        <v>Gas</v>
      </c>
      <c r="E458" t="str">
        <f>INDEX(Technologies!$B$7:$B$67,H458)</f>
        <v>Stor_EF-Gas-075gal-0.48EF</v>
      </c>
      <c r="G458" t="str">
        <f t="shared" si="760"/>
        <v>Fuel_Type</v>
      </c>
      <c r="H458">
        <f t="shared" si="815"/>
        <v>54</v>
      </c>
      <c r="I458">
        <f>MATCH(G458,Technologies!$B$6:$S$6,0)</f>
        <v>3</v>
      </c>
      <c r="J458">
        <f t="shared" ref="J458" si="830">+J447</f>
        <v>67</v>
      </c>
    </row>
    <row r="459" spans="2:10" x14ac:dyDescent="0.25">
      <c r="B459">
        <f>INDEX(exante.Technology!$A$2:$A$4130,MATCH(E459,exante.Technology!$C$2:$C$4130,0))</f>
        <v>1054</v>
      </c>
      <c r="C459">
        <f t="shared" ref="C459" si="831">+C448</f>
        <v>1081</v>
      </c>
      <c r="D459">
        <f>INDEX(Technologies!$B$7:$S$67,H459,I459)</f>
        <v>75</v>
      </c>
      <c r="E459" t="str">
        <f>INDEX(Technologies!$B$7:$B$67,H459)</f>
        <v>Stor_EF-Gas-075gal-0.48EF</v>
      </c>
      <c r="G459" t="str">
        <f t="shared" si="760"/>
        <v>Nom_Gallons</v>
      </c>
      <c r="H459">
        <f t="shared" si="815"/>
        <v>54</v>
      </c>
      <c r="I459">
        <f>MATCH(G459,Technologies!$B$6:$S$6,0)</f>
        <v>4</v>
      </c>
      <c r="J459">
        <f t="shared" ref="J459" si="832">+J448</f>
        <v>67</v>
      </c>
    </row>
    <row r="460" spans="2:10" x14ac:dyDescent="0.25">
      <c r="B460">
        <f>INDEX(exante.Technology!$A$2:$A$4130,MATCH(E460,exante.Technology!$C$2:$C$4130,0))</f>
        <v>1054</v>
      </c>
      <c r="C460">
        <f t="shared" ref="C460" si="833">+C449</f>
        <v>58</v>
      </c>
      <c r="D460">
        <f>INDEX(Technologies!$B$7:$S$67,H460,I460)</f>
        <v>0.48</v>
      </c>
      <c r="E460" t="str">
        <f>INDEX(Technologies!$B$7:$B$67,H460)</f>
        <v>Stor_EF-Gas-075gal-0.48EF</v>
      </c>
      <c r="G460" t="str">
        <f t="shared" si="760"/>
        <v>Energy_Factor</v>
      </c>
      <c r="H460">
        <f t="shared" si="815"/>
        <v>54</v>
      </c>
      <c r="I460">
        <f>MATCH(G460,Technologies!$B$6:$S$6,0)</f>
        <v>5</v>
      </c>
      <c r="J460">
        <f t="shared" ref="J460" si="834">+J449</f>
        <v>67</v>
      </c>
    </row>
    <row r="461" spans="2:10" x14ac:dyDescent="0.25">
      <c r="B461">
        <f>INDEX(exante.Technology!$A$2:$A$4130,MATCH(E461,exante.Technology!$C$2:$C$4130,0))</f>
        <v>1054</v>
      </c>
      <c r="C461">
        <f t="shared" ref="C461" si="835">+C450</f>
        <v>1070</v>
      </c>
      <c r="D461">
        <f>INDEX(Technologies!$B$7:$S$67,H461,I461)</f>
        <v>70</v>
      </c>
      <c r="E461" t="str">
        <f>INDEX(Technologies!$B$7:$B$67,H461)</f>
        <v>Stor_EF-Gas-075gal-0.48EF</v>
      </c>
      <c r="G461" t="str">
        <f t="shared" si="760"/>
        <v>BurnCap_kBTUh</v>
      </c>
      <c r="H461">
        <f t="shared" si="815"/>
        <v>54</v>
      </c>
      <c r="I461">
        <f>MATCH(G461,Technologies!$B$6:$S$6,0)</f>
        <v>6</v>
      </c>
      <c r="J461">
        <f t="shared" ref="J461" si="836">+J450</f>
        <v>67</v>
      </c>
    </row>
    <row r="462" spans="2:10" x14ac:dyDescent="0.25">
      <c r="B462">
        <f>INDEX(exante.Technology!$A$2:$A$4130,MATCH(E462,exante.Technology!$C$2:$C$4130,0))</f>
        <v>1054</v>
      </c>
      <c r="C462">
        <f t="shared" ref="C462" si="837">+C451</f>
        <v>1071</v>
      </c>
      <c r="D462">
        <f>INDEX(Technologies!$B$7:$S$67,H462,I462)</f>
        <v>0</v>
      </c>
      <c r="E462" t="str">
        <f>INDEX(Technologies!$B$7:$B$67,H462)</f>
        <v>Stor_EF-Gas-075gal-0.48EF</v>
      </c>
      <c r="G462" t="str">
        <f t="shared" si="760"/>
        <v>BurnCap_kW</v>
      </c>
      <c r="H462">
        <f t="shared" si="815"/>
        <v>54</v>
      </c>
      <c r="I462">
        <f>MATCH(G462,Technologies!$B$6:$S$6,0)</f>
        <v>7</v>
      </c>
      <c r="J462">
        <f t="shared" ref="J462" si="838">+J451</f>
        <v>67</v>
      </c>
    </row>
    <row r="463" spans="2:10" x14ac:dyDescent="0.25">
      <c r="B463">
        <f>INDEX(exante.Technology!$A$2:$A$4130,MATCH(E463,exante.Technology!$C$2:$C$4130,0))</f>
        <v>1054</v>
      </c>
      <c r="C463">
        <f t="shared" ref="C463" si="839">+C452</f>
        <v>1072</v>
      </c>
      <c r="D463">
        <f>INDEX(Technologies!$B$7:$S$67,H463,I463)</f>
        <v>0.76</v>
      </c>
      <c r="E463" t="str">
        <f>INDEX(Technologies!$B$7:$B$67,H463)</f>
        <v>Stor_EF-Gas-075gal-0.48EF</v>
      </c>
      <c r="G463" t="str">
        <f t="shared" si="760"/>
        <v>RecovEff</v>
      </c>
      <c r="H463">
        <f t="shared" si="815"/>
        <v>54</v>
      </c>
      <c r="I463">
        <f>MATCH(G463,Technologies!$B$6:$S$6,0)</f>
        <v>8</v>
      </c>
      <c r="J463">
        <f t="shared" ref="J463" si="840">+J452</f>
        <v>67</v>
      </c>
    </row>
    <row r="464" spans="2:10" x14ac:dyDescent="0.25">
      <c r="B464">
        <f>INDEX(exante.Technology!$A$2:$A$4130,MATCH(E464,exante.Technology!$C$2:$C$4130,0))</f>
        <v>1054</v>
      </c>
      <c r="C464">
        <f t="shared" ref="C464" si="841">+C453</f>
        <v>1073</v>
      </c>
      <c r="D464">
        <f>INDEX(Technologies!$B$7:$S$67,H464,I464)</f>
        <v>15.590999999999999</v>
      </c>
      <c r="E464" t="str">
        <f>INDEX(Technologies!$B$7:$B$67,H464)</f>
        <v>Stor_EF-Gas-075gal-0.48EF</v>
      </c>
      <c r="G464" t="str">
        <f t="shared" si="760"/>
        <v>TankUA</v>
      </c>
      <c r="H464">
        <f t="shared" si="815"/>
        <v>54</v>
      </c>
      <c r="I464">
        <f>MATCH(G464,Technologies!$B$6:$S$6,0)</f>
        <v>9</v>
      </c>
      <c r="J464">
        <f t="shared" ref="J464" si="842">+J453</f>
        <v>67</v>
      </c>
    </row>
    <row r="465" spans="2:10" x14ac:dyDescent="0.25">
      <c r="B465">
        <f>INDEX(exante.Technology!$A$2:$A$4130,MATCH(E465,exante.Technology!$C$2:$C$4130,0))</f>
        <v>1054</v>
      </c>
      <c r="C465">
        <f t="shared" ref="C465" si="843">+C454</f>
        <v>1074</v>
      </c>
      <c r="D465">
        <f>INDEX(Technologies!$B$7:$S$67,H465,I465)</f>
        <v>0</v>
      </c>
      <c r="E465" t="str">
        <f>INDEX(Technologies!$B$7:$B$67,H465)</f>
        <v>Stor_EF-Gas-075gal-0.48EF</v>
      </c>
      <c r="G465" t="str">
        <f t="shared" si="760"/>
        <v>auxW</v>
      </c>
      <c r="H465">
        <f t="shared" si="815"/>
        <v>54</v>
      </c>
      <c r="I465">
        <f>MATCH(G465,Technologies!$B$6:$S$6,0)</f>
        <v>13</v>
      </c>
      <c r="J465">
        <f t="shared" ref="J465" si="844">+J454</f>
        <v>67</v>
      </c>
    </row>
    <row r="466" spans="2:10" x14ac:dyDescent="0.25">
      <c r="B466">
        <f>INDEX(exante.Technology!$A$2:$A$4130,MATCH(E466,exante.Technology!$C$2:$C$4130,0))</f>
        <v>1054</v>
      </c>
      <c r="C466">
        <f t="shared" ref="C466" si="845">+C455</f>
        <v>1075</v>
      </c>
      <c r="D466">
        <f>INDEX(Technologies!$B$7:$S$67,H466,I466)</f>
        <v>0</v>
      </c>
      <c r="E466" t="str">
        <f>INDEX(Technologies!$B$7:$B$67,H466)</f>
        <v>Stor_EF-Gas-075gal-0.48EF</v>
      </c>
      <c r="G466" t="str">
        <f t="shared" si="760"/>
        <v>auxVentW</v>
      </c>
      <c r="H466">
        <f t="shared" si="815"/>
        <v>54</v>
      </c>
      <c r="I466">
        <f>MATCH(G466,Technologies!$B$6:$S$6,0)</f>
        <v>14</v>
      </c>
      <c r="J466">
        <f t="shared" ref="J466" si="846">+J455</f>
        <v>67</v>
      </c>
    </row>
    <row r="467" spans="2:10" x14ac:dyDescent="0.25">
      <c r="B467">
        <f>INDEX(exante.Technology!$A$2:$A$4130,MATCH(E467,exante.Technology!$C$2:$C$4130,0))</f>
        <v>1054</v>
      </c>
      <c r="C467">
        <f t="shared" ref="C467" si="847">+C456</f>
        <v>1076</v>
      </c>
      <c r="D467">
        <f>INDEX(Technologies!$B$7:$S$67,H467,I467)</f>
        <v>350</v>
      </c>
      <c r="E467" t="str">
        <f>INDEX(Technologies!$B$7:$B$67,H467)</f>
        <v>Stor_EF-Gas-075gal-0.48EF</v>
      </c>
      <c r="G467" t="str">
        <f t="shared" si="760"/>
        <v>pilotBTUh</v>
      </c>
      <c r="H467">
        <f t="shared" si="815"/>
        <v>54</v>
      </c>
      <c r="I467">
        <f>MATCH(G467,Technologies!$B$6:$S$6,0)</f>
        <v>15</v>
      </c>
      <c r="J467">
        <f t="shared" ref="J467" si="848">+J456</f>
        <v>67</v>
      </c>
    </row>
    <row r="468" spans="2:10" x14ac:dyDescent="0.25">
      <c r="B468">
        <f>INDEX(exante.Technology!$A$2:$A$4130,MATCH(E468,exante.Technology!$C$2:$C$4130,0))</f>
        <v>1054</v>
      </c>
      <c r="C468">
        <f t="shared" ref="C468" si="849">+C457</f>
        <v>1077</v>
      </c>
      <c r="D468">
        <f>INDEX(Technologies!$B$7:$S$67,H468,I468)</f>
        <v>0.67</v>
      </c>
      <c r="E468" t="str">
        <f>INDEX(Technologies!$B$7:$B$67,H468)</f>
        <v>Stor_EF-Gas-075gal-0.48EF</v>
      </c>
      <c r="G468" t="str">
        <f t="shared" si="760"/>
        <v>pilotHtgEff</v>
      </c>
      <c r="H468">
        <f t="shared" si="815"/>
        <v>54</v>
      </c>
      <c r="I468">
        <f>MATCH(G468,Technologies!$B$6:$S$6,0)</f>
        <v>16</v>
      </c>
      <c r="J468">
        <f t="shared" ref="J468" si="850">+J457</f>
        <v>67</v>
      </c>
    </row>
    <row r="469" spans="2:10" x14ac:dyDescent="0.25">
      <c r="B469">
        <f>INDEX(exante.Technology!$A$2:$A$4130,MATCH(E469,exante.Technology!$C$2:$C$4130,0))</f>
        <v>1055</v>
      </c>
      <c r="C469">
        <f t="shared" ref="C469" si="851">+C458</f>
        <v>85</v>
      </c>
      <c r="D469" t="str">
        <f>INDEX(Technologies!$B$7:$S$67,H469,I469)</f>
        <v>Gas</v>
      </c>
      <c r="E469" t="str">
        <f>INDEX(Technologies!$B$7:$B$67,H469)</f>
        <v>Stor_EF-Gas-075gal-0.53EF</v>
      </c>
      <c r="G469" t="str">
        <f t="shared" si="760"/>
        <v>Fuel_Type</v>
      </c>
      <c r="H469">
        <f t="shared" si="815"/>
        <v>55</v>
      </c>
      <c r="I469">
        <f>MATCH(G469,Technologies!$B$6:$S$6,0)</f>
        <v>3</v>
      </c>
      <c r="J469">
        <f t="shared" ref="J469" si="852">+J458</f>
        <v>67</v>
      </c>
    </row>
    <row r="470" spans="2:10" x14ac:dyDescent="0.25">
      <c r="B470">
        <f>INDEX(exante.Technology!$A$2:$A$4130,MATCH(E470,exante.Technology!$C$2:$C$4130,0))</f>
        <v>1055</v>
      </c>
      <c r="C470">
        <f t="shared" ref="C470" si="853">+C459</f>
        <v>1081</v>
      </c>
      <c r="D470">
        <f>INDEX(Technologies!$B$7:$S$67,H470,I470)</f>
        <v>75</v>
      </c>
      <c r="E470" t="str">
        <f>INDEX(Technologies!$B$7:$B$67,H470)</f>
        <v>Stor_EF-Gas-075gal-0.53EF</v>
      </c>
      <c r="G470" t="str">
        <f t="shared" si="760"/>
        <v>Nom_Gallons</v>
      </c>
      <c r="H470">
        <f t="shared" si="815"/>
        <v>55</v>
      </c>
      <c r="I470">
        <f>MATCH(G470,Technologies!$B$6:$S$6,0)</f>
        <v>4</v>
      </c>
      <c r="J470">
        <f t="shared" ref="J470" si="854">+J459</f>
        <v>67</v>
      </c>
    </row>
    <row r="471" spans="2:10" x14ac:dyDescent="0.25">
      <c r="B471">
        <f>INDEX(exante.Technology!$A$2:$A$4130,MATCH(E471,exante.Technology!$C$2:$C$4130,0))</f>
        <v>1055</v>
      </c>
      <c r="C471">
        <f t="shared" ref="C471" si="855">+C460</f>
        <v>58</v>
      </c>
      <c r="D471">
        <f>INDEX(Technologies!$B$7:$S$67,H471,I471)</f>
        <v>0.52800000000000002</v>
      </c>
      <c r="E471" t="str">
        <f>INDEX(Technologies!$B$7:$B$67,H471)</f>
        <v>Stor_EF-Gas-075gal-0.53EF</v>
      </c>
      <c r="G471" t="str">
        <f t="shared" si="760"/>
        <v>Energy_Factor</v>
      </c>
      <c r="H471">
        <f t="shared" si="815"/>
        <v>55</v>
      </c>
      <c r="I471">
        <f>MATCH(G471,Technologies!$B$6:$S$6,0)</f>
        <v>5</v>
      </c>
      <c r="J471">
        <f t="shared" ref="J471" si="856">+J460</f>
        <v>67</v>
      </c>
    </row>
    <row r="472" spans="2:10" x14ac:dyDescent="0.25">
      <c r="B472">
        <f>INDEX(exante.Technology!$A$2:$A$4130,MATCH(E472,exante.Technology!$C$2:$C$4130,0))</f>
        <v>1055</v>
      </c>
      <c r="C472">
        <f t="shared" ref="C472" si="857">+C461</f>
        <v>1070</v>
      </c>
      <c r="D472">
        <f>INDEX(Technologies!$B$7:$S$67,H472,I472)</f>
        <v>70</v>
      </c>
      <c r="E472" t="str">
        <f>INDEX(Technologies!$B$7:$B$67,H472)</f>
        <v>Stor_EF-Gas-075gal-0.53EF</v>
      </c>
      <c r="G472" t="str">
        <f t="shared" si="760"/>
        <v>BurnCap_kBTUh</v>
      </c>
      <c r="H472">
        <f t="shared" si="815"/>
        <v>55</v>
      </c>
      <c r="I472">
        <f>MATCH(G472,Technologies!$B$6:$S$6,0)</f>
        <v>6</v>
      </c>
      <c r="J472">
        <f t="shared" ref="J472" si="858">+J461</f>
        <v>67</v>
      </c>
    </row>
    <row r="473" spans="2:10" x14ac:dyDescent="0.25">
      <c r="B473">
        <f>INDEX(exante.Technology!$A$2:$A$4130,MATCH(E473,exante.Technology!$C$2:$C$4130,0))</f>
        <v>1055</v>
      </c>
      <c r="C473">
        <f t="shared" ref="C473" si="859">+C462</f>
        <v>1071</v>
      </c>
      <c r="D473">
        <f>INDEX(Technologies!$B$7:$S$67,H473,I473)</f>
        <v>0</v>
      </c>
      <c r="E473" t="str">
        <f>INDEX(Technologies!$B$7:$B$67,H473)</f>
        <v>Stor_EF-Gas-075gal-0.53EF</v>
      </c>
      <c r="G473" t="str">
        <f t="shared" si="760"/>
        <v>BurnCap_kW</v>
      </c>
      <c r="H473">
        <f t="shared" si="815"/>
        <v>55</v>
      </c>
      <c r="I473">
        <f>MATCH(G473,Technologies!$B$6:$S$6,0)</f>
        <v>7</v>
      </c>
      <c r="J473">
        <f t="shared" ref="J473" si="860">+J462</f>
        <v>67</v>
      </c>
    </row>
    <row r="474" spans="2:10" x14ac:dyDescent="0.25">
      <c r="B474">
        <f>INDEX(exante.Technology!$A$2:$A$4130,MATCH(E474,exante.Technology!$C$2:$C$4130,0))</f>
        <v>1055</v>
      </c>
      <c r="C474">
        <f t="shared" ref="C474" si="861">+C463</f>
        <v>1072</v>
      </c>
      <c r="D474">
        <f>INDEX(Technologies!$B$7:$S$67,H474,I474)</f>
        <v>0.76</v>
      </c>
      <c r="E474" t="str">
        <f>INDEX(Technologies!$B$7:$B$67,H474)</f>
        <v>Stor_EF-Gas-075gal-0.53EF</v>
      </c>
      <c r="G474" t="str">
        <f t="shared" si="760"/>
        <v>RecovEff</v>
      </c>
      <c r="H474">
        <f t="shared" si="815"/>
        <v>55</v>
      </c>
      <c r="I474">
        <f>MATCH(G474,Technologies!$B$6:$S$6,0)</f>
        <v>8</v>
      </c>
      <c r="J474">
        <f t="shared" ref="J474" si="862">+J463</f>
        <v>67</v>
      </c>
    </row>
    <row r="475" spans="2:10" x14ac:dyDescent="0.25">
      <c r="B475">
        <f>INDEX(exante.Technology!$A$2:$A$4130,MATCH(E475,exante.Technology!$C$2:$C$4130,0))</f>
        <v>1055</v>
      </c>
      <c r="C475">
        <f t="shared" ref="C475" si="863">+C464</f>
        <v>1073</v>
      </c>
      <c r="D475">
        <f>INDEX(Technologies!$B$7:$S$67,H475,I475)</f>
        <v>11.6868</v>
      </c>
      <c r="E475" t="str">
        <f>INDEX(Technologies!$B$7:$B$67,H475)</f>
        <v>Stor_EF-Gas-075gal-0.53EF</v>
      </c>
      <c r="G475" t="str">
        <f t="shared" si="760"/>
        <v>TankUA</v>
      </c>
      <c r="H475">
        <f t="shared" si="815"/>
        <v>55</v>
      </c>
      <c r="I475">
        <f>MATCH(G475,Technologies!$B$6:$S$6,0)</f>
        <v>9</v>
      </c>
      <c r="J475">
        <f t="shared" ref="J475" si="864">+J464</f>
        <v>67</v>
      </c>
    </row>
    <row r="476" spans="2:10" x14ac:dyDescent="0.25">
      <c r="B476">
        <f>INDEX(exante.Technology!$A$2:$A$4130,MATCH(E476,exante.Technology!$C$2:$C$4130,0))</f>
        <v>1055</v>
      </c>
      <c r="C476">
        <f t="shared" ref="C476" si="865">+C465</f>
        <v>1074</v>
      </c>
      <c r="D476">
        <f>INDEX(Technologies!$B$7:$S$67,H476,I476)</f>
        <v>0</v>
      </c>
      <c r="E476" t="str">
        <f>INDEX(Technologies!$B$7:$B$67,H476)</f>
        <v>Stor_EF-Gas-075gal-0.53EF</v>
      </c>
      <c r="G476" t="str">
        <f t="shared" si="760"/>
        <v>auxW</v>
      </c>
      <c r="H476">
        <f t="shared" si="815"/>
        <v>55</v>
      </c>
      <c r="I476">
        <f>MATCH(G476,Technologies!$B$6:$S$6,0)</f>
        <v>13</v>
      </c>
      <c r="J476">
        <f t="shared" ref="J476" si="866">+J465</f>
        <v>67</v>
      </c>
    </row>
    <row r="477" spans="2:10" x14ac:dyDescent="0.25">
      <c r="B477">
        <f>INDEX(exante.Technology!$A$2:$A$4130,MATCH(E477,exante.Technology!$C$2:$C$4130,0))</f>
        <v>1055</v>
      </c>
      <c r="C477">
        <f t="shared" ref="C477" si="867">+C466</f>
        <v>1075</v>
      </c>
      <c r="D477">
        <f>INDEX(Technologies!$B$7:$S$67,H477,I477)</f>
        <v>0</v>
      </c>
      <c r="E477" t="str">
        <f>INDEX(Technologies!$B$7:$B$67,H477)</f>
        <v>Stor_EF-Gas-075gal-0.53EF</v>
      </c>
      <c r="G477" t="str">
        <f t="shared" si="760"/>
        <v>auxVentW</v>
      </c>
      <c r="H477">
        <f t="shared" si="815"/>
        <v>55</v>
      </c>
      <c r="I477">
        <f>MATCH(G477,Technologies!$B$6:$S$6,0)</f>
        <v>14</v>
      </c>
      <c r="J477">
        <f t="shared" ref="J477" si="868">+J466</f>
        <v>67</v>
      </c>
    </row>
    <row r="478" spans="2:10" x14ac:dyDescent="0.25">
      <c r="B478">
        <f>INDEX(exante.Technology!$A$2:$A$4130,MATCH(E478,exante.Technology!$C$2:$C$4130,0))</f>
        <v>1055</v>
      </c>
      <c r="C478">
        <f t="shared" ref="C478" si="869">+C467</f>
        <v>1076</v>
      </c>
      <c r="D478">
        <f>INDEX(Technologies!$B$7:$S$67,H478,I478)</f>
        <v>350</v>
      </c>
      <c r="E478" t="str">
        <f>INDEX(Technologies!$B$7:$B$67,H478)</f>
        <v>Stor_EF-Gas-075gal-0.53EF</v>
      </c>
      <c r="G478" t="str">
        <f t="shared" si="760"/>
        <v>pilotBTUh</v>
      </c>
      <c r="H478">
        <f t="shared" si="815"/>
        <v>55</v>
      </c>
      <c r="I478">
        <f>MATCH(G478,Technologies!$B$6:$S$6,0)</f>
        <v>15</v>
      </c>
      <c r="J478">
        <f t="shared" ref="J478" si="870">+J467</f>
        <v>67</v>
      </c>
    </row>
    <row r="479" spans="2:10" x14ac:dyDescent="0.25">
      <c r="B479">
        <f>INDEX(exante.Technology!$A$2:$A$4130,MATCH(E479,exante.Technology!$C$2:$C$4130,0))</f>
        <v>1055</v>
      </c>
      <c r="C479">
        <f t="shared" ref="C479" si="871">+C468</f>
        <v>1077</v>
      </c>
      <c r="D479">
        <f>INDEX(Technologies!$B$7:$S$67,H479,I479)</f>
        <v>0.67</v>
      </c>
      <c r="E479" t="str">
        <f>INDEX(Technologies!$B$7:$B$67,H479)</f>
        <v>Stor_EF-Gas-075gal-0.53EF</v>
      </c>
      <c r="G479" t="str">
        <f t="shared" si="760"/>
        <v>pilotHtgEff</v>
      </c>
      <c r="H479">
        <f t="shared" si="815"/>
        <v>55</v>
      </c>
      <c r="I479">
        <f>MATCH(G479,Technologies!$B$6:$S$6,0)</f>
        <v>16</v>
      </c>
      <c r="J479">
        <f t="shared" ref="J479" si="872">+J468</f>
        <v>67</v>
      </c>
    </row>
    <row r="480" spans="2:10" x14ac:dyDescent="0.25">
      <c r="B480">
        <f>INDEX(exante.Technology!$A$2:$A$4130,MATCH(E480,exante.Technology!$C$2:$C$4130,0))</f>
        <v>1056</v>
      </c>
      <c r="C480">
        <f t="shared" ref="C480" si="873">+C469</f>
        <v>85</v>
      </c>
      <c r="D480" t="str">
        <f>INDEX(Technologies!$B$7:$S$67,H480,I480)</f>
        <v>Gas</v>
      </c>
      <c r="E480" t="str">
        <f>INDEX(Technologies!$B$7:$B$67,H480)</f>
        <v>Stor_EF-Gas-075gal-0.743EF</v>
      </c>
      <c r="G480" t="str">
        <f t="shared" si="760"/>
        <v>Fuel_Type</v>
      </c>
      <c r="H480">
        <f t="shared" si="815"/>
        <v>56</v>
      </c>
      <c r="I480">
        <f>MATCH(G480,Technologies!$B$6:$S$6,0)</f>
        <v>3</v>
      </c>
      <c r="J480">
        <f t="shared" ref="J480" si="874">+J469</f>
        <v>67</v>
      </c>
    </row>
    <row r="481" spans="2:10" x14ac:dyDescent="0.25">
      <c r="B481">
        <f>INDEX(exante.Technology!$A$2:$A$4130,MATCH(E481,exante.Technology!$C$2:$C$4130,0))</f>
        <v>1056</v>
      </c>
      <c r="C481">
        <f t="shared" ref="C481" si="875">+C470</f>
        <v>1081</v>
      </c>
      <c r="D481">
        <f>INDEX(Technologies!$B$7:$S$67,H481,I481)</f>
        <v>75</v>
      </c>
      <c r="E481" t="str">
        <f>INDEX(Technologies!$B$7:$B$67,H481)</f>
        <v>Stor_EF-Gas-075gal-0.743EF</v>
      </c>
      <c r="G481" t="str">
        <f t="shared" si="760"/>
        <v>Nom_Gallons</v>
      </c>
      <c r="H481">
        <f t="shared" si="815"/>
        <v>56</v>
      </c>
      <c r="I481">
        <f>MATCH(G481,Technologies!$B$6:$S$6,0)</f>
        <v>4</v>
      </c>
      <c r="J481">
        <f t="shared" ref="J481" si="876">+J470</f>
        <v>67</v>
      </c>
    </row>
    <row r="482" spans="2:10" x14ac:dyDescent="0.25">
      <c r="B482">
        <f>INDEX(exante.Technology!$A$2:$A$4130,MATCH(E482,exante.Technology!$C$2:$C$4130,0))</f>
        <v>1056</v>
      </c>
      <c r="C482">
        <f t="shared" ref="C482" si="877">+C471</f>
        <v>58</v>
      </c>
      <c r="D482">
        <f>INDEX(Technologies!$B$7:$S$67,H482,I482)</f>
        <v>0.74299999999999999</v>
      </c>
      <c r="E482" t="str">
        <f>INDEX(Technologies!$B$7:$B$67,H482)</f>
        <v>Stor_EF-Gas-075gal-0.743EF</v>
      </c>
      <c r="G482" t="str">
        <f t="shared" si="760"/>
        <v>Energy_Factor</v>
      </c>
      <c r="H482">
        <f t="shared" si="815"/>
        <v>56</v>
      </c>
      <c r="I482">
        <f>MATCH(G482,Technologies!$B$6:$S$6,0)</f>
        <v>5</v>
      </c>
      <c r="J482">
        <f t="shared" ref="J482" si="878">+J471</f>
        <v>67</v>
      </c>
    </row>
    <row r="483" spans="2:10" x14ac:dyDescent="0.25">
      <c r="B483">
        <f>INDEX(exante.Technology!$A$2:$A$4130,MATCH(E483,exante.Technology!$C$2:$C$4130,0))</f>
        <v>1056</v>
      </c>
      <c r="C483">
        <f t="shared" ref="C483" si="879">+C472</f>
        <v>1070</v>
      </c>
      <c r="D483">
        <f>INDEX(Technologies!$B$7:$S$67,H483,I483)</f>
        <v>70</v>
      </c>
      <c r="E483" t="str">
        <f>INDEX(Technologies!$B$7:$B$67,H483)</f>
        <v>Stor_EF-Gas-075gal-0.743EF</v>
      </c>
      <c r="G483" t="str">
        <f t="shared" si="760"/>
        <v>BurnCap_kBTUh</v>
      </c>
      <c r="H483">
        <f t="shared" si="815"/>
        <v>56</v>
      </c>
      <c r="I483">
        <f>MATCH(G483,Technologies!$B$6:$S$6,0)</f>
        <v>6</v>
      </c>
      <c r="J483">
        <f t="shared" ref="J483" si="880">+J472</f>
        <v>67</v>
      </c>
    </row>
    <row r="484" spans="2:10" x14ac:dyDescent="0.25">
      <c r="B484">
        <f>INDEX(exante.Technology!$A$2:$A$4130,MATCH(E484,exante.Technology!$C$2:$C$4130,0))</f>
        <v>1056</v>
      </c>
      <c r="C484">
        <f t="shared" ref="C484" si="881">+C473</f>
        <v>1071</v>
      </c>
      <c r="D484">
        <f>INDEX(Technologies!$B$7:$S$67,H484,I484)</f>
        <v>0</v>
      </c>
      <c r="E484" t="str">
        <f>INDEX(Technologies!$B$7:$B$67,H484)</f>
        <v>Stor_EF-Gas-075gal-0.743EF</v>
      </c>
      <c r="G484" t="str">
        <f t="shared" si="760"/>
        <v>BurnCap_kW</v>
      </c>
      <c r="H484">
        <f t="shared" si="815"/>
        <v>56</v>
      </c>
      <c r="I484">
        <f>MATCH(G484,Technologies!$B$6:$S$6,0)</f>
        <v>7</v>
      </c>
      <c r="J484">
        <f t="shared" ref="J484" si="882">+J473</f>
        <v>67</v>
      </c>
    </row>
    <row r="485" spans="2:10" x14ac:dyDescent="0.25">
      <c r="B485">
        <f>INDEX(exante.Technology!$A$2:$A$4130,MATCH(E485,exante.Technology!$C$2:$C$4130,0))</f>
        <v>1056</v>
      </c>
      <c r="C485">
        <f t="shared" ref="C485" si="883">+C474</f>
        <v>1072</v>
      </c>
      <c r="D485">
        <f>INDEX(Technologies!$B$7:$S$67,H485,I485)</f>
        <v>0.88</v>
      </c>
      <c r="E485" t="str">
        <f>INDEX(Technologies!$B$7:$B$67,H485)</f>
        <v>Stor_EF-Gas-075gal-0.743EF</v>
      </c>
      <c r="G485" t="str">
        <f t="shared" si="760"/>
        <v>RecovEff</v>
      </c>
      <c r="H485">
        <f t="shared" si="815"/>
        <v>56</v>
      </c>
      <c r="I485">
        <f>MATCH(G485,Technologies!$B$6:$S$6,0)</f>
        <v>8</v>
      </c>
      <c r="J485">
        <f t="shared" ref="J485" si="884">+J474</f>
        <v>67</v>
      </c>
    </row>
    <row r="486" spans="2:10" x14ac:dyDescent="0.25">
      <c r="B486">
        <f>INDEX(exante.Technology!$A$2:$A$4130,MATCH(E486,exante.Technology!$C$2:$C$4130,0))</f>
        <v>1056</v>
      </c>
      <c r="C486">
        <f t="shared" ref="C486" si="885">+C475</f>
        <v>1073</v>
      </c>
      <c r="D486">
        <f>INDEX(Technologies!$B$7:$S$67,H486,I486)</f>
        <v>4.8362999999999996</v>
      </c>
      <c r="E486" t="str">
        <f>INDEX(Technologies!$B$7:$B$67,H486)</f>
        <v>Stor_EF-Gas-075gal-0.743EF</v>
      </c>
      <c r="G486" t="str">
        <f t="shared" si="760"/>
        <v>TankUA</v>
      </c>
      <c r="H486">
        <f t="shared" si="815"/>
        <v>56</v>
      </c>
      <c r="I486">
        <f>MATCH(G486,Technologies!$B$6:$S$6,0)</f>
        <v>9</v>
      </c>
      <c r="J486">
        <f t="shared" ref="J486" si="886">+J475</f>
        <v>67</v>
      </c>
    </row>
    <row r="487" spans="2:10" x14ac:dyDescent="0.25">
      <c r="B487">
        <f>INDEX(exante.Technology!$A$2:$A$4130,MATCH(E487,exante.Technology!$C$2:$C$4130,0))</f>
        <v>1056</v>
      </c>
      <c r="C487">
        <f t="shared" ref="C487" si="887">+C476</f>
        <v>1074</v>
      </c>
      <c r="D487">
        <f>INDEX(Technologies!$B$7:$S$67,H487,I487)</f>
        <v>0</v>
      </c>
      <c r="E487" t="str">
        <f>INDEX(Technologies!$B$7:$B$67,H487)</f>
        <v>Stor_EF-Gas-075gal-0.743EF</v>
      </c>
      <c r="G487" t="str">
        <f t="shared" si="760"/>
        <v>auxW</v>
      </c>
      <c r="H487">
        <f t="shared" si="815"/>
        <v>56</v>
      </c>
      <c r="I487">
        <f>MATCH(G487,Technologies!$B$6:$S$6,0)</f>
        <v>13</v>
      </c>
      <c r="J487">
        <f t="shared" ref="J487" si="888">+J476</f>
        <v>67</v>
      </c>
    </row>
    <row r="488" spans="2:10" x14ac:dyDescent="0.25">
      <c r="B488">
        <f>INDEX(exante.Technology!$A$2:$A$4130,MATCH(E488,exante.Technology!$C$2:$C$4130,0))</f>
        <v>1056</v>
      </c>
      <c r="C488">
        <f t="shared" ref="C488" si="889">+C477</f>
        <v>1075</v>
      </c>
      <c r="D488">
        <f>INDEX(Technologies!$B$7:$S$67,H488,I488)</f>
        <v>50</v>
      </c>
      <c r="E488" t="str">
        <f>INDEX(Technologies!$B$7:$B$67,H488)</f>
        <v>Stor_EF-Gas-075gal-0.743EF</v>
      </c>
      <c r="G488" t="str">
        <f t="shared" ref="G488:G551" si="890">VLOOKUP(C488,$B$3:$C$17,2,FALSE)</f>
        <v>auxVentW</v>
      </c>
      <c r="H488">
        <f t="shared" si="815"/>
        <v>56</v>
      </c>
      <c r="I488">
        <f>MATCH(G488,Technologies!$B$6:$S$6,0)</f>
        <v>14</v>
      </c>
      <c r="J488">
        <f t="shared" ref="J488" si="891">+J477</f>
        <v>67</v>
      </c>
    </row>
    <row r="489" spans="2:10" x14ac:dyDescent="0.25">
      <c r="B489">
        <f>INDEX(exante.Technology!$A$2:$A$4130,MATCH(E489,exante.Technology!$C$2:$C$4130,0))</f>
        <v>1056</v>
      </c>
      <c r="C489">
        <f t="shared" ref="C489" si="892">+C478</f>
        <v>1076</v>
      </c>
      <c r="D489">
        <f>INDEX(Technologies!$B$7:$S$67,H489,I489)</f>
        <v>350</v>
      </c>
      <c r="E489" t="str">
        <f>INDEX(Technologies!$B$7:$B$67,H489)</f>
        <v>Stor_EF-Gas-075gal-0.743EF</v>
      </c>
      <c r="G489" t="str">
        <f t="shared" si="890"/>
        <v>pilotBTUh</v>
      </c>
      <c r="H489">
        <f t="shared" si="815"/>
        <v>56</v>
      </c>
      <c r="I489">
        <f>MATCH(G489,Technologies!$B$6:$S$6,0)</f>
        <v>15</v>
      </c>
      <c r="J489">
        <f t="shared" ref="J489" si="893">+J478</f>
        <v>67</v>
      </c>
    </row>
    <row r="490" spans="2:10" x14ac:dyDescent="0.25">
      <c r="B490">
        <f>INDEX(exante.Technology!$A$2:$A$4130,MATCH(E490,exante.Technology!$C$2:$C$4130,0))</f>
        <v>1056</v>
      </c>
      <c r="C490">
        <f t="shared" ref="C490" si="894">+C479</f>
        <v>1077</v>
      </c>
      <c r="D490">
        <f>INDEX(Technologies!$B$7:$S$67,H490,I490)</f>
        <v>0.67</v>
      </c>
      <c r="E490" t="str">
        <f>INDEX(Technologies!$B$7:$B$67,H490)</f>
        <v>Stor_EF-Gas-075gal-0.743EF</v>
      </c>
      <c r="G490" t="str">
        <f t="shared" si="890"/>
        <v>pilotHtgEff</v>
      </c>
      <c r="H490">
        <f t="shared" si="815"/>
        <v>56</v>
      </c>
      <c r="I490">
        <f>MATCH(G490,Technologies!$B$6:$S$6,0)</f>
        <v>16</v>
      </c>
      <c r="J490">
        <f t="shared" ref="J490" si="895">+J479</f>
        <v>67</v>
      </c>
    </row>
    <row r="491" spans="2:10" x14ac:dyDescent="0.25">
      <c r="B491">
        <f>INDEX(exante.Technology!$A$2:$A$4130,MATCH(E491,exante.Technology!$C$2:$C$4130,0))</f>
        <v>1057</v>
      </c>
      <c r="C491">
        <f t="shared" ref="C491" si="896">+C480</f>
        <v>85</v>
      </c>
      <c r="D491" t="str">
        <f>INDEX(Technologies!$B$7:$S$67,H491,I491)</f>
        <v>Gas</v>
      </c>
      <c r="E491" t="str">
        <f>INDEX(Technologies!$B$7:$B$67,H491)</f>
        <v>Stor_EF-Gas-075gal-0.78EF</v>
      </c>
      <c r="G491" t="str">
        <f t="shared" si="890"/>
        <v>Fuel_Type</v>
      </c>
      <c r="H491">
        <f t="shared" si="815"/>
        <v>57</v>
      </c>
      <c r="I491">
        <f>MATCH(G491,Technologies!$B$6:$S$6,0)</f>
        <v>3</v>
      </c>
      <c r="J491">
        <f t="shared" ref="J491" si="897">+J480</f>
        <v>67</v>
      </c>
    </row>
    <row r="492" spans="2:10" x14ac:dyDescent="0.25">
      <c r="B492">
        <f>INDEX(exante.Technology!$A$2:$A$4130,MATCH(E492,exante.Technology!$C$2:$C$4130,0))</f>
        <v>1057</v>
      </c>
      <c r="C492">
        <f t="shared" ref="C492" si="898">+C481</f>
        <v>1081</v>
      </c>
      <c r="D492">
        <f>INDEX(Technologies!$B$7:$S$67,H492,I492)</f>
        <v>75</v>
      </c>
      <c r="E492" t="str">
        <f>INDEX(Technologies!$B$7:$B$67,H492)</f>
        <v>Stor_EF-Gas-075gal-0.78EF</v>
      </c>
      <c r="G492" t="str">
        <f t="shared" si="890"/>
        <v>Nom_Gallons</v>
      </c>
      <c r="H492">
        <f t="shared" si="815"/>
        <v>57</v>
      </c>
      <c r="I492">
        <f>MATCH(G492,Technologies!$B$6:$S$6,0)</f>
        <v>4</v>
      </c>
      <c r="J492">
        <f t="shared" ref="J492" si="899">+J481</f>
        <v>67</v>
      </c>
    </row>
    <row r="493" spans="2:10" x14ac:dyDescent="0.25">
      <c r="B493">
        <f>INDEX(exante.Technology!$A$2:$A$4130,MATCH(E493,exante.Technology!$C$2:$C$4130,0))</f>
        <v>1057</v>
      </c>
      <c r="C493">
        <f t="shared" ref="C493" si="900">+C482</f>
        <v>58</v>
      </c>
      <c r="D493">
        <f>INDEX(Technologies!$B$7:$S$67,H493,I493)</f>
        <v>0.78</v>
      </c>
      <c r="E493" t="str">
        <f>INDEX(Technologies!$B$7:$B$67,H493)</f>
        <v>Stor_EF-Gas-075gal-0.78EF</v>
      </c>
      <c r="G493" t="str">
        <f t="shared" si="890"/>
        <v>Energy_Factor</v>
      </c>
      <c r="H493">
        <f t="shared" si="815"/>
        <v>57</v>
      </c>
      <c r="I493">
        <f>MATCH(G493,Technologies!$B$6:$S$6,0)</f>
        <v>5</v>
      </c>
      <c r="J493">
        <f t="shared" ref="J493" si="901">+J482</f>
        <v>67</v>
      </c>
    </row>
    <row r="494" spans="2:10" x14ac:dyDescent="0.25">
      <c r="B494">
        <f>INDEX(exante.Technology!$A$2:$A$4130,MATCH(E494,exante.Technology!$C$2:$C$4130,0))</f>
        <v>1057</v>
      </c>
      <c r="C494">
        <f t="shared" ref="C494" si="902">+C483</f>
        <v>1070</v>
      </c>
      <c r="D494">
        <f>INDEX(Technologies!$B$7:$S$67,H494,I494)</f>
        <v>70</v>
      </c>
      <c r="E494" t="str">
        <f>INDEX(Technologies!$B$7:$B$67,H494)</f>
        <v>Stor_EF-Gas-075gal-0.78EF</v>
      </c>
      <c r="G494" t="str">
        <f t="shared" si="890"/>
        <v>BurnCap_kBTUh</v>
      </c>
      <c r="H494">
        <f t="shared" si="815"/>
        <v>57</v>
      </c>
      <c r="I494">
        <f>MATCH(G494,Technologies!$B$6:$S$6,0)</f>
        <v>6</v>
      </c>
      <c r="J494">
        <f t="shared" ref="J494" si="903">+J483</f>
        <v>67</v>
      </c>
    </row>
    <row r="495" spans="2:10" x14ac:dyDescent="0.25">
      <c r="B495">
        <f>INDEX(exante.Technology!$A$2:$A$4130,MATCH(E495,exante.Technology!$C$2:$C$4130,0))</f>
        <v>1057</v>
      </c>
      <c r="C495">
        <f t="shared" ref="C495" si="904">+C484</f>
        <v>1071</v>
      </c>
      <c r="D495">
        <f>INDEX(Technologies!$B$7:$S$67,H495,I495)</f>
        <v>0</v>
      </c>
      <c r="E495" t="str">
        <f>INDEX(Technologies!$B$7:$B$67,H495)</f>
        <v>Stor_EF-Gas-075gal-0.78EF</v>
      </c>
      <c r="G495" t="str">
        <f t="shared" si="890"/>
        <v>BurnCap_kW</v>
      </c>
      <c r="H495">
        <f t="shared" si="815"/>
        <v>57</v>
      </c>
      <c r="I495">
        <f>MATCH(G495,Technologies!$B$6:$S$6,0)</f>
        <v>7</v>
      </c>
      <c r="J495">
        <f t="shared" ref="J495" si="905">+J484</f>
        <v>67</v>
      </c>
    </row>
    <row r="496" spans="2:10" x14ac:dyDescent="0.25">
      <c r="B496">
        <f>INDEX(exante.Technology!$A$2:$A$4130,MATCH(E496,exante.Technology!$C$2:$C$4130,0))</f>
        <v>1057</v>
      </c>
      <c r="C496">
        <f t="shared" ref="C496" si="906">+C485</f>
        <v>1072</v>
      </c>
      <c r="D496">
        <f>INDEX(Technologies!$B$7:$S$67,H496,I496)</f>
        <v>0.9</v>
      </c>
      <c r="E496" t="str">
        <f>INDEX(Technologies!$B$7:$B$67,H496)</f>
        <v>Stor_EF-Gas-075gal-0.78EF</v>
      </c>
      <c r="G496" t="str">
        <f t="shared" si="890"/>
        <v>RecovEff</v>
      </c>
      <c r="H496">
        <f t="shared" si="815"/>
        <v>57</v>
      </c>
      <c r="I496">
        <f>MATCH(G496,Technologies!$B$6:$S$6,0)</f>
        <v>8</v>
      </c>
      <c r="J496">
        <f t="shared" ref="J496" si="907">+J485</f>
        <v>67</v>
      </c>
    </row>
    <row r="497" spans="2:10" x14ac:dyDescent="0.25">
      <c r="B497">
        <f>INDEX(exante.Technology!$A$2:$A$4130,MATCH(E497,exante.Technology!$C$2:$C$4130,0))</f>
        <v>1057</v>
      </c>
      <c r="C497">
        <f t="shared" ref="C497" si="908">+C486</f>
        <v>1073</v>
      </c>
      <c r="D497">
        <f>INDEX(Technologies!$B$7:$S$67,H497,I497)</f>
        <v>4.0286999999999997</v>
      </c>
      <c r="E497" t="str">
        <f>INDEX(Technologies!$B$7:$B$67,H497)</f>
        <v>Stor_EF-Gas-075gal-0.78EF</v>
      </c>
      <c r="G497" t="str">
        <f t="shared" si="890"/>
        <v>TankUA</v>
      </c>
      <c r="H497">
        <f t="shared" si="815"/>
        <v>57</v>
      </c>
      <c r="I497">
        <f>MATCH(G497,Technologies!$B$6:$S$6,0)</f>
        <v>9</v>
      </c>
      <c r="J497">
        <f t="shared" ref="J497" si="909">+J486</f>
        <v>67</v>
      </c>
    </row>
    <row r="498" spans="2:10" x14ac:dyDescent="0.25">
      <c r="B498">
        <f>INDEX(exante.Technology!$A$2:$A$4130,MATCH(E498,exante.Technology!$C$2:$C$4130,0))</f>
        <v>1057</v>
      </c>
      <c r="C498">
        <f t="shared" ref="C498" si="910">+C487</f>
        <v>1074</v>
      </c>
      <c r="D498">
        <f>INDEX(Technologies!$B$7:$S$67,H498,I498)</f>
        <v>0</v>
      </c>
      <c r="E498" t="str">
        <f>INDEX(Technologies!$B$7:$B$67,H498)</f>
        <v>Stor_EF-Gas-075gal-0.78EF</v>
      </c>
      <c r="G498" t="str">
        <f t="shared" si="890"/>
        <v>auxW</v>
      </c>
      <c r="H498">
        <f t="shared" si="815"/>
        <v>57</v>
      </c>
      <c r="I498">
        <f>MATCH(G498,Technologies!$B$6:$S$6,0)</f>
        <v>13</v>
      </c>
      <c r="J498">
        <f t="shared" ref="J498" si="911">+J487</f>
        <v>67</v>
      </c>
    </row>
    <row r="499" spans="2:10" x14ac:dyDescent="0.25">
      <c r="B499">
        <f>INDEX(exante.Technology!$A$2:$A$4130,MATCH(E499,exante.Technology!$C$2:$C$4130,0))</f>
        <v>1057</v>
      </c>
      <c r="C499">
        <f t="shared" ref="C499" si="912">+C488</f>
        <v>1075</v>
      </c>
      <c r="D499">
        <f>INDEX(Technologies!$B$7:$S$67,H499,I499)</f>
        <v>50</v>
      </c>
      <c r="E499" t="str">
        <f>INDEX(Technologies!$B$7:$B$67,H499)</f>
        <v>Stor_EF-Gas-075gal-0.78EF</v>
      </c>
      <c r="G499" t="str">
        <f t="shared" si="890"/>
        <v>auxVentW</v>
      </c>
      <c r="H499">
        <f t="shared" si="815"/>
        <v>57</v>
      </c>
      <c r="I499">
        <f>MATCH(G499,Technologies!$B$6:$S$6,0)</f>
        <v>14</v>
      </c>
      <c r="J499">
        <f t="shared" ref="J499" si="913">+J488</f>
        <v>67</v>
      </c>
    </row>
    <row r="500" spans="2:10" x14ac:dyDescent="0.25">
      <c r="B500">
        <f>INDEX(exante.Technology!$A$2:$A$4130,MATCH(E500,exante.Technology!$C$2:$C$4130,0))</f>
        <v>1057</v>
      </c>
      <c r="C500">
        <f t="shared" ref="C500" si="914">+C489</f>
        <v>1076</v>
      </c>
      <c r="D500">
        <f>INDEX(Technologies!$B$7:$S$67,H500,I500)</f>
        <v>350</v>
      </c>
      <c r="E500" t="str">
        <f>INDEX(Technologies!$B$7:$B$67,H500)</f>
        <v>Stor_EF-Gas-075gal-0.78EF</v>
      </c>
      <c r="G500" t="str">
        <f t="shared" si="890"/>
        <v>pilotBTUh</v>
      </c>
      <c r="H500">
        <f t="shared" si="815"/>
        <v>57</v>
      </c>
      <c r="I500">
        <f>MATCH(G500,Technologies!$B$6:$S$6,0)</f>
        <v>15</v>
      </c>
      <c r="J500">
        <f t="shared" ref="J500" si="915">+J489</f>
        <v>67</v>
      </c>
    </row>
    <row r="501" spans="2:10" x14ac:dyDescent="0.25">
      <c r="B501">
        <f>INDEX(exante.Technology!$A$2:$A$4130,MATCH(E501,exante.Technology!$C$2:$C$4130,0))</f>
        <v>1057</v>
      </c>
      <c r="C501">
        <f t="shared" ref="C501" si="916">+C490</f>
        <v>1077</v>
      </c>
      <c r="D501">
        <f>INDEX(Technologies!$B$7:$S$67,H501,I501)</f>
        <v>0.67</v>
      </c>
      <c r="E501" t="str">
        <f>INDEX(Technologies!$B$7:$B$67,H501)</f>
        <v>Stor_EF-Gas-075gal-0.78EF</v>
      </c>
      <c r="G501" t="str">
        <f t="shared" si="890"/>
        <v>pilotHtgEff</v>
      </c>
      <c r="H501">
        <f t="shared" si="815"/>
        <v>57</v>
      </c>
      <c r="I501">
        <f>MATCH(G501,Technologies!$B$6:$S$6,0)</f>
        <v>16</v>
      </c>
      <c r="J501">
        <f t="shared" ref="J501" si="917">+J490</f>
        <v>67</v>
      </c>
    </row>
    <row r="502" spans="2:10" x14ac:dyDescent="0.25">
      <c r="B502">
        <f>INDEX(exante.Technology!$A$2:$A$4130,MATCH(E502,exante.Technology!$C$2:$C$4130,0))</f>
        <v>1058</v>
      </c>
      <c r="C502">
        <f t="shared" ref="C502" si="918">+C491</f>
        <v>85</v>
      </c>
      <c r="D502" t="str">
        <f>INDEX(Technologies!$B$7:$S$67,H502,I502)</f>
        <v>Gas</v>
      </c>
      <c r="E502" t="str">
        <f>INDEX(Technologies!$B$7:$B$67,H502)</f>
        <v>Stor_EF-Gas-075gal-0.80EF</v>
      </c>
      <c r="G502" t="str">
        <f t="shared" si="890"/>
        <v>Fuel_Type</v>
      </c>
      <c r="H502">
        <f t="shared" si="815"/>
        <v>58</v>
      </c>
      <c r="I502">
        <f>MATCH(G502,Technologies!$B$6:$S$6,0)</f>
        <v>3</v>
      </c>
      <c r="J502">
        <f t="shared" ref="J502" si="919">+J491</f>
        <v>67</v>
      </c>
    </row>
    <row r="503" spans="2:10" x14ac:dyDescent="0.25">
      <c r="B503">
        <f>INDEX(exante.Technology!$A$2:$A$4130,MATCH(E503,exante.Technology!$C$2:$C$4130,0))</f>
        <v>1058</v>
      </c>
      <c r="C503">
        <f t="shared" ref="C503" si="920">+C492</f>
        <v>1081</v>
      </c>
      <c r="D503">
        <f>INDEX(Technologies!$B$7:$S$67,H503,I503)</f>
        <v>75</v>
      </c>
      <c r="E503" t="str">
        <f>INDEX(Technologies!$B$7:$B$67,H503)</f>
        <v>Stor_EF-Gas-075gal-0.80EF</v>
      </c>
      <c r="G503" t="str">
        <f t="shared" si="890"/>
        <v>Nom_Gallons</v>
      </c>
      <c r="H503">
        <f t="shared" si="815"/>
        <v>58</v>
      </c>
      <c r="I503">
        <f>MATCH(G503,Technologies!$B$6:$S$6,0)</f>
        <v>4</v>
      </c>
      <c r="J503">
        <f t="shared" ref="J503" si="921">+J492</f>
        <v>67</v>
      </c>
    </row>
    <row r="504" spans="2:10" x14ac:dyDescent="0.25">
      <c r="B504">
        <f>INDEX(exante.Technology!$A$2:$A$4130,MATCH(E504,exante.Technology!$C$2:$C$4130,0))</f>
        <v>1058</v>
      </c>
      <c r="C504">
        <f t="shared" ref="C504" si="922">+C493</f>
        <v>58</v>
      </c>
      <c r="D504">
        <f>INDEX(Technologies!$B$7:$S$67,H504,I504)</f>
        <v>0.8</v>
      </c>
      <c r="E504" t="str">
        <f>INDEX(Technologies!$B$7:$B$67,H504)</f>
        <v>Stor_EF-Gas-075gal-0.80EF</v>
      </c>
      <c r="G504" t="str">
        <f t="shared" si="890"/>
        <v>Energy_Factor</v>
      </c>
      <c r="H504">
        <f t="shared" si="815"/>
        <v>58</v>
      </c>
      <c r="I504">
        <f>MATCH(G504,Technologies!$B$6:$S$6,0)</f>
        <v>5</v>
      </c>
      <c r="J504">
        <f t="shared" ref="J504" si="923">+J493</f>
        <v>67</v>
      </c>
    </row>
    <row r="505" spans="2:10" x14ac:dyDescent="0.25">
      <c r="B505">
        <f>INDEX(exante.Technology!$A$2:$A$4130,MATCH(E505,exante.Technology!$C$2:$C$4130,0))</f>
        <v>1058</v>
      </c>
      <c r="C505">
        <f t="shared" ref="C505" si="924">+C494</f>
        <v>1070</v>
      </c>
      <c r="D505">
        <f>INDEX(Technologies!$B$7:$S$67,H505,I505)</f>
        <v>70</v>
      </c>
      <c r="E505" t="str">
        <f>INDEX(Technologies!$B$7:$B$67,H505)</f>
        <v>Stor_EF-Gas-075gal-0.80EF</v>
      </c>
      <c r="G505" t="str">
        <f t="shared" si="890"/>
        <v>BurnCap_kBTUh</v>
      </c>
      <c r="H505">
        <f t="shared" si="815"/>
        <v>58</v>
      </c>
      <c r="I505">
        <f>MATCH(G505,Technologies!$B$6:$S$6,0)</f>
        <v>6</v>
      </c>
      <c r="J505">
        <f t="shared" ref="J505" si="925">+J494</f>
        <v>67</v>
      </c>
    </row>
    <row r="506" spans="2:10" x14ac:dyDescent="0.25">
      <c r="B506">
        <f>INDEX(exante.Technology!$A$2:$A$4130,MATCH(E506,exante.Technology!$C$2:$C$4130,0))</f>
        <v>1058</v>
      </c>
      <c r="C506">
        <f t="shared" ref="C506" si="926">+C495</f>
        <v>1071</v>
      </c>
      <c r="D506">
        <f>INDEX(Technologies!$B$7:$S$67,H506,I506)</f>
        <v>0</v>
      </c>
      <c r="E506" t="str">
        <f>INDEX(Technologies!$B$7:$B$67,H506)</f>
        <v>Stor_EF-Gas-075gal-0.80EF</v>
      </c>
      <c r="G506" t="str">
        <f t="shared" si="890"/>
        <v>BurnCap_kW</v>
      </c>
      <c r="H506">
        <f t="shared" si="815"/>
        <v>58</v>
      </c>
      <c r="I506">
        <f>MATCH(G506,Technologies!$B$6:$S$6,0)</f>
        <v>7</v>
      </c>
      <c r="J506">
        <f t="shared" ref="J506" si="927">+J495</f>
        <v>67</v>
      </c>
    </row>
    <row r="507" spans="2:10" x14ac:dyDescent="0.25">
      <c r="B507">
        <f>INDEX(exante.Technology!$A$2:$A$4130,MATCH(E507,exante.Technology!$C$2:$C$4130,0))</f>
        <v>1058</v>
      </c>
      <c r="C507">
        <f t="shared" ref="C507" si="928">+C496</f>
        <v>1072</v>
      </c>
      <c r="D507">
        <f>INDEX(Technologies!$B$7:$S$67,H507,I507)</f>
        <v>0.92</v>
      </c>
      <c r="E507" t="str">
        <f>INDEX(Technologies!$B$7:$B$67,H507)</f>
        <v>Stor_EF-Gas-075gal-0.80EF</v>
      </c>
      <c r="G507" t="str">
        <f t="shared" si="890"/>
        <v>RecovEff</v>
      </c>
      <c r="H507">
        <f t="shared" si="815"/>
        <v>58</v>
      </c>
      <c r="I507">
        <f>MATCH(G507,Technologies!$B$6:$S$6,0)</f>
        <v>8</v>
      </c>
      <c r="J507">
        <f t="shared" ref="J507" si="929">+J496</f>
        <v>67</v>
      </c>
    </row>
    <row r="508" spans="2:10" x14ac:dyDescent="0.25">
      <c r="B508">
        <f>INDEX(exante.Technology!$A$2:$A$4130,MATCH(E508,exante.Technology!$C$2:$C$4130,0))</f>
        <v>1058</v>
      </c>
      <c r="C508">
        <f t="shared" ref="C508" si="930">+C497</f>
        <v>1073</v>
      </c>
      <c r="D508">
        <f>INDEX(Technologies!$B$7:$S$67,H508,I508)</f>
        <v>3.9247999999999998</v>
      </c>
      <c r="E508" t="str">
        <f>INDEX(Technologies!$B$7:$B$67,H508)</f>
        <v>Stor_EF-Gas-075gal-0.80EF</v>
      </c>
      <c r="G508" t="str">
        <f t="shared" si="890"/>
        <v>TankUA</v>
      </c>
      <c r="H508">
        <f t="shared" si="815"/>
        <v>58</v>
      </c>
      <c r="I508">
        <f>MATCH(G508,Technologies!$B$6:$S$6,0)</f>
        <v>9</v>
      </c>
      <c r="J508">
        <f t="shared" ref="J508" si="931">+J497</f>
        <v>67</v>
      </c>
    </row>
    <row r="509" spans="2:10" x14ac:dyDescent="0.25">
      <c r="B509">
        <f>INDEX(exante.Technology!$A$2:$A$4130,MATCH(E509,exante.Technology!$C$2:$C$4130,0))</f>
        <v>1058</v>
      </c>
      <c r="C509">
        <f t="shared" ref="C509" si="932">+C498</f>
        <v>1074</v>
      </c>
      <c r="D509">
        <f>INDEX(Technologies!$B$7:$S$67,H509,I509)</f>
        <v>0</v>
      </c>
      <c r="E509" t="str">
        <f>INDEX(Technologies!$B$7:$B$67,H509)</f>
        <v>Stor_EF-Gas-075gal-0.80EF</v>
      </c>
      <c r="G509" t="str">
        <f t="shared" si="890"/>
        <v>auxW</v>
      </c>
      <c r="H509">
        <f t="shared" si="815"/>
        <v>58</v>
      </c>
      <c r="I509">
        <f>MATCH(G509,Technologies!$B$6:$S$6,0)</f>
        <v>13</v>
      </c>
      <c r="J509">
        <f t="shared" ref="J509" si="933">+J498</f>
        <v>67</v>
      </c>
    </row>
    <row r="510" spans="2:10" x14ac:dyDescent="0.25">
      <c r="B510">
        <f>INDEX(exante.Technology!$A$2:$A$4130,MATCH(E510,exante.Technology!$C$2:$C$4130,0))</f>
        <v>1058</v>
      </c>
      <c r="C510">
        <f t="shared" ref="C510" si="934">+C499</f>
        <v>1075</v>
      </c>
      <c r="D510">
        <f>INDEX(Technologies!$B$7:$S$67,H510,I510)</f>
        <v>50</v>
      </c>
      <c r="E510" t="str">
        <f>INDEX(Technologies!$B$7:$B$67,H510)</f>
        <v>Stor_EF-Gas-075gal-0.80EF</v>
      </c>
      <c r="G510" t="str">
        <f t="shared" si="890"/>
        <v>auxVentW</v>
      </c>
      <c r="H510">
        <f t="shared" si="815"/>
        <v>58</v>
      </c>
      <c r="I510">
        <f>MATCH(G510,Technologies!$B$6:$S$6,0)</f>
        <v>14</v>
      </c>
      <c r="J510">
        <f t="shared" ref="J510" si="935">+J499</f>
        <v>67</v>
      </c>
    </row>
    <row r="511" spans="2:10" x14ac:dyDescent="0.25">
      <c r="B511">
        <f>INDEX(exante.Technology!$A$2:$A$4130,MATCH(E511,exante.Technology!$C$2:$C$4130,0))</f>
        <v>1058</v>
      </c>
      <c r="C511">
        <f t="shared" ref="C511" si="936">+C500</f>
        <v>1076</v>
      </c>
      <c r="D511">
        <f>INDEX(Technologies!$B$7:$S$67,H511,I511)</f>
        <v>350</v>
      </c>
      <c r="E511" t="str">
        <f>INDEX(Technologies!$B$7:$B$67,H511)</f>
        <v>Stor_EF-Gas-075gal-0.80EF</v>
      </c>
      <c r="G511" t="str">
        <f t="shared" si="890"/>
        <v>pilotBTUh</v>
      </c>
      <c r="H511">
        <f t="shared" si="815"/>
        <v>58</v>
      </c>
      <c r="I511">
        <f>MATCH(G511,Technologies!$B$6:$S$6,0)</f>
        <v>15</v>
      </c>
      <c r="J511">
        <f t="shared" ref="J511" si="937">+J500</f>
        <v>67</v>
      </c>
    </row>
    <row r="512" spans="2:10" x14ac:dyDescent="0.25">
      <c r="B512">
        <f>INDEX(exante.Technology!$A$2:$A$4130,MATCH(E512,exante.Technology!$C$2:$C$4130,0))</f>
        <v>1058</v>
      </c>
      <c r="C512">
        <f t="shared" ref="C512" si="938">+C501</f>
        <v>1077</v>
      </c>
      <c r="D512">
        <f>INDEX(Technologies!$B$7:$S$67,H512,I512)</f>
        <v>0.67</v>
      </c>
      <c r="E512" t="str">
        <f>INDEX(Technologies!$B$7:$B$67,H512)</f>
        <v>Stor_EF-Gas-075gal-0.80EF</v>
      </c>
      <c r="G512" t="str">
        <f t="shared" si="890"/>
        <v>pilotHtgEff</v>
      </c>
      <c r="H512">
        <f t="shared" si="815"/>
        <v>58</v>
      </c>
      <c r="I512">
        <f>MATCH(G512,Technologies!$B$6:$S$6,0)</f>
        <v>16</v>
      </c>
      <c r="J512">
        <f t="shared" ref="J512" si="939">+J501</f>
        <v>67</v>
      </c>
    </row>
    <row r="513" spans="2:10" x14ac:dyDescent="0.25">
      <c r="B513">
        <f>INDEX(exante.Technology!$A$2:$A$4130,MATCH(E513,exante.Technology!$C$2:$C$4130,0))</f>
        <v>1059</v>
      </c>
      <c r="C513">
        <f t="shared" ref="C513" si="940">+C502</f>
        <v>85</v>
      </c>
      <c r="D513" t="str">
        <f>INDEX(Technologies!$B$7:$S$67,H513,I513)</f>
        <v>Gas</v>
      </c>
      <c r="E513" t="str">
        <f>INDEX(Technologies!$B$7:$B$67,H513)</f>
        <v>Stor_EF-Gas-075gal-0.82EF</v>
      </c>
      <c r="G513" t="str">
        <f t="shared" si="890"/>
        <v>Fuel_Type</v>
      </c>
      <c r="H513">
        <f t="shared" si="815"/>
        <v>59</v>
      </c>
      <c r="I513">
        <f>MATCH(G513,Technologies!$B$6:$S$6,0)</f>
        <v>3</v>
      </c>
      <c r="J513">
        <f t="shared" ref="J513" si="941">+J502</f>
        <v>67</v>
      </c>
    </row>
    <row r="514" spans="2:10" x14ac:dyDescent="0.25">
      <c r="B514">
        <f>INDEX(exante.Technology!$A$2:$A$4130,MATCH(E514,exante.Technology!$C$2:$C$4130,0))</f>
        <v>1059</v>
      </c>
      <c r="C514">
        <f t="shared" ref="C514" si="942">+C503</f>
        <v>1081</v>
      </c>
      <c r="D514">
        <f>INDEX(Technologies!$B$7:$S$67,H514,I514)</f>
        <v>75</v>
      </c>
      <c r="E514" t="str">
        <f>INDEX(Technologies!$B$7:$B$67,H514)</f>
        <v>Stor_EF-Gas-075gal-0.82EF</v>
      </c>
      <c r="G514" t="str">
        <f t="shared" si="890"/>
        <v>Nom_Gallons</v>
      </c>
      <c r="H514">
        <f t="shared" si="815"/>
        <v>59</v>
      </c>
      <c r="I514">
        <f>MATCH(G514,Technologies!$B$6:$S$6,0)</f>
        <v>4</v>
      </c>
      <c r="J514">
        <f t="shared" ref="J514" si="943">+J503</f>
        <v>67</v>
      </c>
    </row>
    <row r="515" spans="2:10" x14ac:dyDescent="0.25">
      <c r="B515">
        <f>INDEX(exante.Technology!$A$2:$A$4130,MATCH(E515,exante.Technology!$C$2:$C$4130,0))</f>
        <v>1059</v>
      </c>
      <c r="C515">
        <f t="shared" ref="C515" si="944">+C504</f>
        <v>58</v>
      </c>
      <c r="D515">
        <f>INDEX(Technologies!$B$7:$S$67,H515,I515)</f>
        <v>0.82</v>
      </c>
      <c r="E515" t="str">
        <f>INDEX(Technologies!$B$7:$B$67,H515)</f>
        <v>Stor_EF-Gas-075gal-0.82EF</v>
      </c>
      <c r="G515" t="str">
        <f t="shared" si="890"/>
        <v>Energy_Factor</v>
      </c>
      <c r="H515">
        <f t="shared" ref="H515:H523" si="945">+H504+1</f>
        <v>59</v>
      </c>
      <c r="I515">
        <f>MATCH(G515,Technologies!$B$6:$S$6,0)</f>
        <v>5</v>
      </c>
      <c r="J515">
        <f t="shared" ref="J515" si="946">+J504</f>
        <v>67</v>
      </c>
    </row>
    <row r="516" spans="2:10" x14ac:dyDescent="0.25">
      <c r="B516">
        <f>INDEX(exante.Technology!$A$2:$A$4130,MATCH(E516,exante.Technology!$C$2:$C$4130,0))</f>
        <v>1059</v>
      </c>
      <c r="C516">
        <f t="shared" ref="C516" si="947">+C505</f>
        <v>1070</v>
      </c>
      <c r="D516">
        <f>INDEX(Technologies!$B$7:$S$67,H516,I516)</f>
        <v>70</v>
      </c>
      <c r="E516" t="str">
        <f>INDEX(Technologies!$B$7:$B$67,H516)</f>
        <v>Stor_EF-Gas-075gal-0.82EF</v>
      </c>
      <c r="G516" t="str">
        <f t="shared" si="890"/>
        <v>BurnCap_kBTUh</v>
      </c>
      <c r="H516">
        <f t="shared" si="945"/>
        <v>59</v>
      </c>
      <c r="I516">
        <f>MATCH(G516,Technologies!$B$6:$S$6,0)</f>
        <v>6</v>
      </c>
      <c r="J516">
        <f t="shared" ref="J516" si="948">+J505</f>
        <v>67</v>
      </c>
    </row>
    <row r="517" spans="2:10" x14ac:dyDescent="0.25">
      <c r="B517">
        <f>INDEX(exante.Technology!$A$2:$A$4130,MATCH(E517,exante.Technology!$C$2:$C$4130,0))</f>
        <v>1059</v>
      </c>
      <c r="C517">
        <f t="shared" ref="C517" si="949">+C506</f>
        <v>1071</v>
      </c>
      <c r="D517">
        <f>INDEX(Technologies!$B$7:$S$67,H517,I517)</f>
        <v>0</v>
      </c>
      <c r="E517" t="str">
        <f>INDEX(Technologies!$B$7:$B$67,H517)</f>
        <v>Stor_EF-Gas-075gal-0.82EF</v>
      </c>
      <c r="G517" t="str">
        <f t="shared" si="890"/>
        <v>BurnCap_kW</v>
      </c>
      <c r="H517">
        <f t="shared" si="945"/>
        <v>59</v>
      </c>
      <c r="I517">
        <f>MATCH(G517,Technologies!$B$6:$S$6,0)</f>
        <v>7</v>
      </c>
      <c r="J517">
        <f t="shared" ref="J517" si="950">+J506</f>
        <v>67</v>
      </c>
    </row>
    <row r="518" spans="2:10" x14ac:dyDescent="0.25">
      <c r="B518">
        <f>INDEX(exante.Technology!$A$2:$A$4130,MATCH(E518,exante.Technology!$C$2:$C$4130,0))</f>
        <v>1059</v>
      </c>
      <c r="C518">
        <f t="shared" ref="C518" si="951">+C507</f>
        <v>1072</v>
      </c>
      <c r="D518">
        <f>INDEX(Technologies!$B$7:$S$67,H518,I518)</f>
        <v>0.94</v>
      </c>
      <c r="E518" t="str">
        <f>INDEX(Technologies!$B$7:$B$67,H518)</f>
        <v>Stor_EF-Gas-075gal-0.82EF</v>
      </c>
      <c r="G518" t="str">
        <f t="shared" si="890"/>
        <v>RecovEff</v>
      </c>
      <c r="H518">
        <f t="shared" si="945"/>
        <v>59</v>
      </c>
      <c r="I518">
        <f>MATCH(G518,Technologies!$B$6:$S$6,0)</f>
        <v>8</v>
      </c>
      <c r="J518">
        <f t="shared" ref="J518" si="952">+J507</f>
        <v>67</v>
      </c>
    </row>
    <row r="519" spans="2:10" x14ac:dyDescent="0.25">
      <c r="B519">
        <f>INDEX(exante.Technology!$A$2:$A$4130,MATCH(E519,exante.Technology!$C$2:$C$4130,0))</f>
        <v>1059</v>
      </c>
      <c r="C519">
        <f t="shared" ref="C519" si="953">+C508</f>
        <v>1073</v>
      </c>
      <c r="D519">
        <f>INDEX(Technologies!$B$7:$S$67,H519,I519)</f>
        <v>3.8260999999999998</v>
      </c>
      <c r="E519" t="str">
        <f>INDEX(Technologies!$B$7:$B$67,H519)</f>
        <v>Stor_EF-Gas-075gal-0.82EF</v>
      </c>
      <c r="G519" t="str">
        <f t="shared" si="890"/>
        <v>TankUA</v>
      </c>
      <c r="H519">
        <f t="shared" si="945"/>
        <v>59</v>
      </c>
      <c r="I519">
        <f>MATCH(G519,Technologies!$B$6:$S$6,0)</f>
        <v>9</v>
      </c>
      <c r="J519">
        <f t="shared" ref="J519" si="954">+J508</f>
        <v>67</v>
      </c>
    </row>
    <row r="520" spans="2:10" x14ac:dyDescent="0.25">
      <c r="B520">
        <f>INDEX(exante.Technology!$A$2:$A$4130,MATCH(E520,exante.Technology!$C$2:$C$4130,0))</f>
        <v>1059</v>
      </c>
      <c r="C520">
        <f t="shared" ref="C520" si="955">+C509</f>
        <v>1074</v>
      </c>
      <c r="D520">
        <f>INDEX(Technologies!$B$7:$S$67,H520,I520)</f>
        <v>0</v>
      </c>
      <c r="E520" t="str">
        <f>INDEX(Technologies!$B$7:$B$67,H520)</f>
        <v>Stor_EF-Gas-075gal-0.82EF</v>
      </c>
      <c r="G520" t="str">
        <f t="shared" si="890"/>
        <v>auxW</v>
      </c>
      <c r="H520">
        <f t="shared" si="945"/>
        <v>59</v>
      </c>
      <c r="I520">
        <f>MATCH(G520,Technologies!$B$6:$S$6,0)</f>
        <v>13</v>
      </c>
      <c r="J520">
        <f t="shared" ref="J520" si="956">+J509</f>
        <v>67</v>
      </c>
    </row>
    <row r="521" spans="2:10" x14ac:dyDescent="0.25">
      <c r="B521">
        <f>INDEX(exante.Technology!$A$2:$A$4130,MATCH(E521,exante.Technology!$C$2:$C$4130,0))</f>
        <v>1059</v>
      </c>
      <c r="C521">
        <f t="shared" ref="C521" si="957">+C510</f>
        <v>1075</v>
      </c>
      <c r="D521">
        <f>INDEX(Technologies!$B$7:$S$67,H521,I521)</f>
        <v>50</v>
      </c>
      <c r="E521" t="str">
        <f>INDEX(Technologies!$B$7:$B$67,H521)</f>
        <v>Stor_EF-Gas-075gal-0.82EF</v>
      </c>
      <c r="G521" t="str">
        <f t="shared" si="890"/>
        <v>auxVentW</v>
      </c>
      <c r="H521">
        <f t="shared" si="945"/>
        <v>59</v>
      </c>
      <c r="I521">
        <f>MATCH(G521,Technologies!$B$6:$S$6,0)</f>
        <v>14</v>
      </c>
      <c r="J521">
        <f t="shared" ref="J521" si="958">+J510</f>
        <v>67</v>
      </c>
    </row>
    <row r="522" spans="2:10" x14ac:dyDescent="0.25">
      <c r="B522">
        <f>INDEX(exante.Technology!$A$2:$A$4130,MATCH(E522,exante.Technology!$C$2:$C$4130,0))</f>
        <v>1059</v>
      </c>
      <c r="C522">
        <f t="shared" ref="C522" si="959">+C511</f>
        <v>1076</v>
      </c>
      <c r="D522">
        <f>INDEX(Technologies!$B$7:$S$67,H522,I522)</f>
        <v>350</v>
      </c>
      <c r="E522" t="str">
        <f>INDEX(Technologies!$B$7:$B$67,H522)</f>
        <v>Stor_EF-Gas-075gal-0.82EF</v>
      </c>
      <c r="G522" t="str">
        <f t="shared" si="890"/>
        <v>pilotBTUh</v>
      </c>
      <c r="H522">
        <f t="shared" si="945"/>
        <v>59</v>
      </c>
      <c r="I522">
        <f>MATCH(G522,Technologies!$B$6:$S$6,0)</f>
        <v>15</v>
      </c>
      <c r="J522">
        <f t="shared" ref="J522" si="960">+J511</f>
        <v>67</v>
      </c>
    </row>
    <row r="523" spans="2:10" x14ac:dyDescent="0.25">
      <c r="B523">
        <f>INDEX(exante.Technology!$A$2:$A$4130,MATCH(E523,exante.Technology!$C$2:$C$4130,0))</f>
        <v>1059</v>
      </c>
      <c r="C523">
        <f t="shared" ref="C523" si="961">+C512</f>
        <v>1077</v>
      </c>
      <c r="D523">
        <f>INDEX(Technologies!$B$7:$S$67,H523,I523)</f>
        <v>0.67</v>
      </c>
      <c r="E523" t="str">
        <f>INDEX(Technologies!$B$7:$B$67,H523)</f>
        <v>Stor_EF-Gas-075gal-0.82EF</v>
      </c>
      <c r="G523" t="str">
        <f t="shared" si="890"/>
        <v>pilotHtgEff</v>
      </c>
      <c r="H523">
        <f t="shared" si="945"/>
        <v>59</v>
      </c>
      <c r="I523">
        <f>MATCH(G523,Technologies!$B$6:$S$6,0)</f>
        <v>16</v>
      </c>
      <c r="J523">
        <f t="shared" ref="J523" si="962">+J512</f>
        <v>67</v>
      </c>
    </row>
    <row r="524" spans="2:10" x14ac:dyDescent="0.25">
      <c r="B524">
        <f>INDEX(exante.Technology!$A$2:$A$4130,MATCH(E524,exante.Technology!$C$2:$C$4130,0))</f>
        <v>1014</v>
      </c>
      <c r="C524">
        <v>1081</v>
      </c>
      <c r="D524">
        <f>INDEX(Technologies!$B$7:$S$67,H524,I524)</f>
        <v>30</v>
      </c>
      <c r="E524" t="str">
        <f>INDEX(Technologies!$B$7:$B$67,H524)</f>
        <v>Stor_EF-ElecHP-030gal-2.00EF</v>
      </c>
      <c r="G524" t="str">
        <f t="shared" si="890"/>
        <v>Nom_Gallons</v>
      </c>
      <c r="H524">
        <v>14</v>
      </c>
      <c r="I524">
        <f>MATCH(G524,Technologies!$B$6:$S$6,0)</f>
        <v>4</v>
      </c>
      <c r="J524">
        <v>69</v>
      </c>
    </row>
    <row r="525" spans="2:10" x14ac:dyDescent="0.25">
      <c r="B525">
        <f>INDEX(exante.Technology!$A$2:$A$4130,MATCH(E525,exante.Technology!$C$2:$C$4130,0))</f>
        <v>1014</v>
      </c>
      <c r="C525">
        <v>58</v>
      </c>
      <c r="D525">
        <f>INDEX(Technologies!$B$7:$S$67,H525,I525)</f>
        <v>2</v>
      </c>
      <c r="E525" t="str">
        <f>INDEX(Technologies!$B$7:$B$67,H525)</f>
        <v>Stor_EF-ElecHP-030gal-2.00EF</v>
      </c>
      <c r="G525" t="str">
        <f t="shared" si="890"/>
        <v>Energy_Factor</v>
      </c>
      <c r="H525">
        <v>14</v>
      </c>
      <c r="I525">
        <f>MATCH(G525,Technologies!$B$6:$S$6,0)</f>
        <v>5</v>
      </c>
      <c r="J525">
        <v>69</v>
      </c>
    </row>
    <row r="526" spans="2:10" x14ac:dyDescent="0.25">
      <c r="B526">
        <f>INDEX(exante.Technology!$A$2:$A$4130,MATCH(E526,exante.Technology!$C$2:$C$4130,0))</f>
        <v>1014</v>
      </c>
      <c r="C526">
        <v>1071</v>
      </c>
      <c r="D526">
        <f>INDEX(Technologies!$B$7:$S$67,H526,I526)</f>
        <v>4.5</v>
      </c>
      <c r="E526" t="str">
        <f>INDEX(Technologies!$B$7:$B$67,H526)</f>
        <v>Stor_EF-ElecHP-030gal-2.00EF</v>
      </c>
      <c r="G526" t="str">
        <f t="shared" si="890"/>
        <v>BurnCap_kW</v>
      </c>
      <c r="H526">
        <v>14</v>
      </c>
      <c r="I526">
        <f>MATCH(G526,Technologies!$B$6:$S$6,0)</f>
        <v>7</v>
      </c>
      <c r="J526">
        <v>69</v>
      </c>
    </row>
    <row r="527" spans="2:10" x14ac:dyDescent="0.25">
      <c r="B527">
        <f>INDEX(exante.Technology!$A$2:$A$4130,MATCH(E527,exante.Technology!$C$2:$C$4130,0))</f>
        <v>1014</v>
      </c>
      <c r="C527">
        <v>1072</v>
      </c>
      <c r="D527">
        <f>INDEX(Technologies!$B$7:$S$67,H527,I527)</f>
        <v>0.98</v>
      </c>
      <c r="E527" t="str">
        <f>INDEX(Technologies!$B$7:$B$67,H527)</f>
        <v>Stor_EF-ElecHP-030gal-2.00EF</v>
      </c>
      <c r="G527" t="str">
        <f t="shared" si="890"/>
        <v>RecovEff</v>
      </c>
      <c r="H527">
        <v>14</v>
      </c>
      <c r="I527">
        <f>MATCH(G527,Technologies!$B$6:$S$6,0)</f>
        <v>8</v>
      </c>
      <c r="J527">
        <v>69</v>
      </c>
    </row>
    <row r="528" spans="2:10" x14ac:dyDescent="0.25">
      <c r="B528">
        <f>INDEX(exante.Technology!$A$2:$A$4130,MATCH(E528,exante.Technology!$C$2:$C$4130,0))</f>
        <v>1014</v>
      </c>
      <c r="C528">
        <v>1073</v>
      </c>
      <c r="D528">
        <f>INDEX(Technologies!$B$7:$S$67,H528,I528)</f>
        <v>4.2</v>
      </c>
      <c r="E528" t="str">
        <f>INDEX(Technologies!$B$7:$B$67,H528)</f>
        <v>Stor_EF-ElecHP-030gal-2.00EF</v>
      </c>
      <c r="G528" t="str">
        <f t="shared" si="890"/>
        <v>TankUA</v>
      </c>
      <c r="H528">
        <v>14</v>
      </c>
      <c r="I528">
        <f>MATCH(G528,Technologies!$B$6:$S$6,0)</f>
        <v>9</v>
      </c>
      <c r="J528">
        <v>69</v>
      </c>
    </row>
    <row r="529" spans="2:10" x14ac:dyDescent="0.25">
      <c r="B529">
        <f>INDEX(exante.Technology!$A$2:$A$4130,MATCH(E529,exante.Technology!$C$2:$C$4130,0))</f>
        <v>1014</v>
      </c>
      <c r="C529">
        <v>1078</v>
      </c>
      <c r="D529">
        <f>INDEX(Technologies!$B$7:$S$67,H529,I529)</f>
        <v>45</v>
      </c>
      <c r="E529" t="str">
        <f>INDEX(Technologies!$B$7:$B$67,H529)</f>
        <v>Stor_EF-ElecHP-030gal-2.00EF</v>
      </c>
      <c r="G529" t="str">
        <f t="shared" si="890"/>
        <v>HPMinT</v>
      </c>
      <c r="H529">
        <v>14</v>
      </c>
      <c r="I529">
        <f>MATCH(G529,Technologies!$B$6:$S$6,0)</f>
        <v>10</v>
      </c>
      <c r="J529">
        <v>69</v>
      </c>
    </row>
    <row r="530" spans="2:10" x14ac:dyDescent="0.25">
      <c r="B530">
        <f>INDEX(exante.Technology!$A$2:$A$4130,MATCH(E530,exante.Technology!$C$2:$C$4130,0))</f>
        <v>1014</v>
      </c>
      <c r="C530">
        <v>1079</v>
      </c>
      <c r="D530">
        <f>INDEX(Technologies!$B$7:$S$67,H530,I530)</f>
        <v>115</v>
      </c>
      <c r="E530" t="str">
        <f>INDEX(Technologies!$B$7:$B$67,H530)</f>
        <v>Stor_EF-ElecHP-030gal-2.00EF</v>
      </c>
      <c r="G530" t="str">
        <f t="shared" si="890"/>
        <v>HPMaxT</v>
      </c>
      <c r="H530">
        <v>14</v>
      </c>
      <c r="I530">
        <f>MATCH(G530,Technologies!$B$6:$S$6,0)</f>
        <v>11</v>
      </c>
      <c r="J530">
        <v>69</v>
      </c>
    </row>
    <row r="531" spans="2:10" x14ac:dyDescent="0.25">
      <c r="B531">
        <f>INDEX(exante.Technology!$A$2:$A$4130,MATCH(E531,exante.Technology!$C$2:$C$4130,0))</f>
        <v>1014</v>
      </c>
      <c r="C531">
        <v>1080</v>
      </c>
      <c r="D531">
        <f>INDEX(Technologies!$B$7:$S$67,H531,I531)</f>
        <v>15</v>
      </c>
      <c r="E531" t="str">
        <f>INDEX(Technologies!$B$7:$B$67,H531)</f>
        <v>Stor_EF-ElecHP-030gal-2.00EF</v>
      </c>
      <c r="G531" t="str">
        <f t="shared" si="890"/>
        <v>HPMaxGal</v>
      </c>
      <c r="H531">
        <v>14</v>
      </c>
      <c r="I531">
        <f>MATCH(G531,Technologies!$B$6:$S$6,0)</f>
        <v>12</v>
      </c>
      <c r="J531">
        <v>69</v>
      </c>
    </row>
    <row r="532" spans="2:10" x14ac:dyDescent="0.25">
      <c r="B532">
        <f>INDEX(exante.Technology!$A$2:$A$4130,MATCH(E532,exante.Technology!$C$2:$C$4130,0))</f>
        <v>1014</v>
      </c>
      <c r="C532">
        <v>1074</v>
      </c>
      <c r="D532">
        <f>INDEX(Technologies!$B$7:$S$67,H532,I532)</f>
        <v>0</v>
      </c>
      <c r="E532" t="str">
        <f>INDEX(Technologies!$B$7:$B$67,H532)</f>
        <v>Stor_EF-ElecHP-030gal-2.00EF</v>
      </c>
      <c r="G532" t="str">
        <f t="shared" si="890"/>
        <v>auxW</v>
      </c>
      <c r="H532">
        <v>14</v>
      </c>
      <c r="I532">
        <f>MATCH(G532,Technologies!$B$6:$S$6,0)</f>
        <v>13</v>
      </c>
      <c r="J532">
        <v>69</v>
      </c>
    </row>
    <row r="533" spans="2:10" x14ac:dyDescent="0.25">
      <c r="B533">
        <f>INDEX(exante.Technology!$A$2:$A$4130,MATCH(E533,exante.Technology!$C$2:$C$4130,0))</f>
        <v>1014</v>
      </c>
      <c r="C533">
        <v>1075</v>
      </c>
      <c r="D533">
        <f>INDEX(Technologies!$B$7:$S$67,H533,I533)</f>
        <v>0</v>
      </c>
      <c r="E533" t="str">
        <f>INDEX(Technologies!$B$7:$B$67,H533)</f>
        <v>Stor_EF-ElecHP-030gal-2.00EF</v>
      </c>
      <c r="G533" t="str">
        <f t="shared" si="890"/>
        <v>auxVentW</v>
      </c>
      <c r="H533">
        <v>14</v>
      </c>
      <c r="I533">
        <f>MATCH(G533,Technologies!$B$6:$S$6,0)</f>
        <v>14</v>
      </c>
      <c r="J533">
        <v>69</v>
      </c>
    </row>
    <row r="534" spans="2:10" x14ac:dyDescent="0.25">
      <c r="B534">
        <f>INDEX(exante.Technology!$A$2:$A$4130,MATCH(E534,exante.Technology!$C$2:$C$4130,0))</f>
        <v>1014</v>
      </c>
      <c r="C534">
        <v>1076</v>
      </c>
      <c r="D534">
        <f>INDEX(Technologies!$B$7:$S$67,H534,I534)</f>
        <v>0</v>
      </c>
      <c r="E534" t="str">
        <f>INDEX(Technologies!$B$7:$B$67,H534)</f>
        <v>Stor_EF-ElecHP-030gal-2.00EF</v>
      </c>
      <c r="G534" t="str">
        <f t="shared" si="890"/>
        <v>pilotBTUh</v>
      </c>
      <c r="H534">
        <v>14</v>
      </c>
      <c r="I534">
        <f>MATCH(G534,Technologies!$B$6:$S$6,0)</f>
        <v>15</v>
      </c>
      <c r="J534">
        <v>69</v>
      </c>
    </row>
    <row r="535" spans="2:10" x14ac:dyDescent="0.25">
      <c r="B535">
        <f>INDEX(exante.Technology!$A$2:$A$4130,MATCH(E535,exante.Technology!$C$2:$C$4130,0))</f>
        <v>1014</v>
      </c>
      <c r="C535">
        <v>1077</v>
      </c>
      <c r="D535">
        <f>INDEX(Technologies!$B$7:$S$67,H535,I535)</f>
        <v>0</v>
      </c>
      <c r="E535" t="str">
        <f>INDEX(Technologies!$B$7:$B$67,H535)</f>
        <v>Stor_EF-ElecHP-030gal-2.00EF</v>
      </c>
      <c r="G535" t="str">
        <f t="shared" si="890"/>
        <v>pilotHtgEff</v>
      </c>
      <c r="H535">
        <v>14</v>
      </c>
      <c r="I535">
        <f>MATCH(G535,Technologies!$B$6:$S$6,0)</f>
        <v>16</v>
      </c>
      <c r="J535">
        <v>69</v>
      </c>
    </row>
    <row r="536" spans="2:10" x14ac:dyDescent="0.25">
      <c r="B536">
        <f>INDEX(exante.Technology!$A$2:$A$4130,MATCH(E536,exante.Technology!$C$2:$C$4130,0))</f>
        <v>1015</v>
      </c>
      <c r="C536">
        <f>+C524</f>
        <v>1081</v>
      </c>
      <c r="D536">
        <f>INDEX(Technologies!$B$7:$S$67,H536,I536)</f>
        <v>30</v>
      </c>
      <c r="E536" t="str">
        <f>INDEX(Technologies!$B$7:$B$67,H536)</f>
        <v>Stor_EF-ElecHP-030gal-2.20EF</v>
      </c>
      <c r="G536" t="str">
        <f t="shared" si="890"/>
        <v>Nom_Gallons</v>
      </c>
      <c r="H536">
        <f>+H524+1</f>
        <v>15</v>
      </c>
      <c r="I536">
        <f>MATCH(G536,Technologies!$B$6:$S$6,0)</f>
        <v>4</v>
      </c>
      <c r="J536">
        <v>69</v>
      </c>
    </row>
    <row r="537" spans="2:10" x14ac:dyDescent="0.25">
      <c r="B537">
        <f>INDEX(exante.Technology!$A$2:$A$4130,MATCH(E537,exante.Technology!$C$2:$C$4130,0))</f>
        <v>1015</v>
      </c>
      <c r="C537">
        <f t="shared" ref="C537:C600" si="963">+C525</f>
        <v>58</v>
      </c>
      <c r="D537">
        <f>INDEX(Technologies!$B$7:$S$67,H537,I537)</f>
        <v>2.2000000000000002</v>
      </c>
      <c r="E537" t="str">
        <f>INDEX(Technologies!$B$7:$B$67,H537)</f>
        <v>Stor_EF-ElecHP-030gal-2.20EF</v>
      </c>
      <c r="G537" t="str">
        <f t="shared" si="890"/>
        <v>Energy_Factor</v>
      </c>
      <c r="H537">
        <f t="shared" ref="H537:H600" si="964">+H525+1</f>
        <v>15</v>
      </c>
      <c r="I537">
        <f>MATCH(G537,Technologies!$B$6:$S$6,0)</f>
        <v>5</v>
      </c>
      <c r="J537">
        <v>69</v>
      </c>
    </row>
    <row r="538" spans="2:10" x14ac:dyDescent="0.25">
      <c r="B538">
        <f>INDEX(exante.Technology!$A$2:$A$4130,MATCH(E538,exante.Technology!$C$2:$C$4130,0))</f>
        <v>1015</v>
      </c>
      <c r="C538">
        <f t="shared" si="963"/>
        <v>1071</v>
      </c>
      <c r="D538">
        <f>INDEX(Technologies!$B$7:$S$67,H538,I538)</f>
        <v>4.5</v>
      </c>
      <c r="E538" t="str">
        <f>INDEX(Technologies!$B$7:$B$67,H538)</f>
        <v>Stor_EF-ElecHP-030gal-2.20EF</v>
      </c>
      <c r="G538" t="str">
        <f t="shared" si="890"/>
        <v>BurnCap_kW</v>
      </c>
      <c r="H538">
        <f t="shared" si="964"/>
        <v>15</v>
      </c>
      <c r="I538">
        <f>MATCH(G538,Technologies!$B$6:$S$6,0)</f>
        <v>7</v>
      </c>
      <c r="J538">
        <v>69</v>
      </c>
    </row>
    <row r="539" spans="2:10" x14ac:dyDescent="0.25">
      <c r="B539">
        <f>INDEX(exante.Technology!$A$2:$A$4130,MATCH(E539,exante.Technology!$C$2:$C$4130,0))</f>
        <v>1015</v>
      </c>
      <c r="C539">
        <f t="shared" si="963"/>
        <v>1072</v>
      </c>
      <c r="D539">
        <f>INDEX(Technologies!$B$7:$S$67,H539,I539)</f>
        <v>0.98</v>
      </c>
      <c r="E539" t="str">
        <f>INDEX(Technologies!$B$7:$B$67,H539)</f>
        <v>Stor_EF-ElecHP-030gal-2.20EF</v>
      </c>
      <c r="G539" t="str">
        <f t="shared" si="890"/>
        <v>RecovEff</v>
      </c>
      <c r="H539">
        <f t="shared" si="964"/>
        <v>15</v>
      </c>
      <c r="I539">
        <f>MATCH(G539,Technologies!$B$6:$S$6,0)</f>
        <v>8</v>
      </c>
      <c r="J539">
        <v>69</v>
      </c>
    </row>
    <row r="540" spans="2:10" x14ac:dyDescent="0.25">
      <c r="B540">
        <f>INDEX(exante.Technology!$A$2:$A$4130,MATCH(E540,exante.Technology!$C$2:$C$4130,0))</f>
        <v>1015</v>
      </c>
      <c r="C540">
        <f t="shared" si="963"/>
        <v>1073</v>
      </c>
      <c r="D540">
        <f>INDEX(Technologies!$B$7:$S$67,H540,I540)</f>
        <v>4.2</v>
      </c>
      <c r="E540" t="str">
        <f>INDEX(Technologies!$B$7:$B$67,H540)</f>
        <v>Stor_EF-ElecHP-030gal-2.20EF</v>
      </c>
      <c r="G540" t="str">
        <f t="shared" si="890"/>
        <v>TankUA</v>
      </c>
      <c r="H540">
        <f t="shared" si="964"/>
        <v>15</v>
      </c>
      <c r="I540">
        <f>MATCH(G540,Technologies!$B$6:$S$6,0)</f>
        <v>9</v>
      </c>
      <c r="J540">
        <v>69</v>
      </c>
    </row>
    <row r="541" spans="2:10" x14ac:dyDescent="0.25">
      <c r="B541">
        <f>INDEX(exante.Technology!$A$2:$A$4130,MATCH(E541,exante.Technology!$C$2:$C$4130,0))</f>
        <v>1015</v>
      </c>
      <c r="C541">
        <f t="shared" si="963"/>
        <v>1078</v>
      </c>
      <c r="D541">
        <f>INDEX(Technologies!$B$7:$S$67,H541,I541)</f>
        <v>45</v>
      </c>
      <c r="E541" t="str">
        <f>INDEX(Technologies!$B$7:$B$67,H541)</f>
        <v>Stor_EF-ElecHP-030gal-2.20EF</v>
      </c>
      <c r="G541" t="str">
        <f t="shared" si="890"/>
        <v>HPMinT</v>
      </c>
      <c r="H541">
        <f t="shared" si="964"/>
        <v>15</v>
      </c>
      <c r="I541">
        <f>MATCH(G541,Technologies!$B$6:$S$6,0)</f>
        <v>10</v>
      </c>
      <c r="J541">
        <v>69</v>
      </c>
    </row>
    <row r="542" spans="2:10" x14ac:dyDescent="0.25">
      <c r="B542">
        <f>INDEX(exante.Technology!$A$2:$A$4130,MATCH(E542,exante.Technology!$C$2:$C$4130,0))</f>
        <v>1015</v>
      </c>
      <c r="C542">
        <f t="shared" si="963"/>
        <v>1079</v>
      </c>
      <c r="D542">
        <f>INDEX(Technologies!$B$7:$S$67,H542,I542)</f>
        <v>115</v>
      </c>
      <c r="E542" t="str">
        <f>INDEX(Technologies!$B$7:$B$67,H542)</f>
        <v>Stor_EF-ElecHP-030gal-2.20EF</v>
      </c>
      <c r="G542" t="str">
        <f t="shared" si="890"/>
        <v>HPMaxT</v>
      </c>
      <c r="H542">
        <f t="shared" si="964"/>
        <v>15</v>
      </c>
      <c r="I542">
        <f>MATCH(G542,Technologies!$B$6:$S$6,0)</f>
        <v>11</v>
      </c>
      <c r="J542">
        <v>69</v>
      </c>
    </row>
    <row r="543" spans="2:10" x14ac:dyDescent="0.25">
      <c r="B543">
        <f>INDEX(exante.Technology!$A$2:$A$4130,MATCH(E543,exante.Technology!$C$2:$C$4130,0))</f>
        <v>1015</v>
      </c>
      <c r="C543">
        <f t="shared" si="963"/>
        <v>1080</v>
      </c>
      <c r="D543">
        <f>INDEX(Technologies!$B$7:$S$67,H543,I543)</f>
        <v>15</v>
      </c>
      <c r="E543" t="str">
        <f>INDEX(Technologies!$B$7:$B$67,H543)</f>
        <v>Stor_EF-ElecHP-030gal-2.20EF</v>
      </c>
      <c r="G543" t="str">
        <f t="shared" si="890"/>
        <v>HPMaxGal</v>
      </c>
      <c r="H543">
        <f t="shared" si="964"/>
        <v>15</v>
      </c>
      <c r="I543">
        <f>MATCH(G543,Technologies!$B$6:$S$6,0)</f>
        <v>12</v>
      </c>
      <c r="J543">
        <v>69</v>
      </c>
    </row>
    <row r="544" spans="2:10" x14ac:dyDescent="0.25">
      <c r="B544">
        <f>INDEX(exante.Technology!$A$2:$A$4130,MATCH(E544,exante.Technology!$C$2:$C$4130,0))</f>
        <v>1015</v>
      </c>
      <c r="C544">
        <f t="shared" si="963"/>
        <v>1074</v>
      </c>
      <c r="D544">
        <f>INDEX(Technologies!$B$7:$S$67,H544,I544)</f>
        <v>0</v>
      </c>
      <c r="E544" t="str">
        <f>INDEX(Technologies!$B$7:$B$67,H544)</f>
        <v>Stor_EF-ElecHP-030gal-2.20EF</v>
      </c>
      <c r="G544" t="str">
        <f t="shared" si="890"/>
        <v>auxW</v>
      </c>
      <c r="H544">
        <f t="shared" si="964"/>
        <v>15</v>
      </c>
      <c r="I544">
        <f>MATCH(G544,Technologies!$B$6:$S$6,0)</f>
        <v>13</v>
      </c>
      <c r="J544">
        <v>69</v>
      </c>
    </row>
    <row r="545" spans="2:10" x14ac:dyDescent="0.25">
      <c r="B545">
        <f>INDEX(exante.Technology!$A$2:$A$4130,MATCH(E545,exante.Technology!$C$2:$C$4130,0))</f>
        <v>1015</v>
      </c>
      <c r="C545">
        <f t="shared" si="963"/>
        <v>1075</v>
      </c>
      <c r="D545">
        <f>INDEX(Technologies!$B$7:$S$67,H545,I545)</f>
        <v>0</v>
      </c>
      <c r="E545" t="str">
        <f>INDEX(Technologies!$B$7:$B$67,H545)</f>
        <v>Stor_EF-ElecHP-030gal-2.20EF</v>
      </c>
      <c r="G545" t="str">
        <f t="shared" si="890"/>
        <v>auxVentW</v>
      </c>
      <c r="H545">
        <f t="shared" si="964"/>
        <v>15</v>
      </c>
      <c r="I545">
        <f>MATCH(G545,Technologies!$B$6:$S$6,0)</f>
        <v>14</v>
      </c>
      <c r="J545">
        <v>69</v>
      </c>
    </row>
    <row r="546" spans="2:10" x14ac:dyDescent="0.25">
      <c r="B546">
        <f>INDEX(exante.Technology!$A$2:$A$4130,MATCH(E546,exante.Technology!$C$2:$C$4130,0))</f>
        <v>1015</v>
      </c>
      <c r="C546">
        <f t="shared" si="963"/>
        <v>1076</v>
      </c>
      <c r="D546">
        <f>INDEX(Technologies!$B$7:$S$67,H546,I546)</f>
        <v>0</v>
      </c>
      <c r="E546" t="str">
        <f>INDEX(Technologies!$B$7:$B$67,H546)</f>
        <v>Stor_EF-ElecHP-030gal-2.20EF</v>
      </c>
      <c r="G546" t="str">
        <f t="shared" si="890"/>
        <v>pilotBTUh</v>
      </c>
      <c r="H546">
        <f t="shared" si="964"/>
        <v>15</v>
      </c>
      <c r="I546">
        <f>MATCH(G546,Technologies!$B$6:$S$6,0)</f>
        <v>15</v>
      </c>
      <c r="J546">
        <v>69</v>
      </c>
    </row>
    <row r="547" spans="2:10" x14ac:dyDescent="0.25">
      <c r="B547">
        <f>INDEX(exante.Technology!$A$2:$A$4130,MATCH(E547,exante.Technology!$C$2:$C$4130,0))</f>
        <v>1015</v>
      </c>
      <c r="C547">
        <f t="shared" si="963"/>
        <v>1077</v>
      </c>
      <c r="D547">
        <f>INDEX(Technologies!$B$7:$S$67,H547,I547)</f>
        <v>0</v>
      </c>
      <c r="E547" t="str">
        <f>INDEX(Technologies!$B$7:$B$67,H547)</f>
        <v>Stor_EF-ElecHP-030gal-2.20EF</v>
      </c>
      <c r="G547" t="str">
        <f t="shared" si="890"/>
        <v>pilotHtgEff</v>
      </c>
      <c r="H547">
        <f t="shared" si="964"/>
        <v>15</v>
      </c>
      <c r="I547">
        <f>MATCH(G547,Technologies!$B$6:$S$6,0)</f>
        <v>16</v>
      </c>
      <c r="J547">
        <v>69</v>
      </c>
    </row>
    <row r="548" spans="2:10" x14ac:dyDescent="0.25">
      <c r="B548">
        <f>INDEX(exante.Technology!$A$2:$A$4130,MATCH(E548,exante.Technology!$C$2:$C$4130,0))</f>
        <v>1016</v>
      </c>
      <c r="C548">
        <f t="shared" si="963"/>
        <v>1081</v>
      </c>
      <c r="D548">
        <f>INDEX(Technologies!$B$7:$S$67,H548,I548)</f>
        <v>30</v>
      </c>
      <c r="E548" t="str">
        <f>INDEX(Technologies!$B$7:$B$67,H548)</f>
        <v>Stor_EF-ElecHP-030gal-2.40EF</v>
      </c>
      <c r="G548" t="str">
        <f t="shared" si="890"/>
        <v>Nom_Gallons</v>
      </c>
      <c r="H548">
        <f t="shared" si="964"/>
        <v>16</v>
      </c>
      <c r="I548">
        <f>MATCH(G548,Technologies!$B$6:$S$6,0)</f>
        <v>4</v>
      </c>
      <c r="J548">
        <v>69</v>
      </c>
    </row>
    <row r="549" spans="2:10" x14ac:dyDescent="0.25">
      <c r="B549">
        <f>INDEX(exante.Technology!$A$2:$A$4130,MATCH(E549,exante.Technology!$C$2:$C$4130,0))</f>
        <v>1016</v>
      </c>
      <c r="C549">
        <f t="shared" si="963"/>
        <v>58</v>
      </c>
      <c r="D549">
        <f>INDEX(Technologies!$B$7:$S$67,H549,I549)</f>
        <v>2.4</v>
      </c>
      <c r="E549" t="str">
        <f>INDEX(Technologies!$B$7:$B$67,H549)</f>
        <v>Stor_EF-ElecHP-030gal-2.40EF</v>
      </c>
      <c r="G549" t="str">
        <f t="shared" si="890"/>
        <v>Energy_Factor</v>
      </c>
      <c r="H549">
        <f t="shared" si="964"/>
        <v>16</v>
      </c>
      <c r="I549">
        <f>MATCH(G549,Technologies!$B$6:$S$6,0)</f>
        <v>5</v>
      </c>
      <c r="J549">
        <v>69</v>
      </c>
    </row>
    <row r="550" spans="2:10" x14ac:dyDescent="0.25">
      <c r="B550">
        <f>INDEX(exante.Technology!$A$2:$A$4130,MATCH(E550,exante.Technology!$C$2:$C$4130,0))</f>
        <v>1016</v>
      </c>
      <c r="C550">
        <f t="shared" si="963"/>
        <v>1071</v>
      </c>
      <c r="D550">
        <f>INDEX(Technologies!$B$7:$S$67,H550,I550)</f>
        <v>4.5</v>
      </c>
      <c r="E550" t="str">
        <f>INDEX(Technologies!$B$7:$B$67,H550)</f>
        <v>Stor_EF-ElecHP-030gal-2.40EF</v>
      </c>
      <c r="G550" t="str">
        <f t="shared" si="890"/>
        <v>BurnCap_kW</v>
      </c>
      <c r="H550">
        <f t="shared" si="964"/>
        <v>16</v>
      </c>
      <c r="I550">
        <f>MATCH(G550,Technologies!$B$6:$S$6,0)</f>
        <v>7</v>
      </c>
      <c r="J550">
        <v>69</v>
      </c>
    </row>
    <row r="551" spans="2:10" x14ac:dyDescent="0.25">
      <c r="B551">
        <f>INDEX(exante.Technology!$A$2:$A$4130,MATCH(E551,exante.Technology!$C$2:$C$4130,0))</f>
        <v>1016</v>
      </c>
      <c r="C551">
        <f t="shared" si="963"/>
        <v>1072</v>
      </c>
      <c r="D551">
        <f>INDEX(Technologies!$B$7:$S$67,H551,I551)</f>
        <v>0.98</v>
      </c>
      <c r="E551" t="str">
        <f>INDEX(Technologies!$B$7:$B$67,H551)</f>
        <v>Stor_EF-ElecHP-030gal-2.40EF</v>
      </c>
      <c r="G551" t="str">
        <f t="shared" si="890"/>
        <v>RecovEff</v>
      </c>
      <c r="H551">
        <f t="shared" si="964"/>
        <v>16</v>
      </c>
      <c r="I551">
        <f>MATCH(G551,Technologies!$B$6:$S$6,0)</f>
        <v>8</v>
      </c>
      <c r="J551">
        <v>69</v>
      </c>
    </row>
    <row r="552" spans="2:10" x14ac:dyDescent="0.25">
      <c r="B552">
        <f>INDEX(exante.Technology!$A$2:$A$4130,MATCH(E552,exante.Technology!$C$2:$C$4130,0))</f>
        <v>1016</v>
      </c>
      <c r="C552">
        <f t="shared" si="963"/>
        <v>1073</v>
      </c>
      <c r="D552">
        <f>INDEX(Technologies!$B$7:$S$67,H552,I552)</f>
        <v>4.2</v>
      </c>
      <c r="E552" t="str">
        <f>INDEX(Technologies!$B$7:$B$67,H552)</f>
        <v>Stor_EF-ElecHP-030gal-2.40EF</v>
      </c>
      <c r="G552" t="str">
        <f t="shared" ref="G552:G615" si="965">VLOOKUP(C552,$B$3:$C$17,2,FALSE)</f>
        <v>TankUA</v>
      </c>
      <c r="H552">
        <f t="shared" si="964"/>
        <v>16</v>
      </c>
      <c r="I552">
        <f>MATCH(G552,Technologies!$B$6:$S$6,0)</f>
        <v>9</v>
      </c>
      <c r="J552">
        <v>69</v>
      </c>
    </row>
    <row r="553" spans="2:10" x14ac:dyDescent="0.25">
      <c r="B553">
        <f>INDEX(exante.Technology!$A$2:$A$4130,MATCH(E553,exante.Technology!$C$2:$C$4130,0))</f>
        <v>1016</v>
      </c>
      <c r="C553">
        <f t="shared" si="963"/>
        <v>1078</v>
      </c>
      <c r="D553">
        <f>INDEX(Technologies!$B$7:$S$67,H553,I553)</f>
        <v>45</v>
      </c>
      <c r="E553" t="str">
        <f>INDEX(Technologies!$B$7:$B$67,H553)</f>
        <v>Stor_EF-ElecHP-030gal-2.40EF</v>
      </c>
      <c r="G553" t="str">
        <f t="shared" si="965"/>
        <v>HPMinT</v>
      </c>
      <c r="H553">
        <f t="shared" si="964"/>
        <v>16</v>
      </c>
      <c r="I553">
        <f>MATCH(G553,Technologies!$B$6:$S$6,0)</f>
        <v>10</v>
      </c>
      <c r="J553">
        <v>69</v>
      </c>
    </row>
    <row r="554" spans="2:10" x14ac:dyDescent="0.25">
      <c r="B554">
        <f>INDEX(exante.Technology!$A$2:$A$4130,MATCH(E554,exante.Technology!$C$2:$C$4130,0))</f>
        <v>1016</v>
      </c>
      <c r="C554">
        <f t="shared" si="963"/>
        <v>1079</v>
      </c>
      <c r="D554">
        <f>INDEX(Technologies!$B$7:$S$67,H554,I554)</f>
        <v>115</v>
      </c>
      <c r="E554" t="str">
        <f>INDEX(Technologies!$B$7:$B$67,H554)</f>
        <v>Stor_EF-ElecHP-030gal-2.40EF</v>
      </c>
      <c r="G554" t="str">
        <f t="shared" si="965"/>
        <v>HPMaxT</v>
      </c>
      <c r="H554">
        <f t="shared" si="964"/>
        <v>16</v>
      </c>
      <c r="I554">
        <f>MATCH(G554,Technologies!$B$6:$S$6,0)</f>
        <v>11</v>
      </c>
      <c r="J554">
        <v>69</v>
      </c>
    </row>
    <row r="555" spans="2:10" x14ac:dyDescent="0.25">
      <c r="B555">
        <f>INDEX(exante.Technology!$A$2:$A$4130,MATCH(E555,exante.Technology!$C$2:$C$4130,0))</f>
        <v>1016</v>
      </c>
      <c r="C555">
        <f t="shared" si="963"/>
        <v>1080</v>
      </c>
      <c r="D555">
        <f>INDEX(Technologies!$B$7:$S$67,H555,I555)</f>
        <v>15</v>
      </c>
      <c r="E555" t="str">
        <f>INDEX(Technologies!$B$7:$B$67,H555)</f>
        <v>Stor_EF-ElecHP-030gal-2.40EF</v>
      </c>
      <c r="G555" t="str">
        <f t="shared" si="965"/>
        <v>HPMaxGal</v>
      </c>
      <c r="H555">
        <f t="shared" si="964"/>
        <v>16</v>
      </c>
      <c r="I555">
        <f>MATCH(G555,Technologies!$B$6:$S$6,0)</f>
        <v>12</v>
      </c>
      <c r="J555">
        <v>69</v>
      </c>
    </row>
    <row r="556" spans="2:10" x14ac:dyDescent="0.25">
      <c r="B556">
        <f>INDEX(exante.Technology!$A$2:$A$4130,MATCH(E556,exante.Technology!$C$2:$C$4130,0))</f>
        <v>1016</v>
      </c>
      <c r="C556">
        <f t="shared" si="963"/>
        <v>1074</v>
      </c>
      <c r="D556">
        <f>INDEX(Technologies!$B$7:$S$67,H556,I556)</f>
        <v>0</v>
      </c>
      <c r="E556" t="str">
        <f>INDEX(Technologies!$B$7:$B$67,H556)</f>
        <v>Stor_EF-ElecHP-030gal-2.40EF</v>
      </c>
      <c r="G556" t="str">
        <f t="shared" si="965"/>
        <v>auxW</v>
      </c>
      <c r="H556">
        <f t="shared" si="964"/>
        <v>16</v>
      </c>
      <c r="I556">
        <f>MATCH(G556,Technologies!$B$6:$S$6,0)</f>
        <v>13</v>
      </c>
      <c r="J556">
        <v>69</v>
      </c>
    </row>
    <row r="557" spans="2:10" x14ac:dyDescent="0.25">
      <c r="B557">
        <f>INDEX(exante.Technology!$A$2:$A$4130,MATCH(E557,exante.Technology!$C$2:$C$4130,0))</f>
        <v>1016</v>
      </c>
      <c r="C557">
        <f t="shared" si="963"/>
        <v>1075</v>
      </c>
      <c r="D557">
        <f>INDEX(Technologies!$B$7:$S$67,H557,I557)</f>
        <v>0</v>
      </c>
      <c r="E557" t="str">
        <f>INDEX(Technologies!$B$7:$B$67,H557)</f>
        <v>Stor_EF-ElecHP-030gal-2.40EF</v>
      </c>
      <c r="G557" t="str">
        <f t="shared" si="965"/>
        <v>auxVentW</v>
      </c>
      <c r="H557">
        <f t="shared" si="964"/>
        <v>16</v>
      </c>
      <c r="I557">
        <f>MATCH(G557,Technologies!$B$6:$S$6,0)</f>
        <v>14</v>
      </c>
      <c r="J557">
        <v>69</v>
      </c>
    </row>
    <row r="558" spans="2:10" x14ac:dyDescent="0.25">
      <c r="B558">
        <f>INDEX(exante.Technology!$A$2:$A$4130,MATCH(E558,exante.Technology!$C$2:$C$4130,0))</f>
        <v>1016</v>
      </c>
      <c r="C558">
        <f t="shared" si="963"/>
        <v>1076</v>
      </c>
      <c r="D558">
        <f>INDEX(Technologies!$B$7:$S$67,H558,I558)</f>
        <v>0</v>
      </c>
      <c r="E558" t="str">
        <f>INDEX(Technologies!$B$7:$B$67,H558)</f>
        <v>Stor_EF-ElecHP-030gal-2.40EF</v>
      </c>
      <c r="G558" t="str">
        <f t="shared" si="965"/>
        <v>pilotBTUh</v>
      </c>
      <c r="H558">
        <f t="shared" si="964"/>
        <v>16</v>
      </c>
      <c r="I558">
        <f>MATCH(G558,Technologies!$B$6:$S$6,0)</f>
        <v>15</v>
      </c>
      <c r="J558">
        <v>69</v>
      </c>
    </row>
    <row r="559" spans="2:10" x14ac:dyDescent="0.25">
      <c r="B559">
        <f>INDEX(exante.Technology!$A$2:$A$4130,MATCH(E559,exante.Technology!$C$2:$C$4130,0))</f>
        <v>1016</v>
      </c>
      <c r="C559">
        <f t="shared" si="963"/>
        <v>1077</v>
      </c>
      <c r="D559">
        <f>INDEX(Technologies!$B$7:$S$67,H559,I559)</f>
        <v>0</v>
      </c>
      <c r="E559" t="str">
        <f>INDEX(Technologies!$B$7:$B$67,H559)</f>
        <v>Stor_EF-ElecHP-030gal-2.40EF</v>
      </c>
      <c r="G559" t="str">
        <f t="shared" si="965"/>
        <v>pilotHtgEff</v>
      </c>
      <c r="H559">
        <f t="shared" si="964"/>
        <v>16</v>
      </c>
      <c r="I559">
        <f>MATCH(G559,Technologies!$B$6:$S$6,0)</f>
        <v>16</v>
      </c>
      <c r="J559">
        <v>69</v>
      </c>
    </row>
    <row r="560" spans="2:10" x14ac:dyDescent="0.25">
      <c r="B560">
        <f>INDEX(exante.Technology!$A$2:$A$4130,MATCH(E560,exante.Technology!$C$2:$C$4130,0))</f>
        <v>1017</v>
      </c>
      <c r="C560">
        <f t="shared" si="963"/>
        <v>1081</v>
      </c>
      <c r="D560">
        <f>INDEX(Technologies!$B$7:$S$67,H560,I560)</f>
        <v>40</v>
      </c>
      <c r="E560" t="str">
        <f>INDEX(Technologies!$B$7:$B$67,H560)</f>
        <v>Stor_EF-ElecHP-040gal-2.00EF</v>
      </c>
      <c r="G560" t="str">
        <f t="shared" si="965"/>
        <v>Nom_Gallons</v>
      </c>
      <c r="H560">
        <f t="shared" si="964"/>
        <v>17</v>
      </c>
      <c r="I560">
        <f>MATCH(G560,Technologies!$B$6:$S$6,0)</f>
        <v>4</v>
      </c>
      <c r="J560">
        <v>69</v>
      </c>
    </row>
    <row r="561" spans="2:10" x14ac:dyDescent="0.25">
      <c r="B561">
        <f>INDEX(exante.Technology!$A$2:$A$4130,MATCH(E561,exante.Technology!$C$2:$C$4130,0))</f>
        <v>1017</v>
      </c>
      <c r="C561">
        <f t="shared" si="963"/>
        <v>58</v>
      </c>
      <c r="D561">
        <f>INDEX(Technologies!$B$7:$S$67,H561,I561)</f>
        <v>2</v>
      </c>
      <c r="E561" t="str">
        <f>INDEX(Technologies!$B$7:$B$67,H561)</f>
        <v>Stor_EF-ElecHP-040gal-2.00EF</v>
      </c>
      <c r="G561" t="str">
        <f t="shared" si="965"/>
        <v>Energy_Factor</v>
      </c>
      <c r="H561">
        <f t="shared" si="964"/>
        <v>17</v>
      </c>
      <c r="I561">
        <f>MATCH(G561,Technologies!$B$6:$S$6,0)</f>
        <v>5</v>
      </c>
      <c r="J561">
        <v>69</v>
      </c>
    </row>
    <row r="562" spans="2:10" x14ac:dyDescent="0.25">
      <c r="B562">
        <f>INDEX(exante.Technology!$A$2:$A$4130,MATCH(E562,exante.Technology!$C$2:$C$4130,0))</f>
        <v>1017</v>
      </c>
      <c r="C562">
        <f t="shared" si="963"/>
        <v>1071</v>
      </c>
      <c r="D562">
        <f>INDEX(Technologies!$B$7:$S$67,H562,I562)</f>
        <v>4.5</v>
      </c>
      <c r="E562" t="str">
        <f>INDEX(Technologies!$B$7:$B$67,H562)</f>
        <v>Stor_EF-ElecHP-040gal-2.00EF</v>
      </c>
      <c r="G562" t="str">
        <f t="shared" si="965"/>
        <v>BurnCap_kW</v>
      </c>
      <c r="H562">
        <f t="shared" si="964"/>
        <v>17</v>
      </c>
      <c r="I562">
        <f>MATCH(G562,Technologies!$B$6:$S$6,0)</f>
        <v>7</v>
      </c>
      <c r="J562">
        <v>69</v>
      </c>
    </row>
    <row r="563" spans="2:10" x14ac:dyDescent="0.25">
      <c r="B563">
        <f>INDEX(exante.Technology!$A$2:$A$4130,MATCH(E563,exante.Technology!$C$2:$C$4130,0))</f>
        <v>1017</v>
      </c>
      <c r="C563">
        <f t="shared" si="963"/>
        <v>1072</v>
      </c>
      <c r="D563">
        <f>INDEX(Technologies!$B$7:$S$67,H563,I563)</f>
        <v>0.98</v>
      </c>
      <c r="E563" t="str">
        <f>INDEX(Technologies!$B$7:$B$67,H563)</f>
        <v>Stor_EF-ElecHP-040gal-2.00EF</v>
      </c>
      <c r="G563" t="str">
        <f t="shared" si="965"/>
        <v>RecovEff</v>
      </c>
      <c r="H563">
        <f t="shared" si="964"/>
        <v>17</v>
      </c>
      <c r="I563">
        <f>MATCH(G563,Technologies!$B$6:$S$6,0)</f>
        <v>8</v>
      </c>
      <c r="J563">
        <v>69</v>
      </c>
    </row>
    <row r="564" spans="2:10" x14ac:dyDescent="0.25">
      <c r="B564">
        <f>INDEX(exante.Technology!$A$2:$A$4130,MATCH(E564,exante.Technology!$C$2:$C$4130,0))</f>
        <v>1017</v>
      </c>
      <c r="C564">
        <f t="shared" si="963"/>
        <v>1073</v>
      </c>
      <c r="D564">
        <f>INDEX(Technologies!$B$7:$S$67,H564,I564)</f>
        <v>4.2</v>
      </c>
      <c r="E564" t="str">
        <f>INDEX(Technologies!$B$7:$B$67,H564)</f>
        <v>Stor_EF-ElecHP-040gal-2.00EF</v>
      </c>
      <c r="G564" t="str">
        <f t="shared" si="965"/>
        <v>TankUA</v>
      </c>
      <c r="H564">
        <f t="shared" si="964"/>
        <v>17</v>
      </c>
      <c r="I564">
        <f>MATCH(G564,Technologies!$B$6:$S$6,0)</f>
        <v>9</v>
      </c>
      <c r="J564">
        <v>69</v>
      </c>
    </row>
    <row r="565" spans="2:10" x14ac:dyDescent="0.25">
      <c r="B565">
        <f>INDEX(exante.Technology!$A$2:$A$4130,MATCH(E565,exante.Technology!$C$2:$C$4130,0))</f>
        <v>1017</v>
      </c>
      <c r="C565">
        <f t="shared" si="963"/>
        <v>1078</v>
      </c>
      <c r="D565">
        <f>INDEX(Technologies!$B$7:$S$67,H565,I565)</f>
        <v>45</v>
      </c>
      <c r="E565" t="str">
        <f>INDEX(Technologies!$B$7:$B$67,H565)</f>
        <v>Stor_EF-ElecHP-040gal-2.00EF</v>
      </c>
      <c r="G565" t="str">
        <f t="shared" si="965"/>
        <v>HPMinT</v>
      </c>
      <c r="H565">
        <f t="shared" si="964"/>
        <v>17</v>
      </c>
      <c r="I565">
        <f>MATCH(G565,Technologies!$B$6:$S$6,0)</f>
        <v>10</v>
      </c>
      <c r="J565">
        <v>69</v>
      </c>
    </row>
    <row r="566" spans="2:10" x14ac:dyDescent="0.25">
      <c r="B566">
        <f>INDEX(exante.Technology!$A$2:$A$4130,MATCH(E566,exante.Technology!$C$2:$C$4130,0))</f>
        <v>1017</v>
      </c>
      <c r="C566">
        <f t="shared" si="963"/>
        <v>1079</v>
      </c>
      <c r="D566">
        <f>INDEX(Technologies!$B$7:$S$67,H566,I566)</f>
        <v>115</v>
      </c>
      <c r="E566" t="str">
        <f>INDEX(Technologies!$B$7:$B$67,H566)</f>
        <v>Stor_EF-ElecHP-040gal-2.00EF</v>
      </c>
      <c r="G566" t="str">
        <f t="shared" si="965"/>
        <v>HPMaxT</v>
      </c>
      <c r="H566">
        <f t="shared" si="964"/>
        <v>17</v>
      </c>
      <c r="I566">
        <f>MATCH(G566,Technologies!$B$6:$S$6,0)</f>
        <v>11</v>
      </c>
      <c r="J566">
        <v>69</v>
      </c>
    </row>
    <row r="567" spans="2:10" x14ac:dyDescent="0.25">
      <c r="B567">
        <f>INDEX(exante.Technology!$A$2:$A$4130,MATCH(E567,exante.Technology!$C$2:$C$4130,0))</f>
        <v>1017</v>
      </c>
      <c r="C567">
        <f t="shared" si="963"/>
        <v>1080</v>
      </c>
      <c r="D567">
        <f>INDEX(Technologies!$B$7:$S$67,H567,I567)</f>
        <v>16.7</v>
      </c>
      <c r="E567" t="str">
        <f>INDEX(Technologies!$B$7:$B$67,H567)</f>
        <v>Stor_EF-ElecHP-040gal-2.00EF</v>
      </c>
      <c r="G567" t="str">
        <f t="shared" si="965"/>
        <v>HPMaxGal</v>
      </c>
      <c r="H567">
        <f t="shared" si="964"/>
        <v>17</v>
      </c>
      <c r="I567">
        <f>MATCH(G567,Technologies!$B$6:$S$6,0)</f>
        <v>12</v>
      </c>
      <c r="J567">
        <v>69</v>
      </c>
    </row>
    <row r="568" spans="2:10" x14ac:dyDescent="0.25">
      <c r="B568">
        <f>INDEX(exante.Technology!$A$2:$A$4130,MATCH(E568,exante.Technology!$C$2:$C$4130,0))</f>
        <v>1017</v>
      </c>
      <c r="C568">
        <f t="shared" si="963"/>
        <v>1074</v>
      </c>
      <c r="D568">
        <f>INDEX(Technologies!$B$7:$S$67,H568,I568)</f>
        <v>0</v>
      </c>
      <c r="E568" t="str">
        <f>INDEX(Technologies!$B$7:$B$67,H568)</f>
        <v>Stor_EF-ElecHP-040gal-2.00EF</v>
      </c>
      <c r="G568" t="str">
        <f t="shared" si="965"/>
        <v>auxW</v>
      </c>
      <c r="H568">
        <f t="shared" si="964"/>
        <v>17</v>
      </c>
      <c r="I568">
        <f>MATCH(G568,Technologies!$B$6:$S$6,0)</f>
        <v>13</v>
      </c>
      <c r="J568">
        <v>69</v>
      </c>
    </row>
    <row r="569" spans="2:10" x14ac:dyDescent="0.25">
      <c r="B569">
        <f>INDEX(exante.Technology!$A$2:$A$4130,MATCH(E569,exante.Technology!$C$2:$C$4130,0))</f>
        <v>1017</v>
      </c>
      <c r="C569">
        <f t="shared" si="963"/>
        <v>1075</v>
      </c>
      <c r="D569">
        <f>INDEX(Technologies!$B$7:$S$67,H569,I569)</f>
        <v>0</v>
      </c>
      <c r="E569" t="str">
        <f>INDEX(Technologies!$B$7:$B$67,H569)</f>
        <v>Stor_EF-ElecHP-040gal-2.00EF</v>
      </c>
      <c r="G569" t="str">
        <f t="shared" si="965"/>
        <v>auxVentW</v>
      </c>
      <c r="H569">
        <f t="shared" si="964"/>
        <v>17</v>
      </c>
      <c r="I569">
        <f>MATCH(G569,Technologies!$B$6:$S$6,0)</f>
        <v>14</v>
      </c>
      <c r="J569">
        <v>69</v>
      </c>
    </row>
    <row r="570" spans="2:10" x14ac:dyDescent="0.25">
      <c r="B570">
        <f>INDEX(exante.Technology!$A$2:$A$4130,MATCH(E570,exante.Technology!$C$2:$C$4130,0))</f>
        <v>1017</v>
      </c>
      <c r="C570">
        <f t="shared" si="963"/>
        <v>1076</v>
      </c>
      <c r="D570">
        <f>INDEX(Technologies!$B$7:$S$67,H570,I570)</f>
        <v>0</v>
      </c>
      <c r="E570" t="str">
        <f>INDEX(Technologies!$B$7:$B$67,H570)</f>
        <v>Stor_EF-ElecHP-040gal-2.00EF</v>
      </c>
      <c r="G570" t="str">
        <f t="shared" si="965"/>
        <v>pilotBTUh</v>
      </c>
      <c r="H570">
        <f t="shared" si="964"/>
        <v>17</v>
      </c>
      <c r="I570">
        <f>MATCH(G570,Technologies!$B$6:$S$6,0)</f>
        <v>15</v>
      </c>
      <c r="J570">
        <v>69</v>
      </c>
    </row>
    <row r="571" spans="2:10" x14ac:dyDescent="0.25">
      <c r="B571">
        <f>INDEX(exante.Technology!$A$2:$A$4130,MATCH(E571,exante.Technology!$C$2:$C$4130,0))</f>
        <v>1017</v>
      </c>
      <c r="C571">
        <f t="shared" si="963"/>
        <v>1077</v>
      </c>
      <c r="D571">
        <f>INDEX(Technologies!$B$7:$S$67,H571,I571)</f>
        <v>0</v>
      </c>
      <c r="E571" t="str">
        <f>INDEX(Technologies!$B$7:$B$67,H571)</f>
        <v>Stor_EF-ElecHP-040gal-2.00EF</v>
      </c>
      <c r="G571" t="str">
        <f t="shared" si="965"/>
        <v>pilotHtgEff</v>
      </c>
      <c r="H571">
        <f t="shared" si="964"/>
        <v>17</v>
      </c>
      <c r="I571">
        <f>MATCH(G571,Technologies!$B$6:$S$6,0)</f>
        <v>16</v>
      </c>
      <c r="J571">
        <v>69</v>
      </c>
    </row>
    <row r="572" spans="2:10" x14ac:dyDescent="0.25">
      <c r="B572">
        <f>INDEX(exante.Technology!$A$2:$A$4130,MATCH(E572,exante.Technology!$C$2:$C$4130,0))</f>
        <v>1018</v>
      </c>
      <c r="C572">
        <f t="shared" si="963"/>
        <v>1081</v>
      </c>
      <c r="D572">
        <f>INDEX(Technologies!$B$7:$S$67,H572,I572)</f>
        <v>40</v>
      </c>
      <c r="E572" t="str">
        <f>INDEX(Technologies!$B$7:$B$67,H572)</f>
        <v>Stor_EF-ElecHP-040gal-2.20EF</v>
      </c>
      <c r="G572" t="str">
        <f t="shared" si="965"/>
        <v>Nom_Gallons</v>
      </c>
      <c r="H572">
        <f t="shared" si="964"/>
        <v>18</v>
      </c>
      <c r="I572">
        <f>MATCH(G572,Technologies!$B$6:$S$6,0)</f>
        <v>4</v>
      </c>
      <c r="J572">
        <v>69</v>
      </c>
    </row>
    <row r="573" spans="2:10" x14ac:dyDescent="0.25">
      <c r="B573">
        <f>INDEX(exante.Technology!$A$2:$A$4130,MATCH(E573,exante.Technology!$C$2:$C$4130,0))</f>
        <v>1018</v>
      </c>
      <c r="C573">
        <f t="shared" si="963"/>
        <v>58</v>
      </c>
      <c r="D573">
        <f>INDEX(Technologies!$B$7:$S$67,H573,I573)</f>
        <v>2.2000000000000002</v>
      </c>
      <c r="E573" t="str">
        <f>INDEX(Technologies!$B$7:$B$67,H573)</f>
        <v>Stor_EF-ElecHP-040gal-2.20EF</v>
      </c>
      <c r="G573" t="str">
        <f t="shared" si="965"/>
        <v>Energy_Factor</v>
      </c>
      <c r="H573">
        <f t="shared" si="964"/>
        <v>18</v>
      </c>
      <c r="I573">
        <f>MATCH(G573,Technologies!$B$6:$S$6,0)</f>
        <v>5</v>
      </c>
      <c r="J573">
        <v>69</v>
      </c>
    </row>
    <row r="574" spans="2:10" x14ac:dyDescent="0.25">
      <c r="B574">
        <f>INDEX(exante.Technology!$A$2:$A$4130,MATCH(E574,exante.Technology!$C$2:$C$4130,0))</f>
        <v>1018</v>
      </c>
      <c r="C574">
        <f t="shared" si="963"/>
        <v>1071</v>
      </c>
      <c r="D574">
        <f>INDEX(Technologies!$B$7:$S$67,H574,I574)</f>
        <v>4.5</v>
      </c>
      <c r="E574" t="str">
        <f>INDEX(Technologies!$B$7:$B$67,H574)</f>
        <v>Stor_EF-ElecHP-040gal-2.20EF</v>
      </c>
      <c r="G574" t="str">
        <f t="shared" si="965"/>
        <v>BurnCap_kW</v>
      </c>
      <c r="H574">
        <f t="shared" si="964"/>
        <v>18</v>
      </c>
      <c r="I574">
        <f>MATCH(G574,Technologies!$B$6:$S$6,0)</f>
        <v>7</v>
      </c>
      <c r="J574">
        <v>69</v>
      </c>
    </row>
    <row r="575" spans="2:10" x14ac:dyDescent="0.25">
      <c r="B575">
        <f>INDEX(exante.Technology!$A$2:$A$4130,MATCH(E575,exante.Technology!$C$2:$C$4130,0))</f>
        <v>1018</v>
      </c>
      <c r="C575">
        <f t="shared" si="963"/>
        <v>1072</v>
      </c>
      <c r="D575">
        <f>INDEX(Technologies!$B$7:$S$67,H575,I575)</f>
        <v>0.98</v>
      </c>
      <c r="E575" t="str">
        <f>INDEX(Technologies!$B$7:$B$67,H575)</f>
        <v>Stor_EF-ElecHP-040gal-2.20EF</v>
      </c>
      <c r="G575" t="str">
        <f t="shared" si="965"/>
        <v>RecovEff</v>
      </c>
      <c r="H575">
        <f t="shared" si="964"/>
        <v>18</v>
      </c>
      <c r="I575">
        <f>MATCH(G575,Technologies!$B$6:$S$6,0)</f>
        <v>8</v>
      </c>
      <c r="J575">
        <v>69</v>
      </c>
    </row>
    <row r="576" spans="2:10" x14ac:dyDescent="0.25">
      <c r="B576">
        <f>INDEX(exante.Technology!$A$2:$A$4130,MATCH(E576,exante.Technology!$C$2:$C$4130,0))</f>
        <v>1018</v>
      </c>
      <c r="C576">
        <f t="shared" si="963"/>
        <v>1073</v>
      </c>
      <c r="D576">
        <f>INDEX(Technologies!$B$7:$S$67,H576,I576)</f>
        <v>4.2</v>
      </c>
      <c r="E576" t="str">
        <f>INDEX(Technologies!$B$7:$B$67,H576)</f>
        <v>Stor_EF-ElecHP-040gal-2.20EF</v>
      </c>
      <c r="G576" t="str">
        <f t="shared" si="965"/>
        <v>TankUA</v>
      </c>
      <c r="H576">
        <f t="shared" si="964"/>
        <v>18</v>
      </c>
      <c r="I576">
        <f>MATCH(G576,Technologies!$B$6:$S$6,0)</f>
        <v>9</v>
      </c>
      <c r="J576">
        <v>69</v>
      </c>
    </row>
    <row r="577" spans="2:10" x14ac:dyDescent="0.25">
      <c r="B577">
        <f>INDEX(exante.Technology!$A$2:$A$4130,MATCH(E577,exante.Technology!$C$2:$C$4130,0))</f>
        <v>1018</v>
      </c>
      <c r="C577">
        <f t="shared" si="963"/>
        <v>1078</v>
      </c>
      <c r="D577">
        <f>INDEX(Technologies!$B$7:$S$67,H577,I577)</f>
        <v>45</v>
      </c>
      <c r="E577" t="str">
        <f>INDEX(Technologies!$B$7:$B$67,H577)</f>
        <v>Stor_EF-ElecHP-040gal-2.20EF</v>
      </c>
      <c r="G577" t="str">
        <f t="shared" si="965"/>
        <v>HPMinT</v>
      </c>
      <c r="H577">
        <f t="shared" si="964"/>
        <v>18</v>
      </c>
      <c r="I577">
        <f>MATCH(G577,Technologies!$B$6:$S$6,0)</f>
        <v>10</v>
      </c>
      <c r="J577">
        <v>69</v>
      </c>
    </row>
    <row r="578" spans="2:10" x14ac:dyDescent="0.25">
      <c r="B578">
        <f>INDEX(exante.Technology!$A$2:$A$4130,MATCH(E578,exante.Technology!$C$2:$C$4130,0))</f>
        <v>1018</v>
      </c>
      <c r="C578">
        <f t="shared" si="963"/>
        <v>1079</v>
      </c>
      <c r="D578">
        <f>INDEX(Technologies!$B$7:$S$67,H578,I578)</f>
        <v>115</v>
      </c>
      <c r="E578" t="str">
        <f>INDEX(Technologies!$B$7:$B$67,H578)</f>
        <v>Stor_EF-ElecHP-040gal-2.20EF</v>
      </c>
      <c r="G578" t="str">
        <f t="shared" si="965"/>
        <v>HPMaxT</v>
      </c>
      <c r="H578">
        <f t="shared" si="964"/>
        <v>18</v>
      </c>
      <c r="I578">
        <f>MATCH(G578,Technologies!$B$6:$S$6,0)</f>
        <v>11</v>
      </c>
      <c r="J578">
        <v>69</v>
      </c>
    </row>
    <row r="579" spans="2:10" x14ac:dyDescent="0.25">
      <c r="B579">
        <f>INDEX(exante.Technology!$A$2:$A$4130,MATCH(E579,exante.Technology!$C$2:$C$4130,0))</f>
        <v>1018</v>
      </c>
      <c r="C579">
        <f t="shared" si="963"/>
        <v>1080</v>
      </c>
      <c r="D579">
        <f>INDEX(Technologies!$B$7:$S$67,H579,I579)</f>
        <v>16.7</v>
      </c>
      <c r="E579" t="str">
        <f>INDEX(Technologies!$B$7:$B$67,H579)</f>
        <v>Stor_EF-ElecHP-040gal-2.20EF</v>
      </c>
      <c r="G579" t="str">
        <f t="shared" si="965"/>
        <v>HPMaxGal</v>
      </c>
      <c r="H579">
        <f t="shared" si="964"/>
        <v>18</v>
      </c>
      <c r="I579">
        <f>MATCH(G579,Technologies!$B$6:$S$6,0)</f>
        <v>12</v>
      </c>
      <c r="J579">
        <v>69</v>
      </c>
    </row>
    <row r="580" spans="2:10" x14ac:dyDescent="0.25">
      <c r="B580">
        <f>INDEX(exante.Technology!$A$2:$A$4130,MATCH(E580,exante.Technology!$C$2:$C$4130,0))</f>
        <v>1018</v>
      </c>
      <c r="C580">
        <f t="shared" si="963"/>
        <v>1074</v>
      </c>
      <c r="D580">
        <f>INDEX(Technologies!$B$7:$S$67,H580,I580)</f>
        <v>0</v>
      </c>
      <c r="E580" t="str">
        <f>INDEX(Technologies!$B$7:$B$67,H580)</f>
        <v>Stor_EF-ElecHP-040gal-2.20EF</v>
      </c>
      <c r="G580" t="str">
        <f t="shared" si="965"/>
        <v>auxW</v>
      </c>
      <c r="H580">
        <f t="shared" si="964"/>
        <v>18</v>
      </c>
      <c r="I580">
        <f>MATCH(G580,Technologies!$B$6:$S$6,0)</f>
        <v>13</v>
      </c>
      <c r="J580">
        <v>69</v>
      </c>
    </row>
    <row r="581" spans="2:10" x14ac:dyDescent="0.25">
      <c r="B581">
        <f>INDEX(exante.Technology!$A$2:$A$4130,MATCH(E581,exante.Technology!$C$2:$C$4130,0))</f>
        <v>1018</v>
      </c>
      <c r="C581">
        <f t="shared" si="963"/>
        <v>1075</v>
      </c>
      <c r="D581">
        <f>INDEX(Technologies!$B$7:$S$67,H581,I581)</f>
        <v>0</v>
      </c>
      <c r="E581" t="str">
        <f>INDEX(Technologies!$B$7:$B$67,H581)</f>
        <v>Stor_EF-ElecHP-040gal-2.20EF</v>
      </c>
      <c r="G581" t="str">
        <f t="shared" si="965"/>
        <v>auxVentW</v>
      </c>
      <c r="H581">
        <f t="shared" si="964"/>
        <v>18</v>
      </c>
      <c r="I581">
        <f>MATCH(G581,Technologies!$B$6:$S$6,0)</f>
        <v>14</v>
      </c>
      <c r="J581">
        <v>69</v>
      </c>
    </row>
    <row r="582" spans="2:10" x14ac:dyDescent="0.25">
      <c r="B582">
        <f>INDEX(exante.Technology!$A$2:$A$4130,MATCH(E582,exante.Technology!$C$2:$C$4130,0))</f>
        <v>1018</v>
      </c>
      <c r="C582">
        <f t="shared" si="963"/>
        <v>1076</v>
      </c>
      <c r="D582">
        <f>INDEX(Technologies!$B$7:$S$67,H582,I582)</f>
        <v>0</v>
      </c>
      <c r="E582" t="str">
        <f>INDEX(Technologies!$B$7:$B$67,H582)</f>
        <v>Stor_EF-ElecHP-040gal-2.20EF</v>
      </c>
      <c r="G582" t="str">
        <f t="shared" si="965"/>
        <v>pilotBTUh</v>
      </c>
      <c r="H582">
        <f t="shared" si="964"/>
        <v>18</v>
      </c>
      <c r="I582">
        <f>MATCH(G582,Technologies!$B$6:$S$6,0)</f>
        <v>15</v>
      </c>
      <c r="J582">
        <v>69</v>
      </c>
    </row>
    <row r="583" spans="2:10" x14ac:dyDescent="0.25">
      <c r="B583">
        <f>INDEX(exante.Technology!$A$2:$A$4130,MATCH(E583,exante.Technology!$C$2:$C$4130,0))</f>
        <v>1018</v>
      </c>
      <c r="C583">
        <f t="shared" si="963"/>
        <v>1077</v>
      </c>
      <c r="D583">
        <f>INDEX(Technologies!$B$7:$S$67,H583,I583)</f>
        <v>0</v>
      </c>
      <c r="E583" t="str">
        <f>INDEX(Technologies!$B$7:$B$67,H583)</f>
        <v>Stor_EF-ElecHP-040gal-2.20EF</v>
      </c>
      <c r="G583" t="str">
        <f t="shared" si="965"/>
        <v>pilotHtgEff</v>
      </c>
      <c r="H583">
        <f t="shared" si="964"/>
        <v>18</v>
      </c>
      <c r="I583">
        <f>MATCH(G583,Technologies!$B$6:$S$6,0)</f>
        <v>16</v>
      </c>
      <c r="J583">
        <v>69</v>
      </c>
    </row>
    <row r="584" spans="2:10" x14ac:dyDescent="0.25">
      <c r="B584">
        <f>INDEX(exante.Technology!$A$2:$A$4130,MATCH(E584,exante.Technology!$C$2:$C$4130,0))</f>
        <v>1019</v>
      </c>
      <c r="C584">
        <f t="shared" si="963"/>
        <v>1081</v>
      </c>
      <c r="D584">
        <f>INDEX(Technologies!$B$7:$S$67,H584,I584)</f>
        <v>40</v>
      </c>
      <c r="E584" t="str">
        <f>INDEX(Technologies!$B$7:$B$67,H584)</f>
        <v>Stor_EF-ElecHP-040gal-2.40EF</v>
      </c>
      <c r="G584" t="str">
        <f t="shared" si="965"/>
        <v>Nom_Gallons</v>
      </c>
      <c r="H584">
        <f t="shared" si="964"/>
        <v>19</v>
      </c>
      <c r="I584">
        <f>MATCH(G584,Technologies!$B$6:$S$6,0)</f>
        <v>4</v>
      </c>
      <c r="J584">
        <v>69</v>
      </c>
    </row>
    <row r="585" spans="2:10" x14ac:dyDescent="0.25">
      <c r="B585">
        <f>INDEX(exante.Technology!$A$2:$A$4130,MATCH(E585,exante.Technology!$C$2:$C$4130,0))</f>
        <v>1019</v>
      </c>
      <c r="C585">
        <f t="shared" si="963"/>
        <v>58</v>
      </c>
      <c r="D585">
        <f>INDEX(Technologies!$B$7:$S$67,H585,I585)</f>
        <v>2.4</v>
      </c>
      <c r="E585" t="str">
        <f>INDEX(Technologies!$B$7:$B$67,H585)</f>
        <v>Stor_EF-ElecHP-040gal-2.40EF</v>
      </c>
      <c r="G585" t="str">
        <f t="shared" si="965"/>
        <v>Energy_Factor</v>
      </c>
      <c r="H585">
        <f t="shared" si="964"/>
        <v>19</v>
      </c>
      <c r="I585">
        <f>MATCH(G585,Technologies!$B$6:$S$6,0)</f>
        <v>5</v>
      </c>
      <c r="J585">
        <v>69</v>
      </c>
    </row>
    <row r="586" spans="2:10" x14ac:dyDescent="0.25">
      <c r="B586">
        <f>INDEX(exante.Technology!$A$2:$A$4130,MATCH(E586,exante.Technology!$C$2:$C$4130,0))</f>
        <v>1019</v>
      </c>
      <c r="C586">
        <f t="shared" si="963"/>
        <v>1071</v>
      </c>
      <c r="D586">
        <f>INDEX(Technologies!$B$7:$S$67,H586,I586)</f>
        <v>4.5</v>
      </c>
      <c r="E586" t="str">
        <f>INDEX(Technologies!$B$7:$B$67,H586)</f>
        <v>Stor_EF-ElecHP-040gal-2.40EF</v>
      </c>
      <c r="G586" t="str">
        <f t="shared" si="965"/>
        <v>BurnCap_kW</v>
      </c>
      <c r="H586">
        <f t="shared" si="964"/>
        <v>19</v>
      </c>
      <c r="I586">
        <f>MATCH(G586,Technologies!$B$6:$S$6,0)</f>
        <v>7</v>
      </c>
      <c r="J586">
        <v>69</v>
      </c>
    </row>
    <row r="587" spans="2:10" x14ac:dyDescent="0.25">
      <c r="B587">
        <f>INDEX(exante.Technology!$A$2:$A$4130,MATCH(E587,exante.Technology!$C$2:$C$4130,0))</f>
        <v>1019</v>
      </c>
      <c r="C587">
        <f t="shared" si="963"/>
        <v>1072</v>
      </c>
      <c r="D587">
        <f>INDEX(Technologies!$B$7:$S$67,H587,I587)</f>
        <v>0.98</v>
      </c>
      <c r="E587" t="str">
        <f>INDEX(Technologies!$B$7:$B$67,H587)</f>
        <v>Stor_EF-ElecHP-040gal-2.40EF</v>
      </c>
      <c r="G587" t="str">
        <f t="shared" si="965"/>
        <v>RecovEff</v>
      </c>
      <c r="H587">
        <f t="shared" si="964"/>
        <v>19</v>
      </c>
      <c r="I587">
        <f>MATCH(G587,Technologies!$B$6:$S$6,0)</f>
        <v>8</v>
      </c>
      <c r="J587">
        <v>69</v>
      </c>
    </row>
    <row r="588" spans="2:10" x14ac:dyDescent="0.25">
      <c r="B588">
        <f>INDEX(exante.Technology!$A$2:$A$4130,MATCH(E588,exante.Technology!$C$2:$C$4130,0))</f>
        <v>1019</v>
      </c>
      <c r="C588">
        <f t="shared" si="963"/>
        <v>1073</v>
      </c>
      <c r="D588">
        <f>INDEX(Technologies!$B$7:$S$67,H588,I588)</f>
        <v>4.2</v>
      </c>
      <c r="E588" t="str">
        <f>INDEX(Technologies!$B$7:$B$67,H588)</f>
        <v>Stor_EF-ElecHP-040gal-2.40EF</v>
      </c>
      <c r="G588" t="str">
        <f t="shared" si="965"/>
        <v>TankUA</v>
      </c>
      <c r="H588">
        <f t="shared" si="964"/>
        <v>19</v>
      </c>
      <c r="I588">
        <f>MATCH(G588,Technologies!$B$6:$S$6,0)</f>
        <v>9</v>
      </c>
      <c r="J588">
        <v>69</v>
      </c>
    </row>
    <row r="589" spans="2:10" x14ac:dyDescent="0.25">
      <c r="B589">
        <f>INDEX(exante.Technology!$A$2:$A$4130,MATCH(E589,exante.Technology!$C$2:$C$4130,0))</f>
        <v>1019</v>
      </c>
      <c r="C589">
        <f t="shared" si="963"/>
        <v>1078</v>
      </c>
      <c r="D589">
        <f>INDEX(Technologies!$B$7:$S$67,H589,I589)</f>
        <v>45</v>
      </c>
      <c r="E589" t="str">
        <f>INDEX(Technologies!$B$7:$B$67,H589)</f>
        <v>Stor_EF-ElecHP-040gal-2.40EF</v>
      </c>
      <c r="G589" t="str">
        <f t="shared" si="965"/>
        <v>HPMinT</v>
      </c>
      <c r="H589">
        <f t="shared" si="964"/>
        <v>19</v>
      </c>
      <c r="I589">
        <f>MATCH(G589,Technologies!$B$6:$S$6,0)</f>
        <v>10</v>
      </c>
      <c r="J589">
        <v>69</v>
      </c>
    </row>
    <row r="590" spans="2:10" x14ac:dyDescent="0.25">
      <c r="B590">
        <f>INDEX(exante.Technology!$A$2:$A$4130,MATCH(E590,exante.Technology!$C$2:$C$4130,0))</f>
        <v>1019</v>
      </c>
      <c r="C590">
        <f t="shared" si="963"/>
        <v>1079</v>
      </c>
      <c r="D590">
        <f>INDEX(Technologies!$B$7:$S$67,H590,I590)</f>
        <v>115</v>
      </c>
      <c r="E590" t="str">
        <f>INDEX(Technologies!$B$7:$B$67,H590)</f>
        <v>Stor_EF-ElecHP-040gal-2.40EF</v>
      </c>
      <c r="G590" t="str">
        <f t="shared" si="965"/>
        <v>HPMaxT</v>
      </c>
      <c r="H590">
        <f t="shared" si="964"/>
        <v>19</v>
      </c>
      <c r="I590">
        <f>MATCH(G590,Technologies!$B$6:$S$6,0)</f>
        <v>11</v>
      </c>
      <c r="J590">
        <v>69</v>
      </c>
    </row>
    <row r="591" spans="2:10" x14ac:dyDescent="0.25">
      <c r="B591">
        <f>INDEX(exante.Technology!$A$2:$A$4130,MATCH(E591,exante.Technology!$C$2:$C$4130,0))</f>
        <v>1019</v>
      </c>
      <c r="C591">
        <f t="shared" si="963"/>
        <v>1080</v>
      </c>
      <c r="D591">
        <f>INDEX(Technologies!$B$7:$S$67,H591,I591)</f>
        <v>16.7</v>
      </c>
      <c r="E591" t="str">
        <f>INDEX(Technologies!$B$7:$B$67,H591)</f>
        <v>Stor_EF-ElecHP-040gal-2.40EF</v>
      </c>
      <c r="G591" t="str">
        <f t="shared" si="965"/>
        <v>HPMaxGal</v>
      </c>
      <c r="H591">
        <f t="shared" si="964"/>
        <v>19</v>
      </c>
      <c r="I591">
        <f>MATCH(G591,Technologies!$B$6:$S$6,0)</f>
        <v>12</v>
      </c>
      <c r="J591">
        <v>69</v>
      </c>
    </row>
    <row r="592" spans="2:10" x14ac:dyDescent="0.25">
      <c r="B592">
        <f>INDEX(exante.Technology!$A$2:$A$4130,MATCH(E592,exante.Technology!$C$2:$C$4130,0))</f>
        <v>1019</v>
      </c>
      <c r="C592">
        <f t="shared" si="963"/>
        <v>1074</v>
      </c>
      <c r="D592">
        <f>INDEX(Technologies!$B$7:$S$67,H592,I592)</f>
        <v>0</v>
      </c>
      <c r="E592" t="str">
        <f>INDEX(Technologies!$B$7:$B$67,H592)</f>
        <v>Stor_EF-ElecHP-040gal-2.40EF</v>
      </c>
      <c r="G592" t="str">
        <f t="shared" si="965"/>
        <v>auxW</v>
      </c>
      <c r="H592">
        <f t="shared" si="964"/>
        <v>19</v>
      </c>
      <c r="I592">
        <f>MATCH(G592,Technologies!$B$6:$S$6,0)</f>
        <v>13</v>
      </c>
      <c r="J592">
        <v>69</v>
      </c>
    </row>
    <row r="593" spans="2:10" x14ac:dyDescent="0.25">
      <c r="B593">
        <f>INDEX(exante.Technology!$A$2:$A$4130,MATCH(E593,exante.Technology!$C$2:$C$4130,0))</f>
        <v>1019</v>
      </c>
      <c r="C593">
        <f t="shared" si="963"/>
        <v>1075</v>
      </c>
      <c r="D593">
        <f>INDEX(Technologies!$B$7:$S$67,H593,I593)</f>
        <v>0</v>
      </c>
      <c r="E593" t="str">
        <f>INDEX(Technologies!$B$7:$B$67,H593)</f>
        <v>Stor_EF-ElecHP-040gal-2.40EF</v>
      </c>
      <c r="G593" t="str">
        <f t="shared" si="965"/>
        <v>auxVentW</v>
      </c>
      <c r="H593">
        <f t="shared" si="964"/>
        <v>19</v>
      </c>
      <c r="I593">
        <f>MATCH(G593,Technologies!$B$6:$S$6,0)</f>
        <v>14</v>
      </c>
      <c r="J593">
        <v>69</v>
      </c>
    </row>
    <row r="594" spans="2:10" x14ac:dyDescent="0.25">
      <c r="B594">
        <f>INDEX(exante.Technology!$A$2:$A$4130,MATCH(E594,exante.Technology!$C$2:$C$4130,0))</f>
        <v>1019</v>
      </c>
      <c r="C594">
        <f t="shared" si="963"/>
        <v>1076</v>
      </c>
      <c r="D594">
        <f>INDEX(Technologies!$B$7:$S$67,H594,I594)</f>
        <v>0</v>
      </c>
      <c r="E594" t="str">
        <f>INDEX(Technologies!$B$7:$B$67,H594)</f>
        <v>Stor_EF-ElecHP-040gal-2.40EF</v>
      </c>
      <c r="G594" t="str">
        <f t="shared" si="965"/>
        <v>pilotBTUh</v>
      </c>
      <c r="H594">
        <f t="shared" si="964"/>
        <v>19</v>
      </c>
      <c r="I594">
        <f>MATCH(G594,Technologies!$B$6:$S$6,0)</f>
        <v>15</v>
      </c>
      <c r="J594">
        <v>69</v>
      </c>
    </row>
    <row r="595" spans="2:10" x14ac:dyDescent="0.25">
      <c r="B595">
        <f>INDEX(exante.Technology!$A$2:$A$4130,MATCH(E595,exante.Technology!$C$2:$C$4130,0))</f>
        <v>1019</v>
      </c>
      <c r="C595">
        <f t="shared" si="963"/>
        <v>1077</v>
      </c>
      <c r="D595">
        <f>INDEX(Technologies!$B$7:$S$67,H595,I595)</f>
        <v>0</v>
      </c>
      <c r="E595" t="str">
        <f>INDEX(Technologies!$B$7:$B$67,H595)</f>
        <v>Stor_EF-ElecHP-040gal-2.40EF</v>
      </c>
      <c r="G595" t="str">
        <f t="shared" si="965"/>
        <v>pilotHtgEff</v>
      </c>
      <c r="H595">
        <f t="shared" si="964"/>
        <v>19</v>
      </c>
      <c r="I595">
        <f>MATCH(G595,Technologies!$B$6:$S$6,0)</f>
        <v>16</v>
      </c>
      <c r="J595">
        <v>69</v>
      </c>
    </row>
    <row r="596" spans="2:10" x14ac:dyDescent="0.25">
      <c r="B596">
        <f>INDEX(exante.Technology!$A$2:$A$4130,MATCH(E596,exante.Technology!$C$2:$C$4130,0))</f>
        <v>1020</v>
      </c>
      <c r="C596">
        <f t="shared" si="963"/>
        <v>1081</v>
      </c>
      <c r="D596">
        <f>INDEX(Technologies!$B$7:$S$67,H596,I596)</f>
        <v>50</v>
      </c>
      <c r="E596" t="str">
        <f>INDEX(Technologies!$B$7:$B$67,H596)</f>
        <v>Stor_EF-ElecHP-050gal-2.00EF</v>
      </c>
      <c r="G596" t="str">
        <f t="shared" si="965"/>
        <v>Nom_Gallons</v>
      </c>
      <c r="H596">
        <f t="shared" si="964"/>
        <v>20</v>
      </c>
      <c r="I596">
        <f>MATCH(G596,Technologies!$B$6:$S$6,0)</f>
        <v>4</v>
      </c>
      <c r="J596">
        <v>69</v>
      </c>
    </row>
    <row r="597" spans="2:10" x14ac:dyDescent="0.25">
      <c r="B597">
        <f>INDEX(exante.Technology!$A$2:$A$4130,MATCH(E597,exante.Technology!$C$2:$C$4130,0))</f>
        <v>1020</v>
      </c>
      <c r="C597">
        <f t="shared" si="963"/>
        <v>58</v>
      </c>
      <c r="D597">
        <f>INDEX(Technologies!$B$7:$S$67,H597,I597)</f>
        <v>2</v>
      </c>
      <c r="E597" t="str">
        <f>INDEX(Technologies!$B$7:$B$67,H597)</f>
        <v>Stor_EF-ElecHP-050gal-2.00EF</v>
      </c>
      <c r="G597" t="str">
        <f t="shared" si="965"/>
        <v>Energy_Factor</v>
      </c>
      <c r="H597">
        <f t="shared" si="964"/>
        <v>20</v>
      </c>
      <c r="I597">
        <f>MATCH(G597,Technologies!$B$6:$S$6,0)</f>
        <v>5</v>
      </c>
      <c r="J597">
        <v>69</v>
      </c>
    </row>
    <row r="598" spans="2:10" x14ac:dyDescent="0.25">
      <c r="B598">
        <f>INDEX(exante.Technology!$A$2:$A$4130,MATCH(E598,exante.Technology!$C$2:$C$4130,0))</f>
        <v>1020</v>
      </c>
      <c r="C598">
        <f t="shared" si="963"/>
        <v>1071</v>
      </c>
      <c r="D598">
        <f>INDEX(Technologies!$B$7:$S$67,H598,I598)</f>
        <v>5</v>
      </c>
      <c r="E598" t="str">
        <f>INDEX(Technologies!$B$7:$B$67,H598)</f>
        <v>Stor_EF-ElecHP-050gal-2.00EF</v>
      </c>
      <c r="G598" t="str">
        <f t="shared" si="965"/>
        <v>BurnCap_kW</v>
      </c>
      <c r="H598">
        <f t="shared" si="964"/>
        <v>20</v>
      </c>
      <c r="I598">
        <f>MATCH(G598,Technologies!$B$6:$S$6,0)</f>
        <v>7</v>
      </c>
      <c r="J598">
        <v>69</v>
      </c>
    </row>
    <row r="599" spans="2:10" x14ac:dyDescent="0.25">
      <c r="B599">
        <f>INDEX(exante.Technology!$A$2:$A$4130,MATCH(E599,exante.Technology!$C$2:$C$4130,0))</f>
        <v>1020</v>
      </c>
      <c r="C599">
        <f t="shared" si="963"/>
        <v>1072</v>
      </c>
      <c r="D599">
        <f>INDEX(Technologies!$B$7:$S$67,H599,I599)</f>
        <v>0.98</v>
      </c>
      <c r="E599" t="str">
        <f>INDEX(Technologies!$B$7:$B$67,H599)</f>
        <v>Stor_EF-ElecHP-050gal-2.00EF</v>
      </c>
      <c r="G599" t="str">
        <f t="shared" si="965"/>
        <v>RecovEff</v>
      </c>
      <c r="H599">
        <f t="shared" si="964"/>
        <v>20</v>
      </c>
      <c r="I599">
        <f>MATCH(G599,Technologies!$B$6:$S$6,0)</f>
        <v>8</v>
      </c>
      <c r="J599">
        <v>69</v>
      </c>
    </row>
    <row r="600" spans="2:10" x14ac:dyDescent="0.25">
      <c r="B600">
        <f>INDEX(exante.Technology!$A$2:$A$4130,MATCH(E600,exante.Technology!$C$2:$C$4130,0))</f>
        <v>1020</v>
      </c>
      <c r="C600">
        <f t="shared" si="963"/>
        <v>1073</v>
      </c>
      <c r="D600">
        <f>INDEX(Technologies!$B$7:$S$67,H600,I600)</f>
        <v>4.2</v>
      </c>
      <c r="E600" t="str">
        <f>INDEX(Technologies!$B$7:$B$67,H600)</f>
        <v>Stor_EF-ElecHP-050gal-2.00EF</v>
      </c>
      <c r="G600" t="str">
        <f t="shared" si="965"/>
        <v>TankUA</v>
      </c>
      <c r="H600">
        <f t="shared" si="964"/>
        <v>20</v>
      </c>
      <c r="I600">
        <f>MATCH(G600,Technologies!$B$6:$S$6,0)</f>
        <v>9</v>
      </c>
      <c r="J600">
        <v>69</v>
      </c>
    </row>
    <row r="601" spans="2:10" x14ac:dyDescent="0.25">
      <c r="B601">
        <f>INDEX(exante.Technology!$A$2:$A$4130,MATCH(E601,exante.Technology!$C$2:$C$4130,0))</f>
        <v>1020</v>
      </c>
      <c r="C601">
        <f t="shared" ref="C601:C664" si="966">+C589</f>
        <v>1078</v>
      </c>
      <c r="D601">
        <f>INDEX(Technologies!$B$7:$S$67,H601,I601)</f>
        <v>45</v>
      </c>
      <c r="E601" t="str">
        <f>INDEX(Technologies!$B$7:$B$67,H601)</f>
        <v>Stor_EF-ElecHP-050gal-2.00EF</v>
      </c>
      <c r="G601" t="str">
        <f t="shared" si="965"/>
        <v>HPMinT</v>
      </c>
      <c r="H601">
        <f t="shared" ref="H601:H664" si="967">+H589+1</f>
        <v>20</v>
      </c>
      <c r="I601">
        <f>MATCH(G601,Technologies!$B$6:$S$6,0)</f>
        <v>10</v>
      </c>
      <c r="J601">
        <v>69</v>
      </c>
    </row>
    <row r="602" spans="2:10" x14ac:dyDescent="0.25">
      <c r="B602">
        <f>INDEX(exante.Technology!$A$2:$A$4130,MATCH(E602,exante.Technology!$C$2:$C$4130,0))</f>
        <v>1020</v>
      </c>
      <c r="C602">
        <f t="shared" si="966"/>
        <v>1079</v>
      </c>
      <c r="D602">
        <f>INDEX(Technologies!$B$7:$S$67,H602,I602)</f>
        <v>115</v>
      </c>
      <c r="E602" t="str">
        <f>INDEX(Technologies!$B$7:$B$67,H602)</f>
        <v>Stor_EF-ElecHP-050gal-2.00EF</v>
      </c>
      <c r="G602" t="str">
        <f t="shared" si="965"/>
        <v>HPMaxT</v>
      </c>
      <c r="H602">
        <f t="shared" si="967"/>
        <v>20</v>
      </c>
      <c r="I602">
        <f>MATCH(G602,Technologies!$B$6:$S$6,0)</f>
        <v>11</v>
      </c>
      <c r="J602">
        <v>69</v>
      </c>
    </row>
    <row r="603" spans="2:10" x14ac:dyDescent="0.25">
      <c r="B603">
        <f>INDEX(exante.Technology!$A$2:$A$4130,MATCH(E603,exante.Technology!$C$2:$C$4130,0))</f>
        <v>1020</v>
      </c>
      <c r="C603">
        <f t="shared" si="966"/>
        <v>1080</v>
      </c>
      <c r="D603">
        <f>INDEX(Technologies!$B$7:$S$67,H603,I603)</f>
        <v>18.3</v>
      </c>
      <c r="E603" t="str">
        <f>INDEX(Technologies!$B$7:$B$67,H603)</f>
        <v>Stor_EF-ElecHP-050gal-2.00EF</v>
      </c>
      <c r="G603" t="str">
        <f t="shared" si="965"/>
        <v>HPMaxGal</v>
      </c>
      <c r="H603">
        <f t="shared" si="967"/>
        <v>20</v>
      </c>
      <c r="I603">
        <f>MATCH(G603,Technologies!$B$6:$S$6,0)</f>
        <v>12</v>
      </c>
      <c r="J603">
        <v>69</v>
      </c>
    </row>
    <row r="604" spans="2:10" x14ac:dyDescent="0.25">
      <c r="B604">
        <f>INDEX(exante.Technology!$A$2:$A$4130,MATCH(E604,exante.Technology!$C$2:$C$4130,0))</f>
        <v>1020</v>
      </c>
      <c r="C604">
        <f t="shared" si="966"/>
        <v>1074</v>
      </c>
      <c r="D604">
        <f>INDEX(Technologies!$B$7:$S$67,H604,I604)</f>
        <v>0</v>
      </c>
      <c r="E604" t="str">
        <f>INDEX(Technologies!$B$7:$B$67,H604)</f>
        <v>Stor_EF-ElecHP-050gal-2.00EF</v>
      </c>
      <c r="G604" t="str">
        <f t="shared" si="965"/>
        <v>auxW</v>
      </c>
      <c r="H604">
        <f t="shared" si="967"/>
        <v>20</v>
      </c>
      <c r="I604">
        <f>MATCH(G604,Technologies!$B$6:$S$6,0)</f>
        <v>13</v>
      </c>
      <c r="J604">
        <v>69</v>
      </c>
    </row>
    <row r="605" spans="2:10" x14ac:dyDescent="0.25">
      <c r="B605">
        <f>INDEX(exante.Technology!$A$2:$A$4130,MATCH(E605,exante.Technology!$C$2:$C$4130,0))</f>
        <v>1020</v>
      </c>
      <c r="C605">
        <f t="shared" si="966"/>
        <v>1075</v>
      </c>
      <c r="D605">
        <f>INDEX(Technologies!$B$7:$S$67,H605,I605)</f>
        <v>0</v>
      </c>
      <c r="E605" t="str">
        <f>INDEX(Technologies!$B$7:$B$67,H605)</f>
        <v>Stor_EF-ElecHP-050gal-2.00EF</v>
      </c>
      <c r="G605" t="str">
        <f t="shared" si="965"/>
        <v>auxVentW</v>
      </c>
      <c r="H605">
        <f t="shared" si="967"/>
        <v>20</v>
      </c>
      <c r="I605">
        <f>MATCH(G605,Technologies!$B$6:$S$6,0)</f>
        <v>14</v>
      </c>
      <c r="J605">
        <v>69</v>
      </c>
    </row>
    <row r="606" spans="2:10" x14ac:dyDescent="0.25">
      <c r="B606">
        <f>INDEX(exante.Technology!$A$2:$A$4130,MATCH(E606,exante.Technology!$C$2:$C$4130,0))</f>
        <v>1020</v>
      </c>
      <c r="C606">
        <f t="shared" si="966"/>
        <v>1076</v>
      </c>
      <c r="D606">
        <f>INDEX(Technologies!$B$7:$S$67,H606,I606)</f>
        <v>0</v>
      </c>
      <c r="E606" t="str">
        <f>INDEX(Technologies!$B$7:$B$67,H606)</f>
        <v>Stor_EF-ElecHP-050gal-2.00EF</v>
      </c>
      <c r="G606" t="str">
        <f t="shared" si="965"/>
        <v>pilotBTUh</v>
      </c>
      <c r="H606">
        <f t="shared" si="967"/>
        <v>20</v>
      </c>
      <c r="I606">
        <f>MATCH(G606,Technologies!$B$6:$S$6,0)</f>
        <v>15</v>
      </c>
      <c r="J606">
        <v>69</v>
      </c>
    </row>
    <row r="607" spans="2:10" x14ac:dyDescent="0.25">
      <c r="B607">
        <f>INDEX(exante.Technology!$A$2:$A$4130,MATCH(E607,exante.Technology!$C$2:$C$4130,0))</f>
        <v>1020</v>
      </c>
      <c r="C607">
        <f t="shared" si="966"/>
        <v>1077</v>
      </c>
      <c r="D607">
        <f>INDEX(Technologies!$B$7:$S$67,H607,I607)</f>
        <v>0</v>
      </c>
      <c r="E607" t="str">
        <f>INDEX(Technologies!$B$7:$B$67,H607)</f>
        <v>Stor_EF-ElecHP-050gal-2.00EF</v>
      </c>
      <c r="G607" t="str">
        <f t="shared" si="965"/>
        <v>pilotHtgEff</v>
      </c>
      <c r="H607">
        <f t="shared" si="967"/>
        <v>20</v>
      </c>
      <c r="I607">
        <f>MATCH(G607,Technologies!$B$6:$S$6,0)</f>
        <v>16</v>
      </c>
      <c r="J607">
        <v>69</v>
      </c>
    </row>
    <row r="608" spans="2:10" x14ac:dyDescent="0.25">
      <c r="B608">
        <f>INDEX(exante.Technology!$A$2:$A$4130,MATCH(E608,exante.Technology!$C$2:$C$4130,0))</f>
        <v>1021</v>
      </c>
      <c r="C608">
        <f t="shared" si="966"/>
        <v>1081</v>
      </c>
      <c r="D608">
        <f>INDEX(Technologies!$B$7:$S$67,H608,I608)</f>
        <v>50</v>
      </c>
      <c r="E608" t="str">
        <f>INDEX(Technologies!$B$7:$B$67,H608)</f>
        <v>Stor_EF-ElecHP-050gal-2.20EF</v>
      </c>
      <c r="G608" t="str">
        <f t="shared" si="965"/>
        <v>Nom_Gallons</v>
      </c>
      <c r="H608">
        <f t="shared" si="967"/>
        <v>21</v>
      </c>
      <c r="I608">
        <f>MATCH(G608,Technologies!$B$6:$S$6,0)</f>
        <v>4</v>
      </c>
      <c r="J608">
        <v>69</v>
      </c>
    </row>
    <row r="609" spans="2:10" x14ac:dyDescent="0.25">
      <c r="B609">
        <f>INDEX(exante.Technology!$A$2:$A$4130,MATCH(E609,exante.Technology!$C$2:$C$4130,0))</f>
        <v>1021</v>
      </c>
      <c r="C609">
        <f t="shared" si="966"/>
        <v>58</v>
      </c>
      <c r="D609">
        <f>INDEX(Technologies!$B$7:$S$67,H609,I609)</f>
        <v>2.2000000000000002</v>
      </c>
      <c r="E609" t="str">
        <f>INDEX(Technologies!$B$7:$B$67,H609)</f>
        <v>Stor_EF-ElecHP-050gal-2.20EF</v>
      </c>
      <c r="G609" t="str">
        <f t="shared" si="965"/>
        <v>Energy_Factor</v>
      </c>
      <c r="H609">
        <f t="shared" si="967"/>
        <v>21</v>
      </c>
      <c r="I609">
        <f>MATCH(G609,Technologies!$B$6:$S$6,0)</f>
        <v>5</v>
      </c>
      <c r="J609">
        <v>69</v>
      </c>
    </row>
    <row r="610" spans="2:10" x14ac:dyDescent="0.25">
      <c r="B610">
        <f>INDEX(exante.Technology!$A$2:$A$4130,MATCH(E610,exante.Technology!$C$2:$C$4130,0))</f>
        <v>1021</v>
      </c>
      <c r="C610">
        <f t="shared" si="966"/>
        <v>1071</v>
      </c>
      <c r="D610">
        <f>INDEX(Technologies!$B$7:$S$67,H610,I610)</f>
        <v>5</v>
      </c>
      <c r="E610" t="str">
        <f>INDEX(Technologies!$B$7:$B$67,H610)</f>
        <v>Stor_EF-ElecHP-050gal-2.20EF</v>
      </c>
      <c r="G610" t="str">
        <f t="shared" si="965"/>
        <v>BurnCap_kW</v>
      </c>
      <c r="H610">
        <f t="shared" si="967"/>
        <v>21</v>
      </c>
      <c r="I610">
        <f>MATCH(G610,Technologies!$B$6:$S$6,0)</f>
        <v>7</v>
      </c>
      <c r="J610">
        <v>69</v>
      </c>
    </row>
    <row r="611" spans="2:10" x14ac:dyDescent="0.25">
      <c r="B611">
        <f>INDEX(exante.Technology!$A$2:$A$4130,MATCH(E611,exante.Technology!$C$2:$C$4130,0))</f>
        <v>1021</v>
      </c>
      <c r="C611">
        <f t="shared" si="966"/>
        <v>1072</v>
      </c>
      <c r="D611">
        <f>INDEX(Technologies!$B$7:$S$67,H611,I611)</f>
        <v>0.98</v>
      </c>
      <c r="E611" t="str">
        <f>INDEX(Technologies!$B$7:$B$67,H611)</f>
        <v>Stor_EF-ElecHP-050gal-2.20EF</v>
      </c>
      <c r="G611" t="str">
        <f t="shared" si="965"/>
        <v>RecovEff</v>
      </c>
      <c r="H611">
        <f t="shared" si="967"/>
        <v>21</v>
      </c>
      <c r="I611">
        <f>MATCH(G611,Technologies!$B$6:$S$6,0)</f>
        <v>8</v>
      </c>
      <c r="J611">
        <v>69</v>
      </c>
    </row>
    <row r="612" spans="2:10" x14ac:dyDescent="0.25">
      <c r="B612">
        <f>INDEX(exante.Technology!$A$2:$A$4130,MATCH(E612,exante.Technology!$C$2:$C$4130,0))</f>
        <v>1021</v>
      </c>
      <c r="C612">
        <f t="shared" si="966"/>
        <v>1073</v>
      </c>
      <c r="D612">
        <f>INDEX(Technologies!$B$7:$S$67,H612,I612)</f>
        <v>4.2</v>
      </c>
      <c r="E612" t="str">
        <f>INDEX(Technologies!$B$7:$B$67,H612)</f>
        <v>Stor_EF-ElecHP-050gal-2.20EF</v>
      </c>
      <c r="G612" t="str">
        <f t="shared" si="965"/>
        <v>TankUA</v>
      </c>
      <c r="H612">
        <f t="shared" si="967"/>
        <v>21</v>
      </c>
      <c r="I612">
        <f>MATCH(G612,Technologies!$B$6:$S$6,0)</f>
        <v>9</v>
      </c>
      <c r="J612">
        <v>69</v>
      </c>
    </row>
    <row r="613" spans="2:10" x14ac:dyDescent="0.25">
      <c r="B613">
        <f>INDEX(exante.Technology!$A$2:$A$4130,MATCH(E613,exante.Technology!$C$2:$C$4130,0))</f>
        <v>1021</v>
      </c>
      <c r="C613">
        <f t="shared" si="966"/>
        <v>1078</v>
      </c>
      <c r="D613">
        <f>INDEX(Technologies!$B$7:$S$67,H613,I613)</f>
        <v>45</v>
      </c>
      <c r="E613" t="str">
        <f>INDEX(Technologies!$B$7:$B$67,H613)</f>
        <v>Stor_EF-ElecHP-050gal-2.20EF</v>
      </c>
      <c r="G613" t="str">
        <f t="shared" si="965"/>
        <v>HPMinT</v>
      </c>
      <c r="H613">
        <f t="shared" si="967"/>
        <v>21</v>
      </c>
      <c r="I613">
        <f>MATCH(G613,Technologies!$B$6:$S$6,0)</f>
        <v>10</v>
      </c>
      <c r="J613">
        <v>69</v>
      </c>
    </row>
    <row r="614" spans="2:10" x14ac:dyDescent="0.25">
      <c r="B614">
        <f>INDEX(exante.Technology!$A$2:$A$4130,MATCH(E614,exante.Technology!$C$2:$C$4130,0))</f>
        <v>1021</v>
      </c>
      <c r="C614">
        <f t="shared" si="966"/>
        <v>1079</v>
      </c>
      <c r="D614">
        <f>INDEX(Technologies!$B$7:$S$67,H614,I614)</f>
        <v>115</v>
      </c>
      <c r="E614" t="str">
        <f>INDEX(Technologies!$B$7:$B$67,H614)</f>
        <v>Stor_EF-ElecHP-050gal-2.20EF</v>
      </c>
      <c r="G614" t="str">
        <f t="shared" si="965"/>
        <v>HPMaxT</v>
      </c>
      <c r="H614">
        <f t="shared" si="967"/>
        <v>21</v>
      </c>
      <c r="I614">
        <f>MATCH(G614,Technologies!$B$6:$S$6,0)</f>
        <v>11</v>
      </c>
      <c r="J614">
        <v>69</v>
      </c>
    </row>
    <row r="615" spans="2:10" x14ac:dyDescent="0.25">
      <c r="B615">
        <f>INDEX(exante.Technology!$A$2:$A$4130,MATCH(E615,exante.Technology!$C$2:$C$4130,0))</f>
        <v>1021</v>
      </c>
      <c r="C615">
        <f t="shared" si="966"/>
        <v>1080</v>
      </c>
      <c r="D615">
        <f>INDEX(Technologies!$B$7:$S$67,H615,I615)</f>
        <v>18.3</v>
      </c>
      <c r="E615" t="str">
        <f>INDEX(Technologies!$B$7:$B$67,H615)</f>
        <v>Stor_EF-ElecHP-050gal-2.20EF</v>
      </c>
      <c r="G615" t="str">
        <f t="shared" si="965"/>
        <v>HPMaxGal</v>
      </c>
      <c r="H615">
        <f t="shared" si="967"/>
        <v>21</v>
      </c>
      <c r="I615">
        <f>MATCH(G615,Technologies!$B$6:$S$6,0)</f>
        <v>12</v>
      </c>
      <c r="J615">
        <v>69</v>
      </c>
    </row>
    <row r="616" spans="2:10" x14ac:dyDescent="0.25">
      <c r="B616">
        <f>INDEX(exante.Technology!$A$2:$A$4130,MATCH(E616,exante.Technology!$C$2:$C$4130,0))</f>
        <v>1021</v>
      </c>
      <c r="C616">
        <f t="shared" si="966"/>
        <v>1074</v>
      </c>
      <c r="D616">
        <f>INDEX(Technologies!$B$7:$S$67,H616,I616)</f>
        <v>0</v>
      </c>
      <c r="E616" t="str">
        <f>INDEX(Technologies!$B$7:$B$67,H616)</f>
        <v>Stor_EF-ElecHP-050gal-2.20EF</v>
      </c>
      <c r="G616" t="str">
        <f t="shared" ref="G616:G679" si="968">VLOOKUP(C616,$B$3:$C$17,2,FALSE)</f>
        <v>auxW</v>
      </c>
      <c r="H616">
        <f t="shared" si="967"/>
        <v>21</v>
      </c>
      <c r="I616">
        <f>MATCH(G616,Technologies!$B$6:$S$6,0)</f>
        <v>13</v>
      </c>
      <c r="J616">
        <v>69</v>
      </c>
    </row>
    <row r="617" spans="2:10" x14ac:dyDescent="0.25">
      <c r="B617">
        <f>INDEX(exante.Technology!$A$2:$A$4130,MATCH(E617,exante.Technology!$C$2:$C$4130,0))</f>
        <v>1021</v>
      </c>
      <c r="C617">
        <f t="shared" si="966"/>
        <v>1075</v>
      </c>
      <c r="D617">
        <f>INDEX(Technologies!$B$7:$S$67,H617,I617)</f>
        <v>0</v>
      </c>
      <c r="E617" t="str">
        <f>INDEX(Technologies!$B$7:$B$67,H617)</f>
        <v>Stor_EF-ElecHP-050gal-2.20EF</v>
      </c>
      <c r="G617" t="str">
        <f t="shared" si="968"/>
        <v>auxVentW</v>
      </c>
      <c r="H617">
        <f t="shared" si="967"/>
        <v>21</v>
      </c>
      <c r="I617">
        <f>MATCH(G617,Technologies!$B$6:$S$6,0)</f>
        <v>14</v>
      </c>
      <c r="J617">
        <v>69</v>
      </c>
    </row>
    <row r="618" spans="2:10" x14ac:dyDescent="0.25">
      <c r="B618">
        <f>INDEX(exante.Technology!$A$2:$A$4130,MATCH(E618,exante.Technology!$C$2:$C$4130,0))</f>
        <v>1021</v>
      </c>
      <c r="C618">
        <f t="shared" si="966"/>
        <v>1076</v>
      </c>
      <c r="D618">
        <f>INDEX(Technologies!$B$7:$S$67,H618,I618)</f>
        <v>0</v>
      </c>
      <c r="E618" t="str">
        <f>INDEX(Technologies!$B$7:$B$67,H618)</f>
        <v>Stor_EF-ElecHP-050gal-2.20EF</v>
      </c>
      <c r="G618" t="str">
        <f t="shared" si="968"/>
        <v>pilotBTUh</v>
      </c>
      <c r="H618">
        <f t="shared" si="967"/>
        <v>21</v>
      </c>
      <c r="I618">
        <f>MATCH(G618,Technologies!$B$6:$S$6,0)</f>
        <v>15</v>
      </c>
      <c r="J618">
        <v>69</v>
      </c>
    </row>
    <row r="619" spans="2:10" x14ac:dyDescent="0.25">
      <c r="B619">
        <f>INDEX(exante.Technology!$A$2:$A$4130,MATCH(E619,exante.Technology!$C$2:$C$4130,0))</f>
        <v>1021</v>
      </c>
      <c r="C619">
        <f t="shared" si="966"/>
        <v>1077</v>
      </c>
      <c r="D619">
        <f>INDEX(Technologies!$B$7:$S$67,H619,I619)</f>
        <v>0</v>
      </c>
      <c r="E619" t="str">
        <f>INDEX(Technologies!$B$7:$B$67,H619)</f>
        <v>Stor_EF-ElecHP-050gal-2.20EF</v>
      </c>
      <c r="G619" t="str">
        <f t="shared" si="968"/>
        <v>pilotHtgEff</v>
      </c>
      <c r="H619">
        <f t="shared" si="967"/>
        <v>21</v>
      </c>
      <c r="I619">
        <f>MATCH(G619,Technologies!$B$6:$S$6,0)</f>
        <v>16</v>
      </c>
      <c r="J619">
        <v>69</v>
      </c>
    </row>
    <row r="620" spans="2:10" x14ac:dyDescent="0.25">
      <c r="B620">
        <f>INDEX(exante.Technology!$A$2:$A$4130,MATCH(E620,exante.Technology!$C$2:$C$4130,0))</f>
        <v>1022</v>
      </c>
      <c r="C620">
        <f t="shared" si="966"/>
        <v>1081</v>
      </c>
      <c r="D620">
        <f>INDEX(Technologies!$B$7:$S$67,H620,I620)</f>
        <v>50</v>
      </c>
      <c r="E620" t="str">
        <f>INDEX(Technologies!$B$7:$B$67,H620)</f>
        <v>Stor_EF-ElecHP-050gal-2.40EF</v>
      </c>
      <c r="G620" t="str">
        <f t="shared" si="968"/>
        <v>Nom_Gallons</v>
      </c>
      <c r="H620">
        <f t="shared" si="967"/>
        <v>22</v>
      </c>
      <c r="I620">
        <f>MATCH(G620,Technologies!$B$6:$S$6,0)</f>
        <v>4</v>
      </c>
      <c r="J620">
        <v>69</v>
      </c>
    </row>
    <row r="621" spans="2:10" x14ac:dyDescent="0.25">
      <c r="B621">
        <f>INDEX(exante.Technology!$A$2:$A$4130,MATCH(E621,exante.Technology!$C$2:$C$4130,0))</f>
        <v>1022</v>
      </c>
      <c r="C621">
        <f t="shared" si="966"/>
        <v>58</v>
      </c>
      <c r="D621">
        <f>INDEX(Technologies!$B$7:$S$67,H621,I621)</f>
        <v>2.4</v>
      </c>
      <c r="E621" t="str">
        <f>INDEX(Technologies!$B$7:$B$67,H621)</f>
        <v>Stor_EF-ElecHP-050gal-2.40EF</v>
      </c>
      <c r="G621" t="str">
        <f t="shared" si="968"/>
        <v>Energy_Factor</v>
      </c>
      <c r="H621">
        <f t="shared" si="967"/>
        <v>22</v>
      </c>
      <c r="I621">
        <f>MATCH(G621,Technologies!$B$6:$S$6,0)</f>
        <v>5</v>
      </c>
      <c r="J621">
        <v>69</v>
      </c>
    </row>
    <row r="622" spans="2:10" x14ac:dyDescent="0.25">
      <c r="B622">
        <f>INDEX(exante.Technology!$A$2:$A$4130,MATCH(E622,exante.Technology!$C$2:$C$4130,0))</f>
        <v>1022</v>
      </c>
      <c r="C622">
        <f t="shared" si="966"/>
        <v>1071</v>
      </c>
      <c r="D622">
        <f>INDEX(Technologies!$B$7:$S$67,H622,I622)</f>
        <v>5</v>
      </c>
      <c r="E622" t="str">
        <f>INDEX(Technologies!$B$7:$B$67,H622)</f>
        <v>Stor_EF-ElecHP-050gal-2.40EF</v>
      </c>
      <c r="G622" t="str">
        <f t="shared" si="968"/>
        <v>BurnCap_kW</v>
      </c>
      <c r="H622">
        <f t="shared" si="967"/>
        <v>22</v>
      </c>
      <c r="I622">
        <f>MATCH(G622,Technologies!$B$6:$S$6,0)</f>
        <v>7</v>
      </c>
      <c r="J622">
        <v>69</v>
      </c>
    </row>
    <row r="623" spans="2:10" x14ac:dyDescent="0.25">
      <c r="B623">
        <f>INDEX(exante.Technology!$A$2:$A$4130,MATCH(E623,exante.Technology!$C$2:$C$4130,0))</f>
        <v>1022</v>
      </c>
      <c r="C623">
        <f t="shared" si="966"/>
        <v>1072</v>
      </c>
      <c r="D623">
        <f>INDEX(Technologies!$B$7:$S$67,H623,I623)</f>
        <v>0.98</v>
      </c>
      <c r="E623" t="str">
        <f>INDEX(Technologies!$B$7:$B$67,H623)</f>
        <v>Stor_EF-ElecHP-050gal-2.40EF</v>
      </c>
      <c r="G623" t="str">
        <f t="shared" si="968"/>
        <v>RecovEff</v>
      </c>
      <c r="H623">
        <f t="shared" si="967"/>
        <v>22</v>
      </c>
      <c r="I623">
        <f>MATCH(G623,Technologies!$B$6:$S$6,0)</f>
        <v>8</v>
      </c>
      <c r="J623">
        <v>69</v>
      </c>
    </row>
    <row r="624" spans="2:10" x14ac:dyDescent="0.25">
      <c r="B624">
        <f>INDEX(exante.Technology!$A$2:$A$4130,MATCH(E624,exante.Technology!$C$2:$C$4130,0))</f>
        <v>1022</v>
      </c>
      <c r="C624">
        <f t="shared" si="966"/>
        <v>1073</v>
      </c>
      <c r="D624">
        <f>INDEX(Technologies!$B$7:$S$67,H624,I624)</f>
        <v>4.2</v>
      </c>
      <c r="E624" t="str">
        <f>INDEX(Technologies!$B$7:$B$67,H624)</f>
        <v>Stor_EF-ElecHP-050gal-2.40EF</v>
      </c>
      <c r="G624" t="str">
        <f t="shared" si="968"/>
        <v>TankUA</v>
      </c>
      <c r="H624">
        <f t="shared" si="967"/>
        <v>22</v>
      </c>
      <c r="I624">
        <f>MATCH(G624,Technologies!$B$6:$S$6,0)</f>
        <v>9</v>
      </c>
      <c r="J624">
        <v>69</v>
      </c>
    </row>
    <row r="625" spans="2:10" x14ac:dyDescent="0.25">
      <c r="B625">
        <f>INDEX(exante.Technology!$A$2:$A$4130,MATCH(E625,exante.Technology!$C$2:$C$4130,0))</f>
        <v>1022</v>
      </c>
      <c r="C625">
        <f t="shared" si="966"/>
        <v>1078</v>
      </c>
      <c r="D625">
        <f>INDEX(Technologies!$B$7:$S$67,H625,I625)</f>
        <v>45</v>
      </c>
      <c r="E625" t="str">
        <f>INDEX(Technologies!$B$7:$B$67,H625)</f>
        <v>Stor_EF-ElecHP-050gal-2.40EF</v>
      </c>
      <c r="G625" t="str">
        <f t="shared" si="968"/>
        <v>HPMinT</v>
      </c>
      <c r="H625">
        <f t="shared" si="967"/>
        <v>22</v>
      </c>
      <c r="I625">
        <f>MATCH(G625,Technologies!$B$6:$S$6,0)</f>
        <v>10</v>
      </c>
      <c r="J625">
        <v>69</v>
      </c>
    </row>
    <row r="626" spans="2:10" x14ac:dyDescent="0.25">
      <c r="B626">
        <f>INDEX(exante.Technology!$A$2:$A$4130,MATCH(E626,exante.Technology!$C$2:$C$4130,0))</f>
        <v>1022</v>
      </c>
      <c r="C626">
        <f t="shared" si="966"/>
        <v>1079</v>
      </c>
      <c r="D626">
        <f>INDEX(Technologies!$B$7:$S$67,H626,I626)</f>
        <v>115</v>
      </c>
      <c r="E626" t="str">
        <f>INDEX(Technologies!$B$7:$B$67,H626)</f>
        <v>Stor_EF-ElecHP-050gal-2.40EF</v>
      </c>
      <c r="G626" t="str">
        <f t="shared" si="968"/>
        <v>HPMaxT</v>
      </c>
      <c r="H626">
        <f t="shared" si="967"/>
        <v>22</v>
      </c>
      <c r="I626">
        <f>MATCH(G626,Technologies!$B$6:$S$6,0)</f>
        <v>11</v>
      </c>
      <c r="J626">
        <v>69</v>
      </c>
    </row>
    <row r="627" spans="2:10" x14ac:dyDescent="0.25">
      <c r="B627">
        <f>INDEX(exante.Technology!$A$2:$A$4130,MATCH(E627,exante.Technology!$C$2:$C$4130,0))</f>
        <v>1022</v>
      </c>
      <c r="C627">
        <f t="shared" si="966"/>
        <v>1080</v>
      </c>
      <c r="D627">
        <f>INDEX(Technologies!$B$7:$S$67,H627,I627)</f>
        <v>18.3</v>
      </c>
      <c r="E627" t="str">
        <f>INDEX(Technologies!$B$7:$B$67,H627)</f>
        <v>Stor_EF-ElecHP-050gal-2.40EF</v>
      </c>
      <c r="G627" t="str">
        <f t="shared" si="968"/>
        <v>HPMaxGal</v>
      </c>
      <c r="H627">
        <f t="shared" si="967"/>
        <v>22</v>
      </c>
      <c r="I627">
        <f>MATCH(G627,Technologies!$B$6:$S$6,0)</f>
        <v>12</v>
      </c>
      <c r="J627">
        <v>69</v>
      </c>
    </row>
    <row r="628" spans="2:10" x14ac:dyDescent="0.25">
      <c r="B628">
        <f>INDEX(exante.Technology!$A$2:$A$4130,MATCH(E628,exante.Technology!$C$2:$C$4130,0))</f>
        <v>1022</v>
      </c>
      <c r="C628">
        <f t="shared" si="966"/>
        <v>1074</v>
      </c>
      <c r="D628">
        <f>INDEX(Technologies!$B$7:$S$67,H628,I628)</f>
        <v>0</v>
      </c>
      <c r="E628" t="str">
        <f>INDEX(Technologies!$B$7:$B$67,H628)</f>
        <v>Stor_EF-ElecHP-050gal-2.40EF</v>
      </c>
      <c r="G628" t="str">
        <f t="shared" si="968"/>
        <v>auxW</v>
      </c>
      <c r="H628">
        <f t="shared" si="967"/>
        <v>22</v>
      </c>
      <c r="I628">
        <f>MATCH(G628,Technologies!$B$6:$S$6,0)</f>
        <v>13</v>
      </c>
      <c r="J628">
        <v>69</v>
      </c>
    </row>
    <row r="629" spans="2:10" x14ac:dyDescent="0.25">
      <c r="B629">
        <f>INDEX(exante.Technology!$A$2:$A$4130,MATCH(E629,exante.Technology!$C$2:$C$4130,0))</f>
        <v>1022</v>
      </c>
      <c r="C629">
        <f t="shared" si="966"/>
        <v>1075</v>
      </c>
      <c r="D629">
        <f>INDEX(Technologies!$B$7:$S$67,H629,I629)</f>
        <v>0</v>
      </c>
      <c r="E629" t="str">
        <f>INDEX(Technologies!$B$7:$B$67,H629)</f>
        <v>Stor_EF-ElecHP-050gal-2.40EF</v>
      </c>
      <c r="G629" t="str">
        <f t="shared" si="968"/>
        <v>auxVentW</v>
      </c>
      <c r="H629">
        <f t="shared" si="967"/>
        <v>22</v>
      </c>
      <c r="I629">
        <f>MATCH(G629,Technologies!$B$6:$S$6,0)</f>
        <v>14</v>
      </c>
      <c r="J629">
        <v>69</v>
      </c>
    </row>
    <row r="630" spans="2:10" x14ac:dyDescent="0.25">
      <c r="B630">
        <f>INDEX(exante.Technology!$A$2:$A$4130,MATCH(E630,exante.Technology!$C$2:$C$4130,0))</f>
        <v>1022</v>
      </c>
      <c r="C630">
        <f t="shared" si="966"/>
        <v>1076</v>
      </c>
      <c r="D630">
        <f>INDEX(Technologies!$B$7:$S$67,H630,I630)</f>
        <v>0</v>
      </c>
      <c r="E630" t="str">
        <f>INDEX(Technologies!$B$7:$B$67,H630)</f>
        <v>Stor_EF-ElecHP-050gal-2.40EF</v>
      </c>
      <c r="G630" t="str">
        <f t="shared" si="968"/>
        <v>pilotBTUh</v>
      </c>
      <c r="H630">
        <f t="shared" si="967"/>
        <v>22</v>
      </c>
      <c r="I630">
        <f>MATCH(G630,Technologies!$B$6:$S$6,0)</f>
        <v>15</v>
      </c>
      <c r="J630">
        <v>69</v>
      </c>
    </row>
    <row r="631" spans="2:10" x14ac:dyDescent="0.25">
      <c r="B631">
        <f>INDEX(exante.Technology!$A$2:$A$4130,MATCH(E631,exante.Technology!$C$2:$C$4130,0))</f>
        <v>1022</v>
      </c>
      <c r="C631">
        <f t="shared" si="966"/>
        <v>1077</v>
      </c>
      <c r="D631">
        <f>INDEX(Technologies!$B$7:$S$67,H631,I631)</f>
        <v>0</v>
      </c>
      <c r="E631" t="str">
        <f>INDEX(Technologies!$B$7:$B$67,H631)</f>
        <v>Stor_EF-ElecHP-050gal-2.40EF</v>
      </c>
      <c r="G631" t="str">
        <f t="shared" si="968"/>
        <v>pilotHtgEff</v>
      </c>
      <c r="H631">
        <f t="shared" si="967"/>
        <v>22</v>
      </c>
      <c r="I631">
        <f>MATCH(G631,Technologies!$B$6:$S$6,0)</f>
        <v>16</v>
      </c>
      <c r="J631">
        <v>69</v>
      </c>
    </row>
    <row r="632" spans="2:10" x14ac:dyDescent="0.25">
      <c r="B632">
        <f>INDEX(exante.Technology!$A$2:$A$4130,MATCH(E632,exante.Technology!$C$2:$C$4130,0))</f>
        <v>1023</v>
      </c>
      <c r="C632">
        <f t="shared" si="966"/>
        <v>1081</v>
      </c>
      <c r="D632">
        <f>INDEX(Technologies!$B$7:$S$67,H632,I632)</f>
        <v>60</v>
      </c>
      <c r="E632" t="str">
        <f>INDEX(Technologies!$B$7:$B$67,H632)</f>
        <v>Stor_EF-ElecHP-060gal-1.98EF</v>
      </c>
      <c r="G632" t="str">
        <f t="shared" si="968"/>
        <v>Nom_Gallons</v>
      </c>
      <c r="H632">
        <f t="shared" si="967"/>
        <v>23</v>
      </c>
      <c r="I632">
        <f>MATCH(G632,Technologies!$B$6:$S$6,0)</f>
        <v>4</v>
      </c>
      <c r="J632">
        <v>69</v>
      </c>
    </row>
    <row r="633" spans="2:10" x14ac:dyDescent="0.25">
      <c r="B633">
        <f>INDEX(exante.Technology!$A$2:$A$4130,MATCH(E633,exante.Technology!$C$2:$C$4130,0))</f>
        <v>1023</v>
      </c>
      <c r="C633">
        <f t="shared" si="966"/>
        <v>58</v>
      </c>
      <c r="D633">
        <f>INDEX(Technologies!$B$7:$S$67,H633,I633)</f>
        <v>1.98</v>
      </c>
      <c r="E633" t="str">
        <f>INDEX(Technologies!$B$7:$B$67,H633)</f>
        <v>Stor_EF-ElecHP-060gal-1.98EF</v>
      </c>
      <c r="G633" t="str">
        <f t="shared" si="968"/>
        <v>Energy_Factor</v>
      </c>
      <c r="H633">
        <f t="shared" si="967"/>
        <v>23</v>
      </c>
      <c r="I633">
        <f>MATCH(G633,Technologies!$B$6:$S$6,0)</f>
        <v>5</v>
      </c>
      <c r="J633">
        <v>69</v>
      </c>
    </row>
    <row r="634" spans="2:10" x14ac:dyDescent="0.25">
      <c r="B634">
        <f>INDEX(exante.Technology!$A$2:$A$4130,MATCH(E634,exante.Technology!$C$2:$C$4130,0))</f>
        <v>1023</v>
      </c>
      <c r="C634">
        <f t="shared" si="966"/>
        <v>1071</v>
      </c>
      <c r="D634">
        <f>INDEX(Technologies!$B$7:$S$67,H634,I634)</f>
        <v>5.5</v>
      </c>
      <c r="E634" t="str">
        <f>INDEX(Technologies!$B$7:$B$67,H634)</f>
        <v>Stor_EF-ElecHP-060gal-1.98EF</v>
      </c>
      <c r="G634" t="str">
        <f t="shared" si="968"/>
        <v>BurnCap_kW</v>
      </c>
      <c r="H634">
        <f t="shared" si="967"/>
        <v>23</v>
      </c>
      <c r="I634">
        <f>MATCH(G634,Technologies!$B$6:$S$6,0)</f>
        <v>7</v>
      </c>
      <c r="J634">
        <v>69</v>
      </c>
    </row>
    <row r="635" spans="2:10" x14ac:dyDescent="0.25">
      <c r="B635">
        <f>INDEX(exante.Technology!$A$2:$A$4130,MATCH(E635,exante.Technology!$C$2:$C$4130,0))</f>
        <v>1023</v>
      </c>
      <c r="C635">
        <f t="shared" si="966"/>
        <v>1072</v>
      </c>
      <c r="D635">
        <f>INDEX(Technologies!$B$7:$S$67,H635,I635)</f>
        <v>0.98</v>
      </c>
      <c r="E635" t="str">
        <f>INDEX(Technologies!$B$7:$B$67,H635)</f>
        <v>Stor_EF-ElecHP-060gal-1.98EF</v>
      </c>
      <c r="G635" t="str">
        <f t="shared" si="968"/>
        <v>RecovEff</v>
      </c>
      <c r="H635">
        <f t="shared" si="967"/>
        <v>23</v>
      </c>
      <c r="I635">
        <f>MATCH(G635,Technologies!$B$6:$S$6,0)</f>
        <v>8</v>
      </c>
      <c r="J635">
        <v>69</v>
      </c>
    </row>
    <row r="636" spans="2:10" x14ac:dyDescent="0.25">
      <c r="B636">
        <f>INDEX(exante.Technology!$A$2:$A$4130,MATCH(E636,exante.Technology!$C$2:$C$4130,0))</f>
        <v>1023</v>
      </c>
      <c r="C636">
        <f t="shared" si="966"/>
        <v>1073</v>
      </c>
      <c r="D636">
        <f>INDEX(Technologies!$B$7:$S$67,H636,I636)</f>
        <v>4.2</v>
      </c>
      <c r="E636" t="str">
        <f>INDEX(Technologies!$B$7:$B$67,H636)</f>
        <v>Stor_EF-ElecHP-060gal-1.98EF</v>
      </c>
      <c r="G636" t="str">
        <f t="shared" si="968"/>
        <v>TankUA</v>
      </c>
      <c r="H636">
        <f t="shared" si="967"/>
        <v>23</v>
      </c>
      <c r="I636">
        <f>MATCH(G636,Technologies!$B$6:$S$6,0)</f>
        <v>9</v>
      </c>
      <c r="J636">
        <v>69</v>
      </c>
    </row>
    <row r="637" spans="2:10" x14ac:dyDescent="0.25">
      <c r="B637">
        <f>INDEX(exante.Technology!$A$2:$A$4130,MATCH(E637,exante.Technology!$C$2:$C$4130,0))</f>
        <v>1023</v>
      </c>
      <c r="C637">
        <f t="shared" si="966"/>
        <v>1078</v>
      </c>
      <c r="D637">
        <f>INDEX(Technologies!$B$7:$S$67,H637,I637)</f>
        <v>45</v>
      </c>
      <c r="E637" t="str">
        <f>INDEX(Technologies!$B$7:$B$67,H637)</f>
        <v>Stor_EF-ElecHP-060gal-1.98EF</v>
      </c>
      <c r="G637" t="str">
        <f t="shared" si="968"/>
        <v>HPMinT</v>
      </c>
      <c r="H637">
        <f t="shared" si="967"/>
        <v>23</v>
      </c>
      <c r="I637">
        <f>MATCH(G637,Technologies!$B$6:$S$6,0)</f>
        <v>10</v>
      </c>
      <c r="J637">
        <v>69</v>
      </c>
    </row>
    <row r="638" spans="2:10" x14ac:dyDescent="0.25">
      <c r="B638">
        <f>INDEX(exante.Technology!$A$2:$A$4130,MATCH(E638,exante.Technology!$C$2:$C$4130,0))</f>
        <v>1023</v>
      </c>
      <c r="C638">
        <f t="shared" si="966"/>
        <v>1079</v>
      </c>
      <c r="D638">
        <f>INDEX(Technologies!$B$7:$S$67,H638,I638)</f>
        <v>115</v>
      </c>
      <c r="E638" t="str">
        <f>INDEX(Technologies!$B$7:$B$67,H638)</f>
        <v>Stor_EF-ElecHP-060gal-1.98EF</v>
      </c>
      <c r="G638" t="str">
        <f t="shared" si="968"/>
        <v>HPMaxT</v>
      </c>
      <c r="H638">
        <f t="shared" si="967"/>
        <v>23</v>
      </c>
      <c r="I638">
        <f>MATCH(G638,Technologies!$B$6:$S$6,0)</f>
        <v>11</v>
      </c>
      <c r="J638">
        <v>69</v>
      </c>
    </row>
    <row r="639" spans="2:10" x14ac:dyDescent="0.25">
      <c r="B639">
        <f>INDEX(exante.Technology!$A$2:$A$4130,MATCH(E639,exante.Technology!$C$2:$C$4130,0))</f>
        <v>1023</v>
      </c>
      <c r="C639">
        <f t="shared" si="966"/>
        <v>1080</v>
      </c>
      <c r="D639">
        <f>INDEX(Technologies!$B$7:$S$67,H639,I639)</f>
        <v>20</v>
      </c>
      <c r="E639" t="str">
        <f>INDEX(Technologies!$B$7:$B$67,H639)</f>
        <v>Stor_EF-ElecHP-060gal-1.98EF</v>
      </c>
      <c r="G639" t="str">
        <f t="shared" si="968"/>
        <v>HPMaxGal</v>
      </c>
      <c r="H639">
        <f t="shared" si="967"/>
        <v>23</v>
      </c>
      <c r="I639">
        <f>MATCH(G639,Technologies!$B$6:$S$6,0)</f>
        <v>12</v>
      </c>
      <c r="J639">
        <v>69</v>
      </c>
    </row>
    <row r="640" spans="2:10" x14ac:dyDescent="0.25">
      <c r="B640">
        <f>INDEX(exante.Technology!$A$2:$A$4130,MATCH(E640,exante.Technology!$C$2:$C$4130,0))</f>
        <v>1023</v>
      </c>
      <c r="C640">
        <f t="shared" si="966"/>
        <v>1074</v>
      </c>
      <c r="D640">
        <f>INDEX(Technologies!$B$7:$S$67,H640,I640)</f>
        <v>0</v>
      </c>
      <c r="E640" t="str">
        <f>INDEX(Technologies!$B$7:$B$67,H640)</f>
        <v>Stor_EF-ElecHP-060gal-1.98EF</v>
      </c>
      <c r="G640" t="str">
        <f t="shared" si="968"/>
        <v>auxW</v>
      </c>
      <c r="H640">
        <f t="shared" si="967"/>
        <v>23</v>
      </c>
      <c r="I640">
        <f>MATCH(G640,Technologies!$B$6:$S$6,0)</f>
        <v>13</v>
      </c>
      <c r="J640">
        <v>69</v>
      </c>
    </row>
    <row r="641" spans="2:10" x14ac:dyDescent="0.25">
      <c r="B641">
        <f>INDEX(exante.Technology!$A$2:$A$4130,MATCH(E641,exante.Technology!$C$2:$C$4130,0))</f>
        <v>1023</v>
      </c>
      <c r="C641">
        <f t="shared" si="966"/>
        <v>1075</v>
      </c>
      <c r="D641">
        <f>INDEX(Technologies!$B$7:$S$67,H641,I641)</f>
        <v>0</v>
      </c>
      <c r="E641" t="str">
        <f>INDEX(Technologies!$B$7:$B$67,H641)</f>
        <v>Stor_EF-ElecHP-060gal-1.98EF</v>
      </c>
      <c r="G641" t="str">
        <f t="shared" si="968"/>
        <v>auxVentW</v>
      </c>
      <c r="H641">
        <f t="shared" si="967"/>
        <v>23</v>
      </c>
      <c r="I641">
        <f>MATCH(G641,Technologies!$B$6:$S$6,0)</f>
        <v>14</v>
      </c>
      <c r="J641">
        <v>69</v>
      </c>
    </row>
    <row r="642" spans="2:10" x14ac:dyDescent="0.25">
      <c r="B642">
        <f>INDEX(exante.Technology!$A$2:$A$4130,MATCH(E642,exante.Technology!$C$2:$C$4130,0))</f>
        <v>1023</v>
      </c>
      <c r="C642">
        <f t="shared" si="966"/>
        <v>1076</v>
      </c>
      <c r="D642">
        <f>INDEX(Technologies!$B$7:$S$67,H642,I642)</f>
        <v>0</v>
      </c>
      <c r="E642" t="str">
        <f>INDEX(Technologies!$B$7:$B$67,H642)</f>
        <v>Stor_EF-ElecHP-060gal-1.98EF</v>
      </c>
      <c r="G642" t="str">
        <f t="shared" si="968"/>
        <v>pilotBTUh</v>
      </c>
      <c r="H642">
        <f t="shared" si="967"/>
        <v>23</v>
      </c>
      <c r="I642">
        <f>MATCH(G642,Technologies!$B$6:$S$6,0)</f>
        <v>15</v>
      </c>
      <c r="J642">
        <v>69</v>
      </c>
    </row>
    <row r="643" spans="2:10" x14ac:dyDescent="0.25">
      <c r="B643">
        <f>INDEX(exante.Technology!$A$2:$A$4130,MATCH(E643,exante.Technology!$C$2:$C$4130,0))</f>
        <v>1023</v>
      </c>
      <c r="C643">
        <f t="shared" si="966"/>
        <v>1077</v>
      </c>
      <c r="D643">
        <f>INDEX(Technologies!$B$7:$S$67,H643,I643)</f>
        <v>0</v>
      </c>
      <c r="E643" t="str">
        <f>INDEX(Technologies!$B$7:$B$67,H643)</f>
        <v>Stor_EF-ElecHP-060gal-1.98EF</v>
      </c>
      <c r="G643" t="str">
        <f t="shared" si="968"/>
        <v>pilotHtgEff</v>
      </c>
      <c r="H643">
        <f t="shared" si="967"/>
        <v>23</v>
      </c>
      <c r="I643">
        <f>MATCH(G643,Technologies!$B$6:$S$6,0)</f>
        <v>16</v>
      </c>
      <c r="J643">
        <v>69</v>
      </c>
    </row>
    <row r="644" spans="2:10" x14ac:dyDescent="0.25">
      <c r="B644">
        <f>INDEX(exante.Technology!$A$2:$A$4130,MATCH(E644,exante.Technology!$C$2:$C$4130,0))</f>
        <v>1024</v>
      </c>
      <c r="C644">
        <f t="shared" si="966"/>
        <v>1081</v>
      </c>
      <c r="D644">
        <f>INDEX(Technologies!$B$7:$S$67,H644,I644)</f>
        <v>60</v>
      </c>
      <c r="E644" t="str">
        <f>INDEX(Technologies!$B$7:$B$67,H644)</f>
        <v>Stor_EF-ElecHP-060gal-2.20EF</v>
      </c>
      <c r="G644" t="str">
        <f t="shared" si="968"/>
        <v>Nom_Gallons</v>
      </c>
      <c r="H644">
        <f t="shared" si="967"/>
        <v>24</v>
      </c>
      <c r="I644">
        <f>MATCH(G644,Technologies!$B$6:$S$6,0)</f>
        <v>4</v>
      </c>
      <c r="J644">
        <v>69</v>
      </c>
    </row>
    <row r="645" spans="2:10" x14ac:dyDescent="0.25">
      <c r="B645">
        <f>INDEX(exante.Technology!$A$2:$A$4130,MATCH(E645,exante.Technology!$C$2:$C$4130,0))</f>
        <v>1024</v>
      </c>
      <c r="C645">
        <f t="shared" si="966"/>
        <v>58</v>
      </c>
      <c r="D645">
        <f>INDEX(Technologies!$B$7:$S$67,H645,I645)</f>
        <v>2.2000000000000002</v>
      </c>
      <c r="E645" t="str">
        <f>INDEX(Technologies!$B$7:$B$67,H645)</f>
        <v>Stor_EF-ElecHP-060gal-2.20EF</v>
      </c>
      <c r="G645" t="str">
        <f t="shared" si="968"/>
        <v>Energy_Factor</v>
      </c>
      <c r="H645">
        <f t="shared" si="967"/>
        <v>24</v>
      </c>
      <c r="I645">
        <f>MATCH(G645,Technologies!$B$6:$S$6,0)</f>
        <v>5</v>
      </c>
      <c r="J645">
        <v>69</v>
      </c>
    </row>
    <row r="646" spans="2:10" x14ac:dyDescent="0.25">
      <c r="B646">
        <f>INDEX(exante.Technology!$A$2:$A$4130,MATCH(E646,exante.Technology!$C$2:$C$4130,0))</f>
        <v>1024</v>
      </c>
      <c r="C646">
        <f t="shared" si="966"/>
        <v>1071</v>
      </c>
      <c r="D646">
        <f>INDEX(Technologies!$B$7:$S$67,H646,I646)</f>
        <v>5.5</v>
      </c>
      <c r="E646" t="str">
        <f>INDEX(Technologies!$B$7:$B$67,H646)</f>
        <v>Stor_EF-ElecHP-060gal-2.20EF</v>
      </c>
      <c r="G646" t="str">
        <f t="shared" si="968"/>
        <v>BurnCap_kW</v>
      </c>
      <c r="H646">
        <f t="shared" si="967"/>
        <v>24</v>
      </c>
      <c r="I646">
        <f>MATCH(G646,Technologies!$B$6:$S$6,0)</f>
        <v>7</v>
      </c>
      <c r="J646">
        <v>69</v>
      </c>
    </row>
    <row r="647" spans="2:10" x14ac:dyDescent="0.25">
      <c r="B647">
        <f>INDEX(exante.Technology!$A$2:$A$4130,MATCH(E647,exante.Technology!$C$2:$C$4130,0))</f>
        <v>1024</v>
      </c>
      <c r="C647">
        <f t="shared" si="966"/>
        <v>1072</v>
      </c>
      <c r="D647">
        <f>INDEX(Technologies!$B$7:$S$67,H647,I647)</f>
        <v>0.98</v>
      </c>
      <c r="E647" t="str">
        <f>INDEX(Technologies!$B$7:$B$67,H647)</f>
        <v>Stor_EF-ElecHP-060gal-2.20EF</v>
      </c>
      <c r="G647" t="str">
        <f t="shared" si="968"/>
        <v>RecovEff</v>
      </c>
      <c r="H647">
        <f t="shared" si="967"/>
        <v>24</v>
      </c>
      <c r="I647">
        <f>MATCH(G647,Technologies!$B$6:$S$6,0)</f>
        <v>8</v>
      </c>
      <c r="J647">
        <v>69</v>
      </c>
    </row>
    <row r="648" spans="2:10" x14ac:dyDescent="0.25">
      <c r="B648">
        <f>INDEX(exante.Technology!$A$2:$A$4130,MATCH(E648,exante.Technology!$C$2:$C$4130,0))</f>
        <v>1024</v>
      </c>
      <c r="C648">
        <f t="shared" si="966"/>
        <v>1073</v>
      </c>
      <c r="D648">
        <f>INDEX(Technologies!$B$7:$S$67,H648,I648)</f>
        <v>4.2</v>
      </c>
      <c r="E648" t="str">
        <f>INDEX(Technologies!$B$7:$B$67,H648)</f>
        <v>Stor_EF-ElecHP-060gal-2.20EF</v>
      </c>
      <c r="G648" t="str">
        <f t="shared" si="968"/>
        <v>TankUA</v>
      </c>
      <c r="H648">
        <f t="shared" si="967"/>
        <v>24</v>
      </c>
      <c r="I648">
        <f>MATCH(G648,Technologies!$B$6:$S$6,0)</f>
        <v>9</v>
      </c>
      <c r="J648">
        <v>69</v>
      </c>
    </row>
    <row r="649" spans="2:10" x14ac:dyDescent="0.25">
      <c r="B649">
        <f>INDEX(exante.Technology!$A$2:$A$4130,MATCH(E649,exante.Technology!$C$2:$C$4130,0))</f>
        <v>1024</v>
      </c>
      <c r="C649">
        <f t="shared" si="966"/>
        <v>1078</v>
      </c>
      <c r="D649">
        <f>INDEX(Technologies!$B$7:$S$67,H649,I649)</f>
        <v>45</v>
      </c>
      <c r="E649" t="str">
        <f>INDEX(Technologies!$B$7:$B$67,H649)</f>
        <v>Stor_EF-ElecHP-060gal-2.20EF</v>
      </c>
      <c r="G649" t="str">
        <f t="shared" si="968"/>
        <v>HPMinT</v>
      </c>
      <c r="H649">
        <f t="shared" si="967"/>
        <v>24</v>
      </c>
      <c r="I649">
        <f>MATCH(G649,Technologies!$B$6:$S$6,0)</f>
        <v>10</v>
      </c>
      <c r="J649">
        <v>69</v>
      </c>
    </row>
    <row r="650" spans="2:10" x14ac:dyDescent="0.25">
      <c r="B650">
        <f>INDEX(exante.Technology!$A$2:$A$4130,MATCH(E650,exante.Technology!$C$2:$C$4130,0))</f>
        <v>1024</v>
      </c>
      <c r="C650">
        <f t="shared" si="966"/>
        <v>1079</v>
      </c>
      <c r="D650">
        <f>INDEX(Technologies!$B$7:$S$67,H650,I650)</f>
        <v>115</v>
      </c>
      <c r="E650" t="str">
        <f>INDEX(Technologies!$B$7:$B$67,H650)</f>
        <v>Stor_EF-ElecHP-060gal-2.20EF</v>
      </c>
      <c r="G650" t="str">
        <f t="shared" si="968"/>
        <v>HPMaxT</v>
      </c>
      <c r="H650">
        <f t="shared" si="967"/>
        <v>24</v>
      </c>
      <c r="I650">
        <f>MATCH(G650,Technologies!$B$6:$S$6,0)</f>
        <v>11</v>
      </c>
      <c r="J650">
        <v>69</v>
      </c>
    </row>
    <row r="651" spans="2:10" x14ac:dyDescent="0.25">
      <c r="B651">
        <f>INDEX(exante.Technology!$A$2:$A$4130,MATCH(E651,exante.Technology!$C$2:$C$4130,0))</f>
        <v>1024</v>
      </c>
      <c r="C651">
        <f t="shared" si="966"/>
        <v>1080</v>
      </c>
      <c r="D651">
        <f>INDEX(Technologies!$B$7:$S$67,H651,I651)</f>
        <v>20</v>
      </c>
      <c r="E651" t="str">
        <f>INDEX(Technologies!$B$7:$B$67,H651)</f>
        <v>Stor_EF-ElecHP-060gal-2.20EF</v>
      </c>
      <c r="G651" t="str">
        <f t="shared" si="968"/>
        <v>HPMaxGal</v>
      </c>
      <c r="H651">
        <f t="shared" si="967"/>
        <v>24</v>
      </c>
      <c r="I651">
        <f>MATCH(G651,Technologies!$B$6:$S$6,0)</f>
        <v>12</v>
      </c>
      <c r="J651">
        <v>69</v>
      </c>
    </row>
    <row r="652" spans="2:10" x14ac:dyDescent="0.25">
      <c r="B652">
        <f>INDEX(exante.Technology!$A$2:$A$4130,MATCH(E652,exante.Technology!$C$2:$C$4130,0))</f>
        <v>1024</v>
      </c>
      <c r="C652">
        <f t="shared" si="966"/>
        <v>1074</v>
      </c>
      <c r="D652">
        <f>INDEX(Technologies!$B$7:$S$67,H652,I652)</f>
        <v>0</v>
      </c>
      <c r="E652" t="str">
        <f>INDEX(Technologies!$B$7:$B$67,H652)</f>
        <v>Stor_EF-ElecHP-060gal-2.20EF</v>
      </c>
      <c r="G652" t="str">
        <f t="shared" si="968"/>
        <v>auxW</v>
      </c>
      <c r="H652">
        <f t="shared" si="967"/>
        <v>24</v>
      </c>
      <c r="I652">
        <f>MATCH(G652,Technologies!$B$6:$S$6,0)</f>
        <v>13</v>
      </c>
      <c r="J652">
        <v>69</v>
      </c>
    </row>
    <row r="653" spans="2:10" x14ac:dyDescent="0.25">
      <c r="B653">
        <f>INDEX(exante.Technology!$A$2:$A$4130,MATCH(E653,exante.Technology!$C$2:$C$4130,0))</f>
        <v>1024</v>
      </c>
      <c r="C653">
        <f t="shared" si="966"/>
        <v>1075</v>
      </c>
      <c r="D653">
        <f>INDEX(Technologies!$B$7:$S$67,H653,I653)</f>
        <v>0</v>
      </c>
      <c r="E653" t="str">
        <f>INDEX(Technologies!$B$7:$B$67,H653)</f>
        <v>Stor_EF-ElecHP-060gal-2.20EF</v>
      </c>
      <c r="G653" t="str">
        <f t="shared" si="968"/>
        <v>auxVentW</v>
      </c>
      <c r="H653">
        <f t="shared" si="967"/>
        <v>24</v>
      </c>
      <c r="I653">
        <f>MATCH(G653,Technologies!$B$6:$S$6,0)</f>
        <v>14</v>
      </c>
      <c r="J653">
        <v>69</v>
      </c>
    </row>
    <row r="654" spans="2:10" x14ac:dyDescent="0.25">
      <c r="B654">
        <f>INDEX(exante.Technology!$A$2:$A$4130,MATCH(E654,exante.Technology!$C$2:$C$4130,0))</f>
        <v>1024</v>
      </c>
      <c r="C654">
        <f t="shared" si="966"/>
        <v>1076</v>
      </c>
      <c r="D654">
        <f>INDEX(Technologies!$B$7:$S$67,H654,I654)</f>
        <v>0</v>
      </c>
      <c r="E654" t="str">
        <f>INDEX(Technologies!$B$7:$B$67,H654)</f>
        <v>Stor_EF-ElecHP-060gal-2.20EF</v>
      </c>
      <c r="G654" t="str">
        <f t="shared" si="968"/>
        <v>pilotBTUh</v>
      </c>
      <c r="H654">
        <f t="shared" si="967"/>
        <v>24</v>
      </c>
      <c r="I654">
        <f>MATCH(G654,Technologies!$B$6:$S$6,0)</f>
        <v>15</v>
      </c>
      <c r="J654">
        <v>69</v>
      </c>
    </row>
    <row r="655" spans="2:10" x14ac:dyDescent="0.25">
      <c r="B655">
        <f>INDEX(exante.Technology!$A$2:$A$4130,MATCH(E655,exante.Technology!$C$2:$C$4130,0))</f>
        <v>1024</v>
      </c>
      <c r="C655">
        <f t="shared" si="966"/>
        <v>1077</v>
      </c>
      <c r="D655">
        <f>INDEX(Technologies!$B$7:$S$67,H655,I655)</f>
        <v>0</v>
      </c>
      <c r="E655" t="str">
        <f>INDEX(Technologies!$B$7:$B$67,H655)</f>
        <v>Stor_EF-ElecHP-060gal-2.20EF</v>
      </c>
      <c r="G655" t="str">
        <f t="shared" si="968"/>
        <v>pilotHtgEff</v>
      </c>
      <c r="H655">
        <f t="shared" si="967"/>
        <v>24</v>
      </c>
      <c r="I655">
        <f>MATCH(G655,Technologies!$B$6:$S$6,0)</f>
        <v>16</v>
      </c>
      <c r="J655">
        <v>69</v>
      </c>
    </row>
    <row r="656" spans="2:10" x14ac:dyDescent="0.25">
      <c r="B656">
        <f>INDEX(exante.Technology!$A$2:$A$4130,MATCH(E656,exante.Technology!$C$2:$C$4130,0))</f>
        <v>1025</v>
      </c>
      <c r="C656">
        <f t="shared" si="966"/>
        <v>1081</v>
      </c>
      <c r="D656">
        <f>INDEX(Technologies!$B$7:$S$67,H656,I656)</f>
        <v>60</v>
      </c>
      <c r="E656" t="str">
        <f>INDEX(Technologies!$B$7:$B$67,H656)</f>
        <v>Stor_EF-ElecHP-060gal-2.40EF</v>
      </c>
      <c r="G656" t="str">
        <f t="shared" si="968"/>
        <v>Nom_Gallons</v>
      </c>
      <c r="H656">
        <f t="shared" si="967"/>
        <v>25</v>
      </c>
      <c r="I656">
        <f>MATCH(G656,Technologies!$B$6:$S$6,0)</f>
        <v>4</v>
      </c>
      <c r="J656">
        <v>69</v>
      </c>
    </row>
    <row r="657" spans="2:10" x14ac:dyDescent="0.25">
      <c r="B657">
        <f>INDEX(exante.Technology!$A$2:$A$4130,MATCH(E657,exante.Technology!$C$2:$C$4130,0))</f>
        <v>1025</v>
      </c>
      <c r="C657">
        <f t="shared" si="966"/>
        <v>58</v>
      </c>
      <c r="D657">
        <f>INDEX(Technologies!$B$7:$S$67,H657,I657)</f>
        <v>2.4</v>
      </c>
      <c r="E657" t="str">
        <f>INDEX(Technologies!$B$7:$B$67,H657)</f>
        <v>Stor_EF-ElecHP-060gal-2.40EF</v>
      </c>
      <c r="G657" t="str">
        <f t="shared" si="968"/>
        <v>Energy_Factor</v>
      </c>
      <c r="H657">
        <f t="shared" si="967"/>
        <v>25</v>
      </c>
      <c r="I657">
        <f>MATCH(G657,Technologies!$B$6:$S$6,0)</f>
        <v>5</v>
      </c>
      <c r="J657">
        <v>69</v>
      </c>
    </row>
    <row r="658" spans="2:10" x14ac:dyDescent="0.25">
      <c r="B658">
        <f>INDEX(exante.Technology!$A$2:$A$4130,MATCH(E658,exante.Technology!$C$2:$C$4130,0))</f>
        <v>1025</v>
      </c>
      <c r="C658">
        <f t="shared" si="966"/>
        <v>1071</v>
      </c>
      <c r="D658">
        <f>INDEX(Technologies!$B$7:$S$67,H658,I658)</f>
        <v>5.5</v>
      </c>
      <c r="E658" t="str">
        <f>INDEX(Technologies!$B$7:$B$67,H658)</f>
        <v>Stor_EF-ElecHP-060gal-2.40EF</v>
      </c>
      <c r="G658" t="str">
        <f t="shared" si="968"/>
        <v>BurnCap_kW</v>
      </c>
      <c r="H658">
        <f t="shared" si="967"/>
        <v>25</v>
      </c>
      <c r="I658">
        <f>MATCH(G658,Technologies!$B$6:$S$6,0)</f>
        <v>7</v>
      </c>
      <c r="J658">
        <v>69</v>
      </c>
    </row>
    <row r="659" spans="2:10" x14ac:dyDescent="0.25">
      <c r="B659">
        <f>INDEX(exante.Technology!$A$2:$A$4130,MATCH(E659,exante.Technology!$C$2:$C$4130,0))</f>
        <v>1025</v>
      </c>
      <c r="C659">
        <f t="shared" si="966"/>
        <v>1072</v>
      </c>
      <c r="D659">
        <f>INDEX(Technologies!$B$7:$S$67,H659,I659)</f>
        <v>0.98</v>
      </c>
      <c r="E659" t="str">
        <f>INDEX(Technologies!$B$7:$B$67,H659)</f>
        <v>Stor_EF-ElecHP-060gal-2.40EF</v>
      </c>
      <c r="G659" t="str">
        <f t="shared" si="968"/>
        <v>RecovEff</v>
      </c>
      <c r="H659">
        <f t="shared" si="967"/>
        <v>25</v>
      </c>
      <c r="I659">
        <f>MATCH(G659,Technologies!$B$6:$S$6,0)</f>
        <v>8</v>
      </c>
      <c r="J659">
        <v>69</v>
      </c>
    </row>
    <row r="660" spans="2:10" x14ac:dyDescent="0.25">
      <c r="B660">
        <f>INDEX(exante.Technology!$A$2:$A$4130,MATCH(E660,exante.Technology!$C$2:$C$4130,0))</f>
        <v>1025</v>
      </c>
      <c r="C660">
        <f t="shared" si="966"/>
        <v>1073</v>
      </c>
      <c r="D660">
        <f>INDEX(Technologies!$B$7:$S$67,H660,I660)</f>
        <v>4.2</v>
      </c>
      <c r="E660" t="str">
        <f>INDEX(Technologies!$B$7:$B$67,H660)</f>
        <v>Stor_EF-ElecHP-060gal-2.40EF</v>
      </c>
      <c r="G660" t="str">
        <f t="shared" si="968"/>
        <v>TankUA</v>
      </c>
      <c r="H660">
        <f t="shared" si="967"/>
        <v>25</v>
      </c>
      <c r="I660">
        <f>MATCH(G660,Technologies!$B$6:$S$6,0)</f>
        <v>9</v>
      </c>
      <c r="J660">
        <v>69</v>
      </c>
    </row>
    <row r="661" spans="2:10" x14ac:dyDescent="0.25">
      <c r="B661">
        <f>INDEX(exante.Technology!$A$2:$A$4130,MATCH(E661,exante.Technology!$C$2:$C$4130,0))</f>
        <v>1025</v>
      </c>
      <c r="C661">
        <f t="shared" si="966"/>
        <v>1078</v>
      </c>
      <c r="D661">
        <f>INDEX(Technologies!$B$7:$S$67,H661,I661)</f>
        <v>45</v>
      </c>
      <c r="E661" t="str">
        <f>INDEX(Technologies!$B$7:$B$67,H661)</f>
        <v>Stor_EF-ElecHP-060gal-2.40EF</v>
      </c>
      <c r="G661" t="str">
        <f t="shared" si="968"/>
        <v>HPMinT</v>
      </c>
      <c r="H661">
        <f t="shared" si="967"/>
        <v>25</v>
      </c>
      <c r="I661">
        <f>MATCH(G661,Technologies!$B$6:$S$6,0)</f>
        <v>10</v>
      </c>
      <c r="J661">
        <v>69</v>
      </c>
    </row>
    <row r="662" spans="2:10" x14ac:dyDescent="0.25">
      <c r="B662">
        <f>INDEX(exante.Technology!$A$2:$A$4130,MATCH(E662,exante.Technology!$C$2:$C$4130,0))</f>
        <v>1025</v>
      </c>
      <c r="C662">
        <f t="shared" si="966"/>
        <v>1079</v>
      </c>
      <c r="D662">
        <f>INDEX(Technologies!$B$7:$S$67,H662,I662)</f>
        <v>115</v>
      </c>
      <c r="E662" t="str">
        <f>INDEX(Technologies!$B$7:$B$67,H662)</f>
        <v>Stor_EF-ElecHP-060gal-2.40EF</v>
      </c>
      <c r="G662" t="str">
        <f t="shared" si="968"/>
        <v>HPMaxT</v>
      </c>
      <c r="H662">
        <f t="shared" si="967"/>
        <v>25</v>
      </c>
      <c r="I662">
        <f>MATCH(G662,Technologies!$B$6:$S$6,0)</f>
        <v>11</v>
      </c>
      <c r="J662">
        <v>69</v>
      </c>
    </row>
    <row r="663" spans="2:10" x14ac:dyDescent="0.25">
      <c r="B663">
        <f>INDEX(exante.Technology!$A$2:$A$4130,MATCH(E663,exante.Technology!$C$2:$C$4130,0))</f>
        <v>1025</v>
      </c>
      <c r="C663">
        <f t="shared" si="966"/>
        <v>1080</v>
      </c>
      <c r="D663">
        <f>INDEX(Technologies!$B$7:$S$67,H663,I663)</f>
        <v>20</v>
      </c>
      <c r="E663" t="str">
        <f>INDEX(Technologies!$B$7:$B$67,H663)</f>
        <v>Stor_EF-ElecHP-060gal-2.40EF</v>
      </c>
      <c r="G663" t="str">
        <f t="shared" si="968"/>
        <v>HPMaxGal</v>
      </c>
      <c r="H663">
        <f t="shared" si="967"/>
        <v>25</v>
      </c>
      <c r="I663">
        <f>MATCH(G663,Technologies!$B$6:$S$6,0)</f>
        <v>12</v>
      </c>
      <c r="J663">
        <v>69</v>
      </c>
    </row>
    <row r="664" spans="2:10" x14ac:dyDescent="0.25">
      <c r="B664">
        <f>INDEX(exante.Technology!$A$2:$A$4130,MATCH(E664,exante.Technology!$C$2:$C$4130,0))</f>
        <v>1025</v>
      </c>
      <c r="C664">
        <f t="shared" si="966"/>
        <v>1074</v>
      </c>
      <c r="D664">
        <f>INDEX(Technologies!$B$7:$S$67,H664,I664)</f>
        <v>0</v>
      </c>
      <c r="E664" t="str">
        <f>INDEX(Technologies!$B$7:$B$67,H664)</f>
        <v>Stor_EF-ElecHP-060gal-2.40EF</v>
      </c>
      <c r="G664" t="str">
        <f t="shared" si="968"/>
        <v>auxW</v>
      </c>
      <c r="H664">
        <f t="shared" si="967"/>
        <v>25</v>
      </c>
      <c r="I664">
        <f>MATCH(G664,Technologies!$B$6:$S$6,0)</f>
        <v>13</v>
      </c>
      <c r="J664">
        <v>69</v>
      </c>
    </row>
    <row r="665" spans="2:10" x14ac:dyDescent="0.25">
      <c r="B665">
        <f>INDEX(exante.Technology!$A$2:$A$4130,MATCH(E665,exante.Technology!$C$2:$C$4130,0))</f>
        <v>1025</v>
      </c>
      <c r="C665">
        <f t="shared" ref="C665:C703" si="969">+C653</f>
        <v>1075</v>
      </c>
      <c r="D665">
        <f>INDEX(Technologies!$B$7:$S$67,H665,I665)</f>
        <v>0</v>
      </c>
      <c r="E665" t="str">
        <f>INDEX(Technologies!$B$7:$B$67,H665)</f>
        <v>Stor_EF-ElecHP-060gal-2.40EF</v>
      </c>
      <c r="G665" t="str">
        <f t="shared" si="968"/>
        <v>auxVentW</v>
      </c>
      <c r="H665">
        <f t="shared" ref="H665:H703" si="970">+H653+1</f>
        <v>25</v>
      </c>
      <c r="I665">
        <f>MATCH(G665,Technologies!$B$6:$S$6,0)</f>
        <v>14</v>
      </c>
      <c r="J665">
        <v>69</v>
      </c>
    </row>
    <row r="666" spans="2:10" x14ac:dyDescent="0.25">
      <c r="B666">
        <f>INDEX(exante.Technology!$A$2:$A$4130,MATCH(E666,exante.Technology!$C$2:$C$4130,0))</f>
        <v>1025</v>
      </c>
      <c r="C666">
        <f t="shared" si="969"/>
        <v>1076</v>
      </c>
      <c r="D666">
        <f>INDEX(Technologies!$B$7:$S$67,H666,I666)</f>
        <v>0</v>
      </c>
      <c r="E666" t="str">
        <f>INDEX(Technologies!$B$7:$B$67,H666)</f>
        <v>Stor_EF-ElecHP-060gal-2.40EF</v>
      </c>
      <c r="G666" t="str">
        <f t="shared" si="968"/>
        <v>pilotBTUh</v>
      </c>
      <c r="H666">
        <f t="shared" si="970"/>
        <v>25</v>
      </c>
      <c r="I666">
        <f>MATCH(G666,Technologies!$B$6:$S$6,0)</f>
        <v>15</v>
      </c>
      <c r="J666">
        <v>69</v>
      </c>
    </row>
    <row r="667" spans="2:10" x14ac:dyDescent="0.25">
      <c r="B667">
        <f>INDEX(exante.Technology!$A$2:$A$4130,MATCH(E667,exante.Technology!$C$2:$C$4130,0))</f>
        <v>1025</v>
      </c>
      <c r="C667">
        <f t="shared" si="969"/>
        <v>1077</v>
      </c>
      <c r="D667">
        <f>INDEX(Technologies!$B$7:$S$67,H667,I667)</f>
        <v>0</v>
      </c>
      <c r="E667" t="str">
        <f>INDEX(Technologies!$B$7:$B$67,H667)</f>
        <v>Stor_EF-ElecHP-060gal-2.40EF</v>
      </c>
      <c r="G667" t="str">
        <f t="shared" si="968"/>
        <v>pilotHtgEff</v>
      </c>
      <c r="H667">
        <f t="shared" si="970"/>
        <v>25</v>
      </c>
      <c r="I667">
        <f>MATCH(G667,Technologies!$B$6:$S$6,0)</f>
        <v>16</v>
      </c>
      <c r="J667">
        <v>69</v>
      </c>
    </row>
    <row r="668" spans="2:10" x14ac:dyDescent="0.25">
      <c r="B668">
        <f>INDEX(exante.Technology!$A$2:$A$4130,MATCH(E668,exante.Technology!$C$2:$C$4130,0))</f>
        <v>1026</v>
      </c>
      <c r="C668">
        <f t="shared" si="969"/>
        <v>1081</v>
      </c>
      <c r="D668">
        <f>INDEX(Technologies!$B$7:$S$67,H668,I668)</f>
        <v>75</v>
      </c>
      <c r="E668" t="str">
        <f>INDEX(Technologies!$B$7:$B$67,H668)</f>
        <v>Stor_EF-ElecHP-075gal-1.96EF</v>
      </c>
      <c r="G668" t="str">
        <f t="shared" si="968"/>
        <v>Nom_Gallons</v>
      </c>
      <c r="H668">
        <f t="shared" si="970"/>
        <v>26</v>
      </c>
      <c r="I668">
        <f>MATCH(G668,Technologies!$B$6:$S$6,0)</f>
        <v>4</v>
      </c>
      <c r="J668">
        <v>69</v>
      </c>
    </row>
    <row r="669" spans="2:10" x14ac:dyDescent="0.25">
      <c r="B669">
        <f>INDEX(exante.Technology!$A$2:$A$4130,MATCH(E669,exante.Technology!$C$2:$C$4130,0))</f>
        <v>1026</v>
      </c>
      <c r="C669">
        <f t="shared" si="969"/>
        <v>58</v>
      </c>
      <c r="D669">
        <f>INDEX(Technologies!$B$7:$S$67,H669,I669)</f>
        <v>1.96</v>
      </c>
      <c r="E669" t="str">
        <f>INDEX(Technologies!$B$7:$B$67,H669)</f>
        <v>Stor_EF-ElecHP-075gal-1.96EF</v>
      </c>
      <c r="G669" t="str">
        <f t="shared" si="968"/>
        <v>Energy_Factor</v>
      </c>
      <c r="H669">
        <f t="shared" si="970"/>
        <v>26</v>
      </c>
      <c r="I669">
        <f>MATCH(G669,Technologies!$B$6:$S$6,0)</f>
        <v>5</v>
      </c>
      <c r="J669">
        <v>69</v>
      </c>
    </row>
    <row r="670" spans="2:10" x14ac:dyDescent="0.25">
      <c r="B670">
        <f>INDEX(exante.Technology!$A$2:$A$4130,MATCH(E670,exante.Technology!$C$2:$C$4130,0))</f>
        <v>1026</v>
      </c>
      <c r="C670">
        <f t="shared" si="969"/>
        <v>1071</v>
      </c>
      <c r="D670">
        <f>INDEX(Technologies!$B$7:$S$67,H670,I670)</f>
        <v>5.5</v>
      </c>
      <c r="E670" t="str">
        <f>INDEX(Technologies!$B$7:$B$67,H670)</f>
        <v>Stor_EF-ElecHP-075gal-1.96EF</v>
      </c>
      <c r="G670" t="str">
        <f t="shared" si="968"/>
        <v>BurnCap_kW</v>
      </c>
      <c r="H670">
        <f t="shared" si="970"/>
        <v>26</v>
      </c>
      <c r="I670">
        <f>MATCH(G670,Technologies!$B$6:$S$6,0)</f>
        <v>7</v>
      </c>
      <c r="J670">
        <v>69</v>
      </c>
    </row>
    <row r="671" spans="2:10" x14ac:dyDescent="0.25">
      <c r="B671">
        <f>INDEX(exante.Technology!$A$2:$A$4130,MATCH(E671,exante.Technology!$C$2:$C$4130,0))</f>
        <v>1026</v>
      </c>
      <c r="C671">
        <f t="shared" si="969"/>
        <v>1072</v>
      </c>
      <c r="D671">
        <f>INDEX(Technologies!$B$7:$S$67,H671,I671)</f>
        <v>0.98</v>
      </c>
      <c r="E671" t="str">
        <f>INDEX(Technologies!$B$7:$B$67,H671)</f>
        <v>Stor_EF-ElecHP-075gal-1.96EF</v>
      </c>
      <c r="G671" t="str">
        <f t="shared" si="968"/>
        <v>RecovEff</v>
      </c>
      <c r="H671">
        <f t="shared" si="970"/>
        <v>26</v>
      </c>
      <c r="I671">
        <f>MATCH(G671,Technologies!$B$6:$S$6,0)</f>
        <v>8</v>
      </c>
      <c r="J671">
        <v>69</v>
      </c>
    </row>
    <row r="672" spans="2:10" x14ac:dyDescent="0.25">
      <c r="B672">
        <f>INDEX(exante.Technology!$A$2:$A$4130,MATCH(E672,exante.Technology!$C$2:$C$4130,0))</f>
        <v>1026</v>
      </c>
      <c r="C672">
        <f t="shared" si="969"/>
        <v>1073</v>
      </c>
      <c r="D672">
        <f>INDEX(Technologies!$B$7:$S$67,H672,I672)</f>
        <v>4.2</v>
      </c>
      <c r="E672" t="str">
        <f>INDEX(Technologies!$B$7:$B$67,H672)</f>
        <v>Stor_EF-ElecHP-075gal-1.96EF</v>
      </c>
      <c r="G672" t="str">
        <f t="shared" si="968"/>
        <v>TankUA</v>
      </c>
      <c r="H672">
        <f t="shared" si="970"/>
        <v>26</v>
      </c>
      <c r="I672">
        <f>MATCH(G672,Technologies!$B$6:$S$6,0)</f>
        <v>9</v>
      </c>
      <c r="J672">
        <v>69</v>
      </c>
    </row>
    <row r="673" spans="2:10" x14ac:dyDescent="0.25">
      <c r="B673">
        <f>INDEX(exante.Technology!$A$2:$A$4130,MATCH(E673,exante.Technology!$C$2:$C$4130,0))</f>
        <v>1026</v>
      </c>
      <c r="C673">
        <f t="shared" si="969"/>
        <v>1078</v>
      </c>
      <c r="D673">
        <f>INDEX(Technologies!$B$7:$S$67,H673,I673)</f>
        <v>45</v>
      </c>
      <c r="E673" t="str">
        <f>INDEX(Technologies!$B$7:$B$67,H673)</f>
        <v>Stor_EF-ElecHP-075gal-1.96EF</v>
      </c>
      <c r="G673" t="str">
        <f t="shared" si="968"/>
        <v>HPMinT</v>
      </c>
      <c r="H673">
        <f t="shared" si="970"/>
        <v>26</v>
      </c>
      <c r="I673">
        <f>MATCH(G673,Technologies!$B$6:$S$6,0)</f>
        <v>10</v>
      </c>
      <c r="J673">
        <v>69</v>
      </c>
    </row>
    <row r="674" spans="2:10" x14ac:dyDescent="0.25">
      <c r="B674">
        <f>INDEX(exante.Technology!$A$2:$A$4130,MATCH(E674,exante.Technology!$C$2:$C$4130,0))</f>
        <v>1026</v>
      </c>
      <c r="C674">
        <f t="shared" si="969"/>
        <v>1079</v>
      </c>
      <c r="D674">
        <f>INDEX(Technologies!$B$7:$S$67,H674,I674)</f>
        <v>115</v>
      </c>
      <c r="E674" t="str">
        <f>INDEX(Technologies!$B$7:$B$67,H674)</f>
        <v>Stor_EF-ElecHP-075gal-1.96EF</v>
      </c>
      <c r="G674" t="str">
        <f t="shared" si="968"/>
        <v>HPMaxT</v>
      </c>
      <c r="H674">
        <f t="shared" si="970"/>
        <v>26</v>
      </c>
      <c r="I674">
        <f>MATCH(G674,Technologies!$B$6:$S$6,0)</f>
        <v>11</v>
      </c>
      <c r="J674">
        <v>69</v>
      </c>
    </row>
    <row r="675" spans="2:10" x14ac:dyDescent="0.25">
      <c r="B675">
        <f>INDEX(exante.Technology!$A$2:$A$4130,MATCH(E675,exante.Technology!$C$2:$C$4130,0))</f>
        <v>1026</v>
      </c>
      <c r="C675">
        <f t="shared" si="969"/>
        <v>1080</v>
      </c>
      <c r="D675">
        <f>INDEX(Technologies!$B$7:$S$67,H675,I675)</f>
        <v>25</v>
      </c>
      <c r="E675" t="str">
        <f>INDEX(Technologies!$B$7:$B$67,H675)</f>
        <v>Stor_EF-ElecHP-075gal-1.96EF</v>
      </c>
      <c r="G675" t="str">
        <f t="shared" si="968"/>
        <v>HPMaxGal</v>
      </c>
      <c r="H675">
        <f t="shared" si="970"/>
        <v>26</v>
      </c>
      <c r="I675">
        <f>MATCH(G675,Technologies!$B$6:$S$6,0)</f>
        <v>12</v>
      </c>
      <c r="J675">
        <v>69</v>
      </c>
    </row>
    <row r="676" spans="2:10" x14ac:dyDescent="0.25">
      <c r="B676">
        <f>INDEX(exante.Technology!$A$2:$A$4130,MATCH(E676,exante.Technology!$C$2:$C$4130,0))</f>
        <v>1026</v>
      </c>
      <c r="C676">
        <f t="shared" si="969"/>
        <v>1074</v>
      </c>
      <c r="D676">
        <f>INDEX(Technologies!$B$7:$S$67,H676,I676)</f>
        <v>0</v>
      </c>
      <c r="E676" t="str">
        <f>INDEX(Technologies!$B$7:$B$67,H676)</f>
        <v>Stor_EF-ElecHP-075gal-1.96EF</v>
      </c>
      <c r="G676" t="str">
        <f t="shared" si="968"/>
        <v>auxW</v>
      </c>
      <c r="H676">
        <f t="shared" si="970"/>
        <v>26</v>
      </c>
      <c r="I676">
        <f>MATCH(G676,Technologies!$B$6:$S$6,0)</f>
        <v>13</v>
      </c>
      <c r="J676">
        <v>69</v>
      </c>
    </row>
    <row r="677" spans="2:10" x14ac:dyDescent="0.25">
      <c r="B677">
        <f>INDEX(exante.Technology!$A$2:$A$4130,MATCH(E677,exante.Technology!$C$2:$C$4130,0))</f>
        <v>1026</v>
      </c>
      <c r="C677">
        <f t="shared" si="969"/>
        <v>1075</v>
      </c>
      <c r="D677">
        <f>INDEX(Technologies!$B$7:$S$67,H677,I677)</f>
        <v>0</v>
      </c>
      <c r="E677" t="str">
        <f>INDEX(Technologies!$B$7:$B$67,H677)</f>
        <v>Stor_EF-ElecHP-075gal-1.96EF</v>
      </c>
      <c r="G677" t="str">
        <f t="shared" si="968"/>
        <v>auxVentW</v>
      </c>
      <c r="H677">
        <f t="shared" si="970"/>
        <v>26</v>
      </c>
      <c r="I677">
        <f>MATCH(G677,Technologies!$B$6:$S$6,0)</f>
        <v>14</v>
      </c>
      <c r="J677">
        <v>69</v>
      </c>
    </row>
    <row r="678" spans="2:10" x14ac:dyDescent="0.25">
      <c r="B678">
        <f>INDEX(exante.Technology!$A$2:$A$4130,MATCH(E678,exante.Technology!$C$2:$C$4130,0))</f>
        <v>1026</v>
      </c>
      <c r="C678">
        <f t="shared" si="969"/>
        <v>1076</v>
      </c>
      <c r="D678">
        <f>INDEX(Technologies!$B$7:$S$67,H678,I678)</f>
        <v>0</v>
      </c>
      <c r="E678" t="str">
        <f>INDEX(Technologies!$B$7:$B$67,H678)</f>
        <v>Stor_EF-ElecHP-075gal-1.96EF</v>
      </c>
      <c r="G678" t="str">
        <f t="shared" si="968"/>
        <v>pilotBTUh</v>
      </c>
      <c r="H678">
        <f t="shared" si="970"/>
        <v>26</v>
      </c>
      <c r="I678">
        <f>MATCH(G678,Technologies!$B$6:$S$6,0)</f>
        <v>15</v>
      </c>
      <c r="J678">
        <v>69</v>
      </c>
    </row>
    <row r="679" spans="2:10" x14ac:dyDescent="0.25">
      <c r="B679">
        <f>INDEX(exante.Technology!$A$2:$A$4130,MATCH(E679,exante.Technology!$C$2:$C$4130,0))</f>
        <v>1026</v>
      </c>
      <c r="C679">
        <f t="shared" si="969"/>
        <v>1077</v>
      </c>
      <c r="D679">
        <f>INDEX(Technologies!$B$7:$S$67,H679,I679)</f>
        <v>0</v>
      </c>
      <c r="E679" t="str">
        <f>INDEX(Technologies!$B$7:$B$67,H679)</f>
        <v>Stor_EF-ElecHP-075gal-1.96EF</v>
      </c>
      <c r="G679" t="str">
        <f t="shared" si="968"/>
        <v>pilotHtgEff</v>
      </c>
      <c r="H679">
        <f t="shared" si="970"/>
        <v>26</v>
      </c>
      <c r="I679">
        <f>MATCH(G679,Technologies!$B$6:$S$6,0)</f>
        <v>16</v>
      </c>
      <c r="J679">
        <v>69</v>
      </c>
    </row>
    <row r="680" spans="2:10" x14ac:dyDescent="0.25">
      <c r="B680">
        <f>INDEX(exante.Technology!$A$2:$A$4130,MATCH(E680,exante.Technology!$C$2:$C$4130,0))</f>
        <v>1027</v>
      </c>
      <c r="C680">
        <f t="shared" si="969"/>
        <v>1081</v>
      </c>
      <c r="D680">
        <f>INDEX(Technologies!$B$7:$S$67,H680,I680)</f>
        <v>75</v>
      </c>
      <c r="E680" t="str">
        <f>INDEX(Technologies!$B$7:$B$67,H680)</f>
        <v>Stor_EF-ElecHP-075gal-2.20EF</v>
      </c>
      <c r="G680" t="str">
        <f t="shared" ref="G680:G715" si="971">VLOOKUP(C680,$B$3:$C$17,2,FALSE)</f>
        <v>Nom_Gallons</v>
      </c>
      <c r="H680">
        <f t="shared" si="970"/>
        <v>27</v>
      </c>
      <c r="I680">
        <f>MATCH(G680,Technologies!$B$6:$S$6,0)</f>
        <v>4</v>
      </c>
      <c r="J680">
        <v>69</v>
      </c>
    </row>
    <row r="681" spans="2:10" x14ac:dyDescent="0.25">
      <c r="B681">
        <f>INDEX(exante.Technology!$A$2:$A$4130,MATCH(E681,exante.Technology!$C$2:$C$4130,0))</f>
        <v>1027</v>
      </c>
      <c r="C681">
        <f t="shared" si="969"/>
        <v>58</v>
      </c>
      <c r="D681">
        <f>INDEX(Technologies!$B$7:$S$67,H681,I681)</f>
        <v>2.2000000000000002</v>
      </c>
      <c r="E681" t="str">
        <f>INDEX(Technologies!$B$7:$B$67,H681)</f>
        <v>Stor_EF-ElecHP-075gal-2.20EF</v>
      </c>
      <c r="G681" t="str">
        <f t="shared" si="971"/>
        <v>Energy_Factor</v>
      </c>
      <c r="H681">
        <f t="shared" si="970"/>
        <v>27</v>
      </c>
      <c r="I681">
        <f>MATCH(G681,Technologies!$B$6:$S$6,0)</f>
        <v>5</v>
      </c>
      <c r="J681">
        <v>69</v>
      </c>
    </row>
    <row r="682" spans="2:10" x14ac:dyDescent="0.25">
      <c r="B682">
        <f>INDEX(exante.Technology!$A$2:$A$4130,MATCH(E682,exante.Technology!$C$2:$C$4130,0))</f>
        <v>1027</v>
      </c>
      <c r="C682">
        <f t="shared" si="969"/>
        <v>1071</v>
      </c>
      <c r="D682">
        <f>INDEX(Technologies!$B$7:$S$67,H682,I682)</f>
        <v>5.5</v>
      </c>
      <c r="E682" t="str">
        <f>INDEX(Technologies!$B$7:$B$67,H682)</f>
        <v>Stor_EF-ElecHP-075gal-2.20EF</v>
      </c>
      <c r="G682" t="str">
        <f t="shared" si="971"/>
        <v>BurnCap_kW</v>
      </c>
      <c r="H682">
        <f t="shared" si="970"/>
        <v>27</v>
      </c>
      <c r="I682">
        <f>MATCH(G682,Technologies!$B$6:$S$6,0)</f>
        <v>7</v>
      </c>
      <c r="J682">
        <v>69</v>
      </c>
    </row>
    <row r="683" spans="2:10" x14ac:dyDescent="0.25">
      <c r="B683">
        <f>INDEX(exante.Technology!$A$2:$A$4130,MATCH(E683,exante.Technology!$C$2:$C$4130,0))</f>
        <v>1027</v>
      </c>
      <c r="C683">
        <f t="shared" si="969"/>
        <v>1072</v>
      </c>
      <c r="D683">
        <f>INDEX(Technologies!$B$7:$S$67,H683,I683)</f>
        <v>0.98</v>
      </c>
      <c r="E683" t="str">
        <f>INDEX(Technologies!$B$7:$B$67,H683)</f>
        <v>Stor_EF-ElecHP-075gal-2.20EF</v>
      </c>
      <c r="G683" t="str">
        <f t="shared" si="971"/>
        <v>RecovEff</v>
      </c>
      <c r="H683">
        <f t="shared" si="970"/>
        <v>27</v>
      </c>
      <c r="I683">
        <f>MATCH(G683,Technologies!$B$6:$S$6,0)</f>
        <v>8</v>
      </c>
      <c r="J683">
        <v>69</v>
      </c>
    </row>
    <row r="684" spans="2:10" x14ac:dyDescent="0.25">
      <c r="B684">
        <f>INDEX(exante.Technology!$A$2:$A$4130,MATCH(E684,exante.Technology!$C$2:$C$4130,0))</f>
        <v>1027</v>
      </c>
      <c r="C684">
        <f t="shared" si="969"/>
        <v>1073</v>
      </c>
      <c r="D684">
        <f>INDEX(Technologies!$B$7:$S$67,H684,I684)</f>
        <v>4.2</v>
      </c>
      <c r="E684" t="str">
        <f>INDEX(Technologies!$B$7:$B$67,H684)</f>
        <v>Stor_EF-ElecHP-075gal-2.20EF</v>
      </c>
      <c r="G684" t="str">
        <f t="shared" si="971"/>
        <v>TankUA</v>
      </c>
      <c r="H684">
        <f t="shared" si="970"/>
        <v>27</v>
      </c>
      <c r="I684">
        <f>MATCH(G684,Technologies!$B$6:$S$6,0)</f>
        <v>9</v>
      </c>
      <c r="J684">
        <v>69</v>
      </c>
    </row>
    <row r="685" spans="2:10" x14ac:dyDescent="0.25">
      <c r="B685">
        <f>INDEX(exante.Technology!$A$2:$A$4130,MATCH(E685,exante.Technology!$C$2:$C$4130,0))</f>
        <v>1027</v>
      </c>
      <c r="C685">
        <f t="shared" si="969"/>
        <v>1078</v>
      </c>
      <c r="D685">
        <f>INDEX(Technologies!$B$7:$S$67,H685,I685)</f>
        <v>45</v>
      </c>
      <c r="E685" t="str">
        <f>INDEX(Technologies!$B$7:$B$67,H685)</f>
        <v>Stor_EF-ElecHP-075gal-2.20EF</v>
      </c>
      <c r="G685" t="str">
        <f t="shared" si="971"/>
        <v>HPMinT</v>
      </c>
      <c r="H685">
        <f t="shared" si="970"/>
        <v>27</v>
      </c>
      <c r="I685">
        <f>MATCH(G685,Technologies!$B$6:$S$6,0)</f>
        <v>10</v>
      </c>
      <c r="J685">
        <v>69</v>
      </c>
    </row>
    <row r="686" spans="2:10" x14ac:dyDescent="0.25">
      <c r="B686">
        <f>INDEX(exante.Technology!$A$2:$A$4130,MATCH(E686,exante.Technology!$C$2:$C$4130,0))</f>
        <v>1027</v>
      </c>
      <c r="C686">
        <f t="shared" si="969"/>
        <v>1079</v>
      </c>
      <c r="D686">
        <f>INDEX(Technologies!$B$7:$S$67,H686,I686)</f>
        <v>115</v>
      </c>
      <c r="E686" t="str">
        <f>INDEX(Technologies!$B$7:$B$67,H686)</f>
        <v>Stor_EF-ElecHP-075gal-2.20EF</v>
      </c>
      <c r="G686" t="str">
        <f t="shared" si="971"/>
        <v>HPMaxT</v>
      </c>
      <c r="H686">
        <f t="shared" si="970"/>
        <v>27</v>
      </c>
      <c r="I686">
        <f>MATCH(G686,Technologies!$B$6:$S$6,0)</f>
        <v>11</v>
      </c>
      <c r="J686">
        <v>69</v>
      </c>
    </row>
    <row r="687" spans="2:10" x14ac:dyDescent="0.25">
      <c r="B687">
        <f>INDEX(exante.Technology!$A$2:$A$4130,MATCH(E687,exante.Technology!$C$2:$C$4130,0))</f>
        <v>1027</v>
      </c>
      <c r="C687">
        <f t="shared" si="969"/>
        <v>1080</v>
      </c>
      <c r="D687">
        <f>INDEX(Technologies!$B$7:$S$67,H687,I687)</f>
        <v>25</v>
      </c>
      <c r="E687" t="str">
        <f>INDEX(Technologies!$B$7:$B$67,H687)</f>
        <v>Stor_EF-ElecHP-075gal-2.20EF</v>
      </c>
      <c r="G687" t="str">
        <f t="shared" si="971"/>
        <v>HPMaxGal</v>
      </c>
      <c r="H687">
        <f t="shared" si="970"/>
        <v>27</v>
      </c>
      <c r="I687">
        <f>MATCH(G687,Technologies!$B$6:$S$6,0)</f>
        <v>12</v>
      </c>
      <c r="J687">
        <v>69</v>
      </c>
    </row>
    <row r="688" spans="2:10" x14ac:dyDescent="0.25">
      <c r="B688">
        <f>INDEX(exante.Technology!$A$2:$A$4130,MATCH(E688,exante.Technology!$C$2:$C$4130,0))</f>
        <v>1027</v>
      </c>
      <c r="C688">
        <f t="shared" si="969"/>
        <v>1074</v>
      </c>
      <c r="D688">
        <f>INDEX(Technologies!$B$7:$S$67,H688,I688)</f>
        <v>0</v>
      </c>
      <c r="E688" t="str">
        <f>INDEX(Technologies!$B$7:$B$67,H688)</f>
        <v>Stor_EF-ElecHP-075gal-2.20EF</v>
      </c>
      <c r="G688" t="str">
        <f t="shared" si="971"/>
        <v>auxW</v>
      </c>
      <c r="H688">
        <f t="shared" si="970"/>
        <v>27</v>
      </c>
      <c r="I688">
        <f>MATCH(G688,Technologies!$B$6:$S$6,0)</f>
        <v>13</v>
      </c>
      <c r="J688">
        <v>69</v>
      </c>
    </row>
    <row r="689" spans="1:16" x14ac:dyDescent="0.25">
      <c r="B689">
        <f>INDEX(exante.Technology!$A$2:$A$4130,MATCH(E689,exante.Technology!$C$2:$C$4130,0))</f>
        <v>1027</v>
      </c>
      <c r="C689">
        <f t="shared" si="969"/>
        <v>1075</v>
      </c>
      <c r="D689">
        <f>INDEX(Technologies!$B$7:$S$67,H689,I689)</f>
        <v>0</v>
      </c>
      <c r="E689" t="str">
        <f>INDEX(Technologies!$B$7:$B$67,H689)</f>
        <v>Stor_EF-ElecHP-075gal-2.20EF</v>
      </c>
      <c r="G689" t="str">
        <f t="shared" si="971"/>
        <v>auxVentW</v>
      </c>
      <c r="H689">
        <f t="shared" si="970"/>
        <v>27</v>
      </c>
      <c r="I689">
        <f>MATCH(G689,Technologies!$B$6:$S$6,0)</f>
        <v>14</v>
      </c>
      <c r="J689">
        <v>69</v>
      </c>
    </row>
    <row r="690" spans="1:16" x14ac:dyDescent="0.25">
      <c r="B690">
        <f>INDEX(exante.Technology!$A$2:$A$4130,MATCH(E690,exante.Technology!$C$2:$C$4130,0))</f>
        <v>1027</v>
      </c>
      <c r="C690">
        <f t="shared" si="969"/>
        <v>1076</v>
      </c>
      <c r="D690">
        <f>INDEX(Technologies!$B$7:$S$67,H690,I690)</f>
        <v>0</v>
      </c>
      <c r="E690" t="str">
        <f>INDEX(Technologies!$B$7:$B$67,H690)</f>
        <v>Stor_EF-ElecHP-075gal-2.20EF</v>
      </c>
      <c r="G690" t="str">
        <f t="shared" si="971"/>
        <v>pilotBTUh</v>
      </c>
      <c r="H690">
        <f t="shared" si="970"/>
        <v>27</v>
      </c>
      <c r="I690">
        <f>MATCH(G690,Technologies!$B$6:$S$6,0)</f>
        <v>15</v>
      </c>
      <c r="J690">
        <v>69</v>
      </c>
    </row>
    <row r="691" spans="1:16" x14ac:dyDescent="0.25">
      <c r="B691">
        <f>INDEX(exante.Technology!$A$2:$A$4130,MATCH(E691,exante.Technology!$C$2:$C$4130,0))</f>
        <v>1027</v>
      </c>
      <c r="C691">
        <f t="shared" si="969"/>
        <v>1077</v>
      </c>
      <c r="D691">
        <f>INDEX(Technologies!$B$7:$S$67,H691,I691)</f>
        <v>0</v>
      </c>
      <c r="E691" t="str">
        <f>INDEX(Technologies!$B$7:$B$67,H691)</f>
        <v>Stor_EF-ElecHP-075gal-2.20EF</v>
      </c>
      <c r="G691" t="str">
        <f t="shared" si="971"/>
        <v>pilotHtgEff</v>
      </c>
      <c r="H691">
        <f t="shared" si="970"/>
        <v>27</v>
      </c>
      <c r="I691">
        <f>MATCH(G691,Technologies!$B$6:$S$6,0)</f>
        <v>16</v>
      </c>
      <c r="J691">
        <v>69</v>
      </c>
    </row>
    <row r="692" spans="1:16" x14ac:dyDescent="0.25">
      <c r="B692">
        <f>INDEX(exante.Technology!$A$2:$A$4130,MATCH(E692,exante.Technology!$C$2:$C$4130,0))</f>
        <v>1028</v>
      </c>
      <c r="C692">
        <f t="shared" si="969"/>
        <v>1081</v>
      </c>
      <c r="D692">
        <f>INDEX(Technologies!$B$7:$S$67,H692,I692)</f>
        <v>75</v>
      </c>
      <c r="E692" t="str">
        <f>INDEX(Technologies!$B$7:$B$67,H692)</f>
        <v>Stor_EF-ElecHP-075gal-2.40EF</v>
      </c>
      <c r="G692" t="str">
        <f t="shared" si="971"/>
        <v>Nom_Gallons</v>
      </c>
      <c r="H692">
        <f t="shared" si="970"/>
        <v>28</v>
      </c>
      <c r="I692">
        <f>MATCH(G692,Technologies!$B$6:$S$6,0)</f>
        <v>4</v>
      </c>
      <c r="J692">
        <v>69</v>
      </c>
    </row>
    <row r="693" spans="1:16" x14ac:dyDescent="0.25">
      <c r="B693">
        <f>INDEX(exante.Technology!$A$2:$A$4130,MATCH(E693,exante.Technology!$C$2:$C$4130,0))</f>
        <v>1028</v>
      </c>
      <c r="C693">
        <f t="shared" si="969"/>
        <v>58</v>
      </c>
      <c r="D693">
        <f>INDEX(Technologies!$B$7:$S$67,H693,I693)</f>
        <v>2.4</v>
      </c>
      <c r="E693" t="str">
        <f>INDEX(Technologies!$B$7:$B$67,H693)</f>
        <v>Stor_EF-ElecHP-075gal-2.40EF</v>
      </c>
      <c r="G693" t="str">
        <f t="shared" si="971"/>
        <v>Energy_Factor</v>
      </c>
      <c r="H693">
        <f t="shared" si="970"/>
        <v>28</v>
      </c>
      <c r="I693">
        <f>MATCH(G693,Technologies!$B$6:$S$6,0)</f>
        <v>5</v>
      </c>
      <c r="J693">
        <v>69</v>
      </c>
    </row>
    <row r="694" spans="1:16" x14ac:dyDescent="0.25">
      <c r="B694">
        <f>INDEX(exante.Technology!$A$2:$A$4130,MATCH(E694,exante.Technology!$C$2:$C$4130,0))</f>
        <v>1028</v>
      </c>
      <c r="C694">
        <f t="shared" si="969"/>
        <v>1071</v>
      </c>
      <c r="D694">
        <f>INDEX(Technologies!$B$7:$S$67,H694,I694)</f>
        <v>5.5</v>
      </c>
      <c r="E694" t="str">
        <f>INDEX(Technologies!$B$7:$B$67,H694)</f>
        <v>Stor_EF-ElecHP-075gal-2.40EF</v>
      </c>
      <c r="G694" t="str">
        <f t="shared" si="971"/>
        <v>BurnCap_kW</v>
      </c>
      <c r="H694">
        <f t="shared" si="970"/>
        <v>28</v>
      </c>
      <c r="I694">
        <f>MATCH(G694,Technologies!$B$6:$S$6,0)</f>
        <v>7</v>
      </c>
      <c r="J694">
        <v>69</v>
      </c>
    </row>
    <row r="695" spans="1:16" x14ac:dyDescent="0.25">
      <c r="B695">
        <f>INDEX(exante.Technology!$A$2:$A$4130,MATCH(E695,exante.Technology!$C$2:$C$4130,0))</f>
        <v>1028</v>
      </c>
      <c r="C695">
        <f t="shared" si="969"/>
        <v>1072</v>
      </c>
      <c r="D695">
        <f>INDEX(Technologies!$B$7:$S$67,H695,I695)</f>
        <v>0.98</v>
      </c>
      <c r="E695" t="str">
        <f>INDEX(Technologies!$B$7:$B$67,H695)</f>
        <v>Stor_EF-ElecHP-075gal-2.40EF</v>
      </c>
      <c r="G695" t="str">
        <f t="shared" si="971"/>
        <v>RecovEff</v>
      </c>
      <c r="H695">
        <f t="shared" si="970"/>
        <v>28</v>
      </c>
      <c r="I695">
        <f>MATCH(G695,Technologies!$B$6:$S$6,0)</f>
        <v>8</v>
      </c>
      <c r="J695">
        <v>69</v>
      </c>
    </row>
    <row r="696" spans="1:16" x14ac:dyDescent="0.25">
      <c r="B696">
        <f>INDEX(exante.Technology!$A$2:$A$4130,MATCH(E696,exante.Technology!$C$2:$C$4130,0))</f>
        <v>1028</v>
      </c>
      <c r="C696">
        <f t="shared" si="969"/>
        <v>1073</v>
      </c>
      <c r="D696">
        <f>INDEX(Technologies!$B$7:$S$67,H696,I696)</f>
        <v>4.2</v>
      </c>
      <c r="E696" t="str">
        <f>INDEX(Technologies!$B$7:$B$67,H696)</f>
        <v>Stor_EF-ElecHP-075gal-2.40EF</v>
      </c>
      <c r="G696" t="str">
        <f t="shared" si="971"/>
        <v>TankUA</v>
      </c>
      <c r="H696">
        <f t="shared" si="970"/>
        <v>28</v>
      </c>
      <c r="I696">
        <f>MATCH(G696,Technologies!$B$6:$S$6,0)</f>
        <v>9</v>
      </c>
      <c r="J696">
        <v>69</v>
      </c>
    </row>
    <row r="697" spans="1:16" x14ac:dyDescent="0.25">
      <c r="B697">
        <f>INDEX(exante.Technology!$A$2:$A$4130,MATCH(E697,exante.Technology!$C$2:$C$4130,0))</f>
        <v>1028</v>
      </c>
      <c r="C697">
        <f t="shared" si="969"/>
        <v>1078</v>
      </c>
      <c r="D697">
        <f>INDEX(Technologies!$B$7:$S$67,H697,I697)</f>
        <v>45</v>
      </c>
      <c r="E697" t="str">
        <f>INDEX(Technologies!$B$7:$B$67,H697)</f>
        <v>Stor_EF-ElecHP-075gal-2.40EF</v>
      </c>
      <c r="G697" t="str">
        <f t="shared" si="971"/>
        <v>HPMinT</v>
      </c>
      <c r="H697">
        <f t="shared" si="970"/>
        <v>28</v>
      </c>
      <c r="I697">
        <f>MATCH(G697,Technologies!$B$6:$S$6,0)</f>
        <v>10</v>
      </c>
      <c r="J697">
        <v>69</v>
      </c>
    </row>
    <row r="698" spans="1:16" x14ac:dyDescent="0.25">
      <c r="B698">
        <f>INDEX(exante.Technology!$A$2:$A$4130,MATCH(E698,exante.Technology!$C$2:$C$4130,0))</f>
        <v>1028</v>
      </c>
      <c r="C698">
        <f t="shared" si="969"/>
        <v>1079</v>
      </c>
      <c r="D698">
        <f>INDEX(Technologies!$B$7:$S$67,H698,I698)</f>
        <v>115</v>
      </c>
      <c r="E698" t="str">
        <f>INDEX(Technologies!$B$7:$B$67,H698)</f>
        <v>Stor_EF-ElecHP-075gal-2.40EF</v>
      </c>
      <c r="G698" t="str">
        <f t="shared" si="971"/>
        <v>HPMaxT</v>
      </c>
      <c r="H698">
        <f t="shared" si="970"/>
        <v>28</v>
      </c>
      <c r="I698">
        <f>MATCH(G698,Technologies!$B$6:$S$6,0)</f>
        <v>11</v>
      </c>
      <c r="J698">
        <v>69</v>
      </c>
    </row>
    <row r="699" spans="1:16" x14ac:dyDescent="0.25">
      <c r="B699">
        <f>INDEX(exante.Technology!$A$2:$A$4130,MATCH(E699,exante.Technology!$C$2:$C$4130,0))</f>
        <v>1028</v>
      </c>
      <c r="C699">
        <f t="shared" si="969"/>
        <v>1080</v>
      </c>
      <c r="D699">
        <f>INDEX(Technologies!$B$7:$S$67,H699,I699)</f>
        <v>25</v>
      </c>
      <c r="E699" t="str">
        <f>INDEX(Technologies!$B$7:$B$67,H699)</f>
        <v>Stor_EF-ElecHP-075gal-2.40EF</v>
      </c>
      <c r="G699" t="str">
        <f t="shared" si="971"/>
        <v>HPMaxGal</v>
      </c>
      <c r="H699">
        <f t="shared" si="970"/>
        <v>28</v>
      </c>
      <c r="I699">
        <f>MATCH(G699,Technologies!$B$6:$S$6,0)</f>
        <v>12</v>
      </c>
      <c r="J699">
        <v>69</v>
      </c>
    </row>
    <row r="700" spans="1:16" x14ac:dyDescent="0.25">
      <c r="B700">
        <f>INDEX(exante.Technology!$A$2:$A$4130,MATCH(E700,exante.Technology!$C$2:$C$4130,0))</f>
        <v>1028</v>
      </c>
      <c r="C700">
        <f t="shared" si="969"/>
        <v>1074</v>
      </c>
      <c r="D700">
        <f>INDEX(Technologies!$B$7:$S$67,H700,I700)</f>
        <v>0</v>
      </c>
      <c r="E700" t="str">
        <f>INDEX(Technologies!$B$7:$B$67,H700)</f>
        <v>Stor_EF-ElecHP-075gal-2.40EF</v>
      </c>
      <c r="G700" t="str">
        <f t="shared" si="971"/>
        <v>auxW</v>
      </c>
      <c r="H700">
        <f t="shared" si="970"/>
        <v>28</v>
      </c>
      <c r="I700">
        <f>MATCH(G700,Technologies!$B$6:$S$6,0)</f>
        <v>13</v>
      </c>
      <c r="J700">
        <v>69</v>
      </c>
    </row>
    <row r="701" spans="1:16" x14ac:dyDescent="0.25">
      <c r="B701">
        <f>INDEX(exante.Technology!$A$2:$A$4130,MATCH(E701,exante.Technology!$C$2:$C$4130,0))</f>
        <v>1028</v>
      </c>
      <c r="C701">
        <f t="shared" si="969"/>
        <v>1075</v>
      </c>
      <c r="D701">
        <f>INDEX(Technologies!$B$7:$S$67,H701,I701)</f>
        <v>0</v>
      </c>
      <c r="E701" t="str">
        <f>INDEX(Technologies!$B$7:$B$67,H701)</f>
        <v>Stor_EF-ElecHP-075gal-2.40EF</v>
      </c>
      <c r="G701" t="str">
        <f t="shared" si="971"/>
        <v>auxVentW</v>
      </c>
      <c r="H701">
        <f t="shared" si="970"/>
        <v>28</v>
      </c>
      <c r="I701">
        <f>MATCH(G701,Technologies!$B$6:$S$6,0)</f>
        <v>14</v>
      </c>
      <c r="J701">
        <v>69</v>
      </c>
    </row>
    <row r="702" spans="1:16" x14ac:dyDescent="0.25">
      <c r="B702">
        <f>INDEX(exante.Technology!$A$2:$A$4130,MATCH(E702,exante.Technology!$C$2:$C$4130,0))</f>
        <v>1028</v>
      </c>
      <c r="C702">
        <f t="shared" si="969"/>
        <v>1076</v>
      </c>
      <c r="D702">
        <f>INDEX(Technologies!$B$7:$S$67,H702,I702)</f>
        <v>0</v>
      </c>
      <c r="E702" t="str">
        <f>INDEX(Technologies!$B$7:$B$67,H702)</f>
        <v>Stor_EF-ElecHP-075gal-2.40EF</v>
      </c>
      <c r="G702" t="str">
        <f t="shared" si="971"/>
        <v>pilotBTUh</v>
      </c>
      <c r="H702">
        <f t="shared" si="970"/>
        <v>28</v>
      </c>
      <c r="I702">
        <f>MATCH(G702,Technologies!$B$6:$S$6,0)</f>
        <v>15</v>
      </c>
      <c r="J702">
        <v>69</v>
      </c>
    </row>
    <row r="703" spans="1:16" x14ac:dyDescent="0.25">
      <c r="B703">
        <f>INDEX(exante.Technology!$A$2:$A$4130,MATCH(E703,exante.Technology!$C$2:$C$4130,0))</f>
        <v>1028</v>
      </c>
      <c r="C703">
        <f t="shared" si="969"/>
        <v>1077</v>
      </c>
      <c r="D703">
        <f>INDEX(Technologies!$B$7:$S$67,H703,I703)</f>
        <v>0</v>
      </c>
      <c r="E703" t="str">
        <f>INDEX(Technologies!$B$7:$B$67,H703)</f>
        <v>Stor_EF-ElecHP-075gal-2.40EF</v>
      </c>
      <c r="G703" t="str">
        <f t="shared" si="971"/>
        <v>pilotHtgEff</v>
      </c>
      <c r="H703">
        <f t="shared" si="970"/>
        <v>28</v>
      </c>
      <c r="I703">
        <f>MATCH(G703,Technologies!$B$6:$S$6,0)</f>
        <v>16</v>
      </c>
      <c r="J703">
        <v>69</v>
      </c>
    </row>
    <row r="704" spans="1:16" x14ac:dyDescent="0.25">
      <c r="A704">
        <v>1</v>
      </c>
      <c r="B704">
        <f>INDEX(exante.Technology!$A$2:$A$4130,MATCH(E704,exante.Technology!$C$2:$C$4130,0))</f>
        <v>507</v>
      </c>
      <c r="C704">
        <v>85</v>
      </c>
      <c r="D704" s="103" t="str">
        <f>INDEX($P$704:$P$721,$A704)</f>
        <v>Elec</v>
      </c>
      <c r="E704" s="103" t="str">
        <f t="shared" ref="E704:E735" si="972">INDEX($M$704:$M$721,$A704)</f>
        <v>Stor_EF-Elec-030gal-0.95EF</v>
      </c>
      <c r="G704" t="str">
        <f t="shared" si="971"/>
        <v>Fuel_Type</v>
      </c>
      <c r="L704">
        <v>507</v>
      </c>
      <c r="M704" t="s">
        <v>390</v>
      </c>
      <c r="N704" t="s">
        <v>430</v>
      </c>
      <c r="O704" t="s">
        <v>435</v>
      </c>
      <c r="P704" t="s">
        <v>125</v>
      </c>
    </row>
    <row r="705" spans="1:16" x14ac:dyDescent="0.25">
      <c r="A705">
        <v>1</v>
      </c>
      <c r="B705">
        <f>INDEX(exante.Technology!$A$2:$A$4130,MATCH(E705,exante.Technology!$C$2:$C$4130,0))</f>
        <v>507</v>
      </c>
      <c r="C705">
        <v>1081</v>
      </c>
      <c r="D705" s="103" t="str">
        <f>INDEX($N$704:$N$721,$A705)</f>
        <v>30</v>
      </c>
      <c r="E705" s="103" t="str">
        <f t="shared" si="972"/>
        <v>Stor_EF-Elec-030gal-0.95EF</v>
      </c>
      <c r="G705" t="str">
        <f t="shared" si="971"/>
        <v>Nom_Gallons</v>
      </c>
      <c r="L705">
        <v>508</v>
      </c>
      <c r="M705" t="s">
        <v>391</v>
      </c>
      <c r="N705" t="s">
        <v>431</v>
      </c>
      <c r="O705" t="s">
        <v>436</v>
      </c>
      <c r="P705" t="s">
        <v>125</v>
      </c>
    </row>
    <row r="706" spans="1:16" x14ac:dyDescent="0.25">
      <c r="A706">
        <v>1</v>
      </c>
      <c r="B706">
        <f>INDEX(exante.Technology!$A$2:$A$4130,MATCH(E706,exante.Technology!$C$2:$C$4130,0))</f>
        <v>507</v>
      </c>
      <c r="C706">
        <v>58</v>
      </c>
      <c r="D706" s="103" t="str">
        <f>INDEX($O$704:$O$721,$A706)</f>
        <v>0.95</v>
      </c>
      <c r="E706" s="103" t="str">
        <f t="shared" si="972"/>
        <v>Stor_EF-Elec-030gal-0.95EF</v>
      </c>
      <c r="G706" t="str">
        <f t="shared" si="971"/>
        <v>Energy_Factor</v>
      </c>
      <c r="L706">
        <v>509</v>
      </c>
      <c r="M706" t="s">
        <v>392</v>
      </c>
      <c r="N706" t="s">
        <v>432</v>
      </c>
      <c r="O706" t="s">
        <v>437</v>
      </c>
      <c r="P706" t="s">
        <v>125</v>
      </c>
    </row>
    <row r="707" spans="1:16" x14ac:dyDescent="0.25">
      <c r="A707">
        <v>1</v>
      </c>
      <c r="B707">
        <f>INDEX(exante.Technology!$A$2:$A$4130,MATCH(E707,exante.Technology!$C$2:$C$4130,0))</f>
        <v>507</v>
      </c>
      <c r="C707">
        <v>1070</v>
      </c>
      <c r="E707" s="103" t="str">
        <f t="shared" si="972"/>
        <v>Stor_EF-Elec-030gal-0.95EF</v>
      </c>
      <c r="G707" t="str">
        <f t="shared" si="971"/>
        <v>BurnCap_kBTUh</v>
      </c>
      <c r="L707">
        <v>510</v>
      </c>
      <c r="M707" t="s">
        <v>393</v>
      </c>
      <c r="N707" t="s">
        <v>433</v>
      </c>
      <c r="O707" t="s">
        <v>438</v>
      </c>
      <c r="P707" t="s">
        <v>125</v>
      </c>
    </row>
    <row r="708" spans="1:16" x14ac:dyDescent="0.25">
      <c r="A708">
        <v>1</v>
      </c>
      <c r="B708">
        <f>INDEX(exante.Technology!$A$2:$A$4130,MATCH(E708,exante.Technology!$C$2:$C$4130,0))</f>
        <v>507</v>
      </c>
      <c r="C708">
        <v>1071</v>
      </c>
      <c r="E708" s="103" t="str">
        <f t="shared" si="972"/>
        <v>Stor_EF-Elec-030gal-0.95EF</v>
      </c>
      <c r="G708" t="str">
        <f t="shared" si="971"/>
        <v>BurnCap_kW</v>
      </c>
      <c r="L708">
        <v>511</v>
      </c>
      <c r="M708" t="s">
        <v>394</v>
      </c>
      <c r="N708" t="s">
        <v>434</v>
      </c>
      <c r="O708" t="s">
        <v>439</v>
      </c>
      <c r="P708" t="s">
        <v>125</v>
      </c>
    </row>
    <row r="709" spans="1:16" x14ac:dyDescent="0.25">
      <c r="A709">
        <v>1</v>
      </c>
      <c r="B709">
        <f>INDEX(exante.Technology!$A$2:$A$4130,MATCH(E709,exante.Technology!$C$2:$C$4130,0))</f>
        <v>507</v>
      </c>
      <c r="C709">
        <v>1072</v>
      </c>
      <c r="E709" s="103" t="str">
        <f t="shared" si="972"/>
        <v>Stor_EF-Elec-030gal-0.95EF</v>
      </c>
      <c r="G709" t="str">
        <f t="shared" si="971"/>
        <v>RecovEff</v>
      </c>
      <c r="L709">
        <v>517</v>
      </c>
      <c r="M709" t="s">
        <v>395</v>
      </c>
      <c r="N709" t="s">
        <v>430</v>
      </c>
      <c r="O709" t="s">
        <v>440</v>
      </c>
      <c r="P709" t="s">
        <v>158</v>
      </c>
    </row>
    <row r="710" spans="1:16" x14ac:dyDescent="0.25">
      <c r="A710">
        <v>1</v>
      </c>
      <c r="B710">
        <f>INDEX(exante.Technology!$A$2:$A$4130,MATCH(E710,exante.Technology!$C$2:$C$4130,0))</f>
        <v>507</v>
      </c>
      <c r="C710">
        <v>1073</v>
      </c>
      <c r="E710" s="103" t="str">
        <f t="shared" si="972"/>
        <v>Stor_EF-Elec-030gal-0.95EF</v>
      </c>
      <c r="G710" t="str">
        <f t="shared" si="971"/>
        <v>TankUA</v>
      </c>
      <c r="L710">
        <v>519</v>
      </c>
      <c r="M710" t="s">
        <v>396</v>
      </c>
      <c r="N710" t="s">
        <v>430</v>
      </c>
      <c r="O710" s="107" t="s">
        <v>443</v>
      </c>
      <c r="P710" t="s">
        <v>158</v>
      </c>
    </row>
    <row r="711" spans="1:16" x14ac:dyDescent="0.25">
      <c r="A711">
        <v>1</v>
      </c>
      <c r="B711">
        <f>INDEX(exante.Technology!$A$2:$A$4130,MATCH(E711,exante.Technology!$C$2:$C$4130,0))</f>
        <v>507</v>
      </c>
      <c r="C711">
        <v>1074</v>
      </c>
      <c r="D711">
        <v>0</v>
      </c>
      <c r="E711" s="103" t="str">
        <f t="shared" si="972"/>
        <v>Stor_EF-Elec-030gal-0.95EF</v>
      </c>
      <c r="G711" t="str">
        <f t="shared" si="971"/>
        <v>auxW</v>
      </c>
      <c r="L711">
        <v>520</v>
      </c>
      <c r="M711" t="s">
        <v>397</v>
      </c>
      <c r="N711" t="s">
        <v>431</v>
      </c>
      <c r="O711" t="s">
        <v>440</v>
      </c>
      <c r="P711" t="s">
        <v>158</v>
      </c>
    </row>
    <row r="712" spans="1:16" x14ac:dyDescent="0.25">
      <c r="A712">
        <v>1</v>
      </c>
      <c r="B712">
        <f>INDEX(exante.Technology!$A$2:$A$4130,MATCH(E712,exante.Technology!$C$2:$C$4130,0))</f>
        <v>507</v>
      </c>
      <c r="C712">
        <v>1075</v>
      </c>
      <c r="D712">
        <v>0</v>
      </c>
      <c r="E712" s="103" t="str">
        <f t="shared" si="972"/>
        <v>Stor_EF-Elec-030gal-0.95EF</v>
      </c>
      <c r="G712" t="str">
        <f t="shared" si="971"/>
        <v>auxVentW</v>
      </c>
      <c r="L712">
        <v>521</v>
      </c>
      <c r="M712" t="s">
        <v>398</v>
      </c>
      <c r="N712" t="s">
        <v>431</v>
      </c>
      <c r="O712" t="s">
        <v>441</v>
      </c>
      <c r="P712" t="s">
        <v>158</v>
      </c>
    </row>
    <row r="713" spans="1:16" x14ac:dyDescent="0.25">
      <c r="A713">
        <v>1</v>
      </c>
      <c r="B713">
        <f>INDEX(exante.Technology!$A$2:$A$4130,MATCH(E713,exante.Technology!$C$2:$C$4130,0))</f>
        <v>507</v>
      </c>
      <c r="C713">
        <v>1076</v>
      </c>
      <c r="D713">
        <v>0</v>
      </c>
      <c r="E713" s="103" t="str">
        <f t="shared" si="972"/>
        <v>Stor_EF-Elec-030gal-0.95EF</v>
      </c>
      <c r="G713" t="str">
        <f t="shared" si="971"/>
        <v>pilotBTUh</v>
      </c>
      <c r="L713">
        <v>522</v>
      </c>
      <c r="M713" t="s">
        <v>399</v>
      </c>
      <c r="N713" t="s">
        <v>431</v>
      </c>
      <c r="O713" s="107" t="s">
        <v>443</v>
      </c>
      <c r="P713" t="s">
        <v>158</v>
      </c>
    </row>
    <row r="714" spans="1:16" x14ac:dyDescent="0.25">
      <c r="A714">
        <v>1</v>
      </c>
      <c r="B714">
        <f>INDEX(exante.Technology!$A$2:$A$4130,MATCH(E714,exante.Technology!$C$2:$C$4130,0))</f>
        <v>507</v>
      </c>
      <c r="C714">
        <v>1077</v>
      </c>
      <c r="D714">
        <v>0</v>
      </c>
      <c r="E714" s="103" t="str">
        <f t="shared" si="972"/>
        <v>Stor_EF-Elec-030gal-0.95EF</v>
      </c>
      <c r="G714" t="str">
        <f t="shared" si="971"/>
        <v>pilotHtgEff</v>
      </c>
      <c r="L714">
        <v>523</v>
      </c>
      <c r="M714" t="s">
        <v>400</v>
      </c>
      <c r="N714" t="s">
        <v>432</v>
      </c>
      <c r="O714" t="s">
        <v>440</v>
      </c>
      <c r="P714" t="s">
        <v>158</v>
      </c>
    </row>
    <row r="715" spans="1:16" x14ac:dyDescent="0.25">
      <c r="A715">
        <f>+A704+1</f>
        <v>2</v>
      </c>
      <c r="B715">
        <f>INDEX(exante.Technology!$A$2:$A$4130,MATCH(E715,exante.Technology!$C$2:$C$4130,0))</f>
        <v>508</v>
      </c>
      <c r="C715">
        <f>+C704</f>
        <v>85</v>
      </c>
      <c r="D715" s="103" t="str">
        <f>INDEX($P$704:$P$721,$A715)</f>
        <v>Elec</v>
      </c>
      <c r="E715" s="103" t="str">
        <f t="shared" si="972"/>
        <v>Stor_EF-Elec-040gal-0.94EF</v>
      </c>
      <c r="G715" s="103" t="str">
        <f t="shared" si="971"/>
        <v>Fuel_Type</v>
      </c>
      <c r="L715">
        <v>525</v>
      </c>
      <c r="M715" t="s">
        <v>401</v>
      </c>
      <c r="N715" t="s">
        <v>432</v>
      </c>
      <c r="O715" s="107" t="s">
        <v>443</v>
      </c>
      <c r="P715" t="s">
        <v>158</v>
      </c>
    </row>
    <row r="716" spans="1:16" x14ac:dyDescent="0.25">
      <c r="A716">
        <f t="shared" ref="A716:A779" si="973">+A705+1</f>
        <v>2</v>
      </c>
      <c r="B716">
        <f>INDEX(exante.Technology!$A$2:$A$4130,MATCH(E716,exante.Technology!$C$2:$C$4130,0))</f>
        <v>508</v>
      </c>
      <c r="C716">
        <f t="shared" ref="C716:C779" si="974">+C705</f>
        <v>1081</v>
      </c>
      <c r="D716" s="103" t="str">
        <f>INDEX($N$704:$N$721,$A716)</f>
        <v>40</v>
      </c>
      <c r="E716" s="103" t="str">
        <f t="shared" si="972"/>
        <v>Stor_EF-Elec-040gal-0.94EF</v>
      </c>
      <c r="G716" s="103" t="str">
        <f t="shared" ref="G716:G779" si="975">VLOOKUP(C716,$B$3:$C$17,2,FALSE)</f>
        <v>Nom_Gallons</v>
      </c>
      <c r="L716">
        <v>526</v>
      </c>
      <c r="M716" t="s">
        <v>402</v>
      </c>
      <c r="N716" t="s">
        <v>433</v>
      </c>
      <c r="O716" t="s">
        <v>440</v>
      </c>
      <c r="P716" t="s">
        <v>158</v>
      </c>
    </row>
    <row r="717" spans="1:16" x14ac:dyDescent="0.25">
      <c r="A717">
        <f t="shared" si="973"/>
        <v>2</v>
      </c>
      <c r="B717">
        <f>INDEX(exante.Technology!$A$2:$A$4130,MATCH(E717,exante.Technology!$C$2:$C$4130,0))</f>
        <v>508</v>
      </c>
      <c r="C717">
        <f t="shared" si="974"/>
        <v>58</v>
      </c>
      <c r="D717" s="103" t="str">
        <f>INDEX($O$704:$O$721,$A717)</f>
        <v>0.94</v>
      </c>
      <c r="E717" s="103" t="str">
        <f t="shared" si="972"/>
        <v>Stor_EF-Elec-040gal-0.94EF</v>
      </c>
      <c r="G717" s="103" t="str">
        <f t="shared" si="975"/>
        <v>Energy_Factor</v>
      </c>
      <c r="L717">
        <v>527</v>
      </c>
      <c r="M717" t="s">
        <v>403</v>
      </c>
      <c r="N717" t="s">
        <v>433</v>
      </c>
      <c r="O717" t="s">
        <v>442</v>
      </c>
      <c r="P717" t="s">
        <v>158</v>
      </c>
    </row>
    <row r="718" spans="1:16" x14ac:dyDescent="0.25">
      <c r="A718">
        <f t="shared" si="973"/>
        <v>2</v>
      </c>
      <c r="B718">
        <f>INDEX(exante.Technology!$A$2:$A$4130,MATCH(E718,exante.Technology!$C$2:$C$4130,0))</f>
        <v>508</v>
      </c>
      <c r="C718">
        <f t="shared" si="974"/>
        <v>1070</v>
      </c>
      <c r="E718" s="103" t="str">
        <f t="shared" si="972"/>
        <v>Stor_EF-Elec-040gal-0.94EF</v>
      </c>
      <c r="G718" s="103" t="str">
        <f t="shared" si="975"/>
        <v>BurnCap_kBTUh</v>
      </c>
      <c r="L718">
        <v>528</v>
      </c>
      <c r="M718" t="s">
        <v>404</v>
      </c>
      <c r="N718" t="s">
        <v>433</v>
      </c>
      <c r="O718" s="107" t="s">
        <v>443</v>
      </c>
      <c r="P718" t="s">
        <v>158</v>
      </c>
    </row>
    <row r="719" spans="1:16" x14ac:dyDescent="0.25">
      <c r="A719">
        <f t="shared" si="973"/>
        <v>2</v>
      </c>
      <c r="B719">
        <f>INDEX(exante.Technology!$A$2:$A$4130,MATCH(E719,exante.Technology!$C$2:$C$4130,0))</f>
        <v>508</v>
      </c>
      <c r="C719">
        <f t="shared" si="974"/>
        <v>1071</v>
      </c>
      <c r="E719" s="103" t="str">
        <f t="shared" si="972"/>
        <v>Stor_EF-Elec-040gal-0.94EF</v>
      </c>
      <c r="G719" s="103" t="str">
        <f t="shared" si="975"/>
        <v>BurnCap_kW</v>
      </c>
      <c r="L719">
        <v>529</v>
      </c>
      <c r="M719" t="s">
        <v>405</v>
      </c>
      <c r="N719" t="s">
        <v>434</v>
      </c>
      <c r="O719" t="s">
        <v>440</v>
      </c>
      <c r="P719" t="s">
        <v>158</v>
      </c>
    </row>
    <row r="720" spans="1:16" x14ac:dyDescent="0.25">
      <c r="A720">
        <f t="shared" si="973"/>
        <v>2</v>
      </c>
      <c r="B720">
        <f>INDEX(exante.Technology!$A$2:$A$4130,MATCH(E720,exante.Technology!$C$2:$C$4130,0))</f>
        <v>508</v>
      </c>
      <c r="C720">
        <f t="shared" si="974"/>
        <v>1072</v>
      </c>
      <c r="E720" s="103" t="str">
        <f t="shared" si="972"/>
        <v>Stor_EF-Elec-040gal-0.94EF</v>
      </c>
      <c r="G720" s="103" t="str">
        <f t="shared" si="975"/>
        <v>RecovEff</v>
      </c>
      <c r="L720">
        <v>530</v>
      </c>
      <c r="M720" t="s">
        <v>406</v>
      </c>
      <c r="N720" t="s">
        <v>434</v>
      </c>
      <c r="O720" t="s">
        <v>442</v>
      </c>
      <c r="P720" t="s">
        <v>158</v>
      </c>
    </row>
    <row r="721" spans="1:16" x14ac:dyDescent="0.25">
      <c r="A721">
        <f t="shared" si="973"/>
        <v>2</v>
      </c>
      <c r="B721">
        <f>INDEX(exante.Technology!$A$2:$A$4130,MATCH(E721,exante.Technology!$C$2:$C$4130,0))</f>
        <v>508</v>
      </c>
      <c r="C721">
        <f t="shared" si="974"/>
        <v>1073</v>
      </c>
      <c r="E721" s="103" t="str">
        <f t="shared" si="972"/>
        <v>Stor_EF-Elec-040gal-0.94EF</v>
      </c>
      <c r="G721" s="103" t="str">
        <f t="shared" si="975"/>
        <v>TankUA</v>
      </c>
      <c r="L721">
        <v>531</v>
      </c>
      <c r="M721" t="s">
        <v>407</v>
      </c>
      <c r="N721" t="s">
        <v>434</v>
      </c>
      <c r="O721" s="107" t="s">
        <v>443</v>
      </c>
      <c r="P721" t="s">
        <v>158</v>
      </c>
    </row>
    <row r="722" spans="1:16" x14ac:dyDescent="0.25">
      <c r="A722">
        <f t="shared" si="973"/>
        <v>2</v>
      </c>
      <c r="B722">
        <f>INDEX(exante.Technology!$A$2:$A$4130,MATCH(E722,exante.Technology!$C$2:$C$4130,0))</f>
        <v>508</v>
      </c>
      <c r="C722">
        <f t="shared" si="974"/>
        <v>1074</v>
      </c>
      <c r="D722">
        <v>0</v>
      </c>
      <c r="E722" s="103" t="str">
        <f t="shared" si="972"/>
        <v>Stor_EF-Elec-040gal-0.94EF</v>
      </c>
      <c r="G722" s="103" t="str">
        <f t="shared" si="975"/>
        <v>auxW</v>
      </c>
    </row>
    <row r="723" spans="1:16" x14ac:dyDescent="0.25">
      <c r="A723">
        <f t="shared" si="973"/>
        <v>2</v>
      </c>
      <c r="B723">
        <f>INDEX(exante.Technology!$A$2:$A$4130,MATCH(E723,exante.Technology!$C$2:$C$4130,0))</f>
        <v>508</v>
      </c>
      <c r="C723">
        <f t="shared" si="974"/>
        <v>1075</v>
      </c>
      <c r="D723">
        <v>0</v>
      </c>
      <c r="E723" s="103" t="str">
        <f t="shared" si="972"/>
        <v>Stor_EF-Elec-040gal-0.94EF</v>
      </c>
      <c r="G723" s="103" t="str">
        <f t="shared" si="975"/>
        <v>auxVentW</v>
      </c>
    </row>
    <row r="724" spans="1:16" x14ac:dyDescent="0.25">
      <c r="A724">
        <f t="shared" si="973"/>
        <v>2</v>
      </c>
      <c r="B724">
        <f>INDEX(exante.Technology!$A$2:$A$4130,MATCH(E724,exante.Technology!$C$2:$C$4130,0))</f>
        <v>508</v>
      </c>
      <c r="C724">
        <f t="shared" si="974"/>
        <v>1076</v>
      </c>
      <c r="D724">
        <v>0</v>
      </c>
      <c r="E724" s="103" t="str">
        <f t="shared" si="972"/>
        <v>Stor_EF-Elec-040gal-0.94EF</v>
      </c>
      <c r="G724" s="103" t="str">
        <f t="shared" si="975"/>
        <v>pilotBTUh</v>
      </c>
    </row>
    <row r="725" spans="1:16" x14ac:dyDescent="0.25">
      <c r="A725">
        <f t="shared" si="973"/>
        <v>2</v>
      </c>
      <c r="B725">
        <f>INDEX(exante.Technology!$A$2:$A$4130,MATCH(E725,exante.Technology!$C$2:$C$4130,0))</f>
        <v>508</v>
      </c>
      <c r="C725">
        <f t="shared" si="974"/>
        <v>1077</v>
      </c>
      <c r="D725">
        <v>0</v>
      </c>
      <c r="E725" s="103" t="str">
        <f t="shared" si="972"/>
        <v>Stor_EF-Elec-040gal-0.94EF</v>
      </c>
      <c r="G725" s="103" t="str">
        <f t="shared" si="975"/>
        <v>pilotHtgEff</v>
      </c>
    </row>
    <row r="726" spans="1:16" x14ac:dyDescent="0.25">
      <c r="A726">
        <f t="shared" si="973"/>
        <v>3</v>
      </c>
      <c r="B726">
        <f>INDEX(exante.Technology!$A$2:$A$4130,MATCH(E726,exante.Technology!$C$2:$C$4130,0))</f>
        <v>509</v>
      </c>
      <c r="C726">
        <f t="shared" si="974"/>
        <v>85</v>
      </c>
      <c r="D726" s="103" t="str">
        <f>INDEX($P$704:$P$721,$A726)</f>
        <v>Elec</v>
      </c>
      <c r="E726" s="103" t="str">
        <f t="shared" si="972"/>
        <v>Stor_EF-Elec-050gal-0.93EF</v>
      </c>
      <c r="G726" s="103" t="str">
        <f t="shared" si="975"/>
        <v>Fuel_Type</v>
      </c>
    </row>
    <row r="727" spans="1:16" x14ac:dyDescent="0.25">
      <c r="A727">
        <f t="shared" si="973"/>
        <v>3</v>
      </c>
      <c r="B727">
        <f>INDEX(exante.Technology!$A$2:$A$4130,MATCH(E727,exante.Technology!$C$2:$C$4130,0))</f>
        <v>509</v>
      </c>
      <c r="C727">
        <f t="shared" si="974"/>
        <v>1081</v>
      </c>
      <c r="D727" s="103" t="str">
        <f>INDEX($N$704:$N$721,$A727)</f>
        <v>50</v>
      </c>
      <c r="E727" s="103" t="str">
        <f t="shared" si="972"/>
        <v>Stor_EF-Elec-050gal-0.93EF</v>
      </c>
      <c r="G727" s="103" t="str">
        <f t="shared" si="975"/>
        <v>Nom_Gallons</v>
      </c>
    </row>
    <row r="728" spans="1:16" x14ac:dyDescent="0.25">
      <c r="A728">
        <f t="shared" si="973"/>
        <v>3</v>
      </c>
      <c r="B728">
        <f>INDEX(exante.Technology!$A$2:$A$4130,MATCH(E728,exante.Technology!$C$2:$C$4130,0))</f>
        <v>509</v>
      </c>
      <c r="C728">
        <f t="shared" si="974"/>
        <v>58</v>
      </c>
      <c r="D728" s="103" t="str">
        <f>INDEX($O$704:$O$721,$A728)</f>
        <v>0.93</v>
      </c>
      <c r="E728" s="103" t="str">
        <f t="shared" si="972"/>
        <v>Stor_EF-Elec-050gal-0.93EF</v>
      </c>
      <c r="G728" s="103" t="str">
        <f t="shared" si="975"/>
        <v>Energy_Factor</v>
      </c>
    </row>
    <row r="729" spans="1:16" x14ac:dyDescent="0.25">
      <c r="A729">
        <f t="shared" si="973"/>
        <v>3</v>
      </c>
      <c r="B729">
        <f>INDEX(exante.Technology!$A$2:$A$4130,MATCH(E729,exante.Technology!$C$2:$C$4130,0))</f>
        <v>509</v>
      </c>
      <c r="C729">
        <f t="shared" si="974"/>
        <v>1070</v>
      </c>
      <c r="E729" s="103" t="str">
        <f t="shared" si="972"/>
        <v>Stor_EF-Elec-050gal-0.93EF</v>
      </c>
      <c r="G729" s="103" t="str">
        <f t="shared" si="975"/>
        <v>BurnCap_kBTUh</v>
      </c>
    </row>
    <row r="730" spans="1:16" x14ac:dyDescent="0.25">
      <c r="A730">
        <f t="shared" si="973"/>
        <v>3</v>
      </c>
      <c r="B730">
        <f>INDEX(exante.Technology!$A$2:$A$4130,MATCH(E730,exante.Technology!$C$2:$C$4130,0))</f>
        <v>509</v>
      </c>
      <c r="C730">
        <f t="shared" si="974"/>
        <v>1071</v>
      </c>
      <c r="E730" s="103" t="str">
        <f t="shared" si="972"/>
        <v>Stor_EF-Elec-050gal-0.93EF</v>
      </c>
      <c r="G730" s="103" t="str">
        <f t="shared" si="975"/>
        <v>BurnCap_kW</v>
      </c>
    </row>
    <row r="731" spans="1:16" x14ac:dyDescent="0.25">
      <c r="A731">
        <f t="shared" si="973"/>
        <v>3</v>
      </c>
      <c r="B731">
        <f>INDEX(exante.Technology!$A$2:$A$4130,MATCH(E731,exante.Technology!$C$2:$C$4130,0))</f>
        <v>509</v>
      </c>
      <c r="C731">
        <f t="shared" si="974"/>
        <v>1072</v>
      </c>
      <c r="E731" s="103" t="str">
        <f t="shared" si="972"/>
        <v>Stor_EF-Elec-050gal-0.93EF</v>
      </c>
      <c r="G731" s="103" t="str">
        <f t="shared" si="975"/>
        <v>RecovEff</v>
      </c>
    </row>
    <row r="732" spans="1:16" x14ac:dyDescent="0.25">
      <c r="A732">
        <f t="shared" si="973"/>
        <v>3</v>
      </c>
      <c r="B732">
        <f>INDEX(exante.Technology!$A$2:$A$4130,MATCH(E732,exante.Technology!$C$2:$C$4130,0))</f>
        <v>509</v>
      </c>
      <c r="C732">
        <f t="shared" si="974"/>
        <v>1073</v>
      </c>
      <c r="E732" s="103" t="str">
        <f t="shared" si="972"/>
        <v>Stor_EF-Elec-050gal-0.93EF</v>
      </c>
      <c r="G732" s="103" t="str">
        <f t="shared" si="975"/>
        <v>TankUA</v>
      </c>
    </row>
    <row r="733" spans="1:16" x14ac:dyDescent="0.25">
      <c r="A733">
        <f t="shared" si="973"/>
        <v>3</v>
      </c>
      <c r="B733">
        <f>INDEX(exante.Technology!$A$2:$A$4130,MATCH(E733,exante.Technology!$C$2:$C$4130,0))</f>
        <v>509</v>
      </c>
      <c r="C733">
        <f t="shared" si="974"/>
        <v>1074</v>
      </c>
      <c r="D733">
        <v>0</v>
      </c>
      <c r="E733" s="103" t="str">
        <f t="shared" si="972"/>
        <v>Stor_EF-Elec-050gal-0.93EF</v>
      </c>
      <c r="G733" s="103" t="str">
        <f t="shared" si="975"/>
        <v>auxW</v>
      </c>
    </row>
    <row r="734" spans="1:16" x14ac:dyDescent="0.25">
      <c r="A734">
        <f t="shared" si="973"/>
        <v>3</v>
      </c>
      <c r="B734">
        <f>INDEX(exante.Technology!$A$2:$A$4130,MATCH(E734,exante.Technology!$C$2:$C$4130,0))</f>
        <v>509</v>
      </c>
      <c r="C734">
        <f t="shared" si="974"/>
        <v>1075</v>
      </c>
      <c r="D734">
        <v>0</v>
      </c>
      <c r="E734" s="103" t="str">
        <f t="shared" si="972"/>
        <v>Stor_EF-Elec-050gal-0.93EF</v>
      </c>
      <c r="G734" s="103" t="str">
        <f t="shared" si="975"/>
        <v>auxVentW</v>
      </c>
    </row>
    <row r="735" spans="1:16" x14ac:dyDescent="0.25">
      <c r="A735">
        <f t="shared" si="973"/>
        <v>3</v>
      </c>
      <c r="B735">
        <f>INDEX(exante.Technology!$A$2:$A$4130,MATCH(E735,exante.Technology!$C$2:$C$4130,0))</f>
        <v>509</v>
      </c>
      <c r="C735">
        <f t="shared" si="974"/>
        <v>1076</v>
      </c>
      <c r="D735">
        <v>0</v>
      </c>
      <c r="E735" s="103" t="str">
        <f t="shared" si="972"/>
        <v>Stor_EF-Elec-050gal-0.93EF</v>
      </c>
      <c r="G735" s="103" t="str">
        <f t="shared" si="975"/>
        <v>pilotBTUh</v>
      </c>
    </row>
    <row r="736" spans="1:16" x14ac:dyDescent="0.25">
      <c r="A736">
        <f t="shared" si="973"/>
        <v>3</v>
      </c>
      <c r="B736">
        <f>INDEX(exante.Technology!$A$2:$A$4130,MATCH(E736,exante.Technology!$C$2:$C$4130,0))</f>
        <v>509</v>
      </c>
      <c r="C736">
        <f t="shared" si="974"/>
        <v>1077</v>
      </c>
      <c r="D736">
        <v>0</v>
      </c>
      <c r="E736" s="103" t="str">
        <f t="shared" ref="E736:E767" si="976">INDEX($M$704:$M$721,$A736)</f>
        <v>Stor_EF-Elec-050gal-0.93EF</v>
      </c>
      <c r="G736" s="103" t="str">
        <f t="shared" si="975"/>
        <v>pilotHtgEff</v>
      </c>
    </row>
    <row r="737" spans="1:7" x14ac:dyDescent="0.25">
      <c r="A737">
        <f t="shared" si="973"/>
        <v>4</v>
      </c>
      <c r="B737">
        <f>INDEX(exante.Technology!$A$2:$A$4130,MATCH(E737,exante.Technology!$C$2:$C$4130,0))</f>
        <v>510</v>
      </c>
      <c r="C737">
        <f t="shared" si="974"/>
        <v>85</v>
      </c>
      <c r="D737" s="103" t="str">
        <f>INDEX($P$704:$P$721,$A737)</f>
        <v>Elec</v>
      </c>
      <c r="E737" s="103" t="str">
        <f t="shared" si="976"/>
        <v>Stor_EF-Elec-060gal-0.92EF</v>
      </c>
      <c r="G737" s="103" t="str">
        <f t="shared" si="975"/>
        <v>Fuel_Type</v>
      </c>
    </row>
    <row r="738" spans="1:7" x14ac:dyDescent="0.25">
      <c r="A738">
        <f t="shared" si="973"/>
        <v>4</v>
      </c>
      <c r="B738">
        <f>INDEX(exante.Technology!$A$2:$A$4130,MATCH(E738,exante.Technology!$C$2:$C$4130,0))</f>
        <v>510</v>
      </c>
      <c r="C738">
        <f t="shared" si="974"/>
        <v>1081</v>
      </c>
      <c r="D738" s="103" t="str">
        <f>INDEX($N$704:$N$721,$A738)</f>
        <v>60</v>
      </c>
      <c r="E738" s="103" t="str">
        <f t="shared" si="976"/>
        <v>Stor_EF-Elec-060gal-0.92EF</v>
      </c>
      <c r="G738" s="103" t="str">
        <f t="shared" si="975"/>
        <v>Nom_Gallons</v>
      </c>
    </row>
    <row r="739" spans="1:7" x14ac:dyDescent="0.25">
      <c r="A739">
        <f t="shared" si="973"/>
        <v>4</v>
      </c>
      <c r="B739">
        <f>INDEX(exante.Technology!$A$2:$A$4130,MATCH(E739,exante.Technology!$C$2:$C$4130,0))</f>
        <v>510</v>
      </c>
      <c r="C739">
        <f t="shared" si="974"/>
        <v>58</v>
      </c>
      <c r="D739" s="103" t="str">
        <f>INDEX($O$704:$O$721,$A739)</f>
        <v>0.92</v>
      </c>
      <c r="E739" s="103" t="str">
        <f t="shared" si="976"/>
        <v>Stor_EF-Elec-060gal-0.92EF</v>
      </c>
      <c r="G739" s="103" t="str">
        <f t="shared" si="975"/>
        <v>Energy_Factor</v>
      </c>
    </row>
    <row r="740" spans="1:7" x14ac:dyDescent="0.25">
      <c r="A740">
        <f t="shared" si="973"/>
        <v>4</v>
      </c>
      <c r="B740">
        <f>INDEX(exante.Technology!$A$2:$A$4130,MATCH(E740,exante.Technology!$C$2:$C$4130,0))</f>
        <v>510</v>
      </c>
      <c r="C740">
        <f t="shared" si="974"/>
        <v>1070</v>
      </c>
      <c r="E740" s="103" t="str">
        <f t="shared" si="976"/>
        <v>Stor_EF-Elec-060gal-0.92EF</v>
      </c>
      <c r="G740" s="103" t="str">
        <f t="shared" si="975"/>
        <v>BurnCap_kBTUh</v>
      </c>
    </row>
    <row r="741" spans="1:7" x14ac:dyDescent="0.25">
      <c r="A741">
        <f t="shared" si="973"/>
        <v>4</v>
      </c>
      <c r="B741">
        <f>INDEX(exante.Technology!$A$2:$A$4130,MATCH(E741,exante.Technology!$C$2:$C$4130,0))</f>
        <v>510</v>
      </c>
      <c r="C741">
        <f t="shared" si="974"/>
        <v>1071</v>
      </c>
      <c r="E741" s="103" t="str">
        <f t="shared" si="976"/>
        <v>Stor_EF-Elec-060gal-0.92EF</v>
      </c>
      <c r="G741" s="103" t="str">
        <f t="shared" si="975"/>
        <v>BurnCap_kW</v>
      </c>
    </row>
    <row r="742" spans="1:7" x14ac:dyDescent="0.25">
      <c r="A742">
        <f t="shared" si="973"/>
        <v>4</v>
      </c>
      <c r="B742">
        <f>INDEX(exante.Technology!$A$2:$A$4130,MATCH(E742,exante.Technology!$C$2:$C$4130,0))</f>
        <v>510</v>
      </c>
      <c r="C742">
        <f t="shared" si="974"/>
        <v>1072</v>
      </c>
      <c r="E742" s="103" t="str">
        <f t="shared" si="976"/>
        <v>Stor_EF-Elec-060gal-0.92EF</v>
      </c>
      <c r="G742" s="103" t="str">
        <f t="shared" si="975"/>
        <v>RecovEff</v>
      </c>
    </row>
    <row r="743" spans="1:7" x14ac:dyDescent="0.25">
      <c r="A743">
        <f t="shared" si="973"/>
        <v>4</v>
      </c>
      <c r="B743">
        <f>INDEX(exante.Technology!$A$2:$A$4130,MATCH(E743,exante.Technology!$C$2:$C$4130,0))</f>
        <v>510</v>
      </c>
      <c r="C743">
        <f t="shared" si="974"/>
        <v>1073</v>
      </c>
      <c r="E743" s="103" t="str">
        <f t="shared" si="976"/>
        <v>Stor_EF-Elec-060gal-0.92EF</v>
      </c>
      <c r="G743" s="103" t="str">
        <f t="shared" si="975"/>
        <v>TankUA</v>
      </c>
    </row>
    <row r="744" spans="1:7" x14ac:dyDescent="0.25">
      <c r="A744">
        <f t="shared" si="973"/>
        <v>4</v>
      </c>
      <c r="B744">
        <f>INDEX(exante.Technology!$A$2:$A$4130,MATCH(E744,exante.Technology!$C$2:$C$4130,0))</f>
        <v>510</v>
      </c>
      <c r="C744">
        <f t="shared" si="974"/>
        <v>1074</v>
      </c>
      <c r="D744">
        <v>0</v>
      </c>
      <c r="E744" s="103" t="str">
        <f t="shared" si="976"/>
        <v>Stor_EF-Elec-060gal-0.92EF</v>
      </c>
      <c r="G744" s="103" t="str">
        <f t="shared" si="975"/>
        <v>auxW</v>
      </c>
    </row>
    <row r="745" spans="1:7" x14ac:dyDescent="0.25">
      <c r="A745">
        <f t="shared" si="973"/>
        <v>4</v>
      </c>
      <c r="B745">
        <f>INDEX(exante.Technology!$A$2:$A$4130,MATCH(E745,exante.Technology!$C$2:$C$4130,0))</f>
        <v>510</v>
      </c>
      <c r="C745">
        <f t="shared" si="974"/>
        <v>1075</v>
      </c>
      <c r="D745">
        <v>0</v>
      </c>
      <c r="E745" s="103" t="str">
        <f t="shared" si="976"/>
        <v>Stor_EF-Elec-060gal-0.92EF</v>
      </c>
      <c r="G745" s="103" t="str">
        <f t="shared" si="975"/>
        <v>auxVentW</v>
      </c>
    </row>
    <row r="746" spans="1:7" x14ac:dyDescent="0.25">
      <c r="A746">
        <f t="shared" si="973"/>
        <v>4</v>
      </c>
      <c r="B746">
        <f>INDEX(exante.Technology!$A$2:$A$4130,MATCH(E746,exante.Technology!$C$2:$C$4130,0))</f>
        <v>510</v>
      </c>
      <c r="C746">
        <f t="shared" si="974"/>
        <v>1076</v>
      </c>
      <c r="D746">
        <v>0</v>
      </c>
      <c r="E746" s="103" t="str">
        <f t="shared" si="976"/>
        <v>Stor_EF-Elec-060gal-0.92EF</v>
      </c>
      <c r="G746" s="103" t="str">
        <f t="shared" si="975"/>
        <v>pilotBTUh</v>
      </c>
    </row>
    <row r="747" spans="1:7" x14ac:dyDescent="0.25">
      <c r="A747">
        <f t="shared" si="973"/>
        <v>4</v>
      </c>
      <c r="B747">
        <f>INDEX(exante.Technology!$A$2:$A$4130,MATCH(E747,exante.Technology!$C$2:$C$4130,0))</f>
        <v>510</v>
      </c>
      <c r="C747">
        <f t="shared" si="974"/>
        <v>1077</v>
      </c>
      <c r="D747">
        <v>0</v>
      </c>
      <c r="E747" s="103" t="str">
        <f t="shared" si="976"/>
        <v>Stor_EF-Elec-060gal-0.92EF</v>
      </c>
      <c r="G747" s="103" t="str">
        <f t="shared" si="975"/>
        <v>pilotHtgEff</v>
      </c>
    </row>
    <row r="748" spans="1:7" x14ac:dyDescent="0.25">
      <c r="A748">
        <f t="shared" si="973"/>
        <v>5</v>
      </c>
      <c r="B748">
        <f>INDEX(exante.Technology!$A$2:$A$4130,MATCH(E748,exante.Technology!$C$2:$C$4130,0))</f>
        <v>511</v>
      </c>
      <c r="C748">
        <f t="shared" si="974"/>
        <v>85</v>
      </c>
      <c r="D748" s="103" t="str">
        <f>INDEX($P$704:$P$721,$A748)</f>
        <v>Elec</v>
      </c>
      <c r="E748" s="103" t="str">
        <f t="shared" si="976"/>
        <v>Stor_EF-Elec-075gal-0.91EF</v>
      </c>
      <c r="G748" s="103" t="str">
        <f t="shared" si="975"/>
        <v>Fuel_Type</v>
      </c>
    </row>
    <row r="749" spans="1:7" x14ac:dyDescent="0.25">
      <c r="A749">
        <f t="shared" si="973"/>
        <v>5</v>
      </c>
      <c r="B749">
        <f>INDEX(exante.Technology!$A$2:$A$4130,MATCH(E749,exante.Technology!$C$2:$C$4130,0))</f>
        <v>511</v>
      </c>
      <c r="C749">
        <f t="shared" si="974"/>
        <v>1081</v>
      </c>
      <c r="D749" s="103" t="str">
        <f>INDEX($N$704:$N$721,$A749)</f>
        <v>75</v>
      </c>
      <c r="E749" s="103" t="str">
        <f t="shared" si="976"/>
        <v>Stor_EF-Elec-075gal-0.91EF</v>
      </c>
      <c r="G749" s="103" t="str">
        <f t="shared" si="975"/>
        <v>Nom_Gallons</v>
      </c>
    </row>
    <row r="750" spans="1:7" x14ac:dyDescent="0.25">
      <c r="A750">
        <f t="shared" si="973"/>
        <v>5</v>
      </c>
      <c r="B750">
        <f>INDEX(exante.Technology!$A$2:$A$4130,MATCH(E750,exante.Technology!$C$2:$C$4130,0))</f>
        <v>511</v>
      </c>
      <c r="C750">
        <f t="shared" si="974"/>
        <v>58</v>
      </c>
      <c r="D750" s="103" t="str">
        <f>INDEX($O$704:$O$721,$A750)</f>
        <v>0.91</v>
      </c>
      <c r="E750" s="103" t="str">
        <f t="shared" si="976"/>
        <v>Stor_EF-Elec-075gal-0.91EF</v>
      </c>
      <c r="G750" s="103" t="str">
        <f t="shared" si="975"/>
        <v>Energy_Factor</v>
      </c>
    </row>
    <row r="751" spans="1:7" x14ac:dyDescent="0.25">
      <c r="A751">
        <f t="shared" si="973"/>
        <v>5</v>
      </c>
      <c r="B751">
        <f>INDEX(exante.Technology!$A$2:$A$4130,MATCH(E751,exante.Technology!$C$2:$C$4130,0))</f>
        <v>511</v>
      </c>
      <c r="C751">
        <f t="shared" si="974"/>
        <v>1070</v>
      </c>
      <c r="E751" s="103" t="str">
        <f t="shared" si="976"/>
        <v>Stor_EF-Elec-075gal-0.91EF</v>
      </c>
      <c r="G751" s="103" t="str">
        <f t="shared" si="975"/>
        <v>BurnCap_kBTUh</v>
      </c>
    </row>
    <row r="752" spans="1:7" x14ac:dyDescent="0.25">
      <c r="A752">
        <f t="shared" si="973"/>
        <v>5</v>
      </c>
      <c r="B752">
        <f>INDEX(exante.Technology!$A$2:$A$4130,MATCH(E752,exante.Technology!$C$2:$C$4130,0))</f>
        <v>511</v>
      </c>
      <c r="C752">
        <f t="shared" si="974"/>
        <v>1071</v>
      </c>
      <c r="E752" s="103" t="str">
        <f t="shared" si="976"/>
        <v>Stor_EF-Elec-075gal-0.91EF</v>
      </c>
      <c r="G752" s="103" t="str">
        <f t="shared" si="975"/>
        <v>BurnCap_kW</v>
      </c>
    </row>
    <row r="753" spans="1:7" x14ac:dyDescent="0.25">
      <c r="A753">
        <f t="shared" si="973"/>
        <v>5</v>
      </c>
      <c r="B753">
        <f>INDEX(exante.Technology!$A$2:$A$4130,MATCH(E753,exante.Technology!$C$2:$C$4130,0))</f>
        <v>511</v>
      </c>
      <c r="C753">
        <f t="shared" si="974"/>
        <v>1072</v>
      </c>
      <c r="E753" s="103" t="str">
        <f t="shared" si="976"/>
        <v>Stor_EF-Elec-075gal-0.91EF</v>
      </c>
      <c r="G753" s="103" t="str">
        <f t="shared" si="975"/>
        <v>RecovEff</v>
      </c>
    </row>
    <row r="754" spans="1:7" x14ac:dyDescent="0.25">
      <c r="A754">
        <f t="shared" si="973"/>
        <v>5</v>
      </c>
      <c r="B754">
        <f>INDEX(exante.Technology!$A$2:$A$4130,MATCH(E754,exante.Technology!$C$2:$C$4130,0))</f>
        <v>511</v>
      </c>
      <c r="C754">
        <f t="shared" si="974"/>
        <v>1073</v>
      </c>
      <c r="E754" s="103" t="str">
        <f t="shared" si="976"/>
        <v>Stor_EF-Elec-075gal-0.91EF</v>
      </c>
      <c r="G754" s="103" t="str">
        <f t="shared" si="975"/>
        <v>TankUA</v>
      </c>
    </row>
    <row r="755" spans="1:7" x14ac:dyDescent="0.25">
      <c r="A755">
        <f t="shared" si="973"/>
        <v>5</v>
      </c>
      <c r="B755">
        <f>INDEX(exante.Technology!$A$2:$A$4130,MATCH(E755,exante.Technology!$C$2:$C$4130,0))</f>
        <v>511</v>
      </c>
      <c r="C755">
        <f t="shared" si="974"/>
        <v>1074</v>
      </c>
      <c r="D755">
        <v>0</v>
      </c>
      <c r="E755" s="103" t="str">
        <f t="shared" si="976"/>
        <v>Stor_EF-Elec-075gal-0.91EF</v>
      </c>
      <c r="G755" s="103" t="str">
        <f t="shared" si="975"/>
        <v>auxW</v>
      </c>
    </row>
    <row r="756" spans="1:7" x14ac:dyDescent="0.25">
      <c r="A756">
        <f t="shared" si="973"/>
        <v>5</v>
      </c>
      <c r="B756">
        <f>INDEX(exante.Technology!$A$2:$A$4130,MATCH(E756,exante.Technology!$C$2:$C$4130,0))</f>
        <v>511</v>
      </c>
      <c r="C756">
        <f t="shared" si="974"/>
        <v>1075</v>
      </c>
      <c r="D756">
        <v>0</v>
      </c>
      <c r="E756" s="103" t="str">
        <f t="shared" si="976"/>
        <v>Stor_EF-Elec-075gal-0.91EF</v>
      </c>
      <c r="G756" s="103" t="str">
        <f t="shared" si="975"/>
        <v>auxVentW</v>
      </c>
    </row>
    <row r="757" spans="1:7" x14ac:dyDescent="0.25">
      <c r="A757">
        <f t="shared" si="973"/>
        <v>5</v>
      </c>
      <c r="B757">
        <f>INDEX(exante.Technology!$A$2:$A$4130,MATCH(E757,exante.Technology!$C$2:$C$4130,0))</f>
        <v>511</v>
      </c>
      <c r="C757">
        <f t="shared" si="974"/>
        <v>1076</v>
      </c>
      <c r="D757">
        <v>0</v>
      </c>
      <c r="E757" s="103" t="str">
        <f t="shared" si="976"/>
        <v>Stor_EF-Elec-075gal-0.91EF</v>
      </c>
      <c r="G757" s="103" t="str">
        <f t="shared" si="975"/>
        <v>pilotBTUh</v>
      </c>
    </row>
    <row r="758" spans="1:7" x14ac:dyDescent="0.25">
      <c r="A758">
        <f t="shared" si="973"/>
        <v>5</v>
      </c>
      <c r="B758">
        <f>INDEX(exante.Technology!$A$2:$A$4130,MATCH(E758,exante.Technology!$C$2:$C$4130,0))</f>
        <v>511</v>
      </c>
      <c r="C758">
        <f t="shared" si="974"/>
        <v>1077</v>
      </c>
      <c r="D758">
        <v>0</v>
      </c>
      <c r="E758" s="103" t="str">
        <f t="shared" si="976"/>
        <v>Stor_EF-Elec-075gal-0.91EF</v>
      </c>
      <c r="G758" s="103" t="str">
        <f t="shared" si="975"/>
        <v>pilotHtgEff</v>
      </c>
    </row>
    <row r="759" spans="1:7" x14ac:dyDescent="0.25">
      <c r="A759">
        <f t="shared" si="973"/>
        <v>6</v>
      </c>
      <c r="B759">
        <f>INDEX(exante.Technology!$A$2:$A$4130,MATCH(E759,exante.Technology!$C$2:$C$4130,0))</f>
        <v>517</v>
      </c>
      <c r="C759">
        <f t="shared" si="974"/>
        <v>85</v>
      </c>
      <c r="D759" s="103" t="str">
        <f>INDEX($P$704:$P$721,$A759)</f>
        <v>Gas</v>
      </c>
      <c r="E759" s="103" t="str">
        <f t="shared" si="976"/>
        <v>Stor_EF-Gas-030gal-0.62EF</v>
      </c>
      <c r="G759" s="103" t="str">
        <f t="shared" si="975"/>
        <v>Fuel_Type</v>
      </c>
    </row>
    <row r="760" spans="1:7" x14ac:dyDescent="0.25">
      <c r="A760">
        <f t="shared" si="973"/>
        <v>6</v>
      </c>
      <c r="B760">
        <f>INDEX(exante.Technology!$A$2:$A$4130,MATCH(E760,exante.Technology!$C$2:$C$4130,0))</f>
        <v>517</v>
      </c>
      <c r="C760">
        <f t="shared" si="974"/>
        <v>1081</v>
      </c>
      <c r="D760" s="103" t="str">
        <f>INDEX($N$704:$N$721,$A760)</f>
        <v>30</v>
      </c>
      <c r="E760" s="103" t="str">
        <f t="shared" si="976"/>
        <v>Stor_EF-Gas-030gal-0.62EF</v>
      </c>
      <c r="G760" s="103" t="str">
        <f t="shared" si="975"/>
        <v>Nom_Gallons</v>
      </c>
    </row>
    <row r="761" spans="1:7" x14ac:dyDescent="0.25">
      <c r="A761">
        <f t="shared" si="973"/>
        <v>6</v>
      </c>
      <c r="B761">
        <f>INDEX(exante.Technology!$A$2:$A$4130,MATCH(E761,exante.Technology!$C$2:$C$4130,0))</f>
        <v>517</v>
      </c>
      <c r="C761">
        <f t="shared" si="974"/>
        <v>58</v>
      </c>
      <c r="D761" s="103" t="str">
        <f>INDEX($O$704:$O$721,$A761)</f>
        <v>0.62</v>
      </c>
      <c r="E761" s="103" t="str">
        <f t="shared" si="976"/>
        <v>Stor_EF-Gas-030gal-0.62EF</v>
      </c>
      <c r="G761" s="103" t="str">
        <f t="shared" si="975"/>
        <v>Energy_Factor</v>
      </c>
    </row>
    <row r="762" spans="1:7" x14ac:dyDescent="0.25">
      <c r="A762">
        <f t="shared" si="973"/>
        <v>6</v>
      </c>
      <c r="B762">
        <f>INDEX(exante.Technology!$A$2:$A$4130,MATCH(E762,exante.Technology!$C$2:$C$4130,0))</f>
        <v>517</v>
      </c>
      <c r="C762">
        <f t="shared" si="974"/>
        <v>1070</v>
      </c>
      <c r="E762" s="103" t="str">
        <f t="shared" si="976"/>
        <v>Stor_EF-Gas-030gal-0.62EF</v>
      </c>
      <c r="G762" s="103" t="str">
        <f t="shared" si="975"/>
        <v>BurnCap_kBTUh</v>
      </c>
    </row>
    <row r="763" spans="1:7" x14ac:dyDescent="0.25">
      <c r="A763">
        <f t="shared" si="973"/>
        <v>6</v>
      </c>
      <c r="B763">
        <f>INDEX(exante.Technology!$A$2:$A$4130,MATCH(E763,exante.Technology!$C$2:$C$4130,0))</f>
        <v>517</v>
      </c>
      <c r="C763">
        <f t="shared" si="974"/>
        <v>1071</v>
      </c>
      <c r="E763" s="103" t="str">
        <f t="shared" si="976"/>
        <v>Stor_EF-Gas-030gal-0.62EF</v>
      </c>
      <c r="G763" s="103" t="str">
        <f t="shared" si="975"/>
        <v>BurnCap_kW</v>
      </c>
    </row>
    <row r="764" spans="1:7" x14ac:dyDescent="0.25">
      <c r="A764">
        <f t="shared" si="973"/>
        <v>6</v>
      </c>
      <c r="B764">
        <f>INDEX(exante.Technology!$A$2:$A$4130,MATCH(E764,exante.Technology!$C$2:$C$4130,0))</f>
        <v>517</v>
      </c>
      <c r="C764">
        <f t="shared" si="974"/>
        <v>1072</v>
      </c>
      <c r="E764" s="103" t="str">
        <f t="shared" si="976"/>
        <v>Stor_EF-Gas-030gal-0.62EF</v>
      </c>
      <c r="G764" s="103" t="str">
        <f t="shared" si="975"/>
        <v>RecovEff</v>
      </c>
    </row>
    <row r="765" spans="1:7" x14ac:dyDescent="0.25">
      <c r="A765">
        <f t="shared" si="973"/>
        <v>6</v>
      </c>
      <c r="B765">
        <f>INDEX(exante.Technology!$A$2:$A$4130,MATCH(E765,exante.Technology!$C$2:$C$4130,0))</f>
        <v>517</v>
      </c>
      <c r="C765">
        <f t="shared" si="974"/>
        <v>1073</v>
      </c>
      <c r="E765" s="103" t="str">
        <f t="shared" si="976"/>
        <v>Stor_EF-Gas-030gal-0.62EF</v>
      </c>
      <c r="G765" s="103" t="str">
        <f t="shared" si="975"/>
        <v>TankUA</v>
      </c>
    </row>
    <row r="766" spans="1:7" x14ac:dyDescent="0.25">
      <c r="A766">
        <f t="shared" si="973"/>
        <v>6</v>
      </c>
      <c r="B766">
        <f>INDEX(exante.Technology!$A$2:$A$4130,MATCH(E766,exante.Technology!$C$2:$C$4130,0))</f>
        <v>517</v>
      </c>
      <c r="C766">
        <f t="shared" si="974"/>
        <v>1074</v>
      </c>
      <c r="D766">
        <v>0</v>
      </c>
      <c r="E766" s="103" t="str">
        <f t="shared" si="976"/>
        <v>Stor_EF-Gas-030gal-0.62EF</v>
      </c>
      <c r="G766" s="103" t="str">
        <f t="shared" si="975"/>
        <v>auxW</v>
      </c>
    </row>
    <row r="767" spans="1:7" x14ac:dyDescent="0.25">
      <c r="A767">
        <f t="shared" si="973"/>
        <v>6</v>
      </c>
      <c r="B767">
        <f>INDEX(exante.Technology!$A$2:$A$4130,MATCH(E767,exante.Technology!$C$2:$C$4130,0))</f>
        <v>517</v>
      </c>
      <c r="C767">
        <f t="shared" si="974"/>
        <v>1075</v>
      </c>
      <c r="D767">
        <v>0</v>
      </c>
      <c r="E767" s="103" t="str">
        <f t="shared" si="976"/>
        <v>Stor_EF-Gas-030gal-0.62EF</v>
      </c>
      <c r="G767" s="103" t="str">
        <f t="shared" si="975"/>
        <v>auxVentW</v>
      </c>
    </row>
    <row r="768" spans="1:7" x14ac:dyDescent="0.25">
      <c r="A768">
        <f t="shared" si="973"/>
        <v>6</v>
      </c>
      <c r="B768">
        <f>INDEX(exante.Technology!$A$2:$A$4130,MATCH(E768,exante.Technology!$C$2:$C$4130,0))</f>
        <v>517</v>
      </c>
      <c r="C768">
        <f t="shared" si="974"/>
        <v>1076</v>
      </c>
      <c r="D768">
        <v>0</v>
      </c>
      <c r="E768" s="103" t="str">
        <f t="shared" ref="E768:E799" si="977">INDEX($M$704:$M$721,$A768)</f>
        <v>Stor_EF-Gas-030gal-0.62EF</v>
      </c>
      <c r="G768" s="103" t="str">
        <f t="shared" si="975"/>
        <v>pilotBTUh</v>
      </c>
    </row>
    <row r="769" spans="1:7" x14ac:dyDescent="0.25">
      <c r="A769">
        <f t="shared" si="973"/>
        <v>6</v>
      </c>
      <c r="B769">
        <f>INDEX(exante.Technology!$A$2:$A$4130,MATCH(E769,exante.Technology!$C$2:$C$4130,0))</f>
        <v>517</v>
      </c>
      <c r="C769">
        <f t="shared" si="974"/>
        <v>1077</v>
      </c>
      <c r="D769">
        <v>0</v>
      </c>
      <c r="E769" s="103" t="str">
        <f t="shared" si="977"/>
        <v>Stor_EF-Gas-030gal-0.62EF</v>
      </c>
      <c r="G769" s="103" t="str">
        <f t="shared" si="975"/>
        <v>pilotHtgEff</v>
      </c>
    </row>
    <row r="770" spans="1:7" x14ac:dyDescent="0.25">
      <c r="A770">
        <f t="shared" si="973"/>
        <v>7</v>
      </c>
      <c r="B770">
        <f>INDEX(exante.Technology!$A$2:$A$4130,MATCH(E770,exante.Technology!$C$2:$C$4130,0))</f>
        <v>519</v>
      </c>
      <c r="C770">
        <f t="shared" si="974"/>
        <v>85</v>
      </c>
      <c r="D770" s="103" t="str">
        <f>INDEX($P$704:$P$721,$A770)</f>
        <v>Gas</v>
      </c>
      <c r="E770" s="103" t="str">
        <f t="shared" si="977"/>
        <v>Stor_EF-Gas-030gal-0.7EF</v>
      </c>
      <c r="G770" s="103" t="str">
        <f t="shared" si="975"/>
        <v>Fuel_Type</v>
      </c>
    </row>
    <row r="771" spans="1:7" x14ac:dyDescent="0.25">
      <c r="A771">
        <f t="shared" si="973"/>
        <v>7</v>
      </c>
      <c r="B771">
        <f>INDEX(exante.Technology!$A$2:$A$4130,MATCH(E771,exante.Technology!$C$2:$C$4130,0))</f>
        <v>519</v>
      </c>
      <c r="C771">
        <f t="shared" si="974"/>
        <v>1081</v>
      </c>
      <c r="D771" s="103" t="str">
        <f>INDEX($N$704:$N$721,$A771)</f>
        <v>30</v>
      </c>
      <c r="E771" s="103" t="str">
        <f t="shared" si="977"/>
        <v>Stor_EF-Gas-030gal-0.7EF</v>
      </c>
      <c r="G771" s="103" t="str">
        <f t="shared" si="975"/>
        <v>Nom_Gallons</v>
      </c>
    </row>
    <row r="772" spans="1:7" x14ac:dyDescent="0.25">
      <c r="A772">
        <f t="shared" si="973"/>
        <v>7</v>
      </c>
      <c r="B772">
        <f>INDEX(exante.Technology!$A$2:$A$4130,MATCH(E772,exante.Technology!$C$2:$C$4130,0))</f>
        <v>519</v>
      </c>
      <c r="C772">
        <f t="shared" si="974"/>
        <v>58</v>
      </c>
      <c r="D772" s="103" t="str">
        <f>INDEX($O$704:$O$721,$A772)</f>
        <v>0.70</v>
      </c>
      <c r="E772" s="103" t="str">
        <f t="shared" si="977"/>
        <v>Stor_EF-Gas-030gal-0.7EF</v>
      </c>
      <c r="G772" s="103" t="str">
        <f t="shared" si="975"/>
        <v>Energy_Factor</v>
      </c>
    </row>
    <row r="773" spans="1:7" x14ac:dyDescent="0.25">
      <c r="A773">
        <f t="shared" si="973"/>
        <v>7</v>
      </c>
      <c r="B773">
        <f>INDEX(exante.Technology!$A$2:$A$4130,MATCH(E773,exante.Technology!$C$2:$C$4130,0))</f>
        <v>519</v>
      </c>
      <c r="C773">
        <f t="shared" si="974"/>
        <v>1070</v>
      </c>
      <c r="E773" s="103" t="str">
        <f t="shared" si="977"/>
        <v>Stor_EF-Gas-030gal-0.7EF</v>
      </c>
      <c r="G773" s="103" t="str">
        <f t="shared" si="975"/>
        <v>BurnCap_kBTUh</v>
      </c>
    </row>
    <row r="774" spans="1:7" x14ac:dyDescent="0.25">
      <c r="A774">
        <f t="shared" si="973"/>
        <v>7</v>
      </c>
      <c r="B774">
        <f>INDEX(exante.Technology!$A$2:$A$4130,MATCH(E774,exante.Technology!$C$2:$C$4130,0))</f>
        <v>519</v>
      </c>
      <c r="C774">
        <f t="shared" si="974"/>
        <v>1071</v>
      </c>
      <c r="E774" s="103" t="str">
        <f t="shared" si="977"/>
        <v>Stor_EF-Gas-030gal-0.7EF</v>
      </c>
      <c r="G774" s="103" t="str">
        <f t="shared" si="975"/>
        <v>BurnCap_kW</v>
      </c>
    </row>
    <row r="775" spans="1:7" x14ac:dyDescent="0.25">
      <c r="A775">
        <f t="shared" si="973"/>
        <v>7</v>
      </c>
      <c r="B775">
        <f>INDEX(exante.Technology!$A$2:$A$4130,MATCH(E775,exante.Technology!$C$2:$C$4130,0))</f>
        <v>519</v>
      </c>
      <c r="C775">
        <f t="shared" si="974"/>
        <v>1072</v>
      </c>
      <c r="E775" s="103" t="str">
        <f t="shared" si="977"/>
        <v>Stor_EF-Gas-030gal-0.7EF</v>
      </c>
      <c r="G775" s="103" t="str">
        <f t="shared" si="975"/>
        <v>RecovEff</v>
      </c>
    </row>
    <row r="776" spans="1:7" x14ac:dyDescent="0.25">
      <c r="A776">
        <f t="shared" si="973"/>
        <v>7</v>
      </c>
      <c r="B776">
        <f>INDEX(exante.Technology!$A$2:$A$4130,MATCH(E776,exante.Technology!$C$2:$C$4130,0))</f>
        <v>519</v>
      </c>
      <c r="C776">
        <f t="shared" si="974"/>
        <v>1073</v>
      </c>
      <c r="E776" s="103" t="str">
        <f t="shared" si="977"/>
        <v>Stor_EF-Gas-030gal-0.7EF</v>
      </c>
      <c r="G776" s="103" t="str">
        <f t="shared" si="975"/>
        <v>TankUA</v>
      </c>
    </row>
    <row r="777" spans="1:7" x14ac:dyDescent="0.25">
      <c r="A777">
        <f t="shared" si="973"/>
        <v>7</v>
      </c>
      <c r="B777">
        <f>INDEX(exante.Technology!$A$2:$A$4130,MATCH(E777,exante.Technology!$C$2:$C$4130,0))</f>
        <v>519</v>
      </c>
      <c r="C777">
        <f t="shared" si="974"/>
        <v>1074</v>
      </c>
      <c r="D777">
        <v>0</v>
      </c>
      <c r="E777" s="103" t="str">
        <f t="shared" si="977"/>
        <v>Stor_EF-Gas-030gal-0.7EF</v>
      </c>
      <c r="G777" s="103" t="str">
        <f t="shared" si="975"/>
        <v>auxW</v>
      </c>
    </row>
    <row r="778" spans="1:7" x14ac:dyDescent="0.25">
      <c r="A778">
        <f t="shared" si="973"/>
        <v>7</v>
      </c>
      <c r="B778">
        <f>INDEX(exante.Technology!$A$2:$A$4130,MATCH(E778,exante.Technology!$C$2:$C$4130,0))</f>
        <v>519</v>
      </c>
      <c r="C778">
        <f t="shared" si="974"/>
        <v>1075</v>
      </c>
      <c r="D778">
        <v>0</v>
      </c>
      <c r="E778" s="103" t="str">
        <f t="shared" si="977"/>
        <v>Stor_EF-Gas-030gal-0.7EF</v>
      </c>
      <c r="G778" s="103" t="str">
        <f t="shared" si="975"/>
        <v>auxVentW</v>
      </c>
    </row>
    <row r="779" spans="1:7" x14ac:dyDescent="0.25">
      <c r="A779">
        <f t="shared" si="973"/>
        <v>7</v>
      </c>
      <c r="B779">
        <f>INDEX(exante.Technology!$A$2:$A$4130,MATCH(E779,exante.Technology!$C$2:$C$4130,0))</f>
        <v>519</v>
      </c>
      <c r="C779">
        <f t="shared" si="974"/>
        <v>1076</v>
      </c>
      <c r="D779">
        <v>0</v>
      </c>
      <c r="E779" s="103" t="str">
        <f t="shared" si="977"/>
        <v>Stor_EF-Gas-030gal-0.7EF</v>
      </c>
      <c r="G779" s="103" t="str">
        <f t="shared" si="975"/>
        <v>pilotBTUh</v>
      </c>
    </row>
    <row r="780" spans="1:7" x14ac:dyDescent="0.25">
      <c r="A780">
        <f t="shared" ref="A780:A843" si="978">+A769+1</f>
        <v>7</v>
      </c>
      <c r="B780">
        <f>INDEX(exante.Technology!$A$2:$A$4130,MATCH(E780,exante.Technology!$C$2:$C$4130,0))</f>
        <v>519</v>
      </c>
      <c r="C780">
        <f t="shared" ref="C780:C843" si="979">+C769</f>
        <v>1077</v>
      </c>
      <c r="D780">
        <v>0</v>
      </c>
      <c r="E780" s="103" t="str">
        <f t="shared" si="977"/>
        <v>Stor_EF-Gas-030gal-0.7EF</v>
      </c>
      <c r="G780" s="103" t="str">
        <f t="shared" ref="G780:G843" si="980">VLOOKUP(C780,$B$3:$C$17,2,FALSE)</f>
        <v>pilotHtgEff</v>
      </c>
    </row>
    <row r="781" spans="1:7" x14ac:dyDescent="0.25">
      <c r="A781">
        <f t="shared" si="978"/>
        <v>8</v>
      </c>
      <c r="B781">
        <f>INDEX(exante.Technology!$A$2:$A$4130,MATCH(E781,exante.Technology!$C$2:$C$4130,0))</f>
        <v>520</v>
      </c>
      <c r="C781">
        <f t="shared" si="979"/>
        <v>85</v>
      </c>
      <c r="D781" s="103" t="str">
        <f>INDEX($P$704:$P$721,$A781)</f>
        <v>Gas</v>
      </c>
      <c r="E781" s="103" t="str">
        <f t="shared" si="977"/>
        <v>Stor_EF-Gas-040gal-0.62EF</v>
      </c>
      <c r="G781" s="103" t="str">
        <f t="shared" si="980"/>
        <v>Fuel_Type</v>
      </c>
    </row>
    <row r="782" spans="1:7" x14ac:dyDescent="0.25">
      <c r="A782">
        <f t="shared" si="978"/>
        <v>8</v>
      </c>
      <c r="B782">
        <f>INDEX(exante.Technology!$A$2:$A$4130,MATCH(E782,exante.Technology!$C$2:$C$4130,0))</f>
        <v>520</v>
      </c>
      <c r="C782">
        <f t="shared" si="979"/>
        <v>1081</v>
      </c>
      <c r="D782" s="103" t="str">
        <f>INDEX($N$704:$N$721,$A782)</f>
        <v>40</v>
      </c>
      <c r="E782" s="103" t="str">
        <f t="shared" si="977"/>
        <v>Stor_EF-Gas-040gal-0.62EF</v>
      </c>
      <c r="G782" s="103" t="str">
        <f t="shared" si="980"/>
        <v>Nom_Gallons</v>
      </c>
    </row>
    <row r="783" spans="1:7" x14ac:dyDescent="0.25">
      <c r="A783">
        <f t="shared" si="978"/>
        <v>8</v>
      </c>
      <c r="B783">
        <f>INDEX(exante.Technology!$A$2:$A$4130,MATCH(E783,exante.Technology!$C$2:$C$4130,0))</f>
        <v>520</v>
      </c>
      <c r="C783">
        <f t="shared" si="979"/>
        <v>58</v>
      </c>
      <c r="D783" s="103" t="str">
        <f>INDEX($O$704:$O$721,$A783)</f>
        <v>0.62</v>
      </c>
      <c r="E783" s="103" t="str">
        <f t="shared" si="977"/>
        <v>Stor_EF-Gas-040gal-0.62EF</v>
      </c>
      <c r="G783" s="103" t="str">
        <f t="shared" si="980"/>
        <v>Energy_Factor</v>
      </c>
    </row>
    <row r="784" spans="1:7" x14ac:dyDescent="0.25">
      <c r="A784">
        <f t="shared" si="978"/>
        <v>8</v>
      </c>
      <c r="B784">
        <f>INDEX(exante.Technology!$A$2:$A$4130,MATCH(E784,exante.Technology!$C$2:$C$4130,0))</f>
        <v>520</v>
      </c>
      <c r="C784">
        <f t="shared" si="979"/>
        <v>1070</v>
      </c>
      <c r="E784" s="103" t="str">
        <f t="shared" si="977"/>
        <v>Stor_EF-Gas-040gal-0.62EF</v>
      </c>
      <c r="G784" s="103" t="str">
        <f t="shared" si="980"/>
        <v>BurnCap_kBTUh</v>
      </c>
    </row>
    <row r="785" spans="1:7" x14ac:dyDescent="0.25">
      <c r="A785">
        <f t="shared" si="978"/>
        <v>8</v>
      </c>
      <c r="B785">
        <f>INDEX(exante.Technology!$A$2:$A$4130,MATCH(E785,exante.Technology!$C$2:$C$4130,0))</f>
        <v>520</v>
      </c>
      <c r="C785">
        <f t="shared" si="979"/>
        <v>1071</v>
      </c>
      <c r="E785" s="103" t="str">
        <f t="shared" si="977"/>
        <v>Stor_EF-Gas-040gal-0.62EF</v>
      </c>
      <c r="G785" s="103" t="str">
        <f t="shared" si="980"/>
        <v>BurnCap_kW</v>
      </c>
    </row>
    <row r="786" spans="1:7" x14ac:dyDescent="0.25">
      <c r="A786">
        <f t="shared" si="978"/>
        <v>8</v>
      </c>
      <c r="B786">
        <f>INDEX(exante.Technology!$A$2:$A$4130,MATCH(E786,exante.Technology!$C$2:$C$4130,0))</f>
        <v>520</v>
      </c>
      <c r="C786">
        <f t="shared" si="979"/>
        <v>1072</v>
      </c>
      <c r="E786" s="103" t="str">
        <f t="shared" si="977"/>
        <v>Stor_EF-Gas-040gal-0.62EF</v>
      </c>
      <c r="G786" s="103" t="str">
        <f t="shared" si="980"/>
        <v>RecovEff</v>
      </c>
    </row>
    <row r="787" spans="1:7" x14ac:dyDescent="0.25">
      <c r="A787">
        <f t="shared" si="978"/>
        <v>8</v>
      </c>
      <c r="B787">
        <f>INDEX(exante.Technology!$A$2:$A$4130,MATCH(E787,exante.Technology!$C$2:$C$4130,0))</f>
        <v>520</v>
      </c>
      <c r="C787">
        <f t="shared" si="979"/>
        <v>1073</v>
      </c>
      <c r="E787" s="103" t="str">
        <f t="shared" si="977"/>
        <v>Stor_EF-Gas-040gal-0.62EF</v>
      </c>
      <c r="G787" s="103" t="str">
        <f t="shared" si="980"/>
        <v>TankUA</v>
      </c>
    </row>
    <row r="788" spans="1:7" x14ac:dyDescent="0.25">
      <c r="A788">
        <f t="shared" si="978"/>
        <v>8</v>
      </c>
      <c r="B788">
        <f>INDEX(exante.Technology!$A$2:$A$4130,MATCH(E788,exante.Technology!$C$2:$C$4130,0))</f>
        <v>520</v>
      </c>
      <c r="C788">
        <f t="shared" si="979"/>
        <v>1074</v>
      </c>
      <c r="D788">
        <v>0</v>
      </c>
      <c r="E788" s="103" t="str">
        <f t="shared" si="977"/>
        <v>Stor_EF-Gas-040gal-0.62EF</v>
      </c>
      <c r="G788" s="103" t="str">
        <f t="shared" si="980"/>
        <v>auxW</v>
      </c>
    </row>
    <row r="789" spans="1:7" x14ac:dyDescent="0.25">
      <c r="A789">
        <f t="shared" si="978"/>
        <v>8</v>
      </c>
      <c r="B789">
        <f>INDEX(exante.Technology!$A$2:$A$4130,MATCH(E789,exante.Technology!$C$2:$C$4130,0))</f>
        <v>520</v>
      </c>
      <c r="C789">
        <f t="shared" si="979"/>
        <v>1075</v>
      </c>
      <c r="D789">
        <v>0</v>
      </c>
      <c r="E789" s="103" t="str">
        <f t="shared" si="977"/>
        <v>Stor_EF-Gas-040gal-0.62EF</v>
      </c>
      <c r="G789" s="103" t="str">
        <f t="shared" si="980"/>
        <v>auxVentW</v>
      </c>
    </row>
    <row r="790" spans="1:7" x14ac:dyDescent="0.25">
      <c r="A790">
        <f t="shared" si="978"/>
        <v>8</v>
      </c>
      <c r="B790">
        <f>INDEX(exante.Technology!$A$2:$A$4130,MATCH(E790,exante.Technology!$C$2:$C$4130,0))</f>
        <v>520</v>
      </c>
      <c r="C790">
        <f t="shared" si="979"/>
        <v>1076</v>
      </c>
      <c r="D790">
        <v>0</v>
      </c>
      <c r="E790" s="103" t="str">
        <f t="shared" si="977"/>
        <v>Stor_EF-Gas-040gal-0.62EF</v>
      </c>
      <c r="G790" s="103" t="str">
        <f t="shared" si="980"/>
        <v>pilotBTUh</v>
      </c>
    </row>
    <row r="791" spans="1:7" x14ac:dyDescent="0.25">
      <c r="A791">
        <f t="shared" si="978"/>
        <v>8</v>
      </c>
      <c r="B791">
        <f>INDEX(exante.Technology!$A$2:$A$4130,MATCH(E791,exante.Technology!$C$2:$C$4130,0))</f>
        <v>520</v>
      </c>
      <c r="C791">
        <f t="shared" si="979"/>
        <v>1077</v>
      </c>
      <c r="D791">
        <v>0</v>
      </c>
      <c r="E791" s="103" t="str">
        <f t="shared" si="977"/>
        <v>Stor_EF-Gas-040gal-0.62EF</v>
      </c>
      <c r="G791" s="103" t="str">
        <f t="shared" si="980"/>
        <v>pilotHtgEff</v>
      </c>
    </row>
    <row r="792" spans="1:7" x14ac:dyDescent="0.25">
      <c r="A792">
        <f t="shared" si="978"/>
        <v>9</v>
      </c>
      <c r="B792">
        <f>INDEX(exante.Technology!$A$2:$A$4130,MATCH(E792,exante.Technology!$C$2:$C$4130,0))</f>
        <v>521</v>
      </c>
      <c r="C792">
        <f t="shared" si="979"/>
        <v>85</v>
      </c>
      <c r="D792" s="103" t="str">
        <f>INDEX($P$704:$P$721,$A792)</f>
        <v>Gas</v>
      </c>
      <c r="E792" s="103" t="str">
        <f t="shared" si="977"/>
        <v>Stor_EF-Gas-040gal-0.67EF</v>
      </c>
      <c r="G792" s="103" t="str">
        <f t="shared" si="980"/>
        <v>Fuel_Type</v>
      </c>
    </row>
    <row r="793" spans="1:7" x14ac:dyDescent="0.25">
      <c r="A793">
        <f t="shared" si="978"/>
        <v>9</v>
      </c>
      <c r="B793">
        <f>INDEX(exante.Technology!$A$2:$A$4130,MATCH(E793,exante.Technology!$C$2:$C$4130,0))</f>
        <v>521</v>
      </c>
      <c r="C793">
        <f t="shared" si="979"/>
        <v>1081</v>
      </c>
      <c r="D793" s="103" t="str">
        <f>INDEX($N$704:$N$721,$A793)</f>
        <v>40</v>
      </c>
      <c r="E793" s="103" t="str">
        <f t="shared" si="977"/>
        <v>Stor_EF-Gas-040gal-0.67EF</v>
      </c>
      <c r="G793" s="103" t="str">
        <f t="shared" si="980"/>
        <v>Nom_Gallons</v>
      </c>
    </row>
    <row r="794" spans="1:7" x14ac:dyDescent="0.25">
      <c r="A794">
        <f t="shared" si="978"/>
        <v>9</v>
      </c>
      <c r="B794">
        <f>INDEX(exante.Technology!$A$2:$A$4130,MATCH(E794,exante.Technology!$C$2:$C$4130,0))</f>
        <v>521</v>
      </c>
      <c r="C794">
        <f t="shared" si="979"/>
        <v>58</v>
      </c>
      <c r="D794" s="103" t="str">
        <f>INDEX($O$704:$O$721,$A794)</f>
        <v>0.67</v>
      </c>
      <c r="E794" s="103" t="str">
        <f t="shared" si="977"/>
        <v>Stor_EF-Gas-040gal-0.67EF</v>
      </c>
      <c r="G794" s="103" t="str">
        <f t="shared" si="980"/>
        <v>Energy_Factor</v>
      </c>
    </row>
    <row r="795" spans="1:7" x14ac:dyDescent="0.25">
      <c r="A795">
        <f t="shared" si="978"/>
        <v>9</v>
      </c>
      <c r="B795">
        <f>INDEX(exante.Technology!$A$2:$A$4130,MATCH(E795,exante.Technology!$C$2:$C$4130,0))</f>
        <v>521</v>
      </c>
      <c r="C795">
        <f t="shared" si="979"/>
        <v>1070</v>
      </c>
      <c r="E795" s="103" t="str">
        <f t="shared" si="977"/>
        <v>Stor_EF-Gas-040gal-0.67EF</v>
      </c>
      <c r="G795" s="103" t="str">
        <f t="shared" si="980"/>
        <v>BurnCap_kBTUh</v>
      </c>
    </row>
    <row r="796" spans="1:7" x14ac:dyDescent="0.25">
      <c r="A796">
        <f t="shared" si="978"/>
        <v>9</v>
      </c>
      <c r="B796">
        <f>INDEX(exante.Technology!$A$2:$A$4130,MATCH(E796,exante.Technology!$C$2:$C$4130,0))</f>
        <v>521</v>
      </c>
      <c r="C796">
        <f t="shared" si="979"/>
        <v>1071</v>
      </c>
      <c r="E796" s="103" t="str">
        <f t="shared" si="977"/>
        <v>Stor_EF-Gas-040gal-0.67EF</v>
      </c>
      <c r="G796" s="103" t="str">
        <f t="shared" si="980"/>
        <v>BurnCap_kW</v>
      </c>
    </row>
    <row r="797" spans="1:7" x14ac:dyDescent="0.25">
      <c r="A797">
        <f t="shared" si="978"/>
        <v>9</v>
      </c>
      <c r="B797">
        <f>INDEX(exante.Technology!$A$2:$A$4130,MATCH(E797,exante.Technology!$C$2:$C$4130,0))</f>
        <v>521</v>
      </c>
      <c r="C797">
        <f t="shared" si="979"/>
        <v>1072</v>
      </c>
      <c r="E797" s="103" t="str">
        <f t="shared" si="977"/>
        <v>Stor_EF-Gas-040gal-0.67EF</v>
      </c>
      <c r="G797" s="103" t="str">
        <f t="shared" si="980"/>
        <v>RecovEff</v>
      </c>
    </row>
    <row r="798" spans="1:7" x14ac:dyDescent="0.25">
      <c r="A798">
        <f t="shared" si="978"/>
        <v>9</v>
      </c>
      <c r="B798">
        <f>INDEX(exante.Technology!$A$2:$A$4130,MATCH(E798,exante.Technology!$C$2:$C$4130,0))</f>
        <v>521</v>
      </c>
      <c r="C798">
        <f t="shared" si="979"/>
        <v>1073</v>
      </c>
      <c r="E798" s="103" t="str">
        <f t="shared" si="977"/>
        <v>Stor_EF-Gas-040gal-0.67EF</v>
      </c>
      <c r="G798" s="103" t="str">
        <f t="shared" si="980"/>
        <v>TankUA</v>
      </c>
    </row>
    <row r="799" spans="1:7" x14ac:dyDescent="0.25">
      <c r="A799">
        <f t="shared" si="978"/>
        <v>9</v>
      </c>
      <c r="B799">
        <f>INDEX(exante.Technology!$A$2:$A$4130,MATCH(E799,exante.Technology!$C$2:$C$4130,0))</f>
        <v>521</v>
      </c>
      <c r="C799">
        <f t="shared" si="979"/>
        <v>1074</v>
      </c>
      <c r="D799">
        <v>0</v>
      </c>
      <c r="E799" s="103" t="str">
        <f t="shared" si="977"/>
        <v>Stor_EF-Gas-040gal-0.67EF</v>
      </c>
      <c r="G799" s="103" t="str">
        <f t="shared" si="980"/>
        <v>auxW</v>
      </c>
    </row>
    <row r="800" spans="1:7" x14ac:dyDescent="0.25">
      <c r="A800">
        <f t="shared" si="978"/>
        <v>9</v>
      </c>
      <c r="B800">
        <f>INDEX(exante.Technology!$A$2:$A$4130,MATCH(E800,exante.Technology!$C$2:$C$4130,0))</f>
        <v>521</v>
      </c>
      <c r="C800">
        <f t="shared" si="979"/>
        <v>1075</v>
      </c>
      <c r="D800">
        <v>0</v>
      </c>
      <c r="E800" s="103" t="str">
        <f t="shared" ref="E800:E831" si="981">INDEX($M$704:$M$721,$A800)</f>
        <v>Stor_EF-Gas-040gal-0.67EF</v>
      </c>
      <c r="G800" s="103" t="str">
        <f t="shared" si="980"/>
        <v>auxVentW</v>
      </c>
    </row>
    <row r="801" spans="1:7" x14ac:dyDescent="0.25">
      <c r="A801">
        <f t="shared" si="978"/>
        <v>9</v>
      </c>
      <c r="B801">
        <f>INDEX(exante.Technology!$A$2:$A$4130,MATCH(E801,exante.Technology!$C$2:$C$4130,0))</f>
        <v>521</v>
      </c>
      <c r="C801">
        <f t="shared" si="979"/>
        <v>1076</v>
      </c>
      <c r="D801">
        <v>0</v>
      </c>
      <c r="E801" s="103" t="str">
        <f t="shared" si="981"/>
        <v>Stor_EF-Gas-040gal-0.67EF</v>
      </c>
      <c r="G801" s="103" t="str">
        <f t="shared" si="980"/>
        <v>pilotBTUh</v>
      </c>
    </row>
    <row r="802" spans="1:7" x14ac:dyDescent="0.25">
      <c r="A802">
        <f t="shared" si="978"/>
        <v>9</v>
      </c>
      <c r="B802">
        <f>INDEX(exante.Technology!$A$2:$A$4130,MATCH(E802,exante.Technology!$C$2:$C$4130,0))</f>
        <v>521</v>
      </c>
      <c r="C802">
        <f t="shared" si="979"/>
        <v>1077</v>
      </c>
      <c r="D802">
        <v>0</v>
      </c>
      <c r="E802" s="103" t="str">
        <f t="shared" si="981"/>
        <v>Stor_EF-Gas-040gal-0.67EF</v>
      </c>
      <c r="G802" s="103" t="str">
        <f t="shared" si="980"/>
        <v>pilotHtgEff</v>
      </c>
    </row>
    <row r="803" spans="1:7" x14ac:dyDescent="0.25">
      <c r="A803">
        <f t="shared" si="978"/>
        <v>10</v>
      </c>
      <c r="B803">
        <f>INDEX(exante.Technology!$A$2:$A$4130,MATCH(E803,exante.Technology!$C$2:$C$4130,0))</f>
        <v>522</v>
      </c>
      <c r="C803">
        <f t="shared" si="979"/>
        <v>85</v>
      </c>
      <c r="D803" s="103" t="str">
        <f>INDEX($P$704:$P$721,$A803)</f>
        <v>Gas</v>
      </c>
      <c r="E803" s="103" t="str">
        <f t="shared" si="981"/>
        <v>Stor_EF-Gas-040gal-0.7EF</v>
      </c>
      <c r="G803" s="103" t="str">
        <f t="shared" si="980"/>
        <v>Fuel_Type</v>
      </c>
    </row>
    <row r="804" spans="1:7" x14ac:dyDescent="0.25">
      <c r="A804">
        <f t="shared" si="978"/>
        <v>10</v>
      </c>
      <c r="B804">
        <f>INDEX(exante.Technology!$A$2:$A$4130,MATCH(E804,exante.Technology!$C$2:$C$4130,0))</f>
        <v>522</v>
      </c>
      <c r="C804">
        <f t="shared" si="979"/>
        <v>1081</v>
      </c>
      <c r="D804" s="103" t="str">
        <f>INDEX($N$704:$N$721,$A804)</f>
        <v>40</v>
      </c>
      <c r="E804" s="103" t="str">
        <f t="shared" si="981"/>
        <v>Stor_EF-Gas-040gal-0.7EF</v>
      </c>
      <c r="G804" s="103" t="str">
        <f t="shared" si="980"/>
        <v>Nom_Gallons</v>
      </c>
    </row>
    <row r="805" spans="1:7" x14ac:dyDescent="0.25">
      <c r="A805">
        <f t="shared" si="978"/>
        <v>10</v>
      </c>
      <c r="B805">
        <f>INDEX(exante.Technology!$A$2:$A$4130,MATCH(E805,exante.Technology!$C$2:$C$4130,0))</f>
        <v>522</v>
      </c>
      <c r="C805">
        <f t="shared" si="979"/>
        <v>58</v>
      </c>
      <c r="D805" s="103" t="str">
        <f>INDEX($O$704:$O$721,$A805)</f>
        <v>0.70</v>
      </c>
      <c r="E805" s="103" t="str">
        <f t="shared" si="981"/>
        <v>Stor_EF-Gas-040gal-0.7EF</v>
      </c>
      <c r="G805" s="103" t="str">
        <f t="shared" si="980"/>
        <v>Energy_Factor</v>
      </c>
    </row>
    <row r="806" spans="1:7" x14ac:dyDescent="0.25">
      <c r="A806">
        <f t="shared" si="978"/>
        <v>10</v>
      </c>
      <c r="B806">
        <f>INDEX(exante.Technology!$A$2:$A$4130,MATCH(E806,exante.Technology!$C$2:$C$4130,0))</f>
        <v>522</v>
      </c>
      <c r="C806">
        <f t="shared" si="979"/>
        <v>1070</v>
      </c>
      <c r="E806" s="103" t="str">
        <f t="shared" si="981"/>
        <v>Stor_EF-Gas-040gal-0.7EF</v>
      </c>
      <c r="G806" s="103" t="str">
        <f t="shared" si="980"/>
        <v>BurnCap_kBTUh</v>
      </c>
    </row>
    <row r="807" spans="1:7" x14ac:dyDescent="0.25">
      <c r="A807">
        <f t="shared" si="978"/>
        <v>10</v>
      </c>
      <c r="B807">
        <f>INDEX(exante.Technology!$A$2:$A$4130,MATCH(E807,exante.Technology!$C$2:$C$4130,0))</f>
        <v>522</v>
      </c>
      <c r="C807">
        <f t="shared" si="979"/>
        <v>1071</v>
      </c>
      <c r="E807" s="103" t="str">
        <f t="shared" si="981"/>
        <v>Stor_EF-Gas-040gal-0.7EF</v>
      </c>
      <c r="G807" s="103" t="str">
        <f t="shared" si="980"/>
        <v>BurnCap_kW</v>
      </c>
    </row>
    <row r="808" spans="1:7" x14ac:dyDescent="0.25">
      <c r="A808">
        <f t="shared" si="978"/>
        <v>10</v>
      </c>
      <c r="B808">
        <f>INDEX(exante.Technology!$A$2:$A$4130,MATCH(E808,exante.Technology!$C$2:$C$4130,0))</f>
        <v>522</v>
      </c>
      <c r="C808">
        <f t="shared" si="979"/>
        <v>1072</v>
      </c>
      <c r="E808" s="103" t="str">
        <f t="shared" si="981"/>
        <v>Stor_EF-Gas-040gal-0.7EF</v>
      </c>
      <c r="G808" s="103" t="str">
        <f t="shared" si="980"/>
        <v>RecovEff</v>
      </c>
    </row>
    <row r="809" spans="1:7" x14ac:dyDescent="0.25">
      <c r="A809">
        <f t="shared" si="978"/>
        <v>10</v>
      </c>
      <c r="B809">
        <f>INDEX(exante.Technology!$A$2:$A$4130,MATCH(E809,exante.Technology!$C$2:$C$4130,0))</f>
        <v>522</v>
      </c>
      <c r="C809">
        <f t="shared" si="979"/>
        <v>1073</v>
      </c>
      <c r="E809" s="103" t="str">
        <f t="shared" si="981"/>
        <v>Stor_EF-Gas-040gal-0.7EF</v>
      </c>
      <c r="G809" s="103" t="str">
        <f t="shared" si="980"/>
        <v>TankUA</v>
      </c>
    </row>
    <row r="810" spans="1:7" x14ac:dyDescent="0.25">
      <c r="A810">
        <f t="shared" si="978"/>
        <v>10</v>
      </c>
      <c r="B810">
        <f>INDEX(exante.Technology!$A$2:$A$4130,MATCH(E810,exante.Technology!$C$2:$C$4130,0))</f>
        <v>522</v>
      </c>
      <c r="C810">
        <f t="shared" si="979"/>
        <v>1074</v>
      </c>
      <c r="D810">
        <v>0</v>
      </c>
      <c r="E810" s="103" t="str">
        <f t="shared" si="981"/>
        <v>Stor_EF-Gas-040gal-0.7EF</v>
      </c>
      <c r="G810" s="103" t="str">
        <f t="shared" si="980"/>
        <v>auxW</v>
      </c>
    </row>
    <row r="811" spans="1:7" x14ac:dyDescent="0.25">
      <c r="A811">
        <f t="shared" si="978"/>
        <v>10</v>
      </c>
      <c r="B811">
        <f>INDEX(exante.Technology!$A$2:$A$4130,MATCH(E811,exante.Technology!$C$2:$C$4130,0))</f>
        <v>522</v>
      </c>
      <c r="C811">
        <f t="shared" si="979"/>
        <v>1075</v>
      </c>
      <c r="D811">
        <v>0</v>
      </c>
      <c r="E811" s="103" t="str">
        <f t="shared" si="981"/>
        <v>Stor_EF-Gas-040gal-0.7EF</v>
      </c>
      <c r="G811" s="103" t="str">
        <f t="shared" si="980"/>
        <v>auxVentW</v>
      </c>
    </row>
    <row r="812" spans="1:7" x14ac:dyDescent="0.25">
      <c r="A812">
        <f t="shared" si="978"/>
        <v>10</v>
      </c>
      <c r="B812">
        <f>INDEX(exante.Technology!$A$2:$A$4130,MATCH(E812,exante.Technology!$C$2:$C$4130,0))</f>
        <v>522</v>
      </c>
      <c r="C812">
        <f t="shared" si="979"/>
        <v>1076</v>
      </c>
      <c r="D812">
        <v>0</v>
      </c>
      <c r="E812" s="103" t="str">
        <f t="shared" si="981"/>
        <v>Stor_EF-Gas-040gal-0.7EF</v>
      </c>
      <c r="G812" s="103" t="str">
        <f t="shared" si="980"/>
        <v>pilotBTUh</v>
      </c>
    </row>
    <row r="813" spans="1:7" x14ac:dyDescent="0.25">
      <c r="A813">
        <f t="shared" si="978"/>
        <v>10</v>
      </c>
      <c r="B813">
        <f>INDEX(exante.Technology!$A$2:$A$4130,MATCH(E813,exante.Technology!$C$2:$C$4130,0))</f>
        <v>522</v>
      </c>
      <c r="C813">
        <f t="shared" si="979"/>
        <v>1077</v>
      </c>
      <c r="D813">
        <v>0</v>
      </c>
      <c r="E813" s="103" t="str">
        <f t="shared" si="981"/>
        <v>Stor_EF-Gas-040gal-0.7EF</v>
      </c>
      <c r="G813" s="103" t="str">
        <f t="shared" si="980"/>
        <v>pilotHtgEff</v>
      </c>
    </row>
    <row r="814" spans="1:7" x14ac:dyDescent="0.25">
      <c r="A814">
        <f t="shared" si="978"/>
        <v>11</v>
      </c>
      <c r="B814">
        <f>INDEX(exante.Technology!$A$2:$A$4130,MATCH(E814,exante.Technology!$C$2:$C$4130,0))</f>
        <v>523</v>
      </c>
      <c r="C814">
        <f t="shared" si="979"/>
        <v>85</v>
      </c>
      <c r="D814" s="103" t="str">
        <f>INDEX($P$704:$P$721,$A814)</f>
        <v>Gas</v>
      </c>
      <c r="E814" s="103" t="str">
        <f t="shared" si="981"/>
        <v>Stor_EF-Gas-050gal-0.62EF</v>
      </c>
      <c r="G814" s="103" t="str">
        <f t="shared" si="980"/>
        <v>Fuel_Type</v>
      </c>
    </row>
    <row r="815" spans="1:7" x14ac:dyDescent="0.25">
      <c r="A815">
        <f t="shared" si="978"/>
        <v>11</v>
      </c>
      <c r="B815">
        <f>INDEX(exante.Technology!$A$2:$A$4130,MATCH(E815,exante.Technology!$C$2:$C$4130,0))</f>
        <v>523</v>
      </c>
      <c r="C815">
        <f t="shared" si="979"/>
        <v>1081</v>
      </c>
      <c r="D815" s="103" t="str">
        <f>INDEX($N$704:$N$721,$A815)</f>
        <v>50</v>
      </c>
      <c r="E815" s="103" t="str">
        <f t="shared" si="981"/>
        <v>Stor_EF-Gas-050gal-0.62EF</v>
      </c>
      <c r="G815" s="103" t="str">
        <f t="shared" si="980"/>
        <v>Nom_Gallons</v>
      </c>
    </row>
    <row r="816" spans="1:7" x14ac:dyDescent="0.25">
      <c r="A816">
        <f t="shared" si="978"/>
        <v>11</v>
      </c>
      <c r="B816">
        <f>INDEX(exante.Technology!$A$2:$A$4130,MATCH(E816,exante.Technology!$C$2:$C$4130,0))</f>
        <v>523</v>
      </c>
      <c r="C816">
        <f t="shared" si="979"/>
        <v>58</v>
      </c>
      <c r="D816" s="103" t="str">
        <f>INDEX($O$704:$O$721,$A816)</f>
        <v>0.62</v>
      </c>
      <c r="E816" s="103" t="str">
        <f t="shared" si="981"/>
        <v>Stor_EF-Gas-050gal-0.62EF</v>
      </c>
      <c r="G816" s="103" t="str">
        <f t="shared" si="980"/>
        <v>Energy_Factor</v>
      </c>
    </row>
    <row r="817" spans="1:7" x14ac:dyDescent="0.25">
      <c r="A817">
        <f t="shared" si="978"/>
        <v>11</v>
      </c>
      <c r="B817">
        <f>INDEX(exante.Technology!$A$2:$A$4130,MATCH(E817,exante.Technology!$C$2:$C$4130,0))</f>
        <v>523</v>
      </c>
      <c r="C817">
        <f t="shared" si="979"/>
        <v>1070</v>
      </c>
      <c r="E817" s="103" t="str">
        <f t="shared" si="981"/>
        <v>Stor_EF-Gas-050gal-0.62EF</v>
      </c>
      <c r="G817" s="103" t="str">
        <f t="shared" si="980"/>
        <v>BurnCap_kBTUh</v>
      </c>
    </row>
    <row r="818" spans="1:7" x14ac:dyDescent="0.25">
      <c r="A818">
        <f t="shared" si="978"/>
        <v>11</v>
      </c>
      <c r="B818">
        <f>INDEX(exante.Technology!$A$2:$A$4130,MATCH(E818,exante.Technology!$C$2:$C$4130,0))</f>
        <v>523</v>
      </c>
      <c r="C818">
        <f t="shared" si="979"/>
        <v>1071</v>
      </c>
      <c r="E818" s="103" t="str">
        <f t="shared" si="981"/>
        <v>Stor_EF-Gas-050gal-0.62EF</v>
      </c>
      <c r="G818" s="103" t="str">
        <f t="shared" si="980"/>
        <v>BurnCap_kW</v>
      </c>
    </row>
    <row r="819" spans="1:7" x14ac:dyDescent="0.25">
      <c r="A819">
        <f t="shared" si="978"/>
        <v>11</v>
      </c>
      <c r="B819">
        <f>INDEX(exante.Technology!$A$2:$A$4130,MATCH(E819,exante.Technology!$C$2:$C$4130,0))</f>
        <v>523</v>
      </c>
      <c r="C819">
        <f t="shared" si="979"/>
        <v>1072</v>
      </c>
      <c r="E819" s="103" t="str">
        <f t="shared" si="981"/>
        <v>Stor_EF-Gas-050gal-0.62EF</v>
      </c>
      <c r="G819" s="103" t="str">
        <f t="shared" si="980"/>
        <v>RecovEff</v>
      </c>
    </row>
    <row r="820" spans="1:7" x14ac:dyDescent="0.25">
      <c r="A820">
        <f t="shared" si="978"/>
        <v>11</v>
      </c>
      <c r="B820">
        <f>INDEX(exante.Technology!$A$2:$A$4130,MATCH(E820,exante.Technology!$C$2:$C$4130,0))</f>
        <v>523</v>
      </c>
      <c r="C820">
        <f t="shared" si="979"/>
        <v>1073</v>
      </c>
      <c r="E820" s="103" t="str">
        <f t="shared" si="981"/>
        <v>Stor_EF-Gas-050gal-0.62EF</v>
      </c>
      <c r="G820" s="103" t="str">
        <f t="shared" si="980"/>
        <v>TankUA</v>
      </c>
    </row>
    <row r="821" spans="1:7" x14ac:dyDescent="0.25">
      <c r="A821">
        <f t="shared" si="978"/>
        <v>11</v>
      </c>
      <c r="B821">
        <f>INDEX(exante.Technology!$A$2:$A$4130,MATCH(E821,exante.Technology!$C$2:$C$4130,0))</f>
        <v>523</v>
      </c>
      <c r="C821">
        <f t="shared" si="979"/>
        <v>1074</v>
      </c>
      <c r="D821">
        <v>0</v>
      </c>
      <c r="E821" s="103" t="str">
        <f t="shared" si="981"/>
        <v>Stor_EF-Gas-050gal-0.62EF</v>
      </c>
      <c r="G821" s="103" t="str">
        <f t="shared" si="980"/>
        <v>auxW</v>
      </c>
    </row>
    <row r="822" spans="1:7" x14ac:dyDescent="0.25">
      <c r="A822">
        <f t="shared" si="978"/>
        <v>11</v>
      </c>
      <c r="B822">
        <f>INDEX(exante.Technology!$A$2:$A$4130,MATCH(E822,exante.Technology!$C$2:$C$4130,0))</f>
        <v>523</v>
      </c>
      <c r="C822">
        <f t="shared" si="979"/>
        <v>1075</v>
      </c>
      <c r="D822">
        <v>0</v>
      </c>
      <c r="E822" s="103" t="str">
        <f t="shared" si="981"/>
        <v>Stor_EF-Gas-050gal-0.62EF</v>
      </c>
      <c r="G822" s="103" t="str">
        <f t="shared" si="980"/>
        <v>auxVentW</v>
      </c>
    </row>
    <row r="823" spans="1:7" x14ac:dyDescent="0.25">
      <c r="A823">
        <f t="shared" si="978"/>
        <v>11</v>
      </c>
      <c r="B823">
        <f>INDEX(exante.Technology!$A$2:$A$4130,MATCH(E823,exante.Technology!$C$2:$C$4130,0))</f>
        <v>523</v>
      </c>
      <c r="C823">
        <f t="shared" si="979"/>
        <v>1076</v>
      </c>
      <c r="D823">
        <v>0</v>
      </c>
      <c r="E823" s="103" t="str">
        <f t="shared" si="981"/>
        <v>Stor_EF-Gas-050gal-0.62EF</v>
      </c>
      <c r="G823" s="103" t="str">
        <f t="shared" si="980"/>
        <v>pilotBTUh</v>
      </c>
    </row>
    <row r="824" spans="1:7" x14ac:dyDescent="0.25">
      <c r="A824">
        <f t="shared" si="978"/>
        <v>11</v>
      </c>
      <c r="B824">
        <f>INDEX(exante.Technology!$A$2:$A$4130,MATCH(E824,exante.Technology!$C$2:$C$4130,0))</f>
        <v>523</v>
      </c>
      <c r="C824">
        <f t="shared" si="979"/>
        <v>1077</v>
      </c>
      <c r="D824">
        <v>0</v>
      </c>
      <c r="E824" s="103" t="str">
        <f t="shared" si="981"/>
        <v>Stor_EF-Gas-050gal-0.62EF</v>
      </c>
      <c r="G824" s="103" t="str">
        <f t="shared" si="980"/>
        <v>pilotHtgEff</v>
      </c>
    </row>
    <row r="825" spans="1:7" x14ac:dyDescent="0.25">
      <c r="A825">
        <f t="shared" si="978"/>
        <v>12</v>
      </c>
      <c r="B825">
        <f>INDEX(exante.Technology!$A$2:$A$4130,MATCH(E825,exante.Technology!$C$2:$C$4130,0))</f>
        <v>525</v>
      </c>
      <c r="C825">
        <f t="shared" si="979"/>
        <v>85</v>
      </c>
      <c r="D825" s="103" t="str">
        <f>INDEX($P$704:$P$721,$A825)</f>
        <v>Gas</v>
      </c>
      <c r="E825" s="103" t="str">
        <f t="shared" si="981"/>
        <v>Stor_EF-Gas-050gal-0.7EF</v>
      </c>
      <c r="G825" s="103" t="str">
        <f t="shared" si="980"/>
        <v>Fuel_Type</v>
      </c>
    </row>
    <row r="826" spans="1:7" x14ac:dyDescent="0.25">
      <c r="A826">
        <f t="shared" si="978"/>
        <v>12</v>
      </c>
      <c r="B826">
        <f>INDEX(exante.Technology!$A$2:$A$4130,MATCH(E826,exante.Technology!$C$2:$C$4130,0))</f>
        <v>525</v>
      </c>
      <c r="C826">
        <f t="shared" si="979"/>
        <v>1081</v>
      </c>
      <c r="D826" s="103" t="str">
        <f>INDEX($N$704:$N$721,$A826)</f>
        <v>50</v>
      </c>
      <c r="E826" s="103" t="str">
        <f t="shared" si="981"/>
        <v>Stor_EF-Gas-050gal-0.7EF</v>
      </c>
      <c r="G826" s="103" t="str">
        <f t="shared" si="980"/>
        <v>Nom_Gallons</v>
      </c>
    </row>
    <row r="827" spans="1:7" x14ac:dyDescent="0.25">
      <c r="A827">
        <f t="shared" si="978"/>
        <v>12</v>
      </c>
      <c r="B827">
        <f>INDEX(exante.Technology!$A$2:$A$4130,MATCH(E827,exante.Technology!$C$2:$C$4130,0))</f>
        <v>525</v>
      </c>
      <c r="C827">
        <f t="shared" si="979"/>
        <v>58</v>
      </c>
      <c r="D827" s="103" t="str">
        <f>INDEX($O$704:$O$721,$A827)</f>
        <v>0.70</v>
      </c>
      <c r="E827" s="103" t="str">
        <f t="shared" si="981"/>
        <v>Stor_EF-Gas-050gal-0.7EF</v>
      </c>
      <c r="G827" s="103" t="str">
        <f t="shared" si="980"/>
        <v>Energy_Factor</v>
      </c>
    </row>
    <row r="828" spans="1:7" x14ac:dyDescent="0.25">
      <c r="A828">
        <f t="shared" si="978"/>
        <v>12</v>
      </c>
      <c r="B828">
        <f>INDEX(exante.Technology!$A$2:$A$4130,MATCH(E828,exante.Technology!$C$2:$C$4130,0))</f>
        <v>525</v>
      </c>
      <c r="C828">
        <f t="shared" si="979"/>
        <v>1070</v>
      </c>
      <c r="E828" s="103" t="str">
        <f t="shared" si="981"/>
        <v>Stor_EF-Gas-050gal-0.7EF</v>
      </c>
      <c r="G828" s="103" t="str">
        <f t="shared" si="980"/>
        <v>BurnCap_kBTUh</v>
      </c>
    </row>
    <row r="829" spans="1:7" x14ac:dyDescent="0.25">
      <c r="A829">
        <f t="shared" si="978"/>
        <v>12</v>
      </c>
      <c r="B829">
        <f>INDEX(exante.Technology!$A$2:$A$4130,MATCH(E829,exante.Technology!$C$2:$C$4130,0))</f>
        <v>525</v>
      </c>
      <c r="C829">
        <f t="shared" si="979"/>
        <v>1071</v>
      </c>
      <c r="E829" s="103" t="str">
        <f t="shared" si="981"/>
        <v>Stor_EF-Gas-050gal-0.7EF</v>
      </c>
      <c r="G829" s="103" t="str">
        <f t="shared" si="980"/>
        <v>BurnCap_kW</v>
      </c>
    </row>
    <row r="830" spans="1:7" x14ac:dyDescent="0.25">
      <c r="A830">
        <f t="shared" si="978"/>
        <v>12</v>
      </c>
      <c r="B830">
        <f>INDEX(exante.Technology!$A$2:$A$4130,MATCH(E830,exante.Technology!$C$2:$C$4130,0))</f>
        <v>525</v>
      </c>
      <c r="C830">
        <f t="shared" si="979"/>
        <v>1072</v>
      </c>
      <c r="E830" s="103" t="str">
        <f t="shared" si="981"/>
        <v>Stor_EF-Gas-050gal-0.7EF</v>
      </c>
      <c r="G830" s="103" t="str">
        <f t="shared" si="980"/>
        <v>RecovEff</v>
      </c>
    </row>
    <row r="831" spans="1:7" x14ac:dyDescent="0.25">
      <c r="A831">
        <f t="shared" si="978"/>
        <v>12</v>
      </c>
      <c r="B831">
        <f>INDEX(exante.Technology!$A$2:$A$4130,MATCH(E831,exante.Technology!$C$2:$C$4130,0))</f>
        <v>525</v>
      </c>
      <c r="C831">
        <f t="shared" si="979"/>
        <v>1073</v>
      </c>
      <c r="E831" s="103" t="str">
        <f t="shared" si="981"/>
        <v>Stor_EF-Gas-050gal-0.7EF</v>
      </c>
      <c r="G831" s="103" t="str">
        <f t="shared" si="980"/>
        <v>TankUA</v>
      </c>
    </row>
    <row r="832" spans="1:7" x14ac:dyDescent="0.25">
      <c r="A832">
        <f t="shared" si="978"/>
        <v>12</v>
      </c>
      <c r="B832">
        <f>INDEX(exante.Technology!$A$2:$A$4130,MATCH(E832,exante.Technology!$C$2:$C$4130,0))</f>
        <v>525</v>
      </c>
      <c r="C832">
        <f t="shared" si="979"/>
        <v>1074</v>
      </c>
      <c r="D832">
        <v>0</v>
      </c>
      <c r="E832" s="103" t="str">
        <f t="shared" ref="E832:E863" si="982">INDEX($M$704:$M$721,$A832)</f>
        <v>Stor_EF-Gas-050gal-0.7EF</v>
      </c>
      <c r="G832" s="103" t="str">
        <f t="shared" si="980"/>
        <v>auxW</v>
      </c>
    </row>
    <row r="833" spans="1:7" x14ac:dyDescent="0.25">
      <c r="A833">
        <f t="shared" si="978"/>
        <v>12</v>
      </c>
      <c r="B833">
        <f>INDEX(exante.Technology!$A$2:$A$4130,MATCH(E833,exante.Technology!$C$2:$C$4130,0))</f>
        <v>525</v>
      </c>
      <c r="C833">
        <f t="shared" si="979"/>
        <v>1075</v>
      </c>
      <c r="D833">
        <v>0</v>
      </c>
      <c r="E833" s="103" t="str">
        <f t="shared" si="982"/>
        <v>Stor_EF-Gas-050gal-0.7EF</v>
      </c>
      <c r="G833" s="103" t="str">
        <f t="shared" si="980"/>
        <v>auxVentW</v>
      </c>
    </row>
    <row r="834" spans="1:7" x14ac:dyDescent="0.25">
      <c r="A834">
        <f t="shared" si="978"/>
        <v>12</v>
      </c>
      <c r="B834">
        <f>INDEX(exante.Technology!$A$2:$A$4130,MATCH(E834,exante.Technology!$C$2:$C$4130,0))</f>
        <v>525</v>
      </c>
      <c r="C834">
        <f t="shared" si="979"/>
        <v>1076</v>
      </c>
      <c r="D834">
        <v>0</v>
      </c>
      <c r="E834" s="103" t="str">
        <f t="shared" si="982"/>
        <v>Stor_EF-Gas-050gal-0.7EF</v>
      </c>
      <c r="G834" s="103" t="str">
        <f t="shared" si="980"/>
        <v>pilotBTUh</v>
      </c>
    </row>
    <row r="835" spans="1:7" x14ac:dyDescent="0.25">
      <c r="A835">
        <f t="shared" si="978"/>
        <v>12</v>
      </c>
      <c r="B835">
        <f>INDEX(exante.Technology!$A$2:$A$4130,MATCH(E835,exante.Technology!$C$2:$C$4130,0))</f>
        <v>525</v>
      </c>
      <c r="C835">
        <f t="shared" si="979"/>
        <v>1077</v>
      </c>
      <c r="D835">
        <v>0</v>
      </c>
      <c r="E835" s="103" t="str">
        <f t="shared" si="982"/>
        <v>Stor_EF-Gas-050gal-0.7EF</v>
      </c>
      <c r="G835" s="103" t="str">
        <f t="shared" si="980"/>
        <v>pilotHtgEff</v>
      </c>
    </row>
    <row r="836" spans="1:7" x14ac:dyDescent="0.25">
      <c r="A836">
        <f t="shared" si="978"/>
        <v>13</v>
      </c>
      <c r="B836">
        <f>INDEX(exante.Technology!$A$2:$A$4130,MATCH(E836,exante.Technology!$C$2:$C$4130,0))</f>
        <v>526</v>
      </c>
      <c r="C836">
        <f t="shared" si="979"/>
        <v>85</v>
      </c>
      <c r="D836" s="103" t="str">
        <f>INDEX($P$704:$P$721,$A836)</f>
        <v>Gas</v>
      </c>
      <c r="E836" s="103" t="str">
        <f t="shared" si="982"/>
        <v>Stor_EF-Gas-060gal-0.62EF</v>
      </c>
      <c r="G836" s="103" t="str">
        <f t="shared" si="980"/>
        <v>Fuel_Type</v>
      </c>
    </row>
    <row r="837" spans="1:7" x14ac:dyDescent="0.25">
      <c r="A837">
        <f t="shared" si="978"/>
        <v>13</v>
      </c>
      <c r="B837">
        <f>INDEX(exante.Technology!$A$2:$A$4130,MATCH(E837,exante.Technology!$C$2:$C$4130,0))</f>
        <v>526</v>
      </c>
      <c r="C837">
        <f t="shared" si="979"/>
        <v>1081</v>
      </c>
      <c r="D837" s="103" t="str">
        <f>INDEX($N$704:$N$721,$A837)</f>
        <v>60</v>
      </c>
      <c r="E837" s="103" t="str">
        <f t="shared" si="982"/>
        <v>Stor_EF-Gas-060gal-0.62EF</v>
      </c>
      <c r="G837" s="103" t="str">
        <f t="shared" si="980"/>
        <v>Nom_Gallons</v>
      </c>
    </row>
    <row r="838" spans="1:7" x14ac:dyDescent="0.25">
      <c r="A838">
        <f t="shared" si="978"/>
        <v>13</v>
      </c>
      <c r="B838">
        <f>INDEX(exante.Technology!$A$2:$A$4130,MATCH(E838,exante.Technology!$C$2:$C$4130,0))</f>
        <v>526</v>
      </c>
      <c r="C838">
        <f t="shared" si="979"/>
        <v>58</v>
      </c>
      <c r="D838" s="103" t="str">
        <f>INDEX($O$704:$O$721,$A838)</f>
        <v>0.62</v>
      </c>
      <c r="E838" s="103" t="str">
        <f t="shared" si="982"/>
        <v>Stor_EF-Gas-060gal-0.62EF</v>
      </c>
      <c r="G838" s="103" t="str">
        <f t="shared" si="980"/>
        <v>Energy_Factor</v>
      </c>
    </row>
    <row r="839" spans="1:7" x14ac:dyDescent="0.25">
      <c r="A839">
        <f t="shared" si="978"/>
        <v>13</v>
      </c>
      <c r="B839">
        <f>INDEX(exante.Technology!$A$2:$A$4130,MATCH(E839,exante.Technology!$C$2:$C$4130,0))</f>
        <v>526</v>
      </c>
      <c r="C839">
        <f t="shared" si="979"/>
        <v>1070</v>
      </c>
      <c r="E839" s="103" t="str">
        <f t="shared" si="982"/>
        <v>Stor_EF-Gas-060gal-0.62EF</v>
      </c>
      <c r="G839" s="103" t="str">
        <f t="shared" si="980"/>
        <v>BurnCap_kBTUh</v>
      </c>
    </row>
    <row r="840" spans="1:7" x14ac:dyDescent="0.25">
      <c r="A840">
        <f t="shared" si="978"/>
        <v>13</v>
      </c>
      <c r="B840">
        <f>INDEX(exante.Technology!$A$2:$A$4130,MATCH(E840,exante.Technology!$C$2:$C$4130,0))</f>
        <v>526</v>
      </c>
      <c r="C840">
        <f t="shared" si="979"/>
        <v>1071</v>
      </c>
      <c r="E840" s="103" t="str">
        <f t="shared" si="982"/>
        <v>Stor_EF-Gas-060gal-0.62EF</v>
      </c>
      <c r="G840" s="103" t="str">
        <f t="shared" si="980"/>
        <v>BurnCap_kW</v>
      </c>
    </row>
    <row r="841" spans="1:7" x14ac:dyDescent="0.25">
      <c r="A841">
        <f t="shared" si="978"/>
        <v>13</v>
      </c>
      <c r="B841">
        <f>INDEX(exante.Technology!$A$2:$A$4130,MATCH(E841,exante.Technology!$C$2:$C$4130,0))</f>
        <v>526</v>
      </c>
      <c r="C841">
        <f t="shared" si="979"/>
        <v>1072</v>
      </c>
      <c r="E841" s="103" t="str">
        <f t="shared" si="982"/>
        <v>Stor_EF-Gas-060gal-0.62EF</v>
      </c>
      <c r="G841" s="103" t="str">
        <f t="shared" si="980"/>
        <v>RecovEff</v>
      </c>
    </row>
    <row r="842" spans="1:7" x14ac:dyDescent="0.25">
      <c r="A842">
        <f t="shared" si="978"/>
        <v>13</v>
      </c>
      <c r="B842">
        <f>INDEX(exante.Technology!$A$2:$A$4130,MATCH(E842,exante.Technology!$C$2:$C$4130,0))</f>
        <v>526</v>
      </c>
      <c r="C842">
        <f t="shared" si="979"/>
        <v>1073</v>
      </c>
      <c r="E842" s="103" t="str">
        <f t="shared" si="982"/>
        <v>Stor_EF-Gas-060gal-0.62EF</v>
      </c>
      <c r="G842" s="103" t="str">
        <f t="shared" si="980"/>
        <v>TankUA</v>
      </c>
    </row>
    <row r="843" spans="1:7" x14ac:dyDescent="0.25">
      <c r="A843">
        <f t="shared" si="978"/>
        <v>13</v>
      </c>
      <c r="B843">
        <f>INDEX(exante.Technology!$A$2:$A$4130,MATCH(E843,exante.Technology!$C$2:$C$4130,0))</f>
        <v>526</v>
      </c>
      <c r="C843">
        <f t="shared" si="979"/>
        <v>1074</v>
      </c>
      <c r="D843">
        <v>0</v>
      </c>
      <c r="E843" s="103" t="str">
        <f t="shared" si="982"/>
        <v>Stor_EF-Gas-060gal-0.62EF</v>
      </c>
      <c r="G843" s="103" t="str">
        <f t="shared" si="980"/>
        <v>auxW</v>
      </c>
    </row>
    <row r="844" spans="1:7" x14ac:dyDescent="0.25">
      <c r="A844">
        <f t="shared" ref="A844:A901" si="983">+A833+1</f>
        <v>13</v>
      </c>
      <c r="B844">
        <f>INDEX(exante.Technology!$A$2:$A$4130,MATCH(E844,exante.Technology!$C$2:$C$4130,0))</f>
        <v>526</v>
      </c>
      <c r="C844">
        <f t="shared" ref="C844:C901" si="984">+C833</f>
        <v>1075</v>
      </c>
      <c r="D844">
        <v>0</v>
      </c>
      <c r="E844" s="103" t="str">
        <f t="shared" si="982"/>
        <v>Stor_EF-Gas-060gal-0.62EF</v>
      </c>
      <c r="G844" s="103" t="str">
        <f t="shared" ref="G844:G901" si="985">VLOOKUP(C844,$B$3:$C$17,2,FALSE)</f>
        <v>auxVentW</v>
      </c>
    </row>
    <row r="845" spans="1:7" x14ac:dyDescent="0.25">
      <c r="A845">
        <f t="shared" si="983"/>
        <v>13</v>
      </c>
      <c r="B845">
        <f>INDEX(exante.Technology!$A$2:$A$4130,MATCH(E845,exante.Technology!$C$2:$C$4130,0))</f>
        <v>526</v>
      </c>
      <c r="C845">
        <f t="shared" si="984"/>
        <v>1076</v>
      </c>
      <c r="D845">
        <v>0</v>
      </c>
      <c r="E845" s="103" t="str">
        <f t="shared" si="982"/>
        <v>Stor_EF-Gas-060gal-0.62EF</v>
      </c>
      <c r="G845" s="103" t="str">
        <f t="shared" si="985"/>
        <v>pilotBTUh</v>
      </c>
    </row>
    <row r="846" spans="1:7" x14ac:dyDescent="0.25">
      <c r="A846">
        <f t="shared" si="983"/>
        <v>13</v>
      </c>
      <c r="B846">
        <f>INDEX(exante.Technology!$A$2:$A$4130,MATCH(E846,exante.Technology!$C$2:$C$4130,0))</f>
        <v>526</v>
      </c>
      <c r="C846">
        <f t="shared" si="984"/>
        <v>1077</v>
      </c>
      <c r="D846">
        <v>0</v>
      </c>
      <c r="E846" s="103" t="str">
        <f t="shared" si="982"/>
        <v>Stor_EF-Gas-060gal-0.62EF</v>
      </c>
      <c r="G846" s="103" t="str">
        <f t="shared" si="985"/>
        <v>pilotHtgEff</v>
      </c>
    </row>
    <row r="847" spans="1:7" x14ac:dyDescent="0.25">
      <c r="A847">
        <f t="shared" si="983"/>
        <v>14</v>
      </c>
      <c r="B847">
        <f>INDEX(exante.Technology!$A$2:$A$4130,MATCH(E847,exante.Technology!$C$2:$C$4130,0))</f>
        <v>527</v>
      </c>
      <c r="C847">
        <f t="shared" si="984"/>
        <v>85</v>
      </c>
      <c r="D847" s="103" t="str">
        <f>INDEX($P$704:$P$721,$A847)</f>
        <v>Gas</v>
      </c>
      <c r="E847" s="103" t="str">
        <f t="shared" si="982"/>
        <v>Stor_EF-Gas-060gal-0.66EF</v>
      </c>
      <c r="G847" s="103" t="str">
        <f t="shared" si="985"/>
        <v>Fuel_Type</v>
      </c>
    </row>
    <row r="848" spans="1:7" x14ac:dyDescent="0.25">
      <c r="A848">
        <f t="shared" si="983"/>
        <v>14</v>
      </c>
      <c r="B848">
        <f>INDEX(exante.Technology!$A$2:$A$4130,MATCH(E848,exante.Technology!$C$2:$C$4130,0))</f>
        <v>527</v>
      </c>
      <c r="C848">
        <f t="shared" si="984"/>
        <v>1081</v>
      </c>
      <c r="D848" s="103" t="str">
        <f>INDEX($N$704:$N$721,$A848)</f>
        <v>60</v>
      </c>
      <c r="E848" s="103" t="str">
        <f t="shared" si="982"/>
        <v>Stor_EF-Gas-060gal-0.66EF</v>
      </c>
      <c r="G848" s="103" t="str">
        <f t="shared" si="985"/>
        <v>Nom_Gallons</v>
      </c>
    </row>
    <row r="849" spans="1:7" x14ac:dyDescent="0.25">
      <c r="A849">
        <f t="shared" si="983"/>
        <v>14</v>
      </c>
      <c r="B849">
        <f>INDEX(exante.Technology!$A$2:$A$4130,MATCH(E849,exante.Technology!$C$2:$C$4130,0))</f>
        <v>527</v>
      </c>
      <c r="C849">
        <f t="shared" si="984"/>
        <v>58</v>
      </c>
      <c r="D849" s="103" t="str">
        <f>INDEX($O$704:$O$721,$A849)</f>
        <v>0.66</v>
      </c>
      <c r="E849" s="103" t="str">
        <f t="shared" si="982"/>
        <v>Stor_EF-Gas-060gal-0.66EF</v>
      </c>
      <c r="G849" s="103" t="str">
        <f t="shared" si="985"/>
        <v>Energy_Factor</v>
      </c>
    </row>
    <row r="850" spans="1:7" x14ac:dyDescent="0.25">
      <c r="A850">
        <f t="shared" si="983"/>
        <v>14</v>
      </c>
      <c r="B850">
        <f>INDEX(exante.Technology!$A$2:$A$4130,MATCH(E850,exante.Technology!$C$2:$C$4130,0))</f>
        <v>527</v>
      </c>
      <c r="C850">
        <f t="shared" si="984"/>
        <v>1070</v>
      </c>
      <c r="E850" s="103" t="str">
        <f t="shared" si="982"/>
        <v>Stor_EF-Gas-060gal-0.66EF</v>
      </c>
      <c r="G850" s="103" t="str">
        <f t="shared" si="985"/>
        <v>BurnCap_kBTUh</v>
      </c>
    </row>
    <row r="851" spans="1:7" x14ac:dyDescent="0.25">
      <c r="A851">
        <f t="shared" si="983"/>
        <v>14</v>
      </c>
      <c r="B851">
        <f>INDEX(exante.Technology!$A$2:$A$4130,MATCH(E851,exante.Technology!$C$2:$C$4130,0))</f>
        <v>527</v>
      </c>
      <c r="C851">
        <f t="shared" si="984"/>
        <v>1071</v>
      </c>
      <c r="E851" s="103" t="str">
        <f t="shared" si="982"/>
        <v>Stor_EF-Gas-060gal-0.66EF</v>
      </c>
      <c r="G851" s="103" t="str">
        <f t="shared" si="985"/>
        <v>BurnCap_kW</v>
      </c>
    </row>
    <row r="852" spans="1:7" x14ac:dyDescent="0.25">
      <c r="A852">
        <f t="shared" si="983"/>
        <v>14</v>
      </c>
      <c r="B852">
        <f>INDEX(exante.Technology!$A$2:$A$4130,MATCH(E852,exante.Technology!$C$2:$C$4130,0))</f>
        <v>527</v>
      </c>
      <c r="C852">
        <f t="shared" si="984"/>
        <v>1072</v>
      </c>
      <c r="E852" s="103" t="str">
        <f t="shared" si="982"/>
        <v>Stor_EF-Gas-060gal-0.66EF</v>
      </c>
      <c r="G852" s="103" t="str">
        <f t="shared" si="985"/>
        <v>RecovEff</v>
      </c>
    </row>
    <row r="853" spans="1:7" x14ac:dyDescent="0.25">
      <c r="A853">
        <f t="shared" si="983"/>
        <v>14</v>
      </c>
      <c r="B853">
        <f>INDEX(exante.Technology!$A$2:$A$4130,MATCH(E853,exante.Technology!$C$2:$C$4130,0))</f>
        <v>527</v>
      </c>
      <c r="C853">
        <f t="shared" si="984"/>
        <v>1073</v>
      </c>
      <c r="E853" s="103" t="str">
        <f t="shared" si="982"/>
        <v>Stor_EF-Gas-060gal-0.66EF</v>
      </c>
      <c r="G853" s="103" t="str">
        <f t="shared" si="985"/>
        <v>TankUA</v>
      </c>
    </row>
    <row r="854" spans="1:7" x14ac:dyDescent="0.25">
      <c r="A854">
        <f t="shared" si="983"/>
        <v>14</v>
      </c>
      <c r="B854">
        <f>INDEX(exante.Technology!$A$2:$A$4130,MATCH(E854,exante.Technology!$C$2:$C$4130,0))</f>
        <v>527</v>
      </c>
      <c r="C854">
        <f t="shared" si="984"/>
        <v>1074</v>
      </c>
      <c r="D854">
        <v>0</v>
      </c>
      <c r="E854" s="103" t="str">
        <f t="shared" si="982"/>
        <v>Stor_EF-Gas-060gal-0.66EF</v>
      </c>
      <c r="G854" s="103" t="str">
        <f t="shared" si="985"/>
        <v>auxW</v>
      </c>
    </row>
    <row r="855" spans="1:7" x14ac:dyDescent="0.25">
      <c r="A855">
        <f t="shared" si="983"/>
        <v>14</v>
      </c>
      <c r="B855">
        <f>INDEX(exante.Technology!$A$2:$A$4130,MATCH(E855,exante.Technology!$C$2:$C$4130,0))</f>
        <v>527</v>
      </c>
      <c r="C855">
        <f t="shared" si="984"/>
        <v>1075</v>
      </c>
      <c r="D855">
        <v>0</v>
      </c>
      <c r="E855" s="103" t="str">
        <f t="shared" si="982"/>
        <v>Stor_EF-Gas-060gal-0.66EF</v>
      </c>
      <c r="G855" s="103" t="str">
        <f t="shared" si="985"/>
        <v>auxVentW</v>
      </c>
    </row>
    <row r="856" spans="1:7" x14ac:dyDescent="0.25">
      <c r="A856">
        <f t="shared" si="983"/>
        <v>14</v>
      </c>
      <c r="B856">
        <f>INDEX(exante.Technology!$A$2:$A$4130,MATCH(E856,exante.Technology!$C$2:$C$4130,0))</f>
        <v>527</v>
      </c>
      <c r="C856">
        <f t="shared" si="984"/>
        <v>1076</v>
      </c>
      <c r="D856">
        <v>0</v>
      </c>
      <c r="E856" s="103" t="str">
        <f t="shared" si="982"/>
        <v>Stor_EF-Gas-060gal-0.66EF</v>
      </c>
      <c r="G856" s="103" t="str">
        <f t="shared" si="985"/>
        <v>pilotBTUh</v>
      </c>
    </row>
    <row r="857" spans="1:7" x14ac:dyDescent="0.25">
      <c r="A857">
        <f t="shared" si="983"/>
        <v>14</v>
      </c>
      <c r="B857">
        <f>INDEX(exante.Technology!$A$2:$A$4130,MATCH(E857,exante.Technology!$C$2:$C$4130,0))</f>
        <v>527</v>
      </c>
      <c r="C857">
        <f t="shared" si="984"/>
        <v>1077</v>
      </c>
      <c r="D857">
        <v>0</v>
      </c>
      <c r="E857" s="103" t="str">
        <f t="shared" si="982"/>
        <v>Stor_EF-Gas-060gal-0.66EF</v>
      </c>
      <c r="G857" s="103" t="str">
        <f t="shared" si="985"/>
        <v>pilotHtgEff</v>
      </c>
    </row>
    <row r="858" spans="1:7" x14ac:dyDescent="0.25">
      <c r="A858">
        <f t="shared" si="983"/>
        <v>15</v>
      </c>
      <c r="B858">
        <f>INDEX(exante.Technology!$A$2:$A$4130,MATCH(E858,exante.Technology!$C$2:$C$4130,0))</f>
        <v>528</v>
      </c>
      <c r="C858">
        <f t="shared" si="984"/>
        <v>85</v>
      </c>
      <c r="D858" s="103" t="str">
        <f>INDEX($P$704:$P$721,$A858)</f>
        <v>Gas</v>
      </c>
      <c r="E858" s="103" t="str">
        <f t="shared" si="982"/>
        <v>Stor_EF-Gas-060gal-0.7EF</v>
      </c>
      <c r="G858" s="103" t="str">
        <f t="shared" si="985"/>
        <v>Fuel_Type</v>
      </c>
    </row>
    <row r="859" spans="1:7" x14ac:dyDescent="0.25">
      <c r="A859">
        <f t="shared" si="983"/>
        <v>15</v>
      </c>
      <c r="B859">
        <f>INDEX(exante.Technology!$A$2:$A$4130,MATCH(E859,exante.Technology!$C$2:$C$4130,0))</f>
        <v>528</v>
      </c>
      <c r="C859">
        <f t="shared" si="984"/>
        <v>1081</v>
      </c>
      <c r="D859" s="103" t="str">
        <f>INDEX($N$704:$N$721,$A859)</f>
        <v>60</v>
      </c>
      <c r="E859" s="103" t="str">
        <f t="shared" si="982"/>
        <v>Stor_EF-Gas-060gal-0.7EF</v>
      </c>
      <c r="G859" s="103" t="str">
        <f t="shared" si="985"/>
        <v>Nom_Gallons</v>
      </c>
    </row>
    <row r="860" spans="1:7" x14ac:dyDescent="0.25">
      <c r="A860">
        <f t="shared" si="983"/>
        <v>15</v>
      </c>
      <c r="B860">
        <f>INDEX(exante.Technology!$A$2:$A$4130,MATCH(E860,exante.Technology!$C$2:$C$4130,0))</f>
        <v>528</v>
      </c>
      <c r="C860">
        <f t="shared" si="984"/>
        <v>58</v>
      </c>
      <c r="D860" s="103" t="str">
        <f>INDEX($O$704:$O$721,$A860)</f>
        <v>0.70</v>
      </c>
      <c r="E860" s="103" t="str">
        <f t="shared" si="982"/>
        <v>Stor_EF-Gas-060gal-0.7EF</v>
      </c>
      <c r="G860" s="103" t="str">
        <f t="shared" si="985"/>
        <v>Energy_Factor</v>
      </c>
    </row>
    <row r="861" spans="1:7" x14ac:dyDescent="0.25">
      <c r="A861">
        <f t="shared" si="983"/>
        <v>15</v>
      </c>
      <c r="B861">
        <f>INDEX(exante.Technology!$A$2:$A$4130,MATCH(E861,exante.Technology!$C$2:$C$4130,0))</f>
        <v>528</v>
      </c>
      <c r="C861">
        <f t="shared" si="984"/>
        <v>1070</v>
      </c>
      <c r="E861" s="103" t="str">
        <f t="shared" si="982"/>
        <v>Stor_EF-Gas-060gal-0.7EF</v>
      </c>
      <c r="G861" s="103" t="str">
        <f t="shared" si="985"/>
        <v>BurnCap_kBTUh</v>
      </c>
    </row>
    <row r="862" spans="1:7" x14ac:dyDescent="0.25">
      <c r="A862">
        <f t="shared" si="983"/>
        <v>15</v>
      </c>
      <c r="B862">
        <f>INDEX(exante.Technology!$A$2:$A$4130,MATCH(E862,exante.Technology!$C$2:$C$4130,0))</f>
        <v>528</v>
      </c>
      <c r="C862">
        <f t="shared" si="984"/>
        <v>1071</v>
      </c>
      <c r="E862" s="103" t="str">
        <f t="shared" si="982"/>
        <v>Stor_EF-Gas-060gal-0.7EF</v>
      </c>
      <c r="G862" s="103" t="str">
        <f t="shared" si="985"/>
        <v>BurnCap_kW</v>
      </c>
    </row>
    <row r="863" spans="1:7" x14ac:dyDescent="0.25">
      <c r="A863">
        <f t="shared" si="983"/>
        <v>15</v>
      </c>
      <c r="B863">
        <f>INDEX(exante.Technology!$A$2:$A$4130,MATCH(E863,exante.Technology!$C$2:$C$4130,0))</f>
        <v>528</v>
      </c>
      <c r="C863">
        <f t="shared" si="984"/>
        <v>1072</v>
      </c>
      <c r="E863" s="103" t="str">
        <f t="shared" si="982"/>
        <v>Stor_EF-Gas-060gal-0.7EF</v>
      </c>
      <c r="G863" s="103" t="str">
        <f t="shared" si="985"/>
        <v>RecovEff</v>
      </c>
    </row>
    <row r="864" spans="1:7" x14ac:dyDescent="0.25">
      <c r="A864">
        <f t="shared" si="983"/>
        <v>15</v>
      </c>
      <c r="B864">
        <f>INDEX(exante.Technology!$A$2:$A$4130,MATCH(E864,exante.Technology!$C$2:$C$4130,0))</f>
        <v>528</v>
      </c>
      <c r="C864">
        <f t="shared" si="984"/>
        <v>1073</v>
      </c>
      <c r="E864" s="103" t="str">
        <f t="shared" ref="E864:E895" si="986">INDEX($M$704:$M$721,$A864)</f>
        <v>Stor_EF-Gas-060gal-0.7EF</v>
      </c>
      <c r="G864" s="103" t="str">
        <f t="shared" si="985"/>
        <v>TankUA</v>
      </c>
    </row>
    <row r="865" spans="1:7" x14ac:dyDescent="0.25">
      <c r="A865">
        <f t="shared" si="983"/>
        <v>15</v>
      </c>
      <c r="B865">
        <f>INDEX(exante.Technology!$A$2:$A$4130,MATCH(E865,exante.Technology!$C$2:$C$4130,0))</f>
        <v>528</v>
      </c>
      <c r="C865">
        <f t="shared" si="984"/>
        <v>1074</v>
      </c>
      <c r="D865">
        <v>0</v>
      </c>
      <c r="E865" s="103" t="str">
        <f t="shared" si="986"/>
        <v>Stor_EF-Gas-060gal-0.7EF</v>
      </c>
      <c r="G865" s="103" t="str">
        <f t="shared" si="985"/>
        <v>auxW</v>
      </c>
    </row>
    <row r="866" spans="1:7" x14ac:dyDescent="0.25">
      <c r="A866">
        <f t="shared" si="983"/>
        <v>15</v>
      </c>
      <c r="B866">
        <f>INDEX(exante.Technology!$A$2:$A$4130,MATCH(E866,exante.Technology!$C$2:$C$4130,0))</f>
        <v>528</v>
      </c>
      <c r="C866">
        <f t="shared" si="984"/>
        <v>1075</v>
      </c>
      <c r="D866">
        <v>0</v>
      </c>
      <c r="E866" s="103" t="str">
        <f t="shared" si="986"/>
        <v>Stor_EF-Gas-060gal-0.7EF</v>
      </c>
      <c r="G866" s="103" t="str">
        <f t="shared" si="985"/>
        <v>auxVentW</v>
      </c>
    </row>
    <row r="867" spans="1:7" x14ac:dyDescent="0.25">
      <c r="A867">
        <f t="shared" si="983"/>
        <v>15</v>
      </c>
      <c r="B867">
        <f>INDEX(exante.Technology!$A$2:$A$4130,MATCH(E867,exante.Technology!$C$2:$C$4130,0))</f>
        <v>528</v>
      </c>
      <c r="C867">
        <f t="shared" si="984"/>
        <v>1076</v>
      </c>
      <c r="D867">
        <v>0</v>
      </c>
      <c r="E867" s="103" t="str">
        <f t="shared" si="986"/>
        <v>Stor_EF-Gas-060gal-0.7EF</v>
      </c>
      <c r="G867" s="103" t="str">
        <f t="shared" si="985"/>
        <v>pilotBTUh</v>
      </c>
    </row>
    <row r="868" spans="1:7" x14ac:dyDescent="0.25">
      <c r="A868">
        <f t="shared" si="983"/>
        <v>15</v>
      </c>
      <c r="B868">
        <f>INDEX(exante.Technology!$A$2:$A$4130,MATCH(E868,exante.Technology!$C$2:$C$4130,0))</f>
        <v>528</v>
      </c>
      <c r="C868">
        <f t="shared" si="984"/>
        <v>1077</v>
      </c>
      <c r="D868">
        <v>0</v>
      </c>
      <c r="E868" s="103" t="str">
        <f t="shared" si="986"/>
        <v>Stor_EF-Gas-060gal-0.7EF</v>
      </c>
      <c r="G868" s="103" t="str">
        <f t="shared" si="985"/>
        <v>pilotHtgEff</v>
      </c>
    </row>
    <row r="869" spans="1:7" x14ac:dyDescent="0.25">
      <c r="A869">
        <f t="shared" si="983"/>
        <v>16</v>
      </c>
      <c r="B869">
        <f>INDEX(exante.Technology!$A$2:$A$4130,MATCH(E869,exante.Technology!$C$2:$C$4130,0))</f>
        <v>529</v>
      </c>
      <c r="C869">
        <f t="shared" si="984"/>
        <v>85</v>
      </c>
      <c r="D869" s="103" t="str">
        <f>INDEX($P$704:$P$721,$A869)</f>
        <v>Gas</v>
      </c>
      <c r="E869" s="103" t="str">
        <f t="shared" si="986"/>
        <v>Stor_EF-Gas-075gal-0.62EF</v>
      </c>
      <c r="G869" s="103" t="str">
        <f t="shared" si="985"/>
        <v>Fuel_Type</v>
      </c>
    </row>
    <row r="870" spans="1:7" x14ac:dyDescent="0.25">
      <c r="A870">
        <f t="shared" si="983"/>
        <v>16</v>
      </c>
      <c r="B870">
        <f>INDEX(exante.Technology!$A$2:$A$4130,MATCH(E870,exante.Technology!$C$2:$C$4130,0))</f>
        <v>529</v>
      </c>
      <c r="C870">
        <f t="shared" si="984"/>
        <v>1081</v>
      </c>
      <c r="D870" s="103" t="str">
        <f>INDEX($N$704:$N$721,$A870)</f>
        <v>75</v>
      </c>
      <c r="E870" s="103" t="str">
        <f t="shared" si="986"/>
        <v>Stor_EF-Gas-075gal-0.62EF</v>
      </c>
      <c r="G870" s="103" t="str">
        <f t="shared" si="985"/>
        <v>Nom_Gallons</v>
      </c>
    </row>
    <row r="871" spans="1:7" x14ac:dyDescent="0.25">
      <c r="A871">
        <f t="shared" si="983"/>
        <v>16</v>
      </c>
      <c r="B871">
        <f>INDEX(exante.Technology!$A$2:$A$4130,MATCH(E871,exante.Technology!$C$2:$C$4130,0))</f>
        <v>529</v>
      </c>
      <c r="C871">
        <f t="shared" si="984"/>
        <v>58</v>
      </c>
      <c r="D871" s="103" t="str">
        <f>INDEX($O$704:$O$721,$A871)</f>
        <v>0.62</v>
      </c>
      <c r="E871" s="103" t="str">
        <f t="shared" si="986"/>
        <v>Stor_EF-Gas-075gal-0.62EF</v>
      </c>
      <c r="G871" s="103" t="str">
        <f t="shared" si="985"/>
        <v>Energy_Factor</v>
      </c>
    </row>
    <row r="872" spans="1:7" x14ac:dyDescent="0.25">
      <c r="A872">
        <f t="shared" si="983"/>
        <v>16</v>
      </c>
      <c r="B872">
        <f>INDEX(exante.Technology!$A$2:$A$4130,MATCH(E872,exante.Technology!$C$2:$C$4130,0))</f>
        <v>529</v>
      </c>
      <c r="C872">
        <f t="shared" si="984"/>
        <v>1070</v>
      </c>
      <c r="E872" s="103" t="str">
        <f t="shared" si="986"/>
        <v>Stor_EF-Gas-075gal-0.62EF</v>
      </c>
      <c r="G872" s="103" t="str">
        <f t="shared" si="985"/>
        <v>BurnCap_kBTUh</v>
      </c>
    </row>
    <row r="873" spans="1:7" x14ac:dyDescent="0.25">
      <c r="A873">
        <f t="shared" si="983"/>
        <v>16</v>
      </c>
      <c r="B873">
        <f>INDEX(exante.Technology!$A$2:$A$4130,MATCH(E873,exante.Technology!$C$2:$C$4130,0))</f>
        <v>529</v>
      </c>
      <c r="C873">
        <f t="shared" si="984"/>
        <v>1071</v>
      </c>
      <c r="E873" s="103" t="str">
        <f t="shared" si="986"/>
        <v>Stor_EF-Gas-075gal-0.62EF</v>
      </c>
      <c r="G873" s="103" t="str">
        <f t="shared" si="985"/>
        <v>BurnCap_kW</v>
      </c>
    </row>
    <row r="874" spans="1:7" x14ac:dyDescent="0.25">
      <c r="A874">
        <f t="shared" si="983"/>
        <v>16</v>
      </c>
      <c r="B874">
        <f>INDEX(exante.Technology!$A$2:$A$4130,MATCH(E874,exante.Technology!$C$2:$C$4130,0))</f>
        <v>529</v>
      </c>
      <c r="C874">
        <f t="shared" si="984"/>
        <v>1072</v>
      </c>
      <c r="E874" s="103" t="str">
        <f t="shared" si="986"/>
        <v>Stor_EF-Gas-075gal-0.62EF</v>
      </c>
      <c r="G874" s="103" t="str">
        <f t="shared" si="985"/>
        <v>RecovEff</v>
      </c>
    </row>
    <row r="875" spans="1:7" x14ac:dyDescent="0.25">
      <c r="A875">
        <f t="shared" si="983"/>
        <v>16</v>
      </c>
      <c r="B875">
        <f>INDEX(exante.Technology!$A$2:$A$4130,MATCH(E875,exante.Technology!$C$2:$C$4130,0))</f>
        <v>529</v>
      </c>
      <c r="C875">
        <f t="shared" si="984"/>
        <v>1073</v>
      </c>
      <c r="E875" s="103" t="str">
        <f t="shared" si="986"/>
        <v>Stor_EF-Gas-075gal-0.62EF</v>
      </c>
      <c r="G875" s="103" t="str">
        <f t="shared" si="985"/>
        <v>TankUA</v>
      </c>
    </row>
    <row r="876" spans="1:7" x14ac:dyDescent="0.25">
      <c r="A876">
        <f t="shared" si="983"/>
        <v>16</v>
      </c>
      <c r="B876">
        <f>INDEX(exante.Technology!$A$2:$A$4130,MATCH(E876,exante.Technology!$C$2:$C$4130,0))</f>
        <v>529</v>
      </c>
      <c r="C876">
        <f t="shared" si="984"/>
        <v>1074</v>
      </c>
      <c r="D876">
        <v>0</v>
      </c>
      <c r="E876" s="103" t="str">
        <f t="shared" si="986"/>
        <v>Stor_EF-Gas-075gal-0.62EF</v>
      </c>
      <c r="G876" s="103" t="str">
        <f t="shared" si="985"/>
        <v>auxW</v>
      </c>
    </row>
    <row r="877" spans="1:7" x14ac:dyDescent="0.25">
      <c r="A877">
        <f t="shared" si="983"/>
        <v>16</v>
      </c>
      <c r="B877">
        <f>INDEX(exante.Technology!$A$2:$A$4130,MATCH(E877,exante.Technology!$C$2:$C$4130,0))</f>
        <v>529</v>
      </c>
      <c r="C877">
        <f t="shared" si="984"/>
        <v>1075</v>
      </c>
      <c r="D877">
        <v>0</v>
      </c>
      <c r="E877" s="103" t="str">
        <f t="shared" si="986"/>
        <v>Stor_EF-Gas-075gal-0.62EF</v>
      </c>
      <c r="G877" s="103" t="str">
        <f t="shared" si="985"/>
        <v>auxVentW</v>
      </c>
    </row>
    <row r="878" spans="1:7" x14ac:dyDescent="0.25">
      <c r="A878">
        <f t="shared" si="983"/>
        <v>16</v>
      </c>
      <c r="B878">
        <f>INDEX(exante.Technology!$A$2:$A$4130,MATCH(E878,exante.Technology!$C$2:$C$4130,0))</f>
        <v>529</v>
      </c>
      <c r="C878">
        <f t="shared" si="984"/>
        <v>1076</v>
      </c>
      <c r="D878">
        <v>0</v>
      </c>
      <c r="E878" s="103" t="str">
        <f t="shared" si="986"/>
        <v>Stor_EF-Gas-075gal-0.62EF</v>
      </c>
      <c r="G878" s="103" t="str">
        <f t="shared" si="985"/>
        <v>pilotBTUh</v>
      </c>
    </row>
    <row r="879" spans="1:7" x14ac:dyDescent="0.25">
      <c r="A879">
        <f t="shared" si="983"/>
        <v>16</v>
      </c>
      <c r="B879">
        <f>INDEX(exante.Technology!$A$2:$A$4130,MATCH(E879,exante.Technology!$C$2:$C$4130,0))</f>
        <v>529</v>
      </c>
      <c r="C879">
        <f t="shared" si="984"/>
        <v>1077</v>
      </c>
      <c r="D879">
        <v>0</v>
      </c>
      <c r="E879" s="103" t="str">
        <f t="shared" si="986"/>
        <v>Stor_EF-Gas-075gal-0.62EF</v>
      </c>
      <c r="G879" s="103" t="str">
        <f t="shared" si="985"/>
        <v>pilotHtgEff</v>
      </c>
    </row>
    <row r="880" spans="1:7" x14ac:dyDescent="0.25">
      <c r="A880">
        <f t="shared" si="983"/>
        <v>17</v>
      </c>
      <c r="B880">
        <f>INDEX(exante.Technology!$A$2:$A$4130,MATCH(E880,exante.Technology!$C$2:$C$4130,0))</f>
        <v>530</v>
      </c>
      <c r="C880">
        <f t="shared" si="984"/>
        <v>85</v>
      </c>
      <c r="D880" s="103" t="str">
        <f>INDEX($P$704:$P$721,$A880)</f>
        <v>Gas</v>
      </c>
      <c r="E880" s="103" t="str">
        <f t="shared" si="986"/>
        <v>Stor_EF-Gas-075gal-0.66EF</v>
      </c>
      <c r="G880" s="103" t="str">
        <f t="shared" si="985"/>
        <v>Fuel_Type</v>
      </c>
    </row>
    <row r="881" spans="1:7" x14ac:dyDescent="0.25">
      <c r="A881">
        <f t="shared" si="983"/>
        <v>17</v>
      </c>
      <c r="B881">
        <f>INDEX(exante.Technology!$A$2:$A$4130,MATCH(E881,exante.Technology!$C$2:$C$4130,0))</f>
        <v>530</v>
      </c>
      <c r="C881">
        <f t="shared" si="984"/>
        <v>1081</v>
      </c>
      <c r="D881" s="103" t="str">
        <f>INDEX($N$704:$N$721,$A881)</f>
        <v>75</v>
      </c>
      <c r="E881" s="103" t="str">
        <f t="shared" si="986"/>
        <v>Stor_EF-Gas-075gal-0.66EF</v>
      </c>
      <c r="G881" s="103" t="str">
        <f t="shared" si="985"/>
        <v>Nom_Gallons</v>
      </c>
    </row>
    <row r="882" spans="1:7" x14ac:dyDescent="0.25">
      <c r="A882">
        <f t="shared" si="983"/>
        <v>17</v>
      </c>
      <c r="B882">
        <f>INDEX(exante.Technology!$A$2:$A$4130,MATCH(E882,exante.Technology!$C$2:$C$4130,0))</f>
        <v>530</v>
      </c>
      <c r="C882">
        <f t="shared" si="984"/>
        <v>58</v>
      </c>
      <c r="D882" s="103" t="str">
        <f>INDEX($O$704:$O$721,$A882)</f>
        <v>0.66</v>
      </c>
      <c r="E882" s="103" t="str">
        <f t="shared" si="986"/>
        <v>Stor_EF-Gas-075gal-0.66EF</v>
      </c>
      <c r="G882" s="103" t="str">
        <f t="shared" si="985"/>
        <v>Energy_Factor</v>
      </c>
    </row>
    <row r="883" spans="1:7" x14ac:dyDescent="0.25">
      <c r="A883">
        <f t="shared" si="983"/>
        <v>17</v>
      </c>
      <c r="B883">
        <f>INDEX(exante.Technology!$A$2:$A$4130,MATCH(E883,exante.Technology!$C$2:$C$4130,0))</f>
        <v>530</v>
      </c>
      <c r="C883">
        <f t="shared" si="984"/>
        <v>1070</v>
      </c>
      <c r="E883" s="103" t="str">
        <f t="shared" si="986"/>
        <v>Stor_EF-Gas-075gal-0.66EF</v>
      </c>
      <c r="G883" s="103" t="str">
        <f t="shared" si="985"/>
        <v>BurnCap_kBTUh</v>
      </c>
    </row>
    <row r="884" spans="1:7" x14ac:dyDescent="0.25">
      <c r="A884">
        <f t="shared" si="983"/>
        <v>17</v>
      </c>
      <c r="B884">
        <f>INDEX(exante.Technology!$A$2:$A$4130,MATCH(E884,exante.Technology!$C$2:$C$4130,0))</f>
        <v>530</v>
      </c>
      <c r="C884">
        <f t="shared" si="984"/>
        <v>1071</v>
      </c>
      <c r="E884" s="103" t="str">
        <f t="shared" si="986"/>
        <v>Stor_EF-Gas-075gal-0.66EF</v>
      </c>
      <c r="G884" s="103" t="str">
        <f t="shared" si="985"/>
        <v>BurnCap_kW</v>
      </c>
    </row>
    <row r="885" spans="1:7" x14ac:dyDescent="0.25">
      <c r="A885">
        <f t="shared" si="983"/>
        <v>17</v>
      </c>
      <c r="B885">
        <f>INDEX(exante.Technology!$A$2:$A$4130,MATCH(E885,exante.Technology!$C$2:$C$4130,0))</f>
        <v>530</v>
      </c>
      <c r="C885">
        <f t="shared" si="984"/>
        <v>1072</v>
      </c>
      <c r="E885" s="103" t="str">
        <f t="shared" si="986"/>
        <v>Stor_EF-Gas-075gal-0.66EF</v>
      </c>
      <c r="G885" s="103" t="str">
        <f t="shared" si="985"/>
        <v>RecovEff</v>
      </c>
    </row>
    <row r="886" spans="1:7" x14ac:dyDescent="0.25">
      <c r="A886">
        <f t="shared" si="983"/>
        <v>17</v>
      </c>
      <c r="B886">
        <f>INDEX(exante.Technology!$A$2:$A$4130,MATCH(E886,exante.Technology!$C$2:$C$4130,0))</f>
        <v>530</v>
      </c>
      <c r="C886">
        <f t="shared" si="984"/>
        <v>1073</v>
      </c>
      <c r="E886" s="103" t="str">
        <f t="shared" si="986"/>
        <v>Stor_EF-Gas-075gal-0.66EF</v>
      </c>
      <c r="G886" s="103" t="str">
        <f t="shared" si="985"/>
        <v>TankUA</v>
      </c>
    </row>
    <row r="887" spans="1:7" x14ac:dyDescent="0.25">
      <c r="A887">
        <f t="shared" si="983"/>
        <v>17</v>
      </c>
      <c r="B887">
        <f>INDEX(exante.Technology!$A$2:$A$4130,MATCH(E887,exante.Technology!$C$2:$C$4130,0))</f>
        <v>530</v>
      </c>
      <c r="C887">
        <f t="shared" si="984"/>
        <v>1074</v>
      </c>
      <c r="D887">
        <v>0</v>
      </c>
      <c r="E887" s="103" t="str">
        <f t="shared" si="986"/>
        <v>Stor_EF-Gas-075gal-0.66EF</v>
      </c>
      <c r="G887" s="103" t="str">
        <f t="shared" si="985"/>
        <v>auxW</v>
      </c>
    </row>
    <row r="888" spans="1:7" x14ac:dyDescent="0.25">
      <c r="A888">
        <f t="shared" si="983"/>
        <v>17</v>
      </c>
      <c r="B888">
        <f>INDEX(exante.Technology!$A$2:$A$4130,MATCH(E888,exante.Technology!$C$2:$C$4130,0))</f>
        <v>530</v>
      </c>
      <c r="C888">
        <f t="shared" si="984"/>
        <v>1075</v>
      </c>
      <c r="D888">
        <v>0</v>
      </c>
      <c r="E888" s="103" t="str">
        <f t="shared" si="986"/>
        <v>Stor_EF-Gas-075gal-0.66EF</v>
      </c>
      <c r="G888" s="103" t="str">
        <f t="shared" si="985"/>
        <v>auxVentW</v>
      </c>
    </row>
    <row r="889" spans="1:7" x14ac:dyDescent="0.25">
      <c r="A889">
        <f t="shared" si="983"/>
        <v>17</v>
      </c>
      <c r="B889">
        <f>INDEX(exante.Technology!$A$2:$A$4130,MATCH(E889,exante.Technology!$C$2:$C$4130,0))</f>
        <v>530</v>
      </c>
      <c r="C889">
        <f t="shared" si="984"/>
        <v>1076</v>
      </c>
      <c r="D889">
        <v>0</v>
      </c>
      <c r="E889" s="103" t="str">
        <f t="shared" si="986"/>
        <v>Stor_EF-Gas-075gal-0.66EF</v>
      </c>
      <c r="G889" s="103" t="str">
        <f t="shared" si="985"/>
        <v>pilotBTUh</v>
      </c>
    </row>
    <row r="890" spans="1:7" x14ac:dyDescent="0.25">
      <c r="A890">
        <f t="shared" si="983"/>
        <v>17</v>
      </c>
      <c r="B890">
        <f>INDEX(exante.Technology!$A$2:$A$4130,MATCH(E890,exante.Technology!$C$2:$C$4130,0))</f>
        <v>530</v>
      </c>
      <c r="C890">
        <f t="shared" si="984"/>
        <v>1077</v>
      </c>
      <c r="D890">
        <v>0</v>
      </c>
      <c r="E890" s="103" t="str">
        <f t="shared" si="986"/>
        <v>Stor_EF-Gas-075gal-0.66EF</v>
      </c>
      <c r="G890" s="103" t="str">
        <f t="shared" si="985"/>
        <v>pilotHtgEff</v>
      </c>
    </row>
    <row r="891" spans="1:7" x14ac:dyDescent="0.25">
      <c r="A891">
        <f t="shared" si="983"/>
        <v>18</v>
      </c>
      <c r="B891">
        <f>INDEX(exante.Technology!$A$2:$A$4130,MATCH(E891,exante.Technology!$C$2:$C$4130,0))</f>
        <v>531</v>
      </c>
      <c r="C891">
        <f t="shared" si="984"/>
        <v>85</v>
      </c>
      <c r="D891" s="103" t="str">
        <f>INDEX($P$704:$P$721,$A891)</f>
        <v>Gas</v>
      </c>
      <c r="E891" s="103" t="str">
        <f t="shared" si="986"/>
        <v>Stor_EF-Gas-075gal-0.7EF</v>
      </c>
      <c r="G891" s="103" t="str">
        <f t="shared" si="985"/>
        <v>Fuel_Type</v>
      </c>
    </row>
    <row r="892" spans="1:7" x14ac:dyDescent="0.25">
      <c r="A892">
        <f t="shared" si="983"/>
        <v>18</v>
      </c>
      <c r="B892">
        <f>INDEX(exante.Technology!$A$2:$A$4130,MATCH(E892,exante.Technology!$C$2:$C$4130,0))</f>
        <v>531</v>
      </c>
      <c r="C892">
        <f t="shared" si="984"/>
        <v>1081</v>
      </c>
      <c r="D892" s="103" t="str">
        <f>INDEX($N$704:$N$721,$A892)</f>
        <v>75</v>
      </c>
      <c r="E892" s="103" t="str">
        <f t="shared" si="986"/>
        <v>Stor_EF-Gas-075gal-0.7EF</v>
      </c>
      <c r="G892" s="103" t="str">
        <f t="shared" si="985"/>
        <v>Nom_Gallons</v>
      </c>
    </row>
    <row r="893" spans="1:7" x14ac:dyDescent="0.25">
      <c r="A893">
        <f t="shared" si="983"/>
        <v>18</v>
      </c>
      <c r="B893">
        <f>INDEX(exante.Technology!$A$2:$A$4130,MATCH(E893,exante.Technology!$C$2:$C$4130,0))</f>
        <v>531</v>
      </c>
      <c r="C893">
        <f t="shared" si="984"/>
        <v>58</v>
      </c>
      <c r="D893" s="103" t="str">
        <f>INDEX($O$704:$O$721,$A893)</f>
        <v>0.70</v>
      </c>
      <c r="E893" s="103" t="str">
        <f t="shared" si="986"/>
        <v>Stor_EF-Gas-075gal-0.7EF</v>
      </c>
      <c r="G893" s="103" t="str">
        <f t="shared" si="985"/>
        <v>Energy_Factor</v>
      </c>
    </row>
    <row r="894" spans="1:7" x14ac:dyDescent="0.25">
      <c r="A894">
        <f t="shared" si="983"/>
        <v>18</v>
      </c>
      <c r="B894">
        <f>INDEX(exante.Technology!$A$2:$A$4130,MATCH(E894,exante.Technology!$C$2:$C$4130,0))</f>
        <v>531</v>
      </c>
      <c r="C894">
        <f t="shared" si="984"/>
        <v>1070</v>
      </c>
      <c r="E894" s="103" t="str">
        <f t="shared" si="986"/>
        <v>Stor_EF-Gas-075gal-0.7EF</v>
      </c>
      <c r="G894" s="103" t="str">
        <f t="shared" si="985"/>
        <v>BurnCap_kBTUh</v>
      </c>
    </row>
    <row r="895" spans="1:7" x14ac:dyDescent="0.25">
      <c r="A895">
        <f t="shared" si="983"/>
        <v>18</v>
      </c>
      <c r="B895">
        <f>INDEX(exante.Technology!$A$2:$A$4130,MATCH(E895,exante.Technology!$C$2:$C$4130,0))</f>
        <v>531</v>
      </c>
      <c r="C895">
        <f t="shared" si="984"/>
        <v>1071</v>
      </c>
      <c r="E895" s="103" t="str">
        <f t="shared" si="986"/>
        <v>Stor_EF-Gas-075gal-0.7EF</v>
      </c>
      <c r="G895" s="103" t="str">
        <f t="shared" si="985"/>
        <v>BurnCap_kW</v>
      </c>
    </row>
    <row r="896" spans="1:7" x14ac:dyDescent="0.25">
      <c r="A896">
        <f t="shared" si="983"/>
        <v>18</v>
      </c>
      <c r="B896">
        <f>INDEX(exante.Technology!$A$2:$A$4130,MATCH(E896,exante.Technology!$C$2:$C$4130,0))</f>
        <v>531</v>
      </c>
      <c r="C896">
        <f t="shared" si="984"/>
        <v>1072</v>
      </c>
      <c r="E896" s="103" t="str">
        <f t="shared" ref="E896:E901" si="987">INDEX($M$704:$M$721,$A896)</f>
        <v>Stor_EF-Gas-075gal-0.7EF</v>
      </c>
      <c r="G896" s="103" t="str">
        <f t="shared" si="985"/>
        <v>RecovEff</v>
      </c>
    </row>
    <row r="897" spans="1:7" x14ac:dyDescent="0.25">
      <c r="A897">
        <f t="shared" si="983"/>
        <v>18</v>
      </c>
      <c r="B897">
        <f>INDEX(exante.Technology!$A$2:$A$4130,MATCH(E897,exante.Technology!$C$2:$C$4130,0))</f>
        <v>531</v>
      </c>
      <c r="C897">
        <f t="shared" si="984"/>
        <v>1073</v>
      </c>
      <c r="E897" s="103" t="str">
        <f t="shared" si="987"/>
        <v>Stor_EF-Gas-075gal-0.7EF</v>
      </c>
      <c r="G897" s="103" t="str">
        <f t="shared" si="985"/>
        <v>TankUA</v>
      </c>
    </row>
    <row r="898" spans="1:7" x14ac:dyDescent="0.25">
      <c r="A898">
        <f t="shared" si="983"/>
        <v>18</v>
      </c>
      <c r="B898">
        <f>INDEX(exante.Technology!$A$2:$A$4130,MATCH(E898,exante.Technology!$C$2:$C$4130,0))</f>
        <v>531</v>
      </c>
      <c r="C898">
        <f t="shared" si="984"/>
        <v>1074</v>
      </c>
      <c r="D898">
        <v>0</v>
      </c>
      <c r="E898" s="103" t="str">
        <f t="shared" si="987"/>
        <v>Stor_EF-Gas-075gal-0.7EF</v>
      </c>
      <c r="G898" s="103" t="str">
        <f t="shared" si="985"/>
        <v>auxW</v>
      </c>
    </row>
    <row r="899" spans="1:7" x14ac:dyDescent="0.25">
      <c r="A899">
        <f t="shared" si="983"/>
        <v>18</v>
      </c>
      <c r="B899">
        <f>INDEX(exante.Technology!$A$2:$A$4130,MATCH(E899,exante.Technology!$C$2:$C$4130,0))</f>
        <v>531</v>
      </c>
      <c r="C899">
        <f t="shared" si="984"/>
        <v>1075</v>
      </c>
      <c r="D899">
        <v>0</v>
      </c>
      <c r="E899" s="103" t="str">
        <f t="shared" si="987"/>
        <v>Stor_EF-Gas-075gal-0.7EF</v>
      </c>
      <c r="G899" s="103" t="str">
        <f t="shared" si="985"/>
        <v>auxVentW</v>
      </c>
    </row>
    <row r="900" spans="1:7" x14ac:dyDescent="0.25">
      <c r="A900">
        <f t="shared" si="983"/>
        <v>18</v>
      </c>
      <c r="B900">
        <f>INDEX(exante.Technology!$A$2:$A$4130,MATCH(E900,exante.Technology!$C$2:$C$4130,0))</f>
        <v>531</v>
      </c>
      <c r="C900">
        <f t="shared" si="984"/>
        <v>1076</v>
      </c>
      <c r="D900">
        <v>0</v>
      </c>
      <c r="E900" s="103" t="str">
        <f t="shared" si="987"/>
        <v>Stor_EF-Gas-075gal-0.7EF</v>
      </c>
      <c r="G900" s="103" t="str">
        <f t="shared" si="985"/>
        <v>pilotBTUh</v>
      </c>
    </row>
    <row r="901" spans="1:7" x14ac:dyDescent="0.25">
      <c r="A901">
        <f t="shared" si="983"/>
        <v>18</v>
      </c>
      <c r="B901">
        <f>INDEX(exante.Technology!$A$2:$A$4130,MATCH(E901,exante.Technology!$C$2:$C$4130,0))</f>
        <v>531</v>
      </c>
      <c r="C901">
        <f t="shared" si="984"/>
        <v>1077</v>
      </c>
      <c r="D901">
        <v>0</v>
      </c>
      <c r="E901" s="103" t="str">
        <f t="shared" si="987"/>
        <v>Stor_EF-Gas-075gal-0.7EF</v>
      </c>
      <c r="G901" s="103" t="str">
        <f t="shared" si="985"/>
        <v>pilotHtgEff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C3:D6"/>
  <sheetViews>
    <sheetView workbookViewId="0">
      <selection activeCell="C5" sqref="C5"/>
    </sheetView>
  </sheetViews>
  <sheetFormatPr defaultRowHeight="15" x14ac:dyDescent="0.25"/>
  <cols>
    <col min="3" max="3" width="10.28515625" customWidth="1"/>
    <col min="4" max="4" width="9.7109375" customWidth="1"/>
  </cols>
  <sheetData>
    <row r="3" spans="3:4" x14ac:dyDescent="0.25">
      <c r="C3" s="6" t="s">
        <v>26</v>
      </c>
      <c r="D3" s="6" t="s">
        <v>233</v>
      </c>
    </row>
    <row r="4" spans="3:4" x14ac:dyDescent="0.25">
      <c r="C4" t="s">
        <v>156</v>
      </c>
      <c r="D4">
        <v>67</v>
      </c>
    </row>
    <row r="5" spans="3:4" x14ac:dyDescent="0.25">
      <c r="C5" t="s">
        <v>121</v>
      </c>
      <c r="D5">
        <v>69</v>
      </c>
    </row>
    <row r="6" spans="3:4" x14ac:dyDescent="0.25">
      <c r="C6" t="s">
        <v>193</v>
      </c>
      <c r="D6">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Summary</vt:lpstr>
      <vt:lpstr>Measure Summary</vt:lpstr>
      <vt:lpstr>Measure Definitions</vt:lpstr>
      <vt:lpstr>Technologies</vt:lpstr>
      <vt:lpstr>430.32 Code Update</vt:lpstr>
      <vt:lpstr>exante.Technology</vt:lpstr>
      <vt:lpstr>exante.TechParams</vt:lpstr>
      <vt:lpstr>key</vt:lpstr>
      <vt:lpstr>'430.32 Code Update'!_MailAutoSig</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KJM</dc:creator>
  <cp:lastModifiedBy>Paul Reeves</cp:lastModifiedBy>
  <dcterms:created xsi:type="dcterms:W3CDTF">2014-06-03T15:27:03Z</dcterms:created>
  <dcterms:modified xsi:type="dcterms:W3CDTF">2014-11-24T19:52:37Z</dcterms:modified>
</cp:coreProperties>
</file>