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Projects\DEER2015\Web\"/>
    </mc:Choice>
  </mc:AlternateContent>
  <bookViews>
    <workbookView xWindow="0" yWindow="0" windowWidth="28800" windowHeight="14235"/>
  </bookViews>
  <sheets>
    <sheet name="HVAC Update" sheetId="6" r:id="rId1"/>
    <sheet name="Summary of Changes" sheetId="20" r:id="rId2"/>
    <sheet name="Measure Summary" sheetId="21" r:id="rId3"/>
    <sheet name="Code Update" sheetId="10" r:id="rId4"/>
    <sheet name="Com Technology Summary" sheetId="8" r:id="rId5"/>
    <sheet name="Res Technology Summary" sheetId="12" r:id="rId6"/>
    <sheet name="Measure Definitions" sheetId="5" r:id="rId7"/>
    <sheet name="Technologies" sheetId="19" r:id="rId8"/>
    <sheet name="Packaged AC Fan Power" sheetId="14" r:id="rId9"/>
    <sheet name="Split DX Fan Power" sheetId="17" r:id="rId10"/>
    <sheet name="Performance Map Selection" sheetId="7" r:id="rId11"/>
    <sheet name="Split HP Tier Selection" sheetId="15" r:id="rId12"/>
    <sheet name="Split DX Selected Perf Maps" sheetId="11" r:id="rId13"/>
    <sheet name="Packaged AC Selected Perf Maps" sheetId="16" r:id="rId14"/>
  </sheets>
  <calcPr calcId="152511"/>
</workbook>
</file>

<file path=xl/calcChain.xml><?xml version="1.0" encoding="utf-8"?>
<calcChain xmlns="http://schemas.openxmlformats.org/spreadsheetml/2006/main">
  <c r="Z99" i="5" l="1"/>
  <c r="Z98" i="5"/>
  <c r="Z97" i="5"/>
  <c r="Z96" i="5"/>
  <c r="Z89" i="5"/>
  <c r="Z90" i="5"/>
  <c r="Z91" i="5"/>
  <c r="Z92" i="5"/>
  <c r="Z93" i="5"/>
  <c r="Z94" i="5"/>
  <c r="Z95" i="5"/>
  <c r="Z88" i="5"/>
  <c r="AB99" i="5"/>
  <c r="AB98" i="5"/>
  <c r="AB97" i="5"/>
  <c r="AB96" i="5"/>
  <c r="AB95" i="5"/>
  <c r="AB94" i="5"/>
  <c r="AB93" i="5"/>
  <c r="AB92" i="5"/>
  <c r="AB91" i="5"/>
  <c r="AB90" i="5"/>
  <c r="AB89" i="5"/>
  <c r="AB88" i="5"/>
  <c r="AA99" i="5"/>
  <c r="AA98" i="5"/>
  <c r="AA97" i="5"/>
  <c r="AA96" i="5"/>
  <c r="AA95" i="5"/>
  <c r="AA94" i="5"/>
  <c r="AA93" i="5"/>
  <c r="AA92" i="5"/>
  <c r="AA91" i="5"/>
  <c r="AA90" i="5"/>
  <c r="AA89" i="5"/>
  <c r="AA88" i="5"/>
  <c r="W158" i="19"/>
  <c r="W157" i="19"/>
  <c r="W156" i="19"/>
  <c r="W155" i="19"/>
  <c r="W154" i="19"/>
  <c r="W153" i="19"/>
  <c r="W152" i="19"/>
  <c r="W151" i="19"/>
  <c r="W150" i="19"/>
  <c r="W149" i="19"/>
  <c r="W148" i="19"/>
  <c r="W147" i="19"/>
  <c r="AE99" i="5"/>
  <c r="AE98" i="5"/>
  <c r="AE97" i="5"/>
  <c r="AE96" i="5"/>
  <c r="AE95" i="5"/>
  <c r="AE94" i="5"/>
  <c r="AE93" i="5"/>
  <c r="AE92" i="5"/>
  <c r="AE91" i="5"/>
  <c r="AE90" i="5"/>
  <c r="AE89" i="5"/>
  <c r="AE88" i="5"/>
  <c r="AD99" i="5"/>
  <c r="AD98" i="5"/>
  <c r="AD97" i="5"/>
  <c r="AD96" i="5"/>
  <c r="AD94" i="5"/>
  <c r="AD95" i="5" s="1"/>
  <c r="AD93" i="5"/>
  <c r="AD92" i="5"/>
  <c r="AD90" i="5"/>
  <c r="AD91" i="5" s="1"/>
  <c r="AD89" i="5"/>
  <c r="AD88" i="5"/>
  <c r="AE86" i="5"/>
  <c r="AE85" i="5"/>
  <c r="AE84" i="5"/>
  <c r="AE83" i="5"/>
  <c r="AE82" i="5"/>
  <c r="AE81" i="5"/>
  <c r="AE80" i="5"/>
  <c r="AE79" i="5"/>
  <c r="AE78" i="5"/>
  <c r="AD86" i="5"/>
  <c r="AD85" i="5"/>
  <c r="AD84" i="5"/>
  <c r="AD83" i="5"/>
  <c r="AD82" i="5"/>
  <c r="AD81" i="5"/>
  <c r="AD78" i="5"/>
  <c r="AD79" i="5" s="1"/>
  <c r="X157" i="19"/>
  <c r="Y152" i="19"/>
  <c r="Z158" i="19"/>
  <c r="Z157" i="19"/>
  <c r="Z152" i="19" s="1"/>
  <c r="Z142" i="19"/>
  <c r="X141" i="19"/>
  <c r="R158" i="19"/>
  <c r="Q158" i="19"/>
  <c r="P158" i="19"/>
  <c r="O158" i="19"/>
  <c r="R157" i="19"/>
  <c r="Q157" i="19"/>
  <c r="P157" i="19"/>
  <c r="O157" i="19"/>
  <c r="R156" i="19"/>
  <c r="Q156" i="19"/>
  <c r="P156" i="19"/>
  <c r="O156" i="19"/>
  <c r="R155" i="19"/>
  <c r="Q155" i="19"/>
  <c r="P155" i="19"/>
  <c r="O155" i="19"/>
  <c r="R154" i="19"/>
  <c r="Q154" i="19"/>
  <c r="P154" i="19"/>
  <c r="O154" i="19"/>
  <c r="R153" i="19"/>
  <c r="Q153" i="19"/>
  <c r="P153" i="19"/>
  <c r="O153" i="19"/>
  <c r="R152" i="19"/>
  <c r="Q152" i="19"/>
  <c r="P152" i="19"/>
  <c r="O152" i="19"/>
  <c r="R151" i="19"/>
  <c r="Q151" i="19"/>
  <c r="P151" i="19"/>
  <c r="O151" i="19"/>
  <c r="R150" i="19"/>
  <c r="Q150" i="19"/>
  <c r="P150" i="19"/>
  <c r="O150" i="19"/>
  <c r="R149" i="19"/>
  <c r="Q149" i="19"/>
  <c r="P149" i="19"/>
  <c r="O149" i="19"/>
  <c r="R148" i="19"/>
  <c r="Q148" i="19"/>
  <c r="P148" i="19"/>
  <c r="O148" i="19"/>
  <c r="R147" i="19"/>
  <c r="Q147" i="19"/>
  <c r="P147" i="19"/>
  <c r="O147" i="19"/>
  <c r="K158" i="19"/>
  <c r="J158" i="19"/>
  <c r="Y158" i="19" s="1"/>
  <c r="I158" i="19"/>
  <c r="K157" i="19"/>
  <c r="J157" i="19"/>
  <c r="Y157" i="19" s="1"/>
  <c r="I157" i="19"/>
  <c r="K156" i="19"/>
  <c r="J156" i="19"/>
  <c r="I156" i="19"/>
  <c r="K155" i="19"/>
  <c r="J155" i="19"/>
  <c r="I155" i="19"/>
  <c r="K154" i="19"/>
  <c r="J154" i="19"/>
  <c r="I154" i="19"/>
  <c r="K153" i="19"/>
  <c r="J153" i="19"/>
  <c r="I153" i="19"/>
  <c r="K152" i="19"/>
  <c r="J152" i="19"/>
  <c r="I152" i="19"/>
  <c r="K151" i="19"/>
  <c r="J151" i="19"/>
  <c r="I151" i="19"/>
  <c r="K150" i="19"/>
  <c r="J150" i="19"/>
  <c r="I150" i="19"/>
  <c r="K149" i="19"/>
  <c r="J149" i="19"/>
  <c r="I149" i="19"/>
  <c r="K148" i="19"/>
  <c r="J148" i="19"/>
  <c r="I148" i="19"/>
  <c r="K147" i="19"/>
  <c r="J147" i="19"/>
  <c r="Y147" i="19" s="1"/>
  <c r="I147" i="19"/>
  <c r="E158" i="19"/>
  <c r="E157" i="19"/>
  <c r="E152" i="19"/>
  <c r="E151" i="19"/>
  <c r="E150" i="19"/>
  <c r="E149" i="19"/>
  <c r="E148" i="19"/>
  <c r="E147" i="19"/>
  <c r="E156" i="19"/>
  <c r="E155" i="19"/>
  <c r="E154" i="19"/>
  <c r="E153" i="19"/>
  <c r="Q142" i="19"/>
  <c r="Q141" i="19"/>
  <c r="Q140" i="19"/>
  <c r="Q139" i="19"/>
  <c r="Q138" i="19"/>
  <c r="Q137" i="19"/>
  <c r="Q136" i="19"/>
  <c r="Q135" i="19"/>
  <c r="Q134" i="19"/>
  <c r="Q133" i="19"/>
  <c r="R142" i="19"/>
  <c r="P142" i="19"/>
  <c r="O142" i="19"/>
  <c r="R141" i="19"/>
  <c r="P141" i="19"/>
  <c r="O141" i="19"/>
  <c r="R140" i="19"/>
  <c r="W140" i="19" s="1"/>
  <c r="P140" i="19"/>
  <c r="O140" i="19"/>
  <c r="R139" i="19"/>
  <c r="P139" i="19"/>
  <c r="O139" i="19"/>
  <c r="R138" i="19"/>
  <c r="P138" i="19"/>
  <c r="O138" i="19"/>
  <c r="R137" i="19"/>
  <c r="P137" i="19"/>
  <c r="O137" i="19"/>
  <c r="R136" i="19"/>
  <c r="P136" i="19"/>
  <c r="O136" i="19"/>
  <c r="R135" i="19"/>
  <c r="P135" i="19"/>
  <c r="W135" i="19" s="1"/>
  <c r="O135" i="19"/>
  <c r="R134" i="19"/>
  <c r="P134" i="19"/>
  <c r="O134" i="19"/>
  <c r="R133" i="19"/>
  <c r="P133" i="19"/>
  <c r="O133" i="19"/>
  <c r="K142" i="19"/>
  <c r="J142" i="19"/>
  <c r="I142" i="19"/>
  <c r="K141" i="19"/>
  <c r="J141" i="19"/>
  <c r="I141" i="19"/>
  <c r="K140" i="19"/>
  <c r="J140" i="19"/>
  <c r="I140" i="19"/>
  <c r="K139" i="19"/>
  <c r="J139" i="19"/>
  <c r="I139" i="19"/>
  <c r="K138" i="19"/>
  <c r="J138" i="19"/>
  <c r="I138" i="19"/>
  <c r="K137" i="19"/>
  <c r="J137" i="19"/>
  <c r="I137" i="19"/>
  <c r="K136" i="19"/>
  <c r="J136" i="19"/>
  <c r="I136" i="19"/>
  <c r="K135" i="19"/>
  <c r="J135" i="19"/>
  <c r="I135" i="19"/>
  <c r="K134" i="19"/>
  <c r="J134" i="19"/>
  <c r="I134" i="19"/>
  <c r="K133" i="19"/>
  <c r="J133" i="19"/>
  <c r="I133" i="19"/>
  <c r="H140" i="19"/>
  <c r="E140" i="19" s="1"/>
  <c r="H139" i="19"/>
  <c r="E139" i="19" s="1"/>
  <c r="H138" i="19"/>
  <c r="E138" i="19" s="1"/>
  <c r="H137" i="19"/>
  <c r="E137" i="19" s="1"/>
  <c r="H136" i="19"/>
  <c r="E136" i="19" s="1"/>
  <c r="H135" i="19"/>
  <c r="E135" i="19" s="1"/>
  <c r="H134" i="19"/>
  <c r="E134" i="19" s="1"/>
  <c r="H133" i="19"/>
  <c r="E133" i="19" s="1"/>
  <c r="H142" i="19"/>
  <c r="E142" i="19" s="1"/>
  <c r="H141" i="19"/>
  <c r="E141" i="19" s="1"/>
  <c r="S80" i="8"/>
  <c r="R80" i="8"/>
  <c r="E80" i="8" s="1"/>
  <c r="Q80" i="8"/>
  <c r="P80" i="8"/>
  <c r="F80" i="8" s="1"/>
  <c r="O80" i="8"/>
  <c r="N80" i="8"/>
  <c r="S79" i="8"/>
  <c r="R79" i="8"/>
  <c r="E79" i="8" s="1"/>
  <c r="Q79" i="8"/>
  <c r="P79" i="8"/>
  <c r="F79" i="8" s="1"/>
  <c r="O79" i="8"/>
  <c r="N79" i="8"/>
  <c r="S78" i="8"/>
  <c r="R78" i="8"/>
  <c r="E78" i="8" s="1"/>
  <c r="Q78" i="8"/>
  <c r="P78" i="8"/>
  <c r="F78" i="8" s="1"/>
  <c r="O78" i="8"/>
  <c r="N78" i="8"/>
  <c r="S77" i="8"/>
  <c r="R77" i="8"/>
  <c r="E77" i="8" s="1"/>
  <c r="Q77" i="8"/>
  <c r="P77" i="8"/>
  <c r="F77" i="8" s="1"/>
  <c r="O77" i="8"/>
  <c r="N77" i="8"/>
  <c r="S76" i="8"/>
  <c r="R76" i="8"/>
  <c r="E76" i="8" s="1"/>
  <c r="Q76" i="8"/>
  <c r="P76" i="8"/>
  <c r="F76" i="8" s="1"/>
  <c r="O76" i="8"/>
  <c r="N76" i="8"/>
  <c r="S75" i="8"/>
  <c r="R75" i="8"/>
  <c r="E75" i="8" s="1"/>
  <c r="Q75" i="8"/>
  <c r="P75" i="8"/>
  <c r="F75" i="8" s="1"/>
  <c r="O75" i="8"/>
  <c r="N75" i="8"/>
  <c r="S74" i="8"/>
  <c r="R74" i="8"/>
  <c r="E74" i="8" s="1"/>
  <c r="Q74" i="8"/>
  <c r="P74" i="8"/>
  <c r="F74" i="8" s="1"/>
  <c r="O74" i="8"/>
  <c r="N74" i="8"/>
  <c r="S73" i="8"/>
  <c r="R73" i="8"/>
  <c r="E73" i="8" s="1"/>
  <c r="Q73" i="8"/>
  <c r="P73" i="8"/>
  <c r="F73" i="8" s="1"/>
  <c r="O73" i="8"/>
  <c r="N73" i="8"/>
  <c r="S72" i="8"/>
  <c r="R72" i="8"/>
  <c r="E72" i="8" s="1"/>
  <c r="Q72" i="8"/>
  <c r="P72" i="8"/>
  <c r="F72" i="8" s="1"/>
  <c r="O72" i="8"/>
  <c r="N72" i="8"/>
  <c r="S71" i="8"/>
  <c r="R71" i="8"/>
  <c r="E71" i="8" s="1"/>
  <c r="Q71" i="8"/>
  <c r="P71" i="8"/>
  <c r="F71" i="8" s="1"/>
  <c r="O71" i="8"/>
  <c r="N71" i="8"/>
  <c r="S70" i="8"/>
  <c r="R70" i="8"/>
  <c r="E70" i="8" s="1"/>
  <c r="Q70" i="8"/>
  <c r="P70" i="8"/>
  <c r="F70" i="8" s="1"/>
  <c r="O70" i="8"/>
  <c r="N70" i="8"/>
  <c r="Q52" i="8"/>
  <c r="Q51" i="8"/>
  <c r="N52" i="8"/>
  <c r="Q64" i="8"/>
  <c r="P64" i="8"/>
  <c r="F64" i="8" s="1"/>
  <c r="O64" i="8"/>
  <c r="E64" i="8" s="1"/>
  <c r="N64" i="8"/>
  <c r="Q63" i="8"/>
  <c r="P63" i="8"/>
  <c r="F63" i="8" s="1"/>
  <c r="O63" i="8"/>
  <c r="E63" i="8" s="1"/>
  <c r="N63" i="8"/>
  <c r="Q62" i="8"/>
  <c r="P62" i="8"/>
  <c r="F62" i="8" s="1"/>
  <c r="O62" i="8"/>
  <c r="E62" i="8" s="1"/>
  <c r="N62" i="8"/>
  <c r="Q61" i="8"/>
  <c r="P61" i="8"/>
  <c r="F61" i="8" s="1"/>
  <c r="O61" i="8"/>
  <c r="E61" i="8" s="1"/>
  <c r="N61" i="8"/>
  <c r="Q60" i="8"/>
  <c r="P60" i="8"/>
  <c r="F60" i="8" s="1"/>
  <c r="O60" i="8"/>
  <c r="E60" i="8" s="1"/>
  <c r="N60" i="8"/>
  <c r="Q59" i="8"/>
  <c r="P59" i="8"/>
  <c r="F59" i="8" s="1"/>
  <c r="O59" i="8"/>
  <c r="E59" i="8" s="1"/>
  <c r="N59" i="8"/>
  <c r="Q58" i="8"/>
  <c r="P58" i="8"/>
  <c r="F58" i="8" s="1"/>
  <c r="O58" i="8"/>
  <c r="E58" i="8" s="1"/>
  <c r="N58" i="8"/>
  <c r="Q57" i="8"/>
  <c r="P57" i="8"/>
  <c r="F57" i="8" s="1"/>
  <c r="O57" i="8"/>
  <c r="E57" i="8" s="1"/>
  <c r="N57" i="8"/>
  <c r="Q56" i="8"/>
  <c r="P56" i="8"/>
  <c r="F56" i="8" s="1"/>
  <c r="O56" i="8"/>
  <c r="E56" i="8" s="1"/>
  <c r="N56" i="8"/>
  <c r="Q55" i="8"/>
  <c r="P55" i="8"/>
  <c r="F55" i="8" s="1"/>
  <c r="O55" i="8"/>
  <c r="E55" i="8" s="1"/>
  <c r="N55" i="8"/>
  <c r="Q54" i="8"/>
  <c r="P54" i="8"/>
  <c r="F54" i="8" s="1"/>
  <c r="O54" i="8"/>
  <c r="E54" i="8" s="1"/>
  <c r="N54" i="8"/>
  <c r="Q53" i="8"/>
  <c r="P53" i="8"/>
  <c r="F53" i="8" s="1"/>
  <c r="O53" i="8"/>
  <c r="E53" i="8" s="1"/>
  <c r="N53" i="8"/>
  <c r="S46" i="8"/>
  <c r="R46" i="8"/>
  <c r="E46" i="8" s="1"/>
  <c r="S45" i="8"/>
  <c r="R45" i="8"/>
  <c r="E45" i="8" s="1"/>
  <c r="S44" i="8"/>
  <c r="R44" i="8"/>
  <c r="E44" i="8" s="1"/>
  <c r="S43" i="8"/>
  <c r="R43" i="8"/>
  <c r="E43" i="8" s="1"/>
  <c r="S42" i="8"/>
  <c r="R42" i="8"/>
  <c r="E42" i="8" s="1"/>
  <c r="S41" i="8"/>
  <c r="R41" i="8"/>
  <c r="E41" i="8" s="1"/>
  <c r="S40" i="8"/>
  <c r="R40" i="8"/>
  <c r="E40" i="8" s="1"/>
  <c r="S39" i="8"/>
  <c r="R39" i="8"/>
  <c r="E39" i="8" s="1"/>
  <c r="S38" i="8"/>
  <c r="R38" i="8"/>
  <c r="E38" i="8" s="1"/>
  <c r="S37" i="8"/>
  <c r="R37" i="8"/>
  <c r="E37" i="8" s="1"/>
  <c r="S36" i="8"/>
  <c r="R36" i="8"/>
  <c r="E36" i="8" s="1"/>
  <c r="S35" i="8"/>
  <c r="R35" i="8"/>
  <c r="E35" i="8" s="1"/>
  <c r="S34" i="8"/>
  <c r="R34" i="8"/>
  <c r="E34" i="8" s="1"/>
  <c r="S33" i="8"/>
  <c r="R33" i="8"/>
  <c r="E33" i="8" s="1"/>
  <c r="Q46" i="8"/>
  <c r="P46" i="8"/>
  <c r="F46" i="8" s="1"/>
  <c r="O46" i="8"/>
  <c r="N46" i="8"/>
  <c r="Q45" i="8"/>
  <c r="P45" i="8"/>
  <c r="F45" i="8" s="1"/>
  <c r="O45" i="8"/>
  <c r="N45" i="8"/>
  <c r="Q44" i="8"/>
  <c r="P44" i="8"/>
  <c r="F44" i="8" s="1"/>
  <c r="O44" i="8"/>
  <c r="N44" i="8"/>
  <c r="Q43" i="8"/>
  <c r="P43" i="8"/>
  <c r="F43" i="8" s="1"/>
  <c r="O43" i="8"/>
  <c r="N43" i="8"/>
  <c r="Q42" i="8"/>
  <c r="P42" i="8"/>
  <c r="F42" i="8" s="1"/>
  <c r="O42" i="8"/>
  <c r="N42" i="8"/>
  <c r="Q41" i="8"/>
  <c r="P41" i="8"/>
  <c r="F41" i="8" s="1"/>
  <c r="O41" i="8"/>
  <c r="N41" i="8"/>
  <c r="Q40" i="8"/>
  <c r="P40" i="8"/>
  <c r="F40" i="8" s="1"/>
  <c r="O40" i="8"/>
  <c r="N40" i="8"/>
  <c r="Q39" i="8"/>
  <c r="P39" i="8"/>
  <c r="F39" i="8" s="1"/>
  <c r="O39" i="8"/>
  <c r="N39" i="8"/>
  <c r="Q38" i="8"/>
  <c r="P38" i="8"/>
  <c r="F38" i="8" s="1"/>
  <c r="O38" i="8"/>
  <c r="N38" i="8"/>
  <c r="Q37" i="8"/>
  <c r="P37" i="8"/>
  <c r="F37" i="8" s="1"/>
  <c r="O37" i="8"/>
  <c r="N37" i="8"/>
  <c r="Q36" i="8"/>
  <c r="P36" i="8"/>
  <c r="F36" i="8" s="1"/>
  <c r="O36" i="8"/>
  <c r="N36" i="8"/>
  <c r="Q35" i="8"/>
  <c r="P35" i="8"/>
  <c r="F35" i="8" s="1"/>
  <c r="O35" i="8"/>
  <c r="N35" i="8"/>
  <c r="Q34" i="8"/>
  <c r="P34" i="8"/>
  <c r="F34" i="8" s="1"/>
  <c r="O34" i="8"/>
  <c r="N34" i="8"/>
  <c r="Q33" i="8"/>
  <c r="P33" i="8"/>
  <c r="F33" i="8" s="1"/>
  <c r="O33" i="8"/>
  <c r="N33" i="8"/>
  <c r="Q27" i="8"/>
  <c r="P27" i="8"/>
  <c r="F27" i="8" s="1"/>
  <c r="O27" i="8"/>
  <c r="E27" i="8" s="1"/>
  <c r="Q26" i="8"/>
  <c r="P26" i="8"/>
  <c r="F26" i="8" s="1"/>
  <c r="O26" i="8"/>
  <c r="E26" i="8" s="1"/>
  <c r="Q25" i="8"/>
  <c r="P25" i="8"/>
  <c r="F25" i="8" s="1"/>
  <c r="O25" i="8"/>
  <c r="E25" i="8" s="1"/>
  <c r="Q24" i="8"/>
  <c r="P24" i="8"/>
  <c r="F24" i="8" s="1"/>
  <c r="O24" i="8"/>
  <c r="E24" i="8" s="1"/>
  <c r="Q23" i="8"/>
  <c r="P23" i="8"/>
  <c r="F23" i="8" s="1"/>
  <c r="O23" i="8"/>
  <c r="E23" i="8" s="1"/>
  <c r="Q22" i="8"/>
  <c r="P22" i="8"/>
  <c r="F22" i="8" s="1"/>
  <c r="O22" i="8"/>
  <c r="E22" i="8" s="1"/>
  <c r="Q21" i="8"/>
  <c r="P21" i="8"/>
  <c r="F21" i="8" s="1"/>
  <c r="O21" i="8"/>
  <c r="E21" i="8" s="1"/>
  <c r="Q20" i="8"/>
  <c r="P20" i="8"/>
  <c r="F20" i="8" s="1"/>
  <c r="O20" i="8"/>
  <c r="E20" i="8" s="1"/>
  <c r="Q19" i="8"/>
  <c r="P19" i="8"/>
  <c r="F19" i="8" s="1"/>
  <c r="O19" i="8"/>
  <c r="E19" i="8" s="1"/>
  <c r="Q18" i="8"/>
  <c r="P18" i="8"/>
  <c r="F18" i="8" s="1"/>
  <c r="O18" i="8"/>
  <c r="E18" i="8" s="1"/>
  <c r="Q17" i="8"/>
  <c r="P17" i="8"/>
  <c r="F17" i="8" s="1"/>
  <c r="O17" i="8"/>
  <c r="E17" i="8" s="1"/>
  <c r="Q16" i="8"/>
  <c r="P16" i="8"/>
  <c r="F16" i="8" s="1"/>
  <c r="O16" i="8"/>
  <c r="E16" i="8" s="1"/>
  <c r="Q15" i="8"/>
  <c r="P15" i="8"/>
  <c r="F15" i="8" s="1"/>
  <c r="O15" i="8"/>
  <c r="E15" i="8" s="1"/>
  <c r="Q14" i="8"/>
  <c r="P14" i="8"/>
  <c r="F14" i="8" s="1"/>
  <c r="O14" i="8"/>
  <c r="E14" i="8" s="1"/>
  <c r="Q13" i="8"/>
  <c r="P13" i="8"/>
  <c r="F13" i="8" s="1"/>
  <c r="O13" i="8"/>
  <c r="E13" i="8" s="1"/>
  <c r="Q12" i="8"/>
  <c r="P12" i="8"/>
  <c r="F12" i="8" s="1"/>
  <c r="O12" i="8"/>
  <c r="E12" i="8" s="1"/>
  <c r="Q11" i="8"/>
  <c r="P11" i="8"/>
  <c r="F11" i="8" s="1"/>
  <c r="O11" i="8"/>
  <c r="E11" i="8" s="1"/>
  <c r="Q10" i="8"/>
  <c r="P10" i="8"/>
  <c r="F10" i="8" s="1"/>
  <c r="O10" i="8"/>
  <c r="E10" i="8" s="1"/>
  <c r="Q9" i="8"/>
  <c r="P9" i="8"/>
  <c r="F9" i="8" s="1"/>
  <c r="O9" i="8"/>
  <c r="E9" i="8" s="1"/>
  <c r="N27" i="8"/>
  <c r="N26" i="8"/>
  <c r="N25" i="8"/>
  <c r="N24" i="8"/>
  <c r="N23" i="8"/>
  <c r="N22" i="8"/>
  <c r="N21" i="8"/>
  <c r="N20" i="8"/>
  <c r="N19" i="8"/>
  <c r="N18" i="8"/>
  <c r="N17" i="8"/>
  <c r="N16" i="8"/>
  <c r="N15" i="8"/>
  <c r="N14" i="8"/>
  <c r="N13" i="8"/>
  <c r="N12" i="8"/>
  <c r="N11" i="8"/>
  <c r="N10" i="8"/>
  <c r="N9" i="8"/>
  <c r="S29" i="12"/>
  <c r="F29" i="12" s="1"/>
  <c r="S28" i="12"/>
  <c r="F28" i="12" s="1"/>
  <c r="S27" i="12"/>
  <c r="F27" i="12" s="1"/>
  <c r="S26" i="12"/>
  <c r="F26" i="12" s="1"/>
  <c r="S25" i="12"/>
  <c r="F25" i="12" s="1"/>
  <c r="R29" i="12"/>
  <c r="Q29" i="12"/>
  <c r="H29" i="12" s="1"/>
  <c r="P29" i="12"/>
  <c r="G29" i="12" s="1"/>
  <c r="O29" i="12"/>
  <c r="E29" i="12" s="1"/>
  <c r="R28" i="12"/>
  <c r="Q28" i="12"/>
  <c r="H28" i="12" s="1"/>
  <c r="P28" i="12"/>
  <c r="G28" i="12" s="1"/>
  <c r="O28" i="12"/>
  <c r="E28" i="12" s="1"/>
  <c r="R27" i="12"/>
  <c r="Q27" i="12"/>
  <c r="H27" i="12" s="1"/>
  <c r="P27" i="12"/>
  <c r="G27" i="12" s="1"/>
  <c r="O27" i="12"/>
  <c r="E27" i="12" s="1"/>
  <c r="R26" i="12"/>
  <c r="Q26" i="12"/>
  <c r="H26" i="12" s="1"/>
  <c r="P26" i="12"/>
  <c r="G26" i="12" s="1"/>
  <c r="O26" i="12"/>
  <c r="E26" i="12" s="1"/>
  <c r="R25" i="12"/>
  <c r="Q25" i="12"/>
  <c r="H25" i="12" s="1"/>
  <c r="P25" i="12"/>
  <c r="G25" i="12" s="1"/>
  <c r="O25" i="12"/>
  <c r="E25" i="12" s="1"/>
  <c r="R24" i="12"/>
  <c r="Q24" i="12"/>
  <c r="H24" i="12" s="1"/>
  <c r="P24" i="12"/>
  <c r="G24" i="12" s="1"/>
  <c r="O24" i="12"/>
  <c r="E24" i="12" s="1"/>
  <c r="R23" i="12"/>
  <c r="Q23" i="12"/>
  <c r="H23" i="12" s="1"/>
  <c r="P23" i="12"/>
  <c r="G23" i="12" s="1"/>
  <c r="O23" i="12"/>
  <c r="E23" i="12" s="1"/>
  <c r="R22" i="12"/>
  <c r="Q22" i="12"/>
  <c r="H22" i="12" s="1"/>
  <c r="P22" i="12"/>
  <c r="G22" i="12" s="1"/>
  <c r="O22" i="12"/>
  <c r="E22" i="12" s="1"/>
  <c r="R21" i="12"/>
  <c r="Q21" i="12"/>
  <c r="H21" i="12" s="1"/>
  <c r="P21" i="12"/>
  <c r="G21" i="12" s="1"/>
  <c r="O21" i="12"/>
  <c r="E21" i="12" s="1"/>
  <c r="R20" i="12"/>
  <c r="Q20" i="12"/>
  <c r="H20" i="12" s="1"/>
  <c r="P20" i="12"/>
  <c r="G20" i="12" s="1"/>
  <c r="O20" i="12"/>
  <c r="E20" i="12" s="1"/>
  <c r="R19" i="12"/>
  <c r="Q19" i="12"/>
  <c r="H19" i="12" s="1"/>
  <c r="P19" i="12"/>
  <c r="G19" i="12" s="1"/>
  <c r="O19" i="12"/>
  <c r="E19" i="12" s="1"/>
  <c r="R18" i="12"/>
  <c r="Q18" i="12"/>
  <c r="H18" i="12" s="1"/>
  <c r="P18" i="12"/>
  <c r="G18" i="12" s="1"/>
  <c r="O18" i="12"/>
  <c r="E18" i="12" s="1"/>
  <c r="R17" i="12"/>
  <c r="Q17" i="12"/>
  <c r="H17" i="12" s="1"/>
  <c r="P17" i="12"/>
  <c r="G17" i="12" s="1"/>
  <c r="O17" i="12"/>
  <c r="E17" i="12" s="1"/>
  <c r="R16" i="12"/>
  <c r="Q16" i="12"/>
  <c r="H16" i="12" s="1"/>
  <c r="P16" i="12"/>
  <c r="G16" i="12" s="1"/>
  <c r="O16" i="12"/>
  <c r="E16" i="12" s="1"/>
  <c r="R15" i="12"/>
  <c r="Q15" i="12"/>
  <c r="H15" i="12" s="1"/>
  <c r="P15" i="12"/>
  <c r="G15" i="12" s="1"/>
  <c r="O15" i="12"/>
  <c r="E15" i="12" s="1"/>
  <c r="R14" i="12"/>
  <c r="Q14" i="12"/>
  <c r="H14" i="12" s="1"/>
  <c r="P14" i="12"/>
  <c r="G14" i="12" s="1"/>
  <c r="O14" i="12"/>
  <c r="E14" i="12" s="1"/>
  <c r="R13" i="12"/>
  <c r="Q13" i="12"/>
  <c r="H13" i="12" s="1"/>
  <c r="P13" i="12"/>
  <c r="G13" i="12" s="1"/>
  <c r="O13" i="12"/>
  <c r="E13" i="12" s="1"/>
  <c r="R12" i="12"/>
  <c r="Q12" i="12"/>
  <c r="H12" i="12" s="1"/>
  <c r="P12" i="12"/>
  <c r="G12" i="12" s="1"/>
  <c r="O12" i="12"/>
  <c r="E12" i="12" s="1"/>
  <c r="R11" i="12"/>
  <c r="Q11" i="12"/>
  <c r="H11" i="12" s="1"/>
  <c r="P11" i="12"/>
  <c r="G11" i="12" s="1"/>
  <c r="O11" i="12"/>
  <c r="E11" i="12" s="1"/>
  <c r="R10" i="12"/>
  <c r="Q10" i="12"/>
  <c r="H10" i="12" s="1"/>
  <c r="P10" i="12"/>
  <c r="G10" i="12" s="1"/>
  <c r="O10" i="12"/>
  <c r="E10" i="12" s="1"/>
  <c r="R9" i="12"/>
  <c r="Q9" i="12"/>
  <c r="H9" i="12" s="1"/>
  <c r="P9" i="12"/>
  <c r="G9" i="12" s="1"/>
  <c r="O9" i="12"/>
  <c r="E9" i="12" s="1"/>
  <c r="F52" i="8"/>
  <c r="F51" i="8"/>
  <c r="M92" i="8"/>
  <c r="M91" i="8"/>
  <c r="M93" i="8"/>
  <c r="M18" i="8"/>
  <c r="M17" i="8"/>
  <c r="M16" i="8"/>
  <c r="M15" i="8"/>
  <c r="M27" i="8"/>
  <c r="M26" i="8"/>
  <c r="M25" i="8"/>
  <c r="M24" i="8"/>
  <c r="X147" i="19" l="1"/>
  <c r="X152" i="19"/>
  <c r="AD80" i="5"/>
  <c r="AA80" i="5" s="1"/>
  <c r="W138" i="19"/>
  <c r="Y133" i="19"/>
  <c r="AB81" i="5"/>
  <c r="AA84" i="5"/>
  <c r="W139" i="19"/>
  <c r="Y137" i="19"/>
  <c r="AA78" i="5"/>
  <c r="Z82" i="5"/>
  <c r="AB84" i="5"/>
  <c r="AA82" i="5"/>
  <c r="W133" i="19"/>
  <c r="W141" i="19"/>
  <c r="AB82" i="5"/>
  <c r="AA85" i="5"/>
  <c r="W134" i="19"/>
  <c r="W142" i="19"/>
  <c r="Z141" i="19"/>
  <c r="Z137" i="19" s="1"/>
  <c r="AB79" i="5"/>
  <c r="Z83" i="5"/>
  <c r="AB85" i="5"/>
  <c r="AB80" i="5"/>
  <c r="Z86" i="5"/>
  <c r="W136" i="19"/>
  <c r="Y141" i="19"/>
  <c r="Z81" i="5"/>
  <c r="AB83" i="5"/>
  <c r="AA86" i="5"/>
  <c r="AB78" i="5"/>
  <c r="Z85" i="5"/>
  <c r="AA83" i="5"/>
  <c r="W137" i="19"/>
  <c r="Y142" i="19"/>
  <c r="AA81" i="5"/>
  <c r="Z84" i="5"/>
  <c r="AB86" i="5"/>
  <c r="AA79" i="5"/>
  <c r="N51" i="8"/>
  <c r="O52" i="8"/>
  <c r="E52" i="8" s="1"/>
  <c r="O51" i="8"/>
  <c r="E51" i="8" s="1"/>
  <c r="X137" i="19" l="1"/>
  <c r="X133" i="19"/>
  <c r="G99" i="5" l="1"/>
  <c r="C99" i="5"/>
  <c r="G98" i="5"/>
  <c r="C98" i="5"/>
  <c r="G97" i="5"/>
  <c r="C97" i="5"/>
  <c r="G96" i="5"/>
  <c r="C96" i="5"/>
  <c r="G95" i="5"/>
  <c r="C95" i="5"/>
  <c r="G94" i="5"/>
  <c r="C94" i="5"/>
  <c r="G93" i="5"/>
  <c r="C93" i="5"/>
  <c r="G92" i="5"/>
  <c r="C92" i="5"/>
  <c r="G91" i="5"/>
  <c r="C91" i="5"/>
  <c r="G90" i="5"/>
  <c r="C90" i="5"/>
  <c r="G89" i="5"/>
  <c r="C89" i="5"/>
  <c r="G88" i="5"/>
  <c r="C88" i="5"/>
  <c r="G86" i="5"/>
  <c r="C86" i="5"/>
  <c r="G85" i="5"/>
  <c r="C85" i="5"/>
  <c r="G84" i="5"/>
  <c r="C84" i="5"/>
  <c r="G83" i="5"/>
  <c r="C83" i="5"/>
  <c r="G82" i="5"/>
  <c r="C82" i="5"/>
  <c r="G81" i="5"/>
  <c r="C81" i="5"/>
  <c r="G80" i="5"/>
  <c r="C80" i="5"/>
  <c r="G79" i="5"/>
  <c r="C79" i="5"/>
  <c r="C78" i="5"/>
  <c r="G78" i="5"/>
  <c r="F84" i="21" l="1"/>
  <c r="F83" i="21"/>
  <c r="E84" i="21"/>
  <c r="E83" i="21"/>
  <c r="C33" i="21"/>
  <c r="B33" i="21"/>
  <c r="K80" i="8" l="1"/>
  <c r="K79" i="8"/>
  <c r="K78" i="8"/>
  <c r="K46" i="8"/>
  <c r="K45" i="8"/>
  <c r="K44" i="8"/>
  <c r="K43" i="8"/>
  <c r="K27" i="8"/>
  <c r="K26" i="8"/>
  <c r="K25" i="8"/>
  <c r="K24" i="8"/>
  <c r="K93" i="8" l="1"/>
  <c r="K92" i="8"/>
  <c r="K91" i="8"/>
  <c r="K64" i="8"/>
  <c r="K63" i="8"/>
  <c r="K62" i="8"/>
  <c r="K61" i="8"/>
  <c r="G12" i="5"/>
  <c r="G11" i="5"/>
  <c r="G10" i="5"/>
  <c r="Z128" i="19"/>
  <c r="Z127" i="19"/>
  <c r="G37" i="5"/>
  <c r="G36" i="5"/>
  <c r="G35" i="5"/>
  <c r="G34" i="5"/>
  <c r="Z42" i="19"/>
  <c r="Z41" i="19"/>
  <c r="Z40" i="19"/>
  <c r="Z39" i="19"/>
  <c r="Z38" i="19"/>
  <c r="Z85" i="19"/>
  <c r="Z84" i="19"/>
  <c r="G54" i="5"/>
  <c r="G53" i="5"/>
  <c r="G52" i="5"/>
  <c r="G51" i="5"/>
  <c r="Y111" i="19"/>
  <c r="Y106" i="19"/>
  <c r="Y112" i="19"/>
  <c r="Y117" i="19"/>
  <c r="Y122" i="19"/>
  <c r="Y79" i="19"/>
  <c r="Y74" i="19"/>
  <c r="Y69" i="19"/>
  <c r="Y98" i="19"/>
  <c r="Y90" i="19"/>
  <c r="Y127" i="19"/>
  <c r="Y128" i="19"/>
  <c r="AE71" i="5" l="1"/>
  <c r="AB71" i="5" s="1"/>
  <c r="AE63" i="5"/>
  <c r="AB63" i="5" s="1"/>
  <c r="W100" i="19"/>
  <c r="W99" i="19"/>
  <c r="W98" i="19"/>
  <c r="W97" i="19"/>
  <c r="W96" i="19"/>
  <c r="W95" i="19"/>
  <c r="W94" i="19"/>
  <c r="W93" i="19"/>
  <c r="W92" i="19"/>
  <c r="W91" i="19"/>
  <c r="W90" i="19"/>
  <c r="W85" i="19"/>
  <c r="W84" i="19"/>
  <c r="W83" i="19"/>
  <c r="W82" i="19"/>
  <c r="W81" i="19"/>
  <c r="W80" i="19"/>
  <c r="W79" i="19"/>
  <c r="W78" i="19"/>
  <c r="W77" i="19"/>
  <c r="W76" i="19"/>
  <c r="W75" i="19"/>
  <c r="W74" i="19"/>
  <c r="W73" i="19"/>
  <c r="W72" i="19"/>
  <c r="W71" i="19"/>
  <c r="W70" i="19"/>
  <c r="W69" i="19"/>
  <c r="W65" i="19"/>
  <c r="W64" i="19"/>
  <c r="W63" i="19"/>
  <c r="W62" i="19"/>
  <c r="W61" i="19"/>
  <c r="W60" i="19"/>
  <c r="W59" i="19"/>
  <c r="W58" i="19"/>
  <c r="W57" i="19"/>
  <c r="W56" i="19"/>
  <c r="W55" i="19"/>
  <c r="W54" i="19"/>
  <c r="W53" i="19"/>
  <c r="W52" i="19"/>
  <c r="W51" i="19"/>
  <c r="W50" i="19"/>
  <c r="W49" i="19"/>
  <c r="W48" i="19"/>
  <c r="W47" i="19"/>
  <c r="W46" i="19"/>
  <c r="W45" i="19"/>
  <c r="W44" i="19"/>
  <c r="W43" i="19"/>
  <c r="W42" i="19"/>
  <c r="W41" i="19"/>
  <c r="W40" i="19"/>
  <c r="W39" i="19"/>
  <c r="W38" i="19"/>
  <c r="W37" i="19"/>
  <c r="W36" i="19"/>
  <c r="W35" i="19"/>
  <c r="W34" i="19"/>
  <c r="W33" i="19"/>
  <c r="W32" i="19"/>
  <c r="W31" i="19"/>
  <c r="W30" i="19"/>
  <c r="W29" i="19"/>
  <c r="W28" i="19"/>
  <c r="W27" i="19"/>
  <c r="W26" i="19"/>
  <c r="W25" i="19"/>
  <c r="W24" i="19"/>
  <c r="W23" i="19"/>
  <c r="W22" i="19"/>
  <c r="W21" i="19"/>
  <c r="W20" i="19"/>
  <c r="W19" i="19"/>
  <c r="W18" i="19"/>
  <c r="W17" i="19"/>
  <c r="W16" i="19"/>
  <c r="W15" i="19"/>
  <c r="W14" i="19"/>
  <c r="W13" i="19"/>
  <c r="W12" i="19"/>
  <c r="W11" i="19"/>
  <c r="W10" i="19"/>
  <c r="X99" i="19"/>
  <c r="Y84" i="19"/>
  <c r="Y99" i="19"/>
  <c r="X127" i="19"/>
  <c r="X111" i="19"/>
  <c r="X106" i="19" s="1"/>
  <c r="Y100" i="19"/>
  <c r="Y85" i="19"/>
  <c r="X84" i="19"/>
  <c r="Y65" i="19"/>
  <c r="Y64" i="19"/>
  <c r="Y63" i="19"/>
  <c r="Y62" i="19"/>
  <c r="X62" i="19"/>
  <c r="Y61" i="19"/>
  <c r="Y60" i="19"/>
  <c r="Y59" i="19"/>
  <c r="Y58" i="19"/>
  <c r="X58" i="19"/>
  <c r="Y57" i="19"/>
  <c r="Y56" i="19"/>
  <c r="Y55" i="19"/>
  <c r="Y54" i="19"/>
  <c r="X54" i="19"/>
  <c r="Y53" i="19"/>
  <c r="Y52" i="19"/>
  <c r="Y51" i="19"/>
  <c r="Y50" i="19"/>
  <c r="X50" i="19"/>
  <c r="Y49" i="19"/>
  <c r="Y48" i="19"/>
  <c r="Y47" i="19"/>
  <c r="Y46" i="19"/>
  <c r="X46" i="19"/>
  <c r="X18" i="19" s="1"/>
  <c r="Y45" i="19"/>
  <c r="Y44" i="19"/>
  <c r="Y43" i="19"/>
  <c r="Y42" i="19"/>
  <c r="X42" i="19"/>
  <c r="Y41" i="19"/>
  <c r="Y40" i="19"/>
  <c r="Y39" i="19"/>
  <c r="Y38" i="19"/>
  <c r="X38" i="19"/>
  <c r="X10" i="19" l="1"/>
  <c r="Z10" i="19"/>
  <c r="X30" i="19"/>
  <c r="X69" i="19"/>
  <c r="X79" i="19"/>
  <c r="X74" i="19"/>
  <c r="Z79" i="19"/>
  <c r="X34" i="19"/>
  <c r="X122" i="19"/>
  <c r="Z122" i="19"/>
  <c r="X117" i="19"/>
  <c r="X98" i="19"/>
  <c r="X90" i="19"/>
  <c r="X26" i="19"/>
  <c r="X14" i="19"/>
  <c r="X22" i="19"/>
  <c r="Z78" i="5" l="1"/>
  <c r="Z79" i="5"/>
  <c r="Z80" i="5"/>
  <c r="G71" i="5"/>
  <c r="C71" i="5"/>
  <c r="G63" i="5"/>
  <c r="C63" i="5"/>
  <c r="I11" i="17" l="1"/>
  <c r="C45" i="14" a="1"/>
  <c r="D45" i="14" s="1"/>
  <c r="C35" i="14" a="1"/>
  <c r="C35" i="14" s="1"/>
  <c r="C25" i="14" a="1"/>
  <c r="C25" i="14" s="1"/>
  <c r="C15" i="14" a="1"/>
  <c r="C15" i="14" s="1"/>
  <c r="L118" i="14"/>
  <c r="L117" i="14"/>
  <c r="L116" i="14"/>
  <c r="L115" i="14"/>
  <c r="L114" i="14"/>
  <c r="L113" i="14"/>
  <c r="L112" i="14"/>
  <c r="L111" i="14"/>
  <c r="L110" i="14"/>
  <c r="L109" i="14"/>
  <c r="L108" i="14"/>
  <c r="L107" i="14"/>
  <c r="L106" i="14"/>
  <c r="L105" i="14"/>
  <c r="L104" i="14"/>
  <c r="L103" i="14"/>
  <c r="L102" i="14"/>
  <c r="L101" i="14"/>
  <c r="L100" i="14"/>
  <c r="L99" i="14"/>
  <c r="L98" i="14"/>
  <c r="L97" i="14"/>
  <c r="L96" i="14"/>
  <c r="L95" i="14"/>
  <c r="L93" i="14"/>
  <c r="L92" i="14"/>
  <c r="L91" i="14"/>
  <c r="L90" i="14"/>
  <c r="L89" i="14"/>
  <c r="L88" i="14"/>
  <c r="L87" i="14"/>
  <c r="L86" i="14"/>
  <c r="L85" i="14"/>
  <c r="L84" i="14"/>
  <c r="L83" i="14"/>
  <c r="L82" i="14"/>
  <c r="L81" i="14"/>
  <c r="L80" i="14"/>
  <c r="L79" i="14"/>
  <c r="L78" i="14"/>
  <c r="L77" i="14"/>
  <c r="L76" i="14"/>
  <c r="L75" i="14"/>
  <c r="L74" i="14"/>
  <c r="L73" i="14"/>
  <c r="L72" i="14"/>
  <c r="L71" i="14"/>
  <c r="L70" i="14"/>
  <c r="L69" i="14"/>
  <c r="L68" i="14"/>
  <c r="L67" i="14"/>
  <c r="L66" i="14"/>
  <c r="L65" i="14"/>
  <c r="L63" i="14"/>
  <c r="L62" i="14"/>
  <c r="L61" i="14"/>
  <c r="L60" i="14"/>
  <c r="L59" i="14"/>
  <c r="L58" i="14"/>
  <c r="L57" i="14"/>
  <c r="L56" i="14"/>
  <c r="L55" i="14"/>
  <c r="L54" i="14"/>
  <c r="L53" i="14"/>
  <c r="L52" i="14"/>
  <c r="L51" i="14"/>
  <c r="L50" i="14"/>
  <c r="L49" i="14"/>
  <c r="L48" i="14"/>
  <c r="L47" i="14"/>
  <c r="L46" i="14"/>
  <c r="L45" i="14"/>
  <c r="L44" i="14"/>
  <c r="L43" i="14"/>
  <c r="L41" i="14"/>
  <c r="L40" i="14"/>
  <c r="L39" i="14"/>
  <c r="L38" i="14"/>
  <c r="L37" i="14"/>
  <c r="L36" i="14"/>
  <c r="L35" i="14"/>
  <c r="L34" i="14"/>
  <c r="L33" i="14"/>
  <c r="L32" i="14"/>
  <c r="L31" i="14"/>
  <c r="L30" i="14"/>
  <c r="L29" i="14"/>
  <c r="L28" i="14"/>
  <c r="L27" i="14"/>
  <c r="L26" i="14"/>
  <c r="L25" i="14"/>
  <c r="L24" i="14"/>
  <c r="L23" i="14"/>
  <c r="L22" i="14"/>
  <c r="L21" i="14"/>
  <c r="L20" i="14"/>
  <c r="L19" i="14"/>
  <c r="L18" i="14"/>
  <c r="L17" i="14"/>
  <c r="L16" i="14"/>
  <c r="L15" i="14"/>
  <c r="D47" i="14" l="1"/>
  <c r="D49" i="14"/>
  <c r="D46" i="14"/>
  <c r="E48" i="14"/>
  <c r="C46" i="14"/>
  <c r="C50" i="14" s="1"/>
  <c r="E47" i="14"/>
  <c r="E49" i="14"/>
  <c r="E46" i="14"/>
  <c r="E50" i="14" s="1"/>
  <c r="C49" i="14"/>
  <c r="D48" i="14"/>
  <c r="F50" i="14" s="1"/>
  <c r="E45" i="14"/>
  <c r="C45" i="14"/>
  <c r="C47" i="14"/>
  <c r="C48" i="14"/>
  <c r="C37" i="14"/>
  <c r="E36" i="14"/>
  <c r="C39" i="14"/>
  <c r="D38" i="14"/>
  <c r="F40" i="14" s="1"/>
  <c r="E35" i="14"/>
  <c r="D37" i="14"/>
  <c r="E39" i="14"/>
  <c r="D39" i="14"/>
  <c r="D36" i="14"/>
  <c r="E38" i="14"/>
  <c r="C36" i="14"/>
  <c r="C40" i="14" s="1"/>
  <c r="C38" i="14"/>
  <c r="D35" i="14"/>
  <c r="D40" i="14" s="1"/>
  <c r="E37" i="14"/>
  <c r="C27" i="14"/>
  <c r="E26" i="14"/>
  <c r="D26" i="14"/>
  <c r="C26" i="14"/>
  <c r="D28" i="14"/>
  <c r="E25" i="14"/>
  <c r="D29" i="14"/>
  <c r="E28" i="14"/>
  <c r="C28" i="14"/>
  <c r="D25" i="14"/>
  <c r="D27" i="14"/>
  <c r="E29" i="14"/>
  <c r="C29" i="14"/>
  <c r="E27" i="14"/>
  <c r="C30" i="14"/>
  <c r="F30" i="14"/>
  <c r="E19" i="14"/>
  <c r="E16" i="14"/>
  <c r="C16" i="14"/>
  <c r="C20" i="14" s="1"/>
  <c r="D18" i="14"/>
  <c r="F20" i="14" s="1"/>
  <c r="E15" i="14"/>
  <c r="E20" i="14" s="1"/>
  <c r="D17" i="14"/>
  <c r="C17" i="14"/>
  <c r="D19" i="14"/>
  <c r="C19" i="14"/>
  <c r="D16" i="14"/>
  <c r="E18" i="14"/>
  <c r="C18" i="14"/>
  <c r="D15" i="14"/>
  <c r="D20" i="14" s="1"/>
  <c r="E17" i="14"/>
  <c r="D30" i="14"/>
  <c r="D50" i="14" l="1"/>
  <c r="E40" i="14"/>
  <c r="E30" i="14"/>
  <c r="AE76" i="5" l="1"/>
  <c r="AB76" i="5" s="1"/>
  <c r="AE75" i="5"/>
  <c r="AB75" i="5" s="1"/>
  <c r="AE74" i="5"/>
  <c r="AB74" i="5" s="1"/>
  <c r="AE73" i="5"/>
  <c r="AB73" i="5" s="1"/>
  <c r="AE62" i="5"/>
  <c r="AE61" i="5"/>
  <c r="AE60" i="5"/>
  <c r="AE59" i="5"/>
  <c r="AE58" i="5"/>
  <c r="AE57" i="5"/>
  <c r="AE56" i="5"/>
  <c r="AD73" i="5"/>
  <c r="AD64" i="5"/>
  <c r="AD56" i="5"/>
  <c r="AE33" i="5"/>
  <c r="AE32" i="5"/>
  <c r="AE31" i="5"/>
  <c r="AE30" i="5"/>
  <c r="AE29" i="5"/>
  <c r="AB29" i="5" s="1"/>
  <c r="AE28" i="5"/>
  <c r="AB28" i="5" s="1"/>
  <c r="AE27" i="5"/>
  <c r="AB27" i="5" s="1"/>
  <c r="AE26" i="5"/>
  <c r="AB26" i="5" s="1"/>
  <c r="AD30" i="5"/>
  <c r="AD34" i="5" s="1"/>
  <c r="AD26" i="5"/>
  <c r="AE50" i="5"/>
  <c r="AE49" i="5"/>
  <c r="AE48" i="5"/>
  <c r="AE47" i="5"/>
  <c r="AE46" i="5"/>
  <c r="AB46" i="5" s="1"/>
  <c r="AE45" i="5"/>
  <c r="AB45" i="5" s="1"/>
  <c r="AE44" i="5"/>
  <c r="AB44" i="5" s="1"/>
  <c r="AE43" i="5"/>
  <c r="AB43" i="5" s="1"/>
  <c r="AE42" i="5"/>
  <c r="AB42" i="5" s="1"/>
  <c r="AE41" i="5"/>
  <c r="AB41" i="5" s="1"/>
  <c r="AE40" i="5"/>
  <c r="AB40" i="5" s="1"/>
  <c r="AE39" i="5"/>
  <c r="AB39" i="5" s="1"/>
  <c r="AD47" i="5"/>
  <c r="AD51" i="5" s="1"/>
  <c r="AD43" i="5"/>
  <c r="AD39" i="5"/>
  <c r="G76" i="5"/>
  <c r="G75" i="5"/>
  <c r="G74" i="5"/>
  <c r="G73" i="5"/>
  <c r="G70" i="5"/>
  <c r="G69" i="5"/>
  <c r="G68" i="5"/>
  <c r="G67" i="5"/>
  <c r="G66" i="5"/>
  <c r="G65" i="5"/>
  <c r="G64" i="5"/>
  <c r="G62" i="5"/>
  <c r="G61" i="5"/>
  <c r="G60" i="5"/>
  <c r="G59" i="5"/>
  <c r="G58" i="5"/>
  <c r="G57" i="5"/>
  <c r="G56" i="5"/>
  <c r="G50" i="5"/>
  <c r="G49" i="5"/>
  <c r="G48" i="5"/>
  <c r="G47" i="5"/>
  <c r="G46" i="5"/>
  <c r="G45" i="5"/>
  <c r="G44" i="5"/>
  <c r="G43" i="5"/>
  <c r="G42" i="5"/>
  <c r="G41" i="5"/>
  <c r="G40" i="5"/>
  <c r="G39" i="5"/>
  <c r="G33" i="5"/>
  <c r="G32" i="5"/>
  <c r="G31" i="5"/>
  <c r="G30" i="5"/>
  <c r="G29" i="5"/>
  <c r="G28" i="5"/>
  <c r="G27" i="5"/>
  <c r="G26" i="5"/>
  <c r="AB32" i="5" l="1"/>
  <c r="C32" i="5" s="1"/>
  <c r="AE36" i="5"/>
  <c r="AB36" i="5" s="1"/>
  <c r="C36" i="5" s="1"/>
  <c r="AA34" i="5"/>
  <c r="Z34" i="5"/>
  <c r="AB33" i="5"/>
  <c r="C33" i="5" s="1"/>
  <c r="AE37" i="5"/>
  <c r="AB37" i="5" s="1"/>
  <c r="C37" i="5" s="1"/>
  <c r="AB30" i="5"/>
  <c r="C30" i="5" s="1"/>
  <c r="AE34" i="5"/>
  <c r="AB34" i="5" s="1"/>
  <c r="C34" i="5" s="1"/>
  <c r="AB31" i="5"/>
  <c r="C31" i="5" s="1"/>
  <c r="AE35" i="5"/>
  <c r="AB35" i="5" s="1"/>
  <c r="C35" i="5" s="1"/>
  <c r="AB47" i="5"/>
  <c r="C47" i="5" s="1"/>
  <c r="AE51" i="5"/>
  <c r="AB51" i="5" s="1"/>
  <c r="C51" i="5" s="1"/>
  <c r="Z51" i="5"/>
  <c r="AA51" i="5"/>
  <c r="AB48" i="5"/>
  <c r="C48" i="5" s="1"/>
  <c r="AE52" i="5"/>
  <c r="AB52" i="5" s="1"/>
  <c r="C52" i="5" s="1"/>
  <c r="AB49" i="5"/>
  <c r="C49" i="5" s="1"/>
  <c r="AE53" i="5"/>
  <c r="AB53" i="5" s="1"/>
  <c r="C53" i="5" s="1"/>
  <c r="AB50" i="5"/>
  <c r="C50" i="5" s="1"/>
  <c r="AE54" i="5"/>
  <c r="AB54" i="5" s="1"/>
  <c r="C54" i="5" s="1"/>
  <c r="AA26" i="5"/>
  <c r="Z26" i="5"/>
  <c r="Z30" i="5"/>
  <c r="AA30" i="5"/>
  <c r="AA56" i="5"/>
  <c r="Z56" i="5"/>
  <c r="Z64" i="5"/>
  <c r="AA64" i="5"/>
  <c r="AE70" i="5"/>
  <c r="AB70" i="5" s="1"/>
  <c r="AB62" i="5"/>
  <c r="AA73" i="5"/>
  <c r="Z73" i="5"/>
  <c r="AE67" i="5"/>
  <c r="AB67" i="5" s="1"/>
  <c r="AB59" i="5"/>
  <c r="AA39" i="5"/>
  <c r="Z39" i="5"/>
  <c r="AE69" i="5"/>
  <c r="AB69" i="5" s="1"/>
  <c r="AB61" i="5"/>
  <c r="AA47" i="5"/>
  <c r="Z47" i="5"/>
  <c r="AE65" i="5"/>
  <c r="AB65" i="5" s="1"/>
  <c r="AB57" i="5"/>
  <c r="AE68" i="5"/>
  <c r="AB68" i="5" s="1"/>
  <c r="AB60" i="5"/>
  <c r="AA43" i="5"/>
  <c r="Z43" i="5"/>
  <c r="AE64" i="5"/>
  <c r="AB64" i="5" s="1"/>
  <c r="AB56" i="5"/>
  <c r="AE66" i="5"/>
  <c r="AB66" i="5" s="1"/>
  <c r="AB58" i="5"/>
  <c r="AD40" i="5"/>
  <c r="AD48" i="5"/>
  <c r="AD52" i="5" s="1"/>
  <c r="AD74" i="5"/>
  <c r="AD27" i="5"/>
  <c r="AD31" i="5"/>
  <c r="AD35" i="5" s="1"/>
  <c r="AD57" i="5"/>
  <c r="AD44" i="5"/>
  <c r="AD65" i="5"/>
  <c r="AA35" i="5" l="1"/>
  <c r="Z35" i="5"/>
  <c r="Z52" i="5"/>
  <c r="AA52" i="5"/>
  <c r="Z48" i="5"/>
  <c r="AA48" i="5"/>
  <c r="AA44" i="5"/>
  <c r="Z44" i="5"/>
  <c r="Z40" i="5"/>
  <c r="AA40" i="5"/>
  <c r="Z65" i="5"/>
  <c r="AA65" i="5"/>
  <c r="AA57" i="5"/>
  <c r="Z57" i="5"/>
  <c r="Z31" i="5"/>
  <c r="AA31" i="5"/>
  <c r="Z27" i="5"/>
  <c r="AA27" i="5"/>
  <c r="AD75" i="5"/>
  <c r="Z74" i="5"/>
  <c r="AA74" i="5"/>
  <c r="AD45" i="5"/>
  <c r="AD49" i="5"/>
  <c r="AD53" i="5" s="1"/>
  <c r="AD41" i="5"/>
  <c r="AD32" i="5"/>
  <c r="AD36" i="5" s="1"/>
  <c r="AD28" i="5"/>
  <c r="AD66" i="5"/>
  <c r="AD58" i="5"/>
  <c r="AA36" i="5" l="1"/>
  <c r="Z36" i="5"/>
  <c r="Z53" i="5"/>
  <c r="AA53" i="5"/>
  <c r="AA66" i="5"/>
  <c r="Z66" i="5"/>
  <c r="AA75" i="5"/>
  <c r="Z75" i="5"/>
  <c r="AA32" i="5"/>
  <c r="Z32" i="5"/>
  <c r="AA41" i="5"/>
  <c r="Z41" i="5"/>
  <c r="AA58" i="5"/>
  <c r="Z58" i="5"/>
  <c r="Z49" i="5"/>
  <c r="AA49" i="5"/>
  <c r="AD46" i="5"/>
  <c r="AA45" i="5"/>
  <c r="Z45" i="5"/>
  <c r="AA28" i="5"/>
  <c r="Z28" i="5"/>
  <c r="AD76" i="5"/>
  <c r="AD67" i="5"/>
  <c r="AD50" i="5"/>
  <c r="AD54" i="5" s="1"/>
  <c r="AD42" i="5"/>
  <c r="AD29" i="5"/>
  <c r="AD33" i="5"/>
  <c r="AD37" i="5" s="1"/>
  <c r="AD59" i="5"/>
  <c r="AA37" i="5" l="1"/>
  <c r="Z37" i="5"/>
  <c r="AA54" i="5"/>
  <c r="Z54" i="5"/>
  <c r="AA42" i="5"/>
  <c r="Z42" i="5"/>
  <c r="Z46" i="5"/>
  <c r="AA46" i="5"/>
  <c r="AA50" i="5"/>
  <c r="Z50" i="5"/>
  <c r="AA59" i="5"/>
  <c r="Z59" i="5"/>
  <c r="AA29" i="5"/>
  <c r="Z29" i="5"/>
  <c r="AD68" i="5"/>
  <c r="AD69" i="5" s="1"/>
  <c r="AA67" i="5"/>
  <c r="Z67" i="5"/>
  <c r="Z76" i="5"/>
  <c r="AA76" i="5"/>
  <c r="Z33" i="5"/>
  <c r="AA33" i="5"/>
  <c r="AD60" i="5"/>
  <c r="Z69" i="5" l="1"/>
  <c r="AA69" i="5"/>
  <c r="AA68" i="5"/>
  <c r="Z68" i="5"/>
  <c r="AA60" i="5"/>
  <c r="Z60" i="5"/>
  <c r="AD61" i="5"/>
  <c r="AD70" i="5"/>
  <c r="AD71" i="5" l="1"/>
  <c r="AA70" i="5"/>
  <c r="Z70" i="5"/>
  <c r="AA61" i="5"/>
  <c r="Z61" i="5"/>
  <c r="AD62" i="5"/>
  <c r="AD63" i="5" l="1"/>
  <c r="AA62" i="5"/>
  <c r="Z62" i="5"/>
  <c r="Z71" i="5"/>
  <c r="AA71" i="5"/>
  <c r="AA63" i="5" l="1"/>
  <c r="Z63" i="5"/>
  <c r="A8" i="5" l="1"/>
  <c r="A9" i="5" s="1"/>
  <c r="G24" i="5"/>
  <c r="G23" i="5"/>
  <c r="G22" i="5"/>
  <c r="G21" i="5"/>
  <c r="G20" i="5"/>
  <c r="G19" i="5"/>
  <c r="G18" i="5"/>
  <c r="G17" i="5"/>
  <c r="G16" i="5"/>
  <c r="G15" i="5"/>
  <c r="G14" i="5"/>
  <c r="G13" i="5"/>
  <c r="G9" i="5"/>
  <c r="G8" i="5"/>
  <c r="G7" i="5"/>
  <c r="A10" i="5" l="1"/>
  <c r="A11" i="5" s="1"/>
  <c r="A12" i="5" s="1"/>
  <c r="A13" i="5" s="1"/>
  <c r="A14" i="5" s="1"/>
  <c r="A15" i="5" s="1"/>
  <c r="A16" i="5" s="1"/>
  <c r="A17" i="5" s="1"/>
  <c r="A18" i="5" s="1"/>
  <c r="A19" i="5" s="1"/>
  <c r="A20" i="5" s="1"/>
  <c r="A21" i="5" s="1"/>
  <c r="A22" i="5" s="1"/>
  <c r="A23" i="5" s="1"/>
  <c r="A24" i="5" s="1"/>
  <c r="A26" i="5" s="1"/>
  <c r="A27" i="5" s="1"/>
  <c r="A28" i="5" s="1"/>
  <c r="A29" i="5" s="1"/>
  <c r="A30" i="5" s="1"/>
  <c r="A31" i="5" s="1"/>
  <c r="A32" i="5" s="1"/>
  <c r="A33" i="5" s="1"/>
  <c r="AE24" i="5"/>
  <c r="AB24" i="5" s="1"/>
  <c r="AE23" i="5"/>
  <c r="AB23" i="5" s="1"/>
  <c r="AE22" i="5"/>
  <c r="AB22" i="5" s="1"/>
  <c r="AD22" i="5"/>
  <c r="AE21" i="5"/>
  <c r="AB21" i="5" s="1"/>
  <c r="AE20" i="5"/>
  <c r="AB20" i="5" s="1"/>
  <c r="AE19" i="5"/>
  <c r="AB19" i="5" s="1"/>
  <c r="AD19" i="5"/>
  <c r="AE18" i="5"/>
  <c r="AB18" i="5" s="1"/>
  <c r="AE17" i="5"/>
  <c r="AB17" i="5" s="1"/>
  <c r="AE16" i="5"/>
  <c r="AB16" i="5" s="1"/>
  <c r="AD16" i="5"/>
  <c r="AE15" i="5"/>
  <c r="AB15" i="5" s="1"/>
  <c r="AE14" i="5"/>
  <c r="AB14" i="5" s="1"/>
  <c r="AE13" i="5"/>
  <c r="AB13" i="5" s="1"/>
  <c r="AD13" i="5"/>
  <c r="AE9" i="5"/>
  <c r="AE8" i="5"/>
  <c r="A34" i="5" l="1"/>
  <c r="A35" i="5" s="1"/>
  <c r="A36" i="5" s="1"/>
  <c r="A37" i="5" s="1"/>
  <c r="A39" i="5" s="1"/>
  <c r="A40" i="5" s="1"/>
  <c r="A41" i="5" s="1"/>
  <c r="A42" i="5" s="1"/>
  <c r="A43" i="5" s="1"/>
  <c r="A44" i="5" s="1"/>
  <c r="A45" i="5" s="1"/>
  <c r="A46" i="5" s="1"/>
  <c r="A47" i="5" s="1"/>
  <c r="A48" i="5" s="1"/>
  <c r="A49" i="5" s="1"/>
  <c r="A50" i="5" s="1"/>
  <c r="A51" i="5" s="1"/>
  <c r="A52" i="5" s="1"/>
  <c r="A53" i="5" s="1"/>
  <c r="A54" i="5" s="1"/>
  <c r="A56" i="5" s="1"/>
  <c r="A57" i="5" s="1"/>
  <c r="A58" i="5" s="1"/>
  <c r="A59" i="5" s="1"/>
  <c r="A60" i="5" s="1"/>
  <c r="A61" i="5" s="1"/>
  <c r="A62" i="5" s="1"/>
  <c r="A63" i="5" s="1"/>
  <c r="A64" i="5" s="1"/>
  <c r="A65" i="5" s="1"/>
  <c r="A66" i="5" s="1"/>
  <c r="A67" i="5" s="1"/>
  <c r="A68" i="5" s="1"/>
  <c r="A69" i="5" s="1"/>
  <c r="A70" i="5" s="1"/>
  <c r="A71" i="5" s="1"/>
  <c r="A73" i="5" s="1"/>
  <c r="A74" i="5" s="1"/>
  <c r="A75" i="5" s="1"/>
  <c r="A76" i="5" s="1"/>
  <c r="A78" i="5" s="1"/>
  <c r="A79" i="5" s="1"/>
  <c r="A80" i="5" s="1"/>
  <c r="A81" i="5" s="1"/>
  <c r="A82" i="5" s="1"/>
  <c r="A83" i="5" s="1"/>
  <c r="A84" i="5" s="1"/>
  <c r="A85" i="5" s="1"/>
  <c r="A86" i="5" s="1"/>
  <c r="A88" i="5" s="1"/>
  <c r="A89" i="5" s="1"/>
  <c r="A90" i="5" s="1"/>
  <c r="A91" i="5" s="1"/>
  <c r="A92" i="5" s="1"/>
  <c r="A93" i="5" s="1"/>
  <c r="A94" i="5" s="1"/>
  <c r="A95" i="5" s="1"/>
  <c r="A96" i="5" s="1"/>
  <c r="A97" i="5" s="1"/>
  <c r="A98" i="5" s="1"/>
  <c r="A99" i="5" s="1"/>
  <c r="AB9" i="5"/>
  <c r="C9" i="5" s="1"/>
  <c r="AE12" i="5"/>
  <c r="AB12" i="5" s="1"/>
  <c r="C12" i="5" s="1"/>
  <c r="AB8" i="5"/>
  <c r="C8" i="5" s="1"/>
  <c r="AE11" i="5"/>
  <c r="AB11" i="5" s="1"/>
  <c r="C11" i="5" s="1"/>
  <c r="AA13" i="5"/>
  <c r="Z13" i="5"/>
  <c r="Z19" i="5"/>
  <c r="AA19" i="5"/>
  <c r="Z16" i="5"/>
  <c r="AA16" i="5"/>
  <c r="Z22" i="5"/>
  <c r="AA22" i="5"/>
  <c r="AD7" i="5"/>
  <c r="AD10" i="5" s="1"/>
  <c r="C28" i="5"/>
  <c r="C29" i="5"/>
  <c r="C26" i="5"/>
  <c r="C27" i="5"/>
  <c r="AE7" i="5"/>
  <c r="AE10" i="5" s="1"/>
  <c r="AB10" i="5" s="1"/>
  <c r="C10" i="5" s="1"/>
  <c r="C69" i="5"/>
  <c r="C67" i="5"/>
  <c r="C42" i="5"/>
  <c r="C41" i="5"/>
  <c r="C62" i="5"/>
  <c r="C57" i="5"/>
  <c r="C74" i="5"/>
  <c r="C43" i="5"/>
  <c r="C40" i="5"/>
  <c r="C76" i="5"/>
  <c r="C56" i="5"/>
  <c r="C61" i="5"/>
  <c r="C70" i="5"/>
  <c r="C39" i="5"/>
  <c r="C58" i="5"/>
  <c r="C65" i="5"/>
  <c r="C60" i="5"/>
  <c r="C66" i="5"/>
  <c r="C64" i="5"/>
  <c r="C73" i="5"/>
  <c r="C59" i="5"/>
  <c r="C75" i="5"/>
  <c r="C68" i="5"/>
  <c r="C45" i="5"/>
  <c r="C44" i="5"/>
  <c r="C46" i="5"/>
  <c r="C24" i="5"/>
  <c r="C15" i="5"/>
  <c r="C21" i="5"/>
  <c r="C17" i="5"/>
  <c r="C18" i="5"/>
  <c r="C16" i="5"/>
  <c r="C13" i="5"/>
  <c r="C19" i="5"/>
  <c r="C22" i="5"/>
  <c r="C14" i="5"/>
  <c r="C20" i="5"/>
  <c r="C23" i="5"/>
  <c r="AD17" i="5"/>
  <c r="AD23" i="5"/>
  <c r="AD20" i="5"/>
  <c r="AD14" i="5"/>
  <c r="Z10" i="5" l="1"/>
  <c r="AA10" i="5"/>
  <c r="Z14" i="5"/>
  <c r="AA14" i="5"/>
  <c r="AB7" i="5"/>
  <c r="C7" i="5" s="1"/>
  <c r="AA20" i="5"/>
  <c r="Z20" i="5"/>
  <c r="AA23" i="5"/>
  <c r="Z23" i="5"/>
  <c r="Z7" i="5"/>
  <c r="AA7" i="5"/>
  <c r="AA17" i="5"/>
  <c r="Z17" i="5"/>
  <c r="AD8" i="5"/>
  <c r="AD11" i="5" s="1"/>
  <c r="AD24" i="5"/>
  <c r="AD21" i="5"/>
  <c r="AD15" i="5"/>
  <c r="AD18" i="5"/>
  <c r="N9" i="14"/>
  <c r="N8" i="14"/>
  <c r="N7" i="14"/>
  <c r="N6" i="14"/>
  <c r="Z11" i="5" l="1"/>
  <c r="AA11" i="5"/>
  <c r="AA8" i="5"/>
  <c r="Z8" i="5"/>
  <c r="AA24" i="5"/>
  <c r="Z24" i="5"/>
  <c r="Z18" i="5"/>
  <c r="AA18" i="5"/>
  <c r="AA15" i="5"/>
  <c r="Z15" i="5"/>
  <c r="AA21" i="5"/>
  <c r="Z21" i="5"/>
  <c r="AD9" i="5"/>
  <c r="AD12" i="5" s="1"/>
  <c r="C10" i="17"/>
  <c r="C11" i="17"/>
  <c r="I12" i="17"/>
  <c r="C12" i="17"/>
  <c r="I13" i="17"/>
  <c r="C13" i="17"/>
  <c r="I14" i="17"/>
  <c r="C14" i="17"/>
  <c r="I15" i="17"/>
  <c r="C15" i="17"/>
  <c r="I16"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53" i="17"/>
  <c r="C54" i="17"/>
  <c r="C55" i="17"/>
  <c r="C56" i="17"/>
  <c r="C57" i="17"/>
  <c r="C58" i="17"/>
  <c r="C59" i="17"/>
  <c r="C60" i="17"/>
  <c r="C61" i="17"/>
  <c r="C62" i="17"/>
  <c r="C63" i="17"/>
  <c r="C64" i="17"/>
  <c r="C65" i="17"/>
  <c r="C66" i="17"/>
  <c r="C67" i="17"/>
  <c r="Z12" i="5" l="1"/>
  <c r="AA12" i="5"/>
  <c r="AA9" i="5"/>
  <c r="Z9" i="5"/>
  <c r="D70" i="17" a="1"/>
  <c r="I37" i="15"/>
  <c r="I36" i="15"/>
  <c r="I35" i="15"/>
  <c r="I34" i="15"/>
  <c r="I33" i="15"/>
  <c r="E70" i="17" l="1"/>
  <c r="D73" i="17"/>
  <c r="E73" i="17"/>
  <c r="H75" i="17" s="1"/>
  <c r="E74" i="17"/>
  <c r="D74" i="17"/>
  <c r="D71" i="17"/>
  <c r="E72" i="17"/>
  <c r="G70" i="17"/>
  <c r="G75" i="17" s="1"/>
  <c r="F74" i="17"/>
  <c r="F72" i="17"/>
  <c r="F71" i="17"/>
  <c r="D72" i="17"/>
  <c r="G74" i="17"/>
  <c r="D70" i="17"/>
  <c r="D75" i="17" s="1"/>
  <c r="G72" i="17"/>
  <c r="G73" i="17"/>
  <c r="G71" i="17"/>
  <c r="F73" i="17"/>
  <c r="E71" i="17"/>
  <c r="F70" i="17"/>
  <c r="F75" i="17" s="1"/>
  <c r="B19" i="6"/>
  <c r="B20" i="6" s="1"/>
  <c r="B21" i="6" s="1"/>
  <c r="B22" i="6" s="1"/>
  <c r="E75" i="17" l="1"/>
  <c r="L14" i="14" l="1"/>
</calcChain>
</file>

<file path=xl/comments1.xml><?xml version="1.0" encoding="utf-8"?>
<comments xmlns="http://schemas.openxmlformats.org/spreadsheetml/2006/main">
  <authors>
    <author>Paul Reeves</author>
  </authors>
  <commentList>
    <comment ref="D117" authorId="0" shapeId="0">
      <text>
        <r>
          <rPr>
            <b/>
            <sz val="9"/>
            <color indexed="81"/>
            <rFont val="Tahoma"/>
            <family val="2"/>
          </rPr>
          <t xml:space="preserve">different lookup references
</t>
        </r>
      </text>
    </comment>
  </commentList>
</comments>
</file>

<file path=xl/sharedStrings.xml><?xml version="1.0" encoding="utf-8"?>
<sst xmlns="http://schemas.openxmlformats.org/spreadsheetml/2006/main" count="4562" uniqueCount="979">
  <si>
    <t>For building types where packaged VAV system types are applicable, simulations were added to consider both the packaged single zone system type and the packaged VAV system type for packaged DX systems 240 kBtu/hr and larger.</t>
  </si>
  <si>
    <t>An analysis of unit supply fan power was conducted to establish a more rigorous approach to handling this parameter in the simulations.</t>
  </si>
  <si>
    <t>IEER calculations were performed for each of the new performance map data sets to enable the development of measures described in terms of IEER.</t>
  </si>
  <si>
    <t>Workbook Contents:</t>
  </si>
  <si>
    <t>Measure Definitions</t>
  </si>
  <si>
    <t>DEER Measure Definition</t>
  </si>
  <si>
    <t>This table formats the DEER2015 measures in the ex ante format.</t>
  </si>
  <si>
    <t>Index</t>
  </si>
  <si>
    <t>MeasureID</t>
  </si>
  <si>
    <t>Description</t>
  </si>
  <si>
    <t>Version</t>
  </si>
  <si>
    <t>VersionSource</t>
  </si>
  <si>
    <t>LastMod</t>
  </si>
  <si>
    <t>EnergyImpactID</t>
  </si>
  <si>
    <t>MeasImpactType</t>
  </si>
  <si>
    <t>EnImpCalcType</t>
  </si>
  <si>
    <t>ImpScaleBasis</t>
  </si>
  <si>
    <t>StdScaleVal</t>
  </si>
  <si>
    <t>PreScaleVal</t>
  </si>
  <si>
    <t>ImpWeighting</t>
  </si>
  <si>
    <t>WeightGroupID</t>
  </si>
  <si>
    <t>ApplyIE</t>
  </si>
  <si>
    <t>IETableName</t>
  </si>
  <si>
    <t>TechBased</t>
  </si>
  <si>
    <t>Sector</t>
  </si>
  <si>
    <t>PA</t>
  </si>
  <si>
    <t>UseCategory</t>
  </si>
  <si>
    <t>UseSubCategory</t>
  </si>
  <si>
    <t>TechGroup</t>
  </si>
  <si>
    <t>TechType</t>
  </si>
  <si>
    <t>MeasCostID</t>
  </si>
  <si>
    <t>EUL_ID</t>
  </si>
  <si>
    <t>PreDesc</t>
  </si>
  <si>
    <t>StdDesc</t>
  </si>
  <si>
    <t>MeasDesc</t>
  </si>
  <si>
    <t>PreTechID</t>
  </si>
  <si>
    <t>StdTechID</t>
  </si>
  <si>
    <t>MeasTechID</t>
  </si>
  <si>
    <t>Status</t>
  </si>
  <si>
    <t>Comment</t>
  </si>
  <si>
    <t>PreMultiTech</t>
  </si>
  <si>
    <t>StdMultiTech</t>
  </si>
  <si>
    <t>SourceDesc</t>
  </si>
  <si>
    <t>SupportedAppType</t>
  </si>
  <si>
    <t>StdCostID</t>
  </si>
  <si>
    <t>RUL_ID</t>
  </si>
  <si>
    <t>LegacyID</t>
  </si>
  <si>
    <t>Qualifier</t>
  </si>
  <si>
    <t>StartDate</t>
  </si>
  <si>
    <t>ExpiryDate</t>
  </si>
  <si>
    <t>None</t>
  </si>
  <si>
    <t>Performance Map Selection</t>
  </si>
  <si>
    <t>Efficiency Tier</t>
  </si>
  <si>
    <t>Supply Fan W/CFM</t>
  </si>
  <si>
    <t>Rated EER</t>
  </si>
  <si>
    <t>No</t>
  </si>
  <si>
    <t>Yes</t>
  </si>
  <si>
    <t>135 to 239</t>
  </si>
  <si>
    <t>240 to 759</t>
  </si>
  <si>
    <t>Fan Control</t>
  </si>
  <si>
    <t>one speed</t>
  </si>
  <si>
    <t>two speed</t>
  </si>
  <si>
    <t>Economizer Req'd</t>
  </si>
  <si>
    <t>Size Range, kBtu/hr</t>
  </si>
  <si>
    <t>Two Speed</t>
  </si>
  <si>
    <t>Number of Performance Maps</t>
  </si>
  <si>
    <t>65 to 134</t>
  </si>
  <si>
    <t>Variable Speed</t>
  </si>
  <si>
    <t>Run Group Categories for Performance Map Selection</t>
  </si>
  <si>
    <t>Code Update</t>
  </si>
  <si>
    <t>430.32   Energy and water conservation standards and their compliance dates.</t>
  </si>
  <si>
    <t>(2) Central air conditioners and central air conditioning heat pumps manufactured on or after January 1, 2015, shall have a Seasonal Energy Efficiency Ratio and Heating Seasonal Performance Factor not less than:</t>
  </si>
  <si>
    <t>Product class</t>
  </si>
  <si>
    <t>Seasonal energy efficiency ratio (SEER)</t>
  </si>
  <si>
    <t>Heating seasonal performance</t>
  </si>
  <si>
    <t>factor (HSPF)</t>
  </si>
  <si>
    <t>(i) Split-system air conditioners</t>
  </si>
  <si>
    <t>(ii) Split-system heat pumps</t>
  </si>
  <si>
    <t>(iii) Single-package air conditioners</t>
  </si>
  <si>
    <t>(iv) Single-package heat pumps</t>
  </si>
  <si>
    <t>Energy efficiency ratio (EER)</t>
  </si>
  <si>
    <t>(i) Split-system rated cooling capacity less than 45,000 Btu/hr</t>
  </si>
  <si>
    <t>(ii) Split-system rated cooling capacity equal to or greater than 45,000 Btu/hr</t>
  </si>
  <si>
    <t>(iii) Single-package systems</t>
  </si>
  <si>
    <r>
      <t>(4) In addition to meeting the applicable requirements in paragraphs (c)(2) of this section, products in product classes (i) and (iii) of paragraph (c)(2) (</t>
    </r>
    <r>
      <rPr>
        <i/>
        <sz val="9"/>
        <color rgb="FF000000"/>
        <rFont val="Arial"/>
        <family val="2"/>
      </rPr>
      <t>i.e.,</t>
    </r>
    <r>
      <rPr>
        <sz val="9"/>
        <color rgb="FF000000"/>
        <rFont val="Arial"/>
        <family val="2"/>
      </rPr>
      <t> </t>
    </r>
    <r>
      <rPr>
        <b/>
        <sz val="9"/>
        <color rgb="FFFF0000"/>
        <rFont val="Arial"/>
        <family val="2"/>
      </rPr>
      <t>split-system air conditioners and single-package air  conditioners</t>
    </r>
    <r>
      <rPr>
        <sz val="9"/>
        <color rgb="FFFF0000"/>
        <rFont val="Arial"/>
        <family val="2"/>
      </rPr>
      <t xml:space="preserve">) </t>
    </r>
    <r>
      <rPr>
        <sz val="9"/>
        <rFont val="Arial"/>
        <family val="2"/>
      </rPr>
      <t xml:space="preserve">that are manufactured on or after January 1, 2015, and installed in the States of Arizona, </t>
    </r>
    <r>
      <rPr>
        <b/>
        <sz val="9"/>
        <color rgb="FFFF0000"/>
        <rFont val="Arial"/>
        <family val="2"/>
      </rPr>
      <t>California</t>
    </r>
    <r>
      <rPr>
        <sz val="9"/>
        <rFont val="Arial"/>
        <family val="2"/>
      </rPr>
      <t xml:space="preserve">, Nevada, or New Mexico </t>
    </r>
    <r>
      <rPr>
        <b/>
        <sz val="9"/>
        <color rgb="FFFF0000"/>
        <rFont val="Arial"/>
        <family val="2"/>
      </rPr>
      <t xml:space="preserve">shall have a Seasonal Energy Efficiency Ratio not less than 14 and have an Energy Efficiency Ratio </t>
    </r>
    <r>
      <rPr>
        <sz val="9"/>
        <rFont val="Arial"/>
        <family val="2"/>
      </rPr>
      <t>(at a standard rating of 95 °F dry bulb outdoor temperature)</t>
    </r>
    <r>
      <rPr>
        <b/>
        <sz val="9"/>
        <color rgb="FFFF0000"/>
        <rFont val="Arial"/>
        <family val="2"/>
      </rPr>
      <t xml:space="preserve"> not less than the following:</t>
    </r>
  </si>
  <si>
    <t>HSPF</t>
  </si>
  <si>
    <t>Rated SEER</t>
  </si>
  <si>
    <t>Rated HSPF</t>
  </si>
  <si>
    <t>System Type</t>
  </si>
  <si>
    <t>Split AC</t>
  </si>
  <si>
    <t>Split HP</t>
  </si>
  <si>
    <t>SEER</t>
  </si>
  <si>
    <t>Carrier</t>
  </si>
  <si>
    <t>Goodman</t>
  </si>
  <si>
    <t>Trane</t>
  </si>
  <si>
    <t>Lennox</t>
  </si>
  <si>
    <t>Packaged AC equipment Unit Data used for the determination of Fan W/CFM</t>
  </si>
  <si>
    <t>Mfgr</t>
  </si>
  <si>
    <t>Model #</t>
  </si>
  <si>
    <t>Nom Cap</t>
  </si>
  <si>
    <t>Cap^2</t>
  </si>
  <si>
    <t>Fan W/cfm</t>
  </si>
  <si>
    <t>PSZ</t>
  </si>
  <si>
    <t>York</t>
  </si>
  <si>
    <t>ZXG07 (R410A)</t>
  </si>
  <si>
    <t>Ruud</t>
  </si>
  <si>
    <t>RLNL-C073 (R410A)</t>
  </si>
  <si>
    <t>McQuay</t>
  </si>
  <si>
    <t>MPS 006B (R410A)</t>
  </si>
  <si>
    <t>Packaged Single Zone: 65 to 134 kBtuh (6 to 11 tons)</t>
  </si>
  <si>
    <t>ZYG07 (R410A)</t>
  </si>
  <si>
    <t>Weak relationships for both EER and Cap, low R2</t>
  </si>
  <si>
    <t>48PG07 (R410A)</t>
  </si>
  <si>
    <t>Coefficient Description</t>
  </si>
  <si>
    <t>EER</t>
  </si>
  <si>
    <t>Cap</t>
  </si>
  <si>
    <t>Const</t>
  </si>
  <si>
    <t>MPS 007B (R410A)</t>
  </si>
  <si>
    <t>Coefficient Value</t>
  </si>
  <si>
    <t>KGA092S4B</t>
  </si>
  <si>
    <t>Std Err of coef</t>
  </si>
  <si>
    <t>ZXG08 (R410A)</t>
  </si>
  <si>
    <t>R2, Std Err of Y</t>
  </si>
  <si>
    <t>RKNL-C090 (R410A)</t>
  </si>
  <si>
    <t>F, deg freedom</t>
  </si>
  <si>
    <t>ZYG08 (R410A)</t>
  </si>
  <si>
    <t>Sum of Squares: regr, resid.</t>
  </si>
  <si>
    <t>48PG08 (R410A)</t>
  </si>
  <si>
    <t>KGA092H4B</t>
  </si>
  <si>
    <t>RLRL-C090 (R410A)</t>
  </si>
  <si>
    <t>Packaged Single Zone: 135 to 239 kBtuh (12 to 19 tons)</t>
  </si>
  <si>
    <t>MPS 008B (R410A)</t>
  </si>
  <si>
    <t>Moderate relation ship for Capacity; weak relationship for EER</t>
  </si>
  <si>
    <t>KGA102S4B</t>
  </si>
  <si>
    <t>ZXG09 (R410A)</t>
  </si>
  <si>
    <t>ZYG09 (R410A)</t>
  </si>
  <si>
    <t>48PG09 (R410A)</t>
  </si>
  <si>
    <t>KGA102H4B</t>
  </si>
  <si>
    <t>KGA120S4B</t>
  </si>
  <si>
    <t>ZXG12 (R410A)</t>
  </si>
  <si>
    <t>MPS 010B (R410A)</t>
  </si>
  <si>
    <t>RKKL-B120 (R410A)</t>
  </si>
  <si>
    <t>Packaged Single Zone: 240 to 759 kBtuh (20 to 65 tons)</t>
  </si>
  <si>
    <t>ZYG12 (R410A)</t>
  </si>
  <si>
    <t>Moderate relationship for Capacity; very weak for EER</t>
  </si>
  <si>
    <t>50PG12 (R410A)</t>
  </si>
  <si>
    <t>48PG12 (R410A)</t>
  </si>
  <si>
    <t>KGA120H4B</t>
  </si>
  <si>
    <t>RLRL-C120 (R410A)</t>
  </si>
  <si>
    <t>MPS 012B (R410A)</t>
  </si>
  <si>
    <t>KGA150S4B</t>
  </si>
  <si>
    <t>RLNL-G151 (R410A)</t>
  </si>
  <si>
    <t>RLKL-B151 (R410A)</t>
  </si>
  <si>
    <t>RKKL-C151 (R410A)</t>
  </si>
  <si>
    <t>48PG14 (R410A)</t>
  </si>
  <si>
    <t>KGA156H4B</t>
  </si>
  <si>
    <t>KGA180S4B</t>
  </si>
  <si>
    <t>RKKL-B180 (R410A)</t>
  </si>
  <si>
    <t>ZF180N (R410A)</t>
  </si>
  <si>
    <t>MPS 015B (R410A)</t>
  </si>
  <si>
    <t>48PG16 (R410A)</t>
  </si>
  <si>
    <t>50PG16 (R410A)</t>
  </si>
  <si>
    <t>KGA180H4B</t>
  </si>
  <si>
    <t>ZJ180N (R410A)</t>
  </si>
  <si>
    <t>KGA210S4B</t>
  </si>
  <si>
    <t>ZF210N (R410A)</t>
  </si>
  <si>
    <t>RKNL-C210 (R410A)</t>
  </si>
  <si>
    <t>KGA210H4B</t>
  </si>
  <si>
    <t>ZJ210N (R410A)</t>
  </si>
  <si>
    <t>48PG20 (R410A)</t>
  </si>
  <si>
    <t>48A2-020</t>
  </si>
  <si>
    <t>KGA240S4B</t>
  </si>
  <si>
    <t>MPS 020B (R410A)</t>
  </si>
  <si>
    <t>ZJ240N (R410A)</t>
  </si>
  <si>
    <t>48PG24 (R410A)</t>
  </si>
  <si>
    <t>KGA240H4B</t>
  </si>
  <si>
    <t>SGC240H4B</t>
  </si>
  <si>
    <t>48A2-025</t>
  </si>
  <si>
    <t>Z42+C0(2,4,5)</t>
  </si>
  <si>
    <t>LGH300H4V</t>
  </si>
  <si>
    <t>48A2-027</t>
  </si>
  <si>
    <t>48A2-030</t>
  </si>
  <si>
    <t>Z33+C0(2,4,5)</t>
  </si>
  <si>
    <t>LGH360H4V</t>
  </si>
  <si>
    <t>48A2-035</t>
  </si>
  <si>
    <t>LGH420S4V</t>
  </si>
  <si>
    <t>LGH420H4V</t>
  </si>
  <si>
    <t>LCH420H4V</t>
  </si>
  <si>
    <t>LGH480S4V</t>
  </si>
  <si>
    <t>Z34+C0(2,4,5)</t>
  </si>
  <si>
    <t>48A2-040</t>
  </si>
  <si>
    <t>LGH480H4V</t>
  </si>
  <si>
    <t>LCH480H4V</t>
  </si>
  <si>
    <t>LGH540S4</t>
  </si>
  <si>
    <t>LGH600S4V</t>
  </si>
  <si>
    <t>YPAL050N</t>
  </si>
  <si>
    <t>YPAL051N</t>
  </si>
  <si>
    <t>YPAL060N</t>
  </si>
  <si>
    <t>48A2-060</t>
  </si>
  <si>
    <t>PVAV</t>
  </si>
  <si>
    <t>Z34+C0(2,4,5</t>
  </si>
  <si>
    <t>YPAL051E</t>
  </si>
  <si>
    <t>Fan Power Evaluation for Packaged Air Conditioners</t>
  </si>
  <si>
    <t>Cap, tons</t>
  </si>
  <si>
    <t>Unit Type</t>
  </si>
  <si>
    <t>Split DX Selected Perf Maps</t>
  </si>
  <si>
    <t>Packaged DX Selected Perf Maps</t>
  </si>
  <si>
    <r>
      <t xml:space="preserve">14 </t>
    </r>
    <r>
      <rPr>
        <vertAlign val="superscript"/>
        <sz val="11"/>
        <color theme="1"/>
        <rFont val="Arial"/>
        <family val="2"/>
      </rPr>
      <t>(4)</t>
    </r>
  </si>
  <si>
    <t>Split Heat Pump Tier Level Selection</t>
  </si>
  <si>
    <t>This worksheet illustrates the process that was used to establish the HSPF tier levels for split heat pump measures.</t>
  </si>
  <si>
    <t>Tier</t>
  </si>
  <si>
    <t>Mfg</t>
  </si>
  <si>
    <t>Split HP Measure Tier Levels</t>
  </si>
  <si>
    <t>Recent Product Data from Manufacturer Literature</t>
  </si>
  <si>
    <t>Values from DEER 2014 Performance Map Data</t>
  </si>
  <si>
    <t>Packaged AC Fan Power</t>
  </si>
  <si>
    <t>Split DX Fan Power</t>
  </si>
  <si>
    <t>Split HP Tier Selection</t>
  </si>
  <si>
    <t>19 to 20</t>
  </si>
  <si>
    <t>16 to 18</t>
  </si>
  <si>
    <t>Bin</t>
  </si>
  <si>
    <t>Tons</t>
  </si>
  <si>
    <t>Tot Cap</t>
  </si>
  <si>
    <t>Fan Power Evaluation for Split DX Systems</t>
  </si>
  <si>
    <t>Avg</t>
  </si>
  <si>
    <t>W/cfm</t>
  </si>
  <si>
    <t>Split DX Selected Performance Maps</t>
  </si>
  <si>
    <t>Packaged AC Selected Performance Maps</t>
  </si>
  <si>
    <t xml:space="preserve"> Dependents</t>
  </si>
  <si>
    <t>Sen/Total</t>
  </si>
  <si>
    <t>EIR</t>
  </si>
  <si>
    <t>cfm/Btuh</t>
  </si>
  <si>
    <t>Coil-BF</t>
  </si>
  <si>
    <t>Crnk/Tot kW</t>
  </si>
  <si>
    <t>Crnk Off</t>
  </si>
  <si>
    <t>Total Capacity Curve Fit Coefficients</t>
  </si>
  <si>
    <t>Sensible Capacity Curve Fit Coefficients</t>
  </si>
  <si>
    <t>EIR Curve Fit Coefficients</t>
  </si>
  <si>
    <t>Coil-BF Curve Fit Coefficients</t>
  </si>
  <si>
    <t>Temperate EIR_PLR Curve Fit Coefficients</t>
  </si>
  <si>
    <t>Moderate EIR_PLR Curve Fit Coefficients</t>
  </si>
  <si>
    <t>Hot EIR_PLR Curve Fit Coefficients</t>
  </si>
  <si>
    <t>Temp C-Loss Curve Fit Coefficients</t>
  </si>
  <si>
    <t>Mod C-Loss Curve Fit Coefficients</t>
  </si>
  <si>
    <t>Hot C-Loss Curve Fit Coefficients</t>
  </si>
  <si>
    <t>Cmp Spd</t>
  </si>
  <si>
    <t>Low Speed Ratios</t>
  </si>
  <si>
    <t>COP47</t>
  </si>
  <si>
    <t>Heat Cap</t>
  </si>
  <si>
    <t>H-EIR</t>
  </si>
  <si>
    <t>HIR Curve Fit Coefficients</t>
  </si>
  <si>
    <t>BF-FFLOW Curve Coeffients</t>
  </si>
  <si>
    <t>Data Key:</t>
  </si>
  <si>
    <t>Dep Col(s)</t>
  </si>
  <si>
    <t>Usage</t>
  </si>
  <si>
    <t>Unit's rated EER.</t>
  </si>
  <si>
    <t>Actual unit total capacity.  Value is for reference only and not used in simulations.</t>
  </si>
  <si>
    <t>Data used as DOE-2 simulation inputs.  Fields are used as follows:</t>
  </si>
  <si>
    <t>Ratio of sensible to total capacity (sensible heat ratio) is used to establish COOL-SH-CAP from design cooling load.</t>
  </si>
  <si>
    <t>COOL-SH-CAP = COOLING-CAPACITY * Sen/Total</t>
  </si>
  <si>
    <t>Value is DOE-2 keyword COOLING-EIR</t>
  </si>
  <si>
    <t>COOLING-EIR</t>
  </si>
  <si>
    <t>cfm/Btuh is used to calculate design air flow as SUPPLY-CFM = cfm/Btuh * unit design capacity.</t>
  </si>
  <si>
    <t>Fan W/cfm is used to set the fan power input and fan Delta T via the following keywords:</t>
  </si>
  <si>
    <t>SUPPLY-KW = (Fan W/cfm)/1,000</t>
  </si>
  <si>
    <t>SUPPLY-DELTA-T   = (Fan W/cfm)* 3.160</t>
  </si>
  <si>
    <t>Coil-BF is the design coil by-pass factor.  The DOE-2 keyword COIL-BF = Coil-BF</t>
  </si>
  <si>
    <t>Crkn/Tot kW is used to set the keyword CRANKCASE-HEAT, and is the ratio of crankcase load heat to the design compressor load.</t>
  </si>
  <si>
    <t>Crnk Off is the temperature above which crankcase heat is deactivated and is the value used for the keyword CRANKCASE-MAX-T.</t>
  </si>
  <si>
    <t>11 - 16</t>
  </si>
  <si>
    <t>The coefficients for the bi-quadratic total capacity off-design curve set by the keyword COOL-CAP-FT</t>
  </si>
  <si>
    <t>17 - 22</t>
  </si>
  <si>
    <t>The coefficients for the bi-quadratic sensible capacity off-design curve set by the keyword COOL-SH-FT</t>
  </si>
  <si>
    <t>23 - 28</t>
  </si>
  <si>
    <t>The coefficients for the bi-quadratic EIR off-design curve set by the keyword COOL-EIR-FT</t>
  </si>
  <si>
    <t>29 - 34</t>
  </si>
  <si>
    <t>The coefficients for the bi-quadratic coil by-pass factor off-design curve set by the keyword COIL-BF-FT</t>
  </si>
  <si>
    <t>35 - 38</t>
  </si>
  <si>
    <t>The coefficients for the qubic equation that determines the EIR as a function of the part-load ratio for houses in temperate climate zones</t>
  </si>
  <si>
    <t>39 - 42</t>
  </si>
  <si>
    <t>The coefficients for the qubic equation that determines the EIR as a function of the part-load ratio for houses in moderate climate zones</t>
  </si>
  <si>
    <t>43 - 46</t>
  </si>
  <si>
    <t>The coefficients for the qubic equation that determines the EIR as a function of the part-load ratio for houses in hot climate zones</t>
  </si>
  <si>
    <t>47 - 49</t>
  </si>
  <si>
    <t>The coefficients for the quadratic equation of the C-LOSS curve for houses in temperate climate zones</t>
  </si>
  <si>
    <t>50 - 52</t>
  </si>
  <si>
    <t>The coefficients for the quadratic equation of the C-LOSS curve for houses in moderate climate zones</t>
  </si>
  <si>
    <t>53 - 55</t>
  </si>
  <si>
    <t>The coefficients for the quadratic equation of the C-LOSS curve for houses in hot climate zones</t>
  </si>
  <si>
    <t>Number of compressor speeds (1 or 2).  This is used as a flag to notify simulation when 2-speed equipment is to be simulated</t>
  </si>
  <si>
    <t>Low speed cfm ratio for 2-speed units (ratio of low speed to high speed cfm) used by keyword MIN-FLOW-RATIO</t>
  </si>
  <si>
    <t>Low speed capacity ratio for 2-speed units (ratio of lowspeed to high speed cooling capacity) used by keyword COOL-STAGES</t>
  </si>
  <si>
    <t>Columns for heat pumps only.  Colums BL and BN are descriptive only and not used in simulations</t>
  </si>
  <si>
    <t>For heat pumps only - rated HSPF</t>
  </si>
  <si>
    <t>For heat pumps only - rated COP at 47 outdoor temperature.  Keyword HEATING-EIR = 1/(COP at 47 ODB)</t>
  </si>
  <si>
    <t>For heat pumps only - Actual unit rated heating capacity.  Value is for reference only and not used in simulations.</t>
  </si>
  <si>
    <t>Heating EIR from manufacturers expanded ratings chart.  Used only as a check with the rated COP at 47 ODB.</t>
  </si>
  <si>
    <t>63 - 68</t>
  </si>
  <si>
    <t>For heat pumps only - the coefficients of the bi-quadratic heating capacity off-design curve set by keyword HEAT-CAP-FT</t>
  </si>
  <si>
    <t>69 - 74</t>
  </si>
  <si>
    <t>For heat pumps only - the coefficients of the bi-quadratic heating EIR off-design curve set by keyword HEAT-EIR-FT</t>
  </si>
  <si>
    <t>75 - 78</t>
  </si>
  <si>
    <t>The coefficients C0 &amp; C1  and the Min and Max values of the linear curve-fit command assigned to keyword COIL-BF-FFLOW</t>
  </si>
  <si>
    <t>Equip ID</t>
  </si>
  <si>
    <t>For this curve set, the following should be set: OUTPUT-MAX = 0.4/CoilBF, where the Coil-BF is specified in column 8.</t>
  </si>
  <si>
    <t>Heat Source</t>
  </si>
  <si>
    <t>Rated SEER/EER</t>
  </si>
  <si>
    <t>Calc EER</t>
  </si>
  <si>
    <t>CF W/Bth</t>
  </si>
  <si>
    <t>EIR_PLR Curve Fit Coefficients</t>
  </si>
  <si>
    <t>CLoss Curve Fit Coefficients</t>
  </si>
  <si>
    <t>C_Loss Min, Max</t>
  </si>
  <si>
    <t>Tot Cap_f(cfm)</t>
  </si>
  <si>
    <t>Sen Cap_f(cfm)</t>
  </si>
  <si>
    <t>SF Exp</t>
  </si>
  <si>
    <t>SF_Mult</t>
  </si>
  <si>
    <t>SEER Rated A/C Units - Up to 5 tons</t>
  </si>
  <si>
    <t>31001</t>
  </si>
  <si>
    <t>31101</t>
  </si>
  <si>
    <t>31201</t>
  </si>
  <si>
    <t>31301</t>
  </si>
  <si>
    <t>32001</t>
  </si>
  <si>
    <t>32101</t>
  </si>
  <si>
    <t>32201</t>
  </si>
  <si>
    <t>32301</t>
  </si>
  <si>
    <t>33001</t>
  </si>
  <si>
    <t>33101</t>
  </si>
  <si>
    <t>33201</t>
  </si>
  <si>
    <t>33301</t>
  </si>
  <si>
    <t>34001</t>
  </si>
  <si>
    <t>34101</t>
  </si>
  <si>
    <t>34201</t>
  </si>
  <si>
    <t>34301</t>
  </si>
  <si>
    <t>35001</t>
  </si>
  <si>
    <t>35101</t>
  </si>
  <si>
    <t>35201</t>
  </si>
  <si>
    <t>35301</t>
  </si>
  <si>
    <t>34002</t>
  </si>
  <si>
    <t>34102</t>
  </si>
  <si>
    <t>34202</t>
  </si>
  <si>
    <t>34302</t>
  </si>
  <si>
    <t>35002</t>
  </si>
  <si>
    <t>35102</t>
  </si>
  <si>
    <t>35202</t>
  </si>
  <si>
    <t>35302</t>
  </si>
  <si>
    <t>EER Rated Units 65 to 110 kBtuh</t>
  </si>
  <si>
    <t>EER Rated Units 110 to 135 kBtuh</t>
  </si>
  <si>
    <t>EER Rated Units 135 to 240 kBtuh</t>
  </si>
  <si>
    <t>EER Rated PVAV Units 240 to 760 kBtuh</t>
  </si>
  <si>
    <t>EER Rated PVAV Units 760 to 800 kBtuh</t>
  </si>
  <si>
    <t>EER Rated 2 Speed Units 240 to 760 kBtuh</t>
  </si>
  <si>
    <t>EER Rated 2 Speed Units 760 to 800 kBtuh</t>
  </si>
  <si>
    <t>Indep.</t>
  </si>
  <si>
    <t>Col. 3 - Heat Source Values</t>
  </si>
  <si>
    <t>Column(s)</t>
  </si>
  <si>
    <t>Nominal cooling capacity (tons)</t>
  </si>
  <si>
    <t>Gas</t>
  </si>
  <si>
    <t>Unit heat source, or for heat pumps, supplemental heat source (gas, electric, or none)</t>
  </si>
  <si>
    <t>Elec</t>
  </si>
  <si>
    <t>Unit EER rating for units over 65,000 Btuh cooling output</t>
  </si>
  <si>
    <t>Calculated EER based on expanded ratings tables and assumed SA fan power.</t>
  </si>
  <si>
    <t>Unit rated gross cooling capacity</t>
  </si>
  <si>
    <t>Colums I through BF are used as DOE-2 simulation inputs.  Fields are used as follows:</t>
  </si>
  <si>
    <t>Condenser fan Watt/gross total cooling capacity.  Value is the DOE-2 keyword OUTSIDE-FAN-ELEC.</t>
  </si>
  <si>
    <t>Crkn/Tot kW is used to set the keyword CRANKCASE-HEAT, and is the ratio of crankcase load heat to the design compressor power.</t>
  </si>
  <si>
    <t>15 - 20</t>
  </si>
  <si>
    <t>21 - 26</t>
  </si>
  <si>
    <t>27 - 32</t>
  </si>
  <si>
    <t>33 - 38</t>
  </si>
  <si>
    <t>The coefficients for the qubic equation that determines the EIR as a function of the part-load ratio.</t>
  </si>
  <si>
    <t>The coefficients for the cubic equation of the C-LOSS curve.</t>
  </si>
  <si>
    <t>Need to property to define CURVE TYPE!</t>
  </si>
  <si>
    <t>Minimum value for the C-LOSS curve - value is the DOE-2 curve fit keyword OUTPUT-MIN</t>
  </si>
  <si>
    <t>Maximum value for the C-LOSS curve - value is the DOE-2 curve fit keyword OUTPUT-MAX</t>
  </si>
  <si>
    <t>Number of cooling stages - (Used only for proper outdoor fan simulation.)</t>
  </si>
  <si>
    <t>52, 53</t>
  </si>
  <si>
    <t>The coefficients for the linear curve that relates total capacity to cfm ratio</t>
  </si>
  <si>
    <t>ignore</t>
  </si>
  <si>
    <t xml:space="preserve">  cfm ratio is defined as operating cfm/rated cfm.</t>
  </si>
  <si>
    <t>54 - 56</t>
  </si>
  <si>
    <t>The coefficients for the quadratic curve that relates sensible capacity to cfm ratio</t>
  </si>
  <si>
    <t>Fan power exponent used to adjust supply fan power for non-rated flow conditions.</t>
  </si>
  <si>
    <t xml:space="preserve">  Supply fan power calculated as:  Fan power = Rated fan power *(cfm ratio)(fan power exponent)</t>
  </si>
  <si>
    <t>Supply Fan kW Multiplier, based on typical external static pressure and presence of an economizer.</t>
  </si>
  <si>
    <t>Changes to the federal requirements for small split air conditioners</t>
  </si>
  <si>
    <t>Average Supply Fan W/CFM for each Equipment Type and Size Range</t>
  </si>
  <si>
    <t>Bi-Variable Regression of Supply Fan W/cfm vs Capacity and Rated EER</t>
  </si>
  <si>
    <t>The conclusion of this excercise is that supply fan W/cfm should be treated as constant within a given capacity range.  Thus, averages were calculated for each equipment type and range.</t>
  </si>
  <si>
    <t>Packaged VAV: 240 to 759 kBtuh (20 to 65 tons)</t>
  </si>
  <si>
    <t>System Description</t>
  </si>
  <si>
    <t>Evaluation of supply fan power for packaged AC measures</t>
  </si>
  <si>
    <t>Evaluation of supply fan power for split DX measures</t>
  </si>
  <si>
    <t>Bin Average Summary</t>
  </si>
  <si>
    <t>The data was processed into bins as summarized below.</t>
  </si>
  <si>
    <t>The measure levels were based on a curve fit to the recent manufacturer data.</t>
  </si>
  <si>
    <t>Since the DEER2014 performance data are based on equipment selections made several years ago, available efficiency levels were collected from recent manufacturer literature for comparison.</t>
  </si>
  <si>
    <t>This table lists the complete performance data sets used for the split DX measures for the DEER2015 update.</t>
  </si>
  <si>
    <t>This table lists the complete performance data sets used for the packaged AC measures for the DEER2015 update.</t>
  </si>
  <si>
    <t>Description of process used to establish heat pump HPSF levels for split HP measures</t>
  </si>
  <si>
    <t>Description of process used to select performance data for DX measures</t>
  </si>
  <si>
    <t>Complete data listings for the selected performance maps for packaged DX systems</t>
  </si>
  <si>
    <t>Complete data listings for the selected performance maps for split DX systems</t>
  </si>
  <si>
    <t>New measure tiers were added to reflect the ranges of efficiencies in the new performance map data sets.</t>
  </si>
  <si>
    <t>These requirements are applicable to split air conditioners and heat pumps less than 65 kBtu/hr in capacity</t>
  </si>
  <si>
    <t>The evaluation of new performance maps allowed the following improvements for packaged air conditioner measures.</t>
  </si>
  <si>
    <t>Rated IEER</t>
  </si>
  <si>
    <t xml:space="preserve">As of January 1, 2015, the code efficiency requirements for SEER-rated central air conditioners and heat pumps increases from SEER 13 to SEER 14.  All DEER HVAC measures based on SEER-rated equipment increase the code-level technology to SEER 14.  Additional efficiency tier levels are added for some measures to accommodate the higher minimum efficiency level. </t>
  </si>
  <si>
    <t>Equipment Size Range</t>
  </si>
  <si>
    <t>2-speed, single zone</t>
  </si>
  <si>
    <t>Less than 55
kBTU/hr</t>
  </si>
  <si>
    <t>55 - 64
kBTU/hr</t>
  </si>
  <si>
    <t>65 to 110
kBTU/hr</t>
  </si>
  <si>
    <t>110 to 134
kBTU/hr</t>
  </si>
  <si>
    <t>135 to 239
kBTU/hr</t>
  </si>
  <si>
    <t>240 to 759
kBTU/hr</t>
  </si>
  <si>
    <t>&gt; = 760
kBTU/hr</t>
  </si>
  <si>
    <t>Rows with a green background represent new tier levels for DEER2015.</t>
  </si>
  <si>
    <t>DEER</t>
  </si>
  <si>
    <t>f</t>
  </si>
  <si>
    <t>Res</t>
  </si>
  <si>
    <t>Any</t>
  </si>
  <si>
    <t>Standard</t>
  </si>
  <si>
    <t>ErRobNc</t>
  </si>
  <si>
    <t>0</t>
  </si>
  <si>
    <t>Com</t>
  </si>
  <si>
    <t>HVAC</t>
  </si>
  <si>
    <t>HeatCool</t>
  </si>
  <si>
    <t>dxHP_equip</t>
  </si>
  <si>
    <t>pkgEER</t>
  </si>
  <si>
    <t>HVAC-airHP</t>
  </si>
  <si>
    <t>pkgSEER</t>
  </si>
  <si>
    <t>spltSEER</t>
  </si>
  <si>
    <t>RE-HV-ResHP-14p0S-8p6H</t>
  </si>
  <si>
    <t>RE-HV-ResHP-15p0S-8p8H</t>
  </si>
  <si>
    <t>RE-HV-ResHP-16p0S-8p4H</t>
  </si>
  <si>
    <t>SpaceCool</t>
  </si>
  <si>
    <t>dxAC_equip</t>
  </si>
  <si>
    <t>HVAC-airAC</t>
  </si>
  <si>
    <t>NE-HVAC-airAC-SpltPkg-65to109kBtuh-11p0eer</t>
  </si>
  <si>
    <t>NE-HVAC-airAC-SpltPkg-65to109kBtuh-11p5eer</t>
  </si>
  <si>
    <t>NE-HVAC-airAC-SpltPkg-65to109kBtuh-12p0eer</t>
  </si>
  <si>
    <t>NE-HVAC-airAC-SpltPkg-110to134kBtuh-11p0eer</t>
  </si>
  <si>
    <t>NE-HVAC-airAC-SpltPkg-110to134kBtuh-11p5eer</t>
  </si>
  <si>
    <t>NE-HVAC-airAC-SpltPkg-110to134kBtuh-12p0eer</t>
  </si>
  <si>
    <t>NE-HVAC-airAC-SpltPkg-135to239kBtuh-10p8eer</t>
  </si>
  <si>
    <t>NE-HVAC-airAC-SpltPkg-135to239kBtuh-11p5eer</t>
  </si>
  <si>
    <t>NE-HVAC-airAC-SpltPkg-135to239kBtuh-12p0eer</t>
  </si>
  <si>
    <t>NE-HVAC-airAC-SpltPkg-240to759kBtuh-10p8eer</t>
  </si>
  <si>
    <t>NE-HVAC-airAC-SpltPkg-gte760kBtuh-10p2eer</t>
  </si>
  <si>
    <t>HV-ResAC</t>
  </si>
  <si>
    <t>DEER2015</t>
  </si>
  <si>
    <t>Residential Split HP</t>
  </si>
  <si>
    <t>Residential Split AC</t>
  </si>
  <si>
    <t>D15 v1.0</t>
  </si>
  <si>
    <t>IEER</t>
  </si>
  <si>
    <t>Commercial SEER-rated split Air Conditioners</t>
  </si>
  <si>
    <t>weighted sys type</t>
  </si>
  <si>
    <t>wtd</t>
  </si>
  <si>
    <t>Created by inter-measure weighting the two system types (using IOU-specific weights)</t>
  </si>
  <si>
    <t>Less than 45
kBTU/hr</t>
  </si>
  <si>
    <t>45 - 55
kBTU/hr</t>
  </si>
  <si>
    <t>Size Range</t>
  </si>
  <si>
    <t>&lt; 45 kBTU/hr</t>
  </si>
  <si>
    <t>55 - 65
kBTU/hr</t>
  </si>
  <si>
    <t>45 - 65 kBTU/hr</t>
  </si>
  <si>
    <t>&lt;65 kBTU/hr</t>
  </si>
  <si>
    <t>BldgHVAC</t>
  </si>
  <si>
    <t>cDXGF</t>
  </si>
  <si>
    <t>Econo_req</t>
  </si>
  <si>
    <t>CFMperTon</t>
  </si>
  <si>
    <t>WperCFM</t>
  </si>
  <si>
    <t>CRANKCASE-MAX-T</t>
  </si>
  <si>
    <t>Fan_spd</t>
  </si>
  <si>
    <t>Min_CoolCap</t>
  </si>
  <si>
    <t>Max_CoolCap</t>
  </si>
  <si>
    <t>SensCapRatio</t>
  </si>
  <si>
    <t>PerfCurveID</t>
  </si>
  <si>
    <t>one-speed</t>
  </si>
  <si>
    <t>two-speed</t>
  </si>
  <si>
    <t>CondType</t>
  </si>
  <si>
    <t>Air</t>
  </si>
  <si>
    <t>dxAC-Com-Split-lt45kBTUh-SEER-14.0</t>
  </si>
  <si>
    <t>dxAC-Com-Split-lt45kBTUh-SEER-15.0</t>
  </si>
  <si>
    <t>dxAC-Com-Split-lt45kBTUh-SEER-16.0</t>
  </si>
  <si>
    <t>dxAC-Com-Split-lt45kBTUh-SEER-17.0</t>
  </si>
  <si>
    <t>dxAC-Com-Split-lt45kBTUh-SEER-18.0</t>
  </si>
  <si>
    <t>dxAC-Com-Split-45to55kBTUh-SEER-14.0</t>
  </si>
  <si>
    <t>dxAC-Com-Split-45to55kBTUh-SEER-15.0</t>
  </si>
  <si>
    <t>dxAC-Com-Split-45to55kBTUh-SEER-16.0</t>
  </si>
  <si>
    <t>dxAC-Com-Split-45to55kBTUh-SEER-17.0</t>
  </si>
  <si>
    <t>dxAC-Com-Split-45to55kBTUh-SEER-18.0</t>
  </si>
  <si>
    <t>dxAC-Com-Split-55to65kBTUh-SEER-14.0</t>
  </si>
  <si>
    <t>dxAC-Com-Split-55to65kBTUh-SEER-15.0</t>
  </si>
  <si>
    <t>dxAC-Com-Split-55to65kBTUh-SEER-16.0</t>
  </si>
  <si>
    <t>dxAC-Com-Split-55to65kBTUh-SEER-17.0</t>
  </si>
  <si>
    <t>dxAC-Com-Split-55to65kBTUh-SEER-18.0</t>
  </si>
  <si>
    <t>CrankRatio</t>
  </si>
  <si>
    <t>cPVVT</t>
  </si>
  <si>
    <t>var-speed</t>
  </si>
  <si>
    <t>dxAC-Com-Pkg-55to65kBTUh-SEER-18.0</t>
  </si>
  <si>
    <t>Commercial SEER-rated Packaged Air Conditioners</t>
  </si>
  <si>
    <t>dxAC-Com-Pkg-lt55kBTUh-SEER-14.0</t>
  </si>
  <si>
    <t>dxAC-Com-Pkg-lt55kBTUh-SEER-15.0</t>
  </si>
  <si>
    <t>dxAC-Com-Pkg-lt55kBTUh-SEER-16.0</t>
  </si>
  <si>
    <t>dxAC-Com-Pkg-lt55kBTUh-SEER-17.0</t>
  </si>
  <si>
    <t>dxAC-Com-Pkg-lt55kBTUh-SEER-18.0</t>
  </si>
  <si>
    <t>dxAC-Com-Pkg-55to65kBTUh-SEER-14.0</t>
  </si>
  <si>
    <t>dxAC-Com-Pkg-55to65kBTUh-SEER-15.0</t>
  </si>
  <si>
    <t>dxAC-Com-Pkg-55to65kBTUh-SEER-16.0</t>
  </si>
  <si>
    <t>dxAC-Com-Pkg-55to65kBTUh-SEER-17.0</t>
  </si>
  <si>
    <t>NE-HVAC-airAC-SpltPkg-65to109kBtuh-13p0eer</t>
  </si>
  <si>
    <t>NE-HVAC-airAC-SpltPkg-135to239kBtuh-12p5eer</t>
  </si>
  <si>
    <t>NE-HVAC-airAC-SpltPkg-240to759kBtuh-11p5eer</t>
  </si>
  <si>
    <t>NE-HVAC-airAC-SpltPkg-240to759kBtuh-12p5eer</t>
  </si>
  <si>
    <t>EER-rated packaged Air Conditioner</t>
  </si>
  <si>
    <t>Std and Meas Technologies vary by system configuration</t>
  </si>
  <si>
    <t>NE-HVAC-airAC-SpltPkg-gte760kBtuh-11p0eer</t>
  </si>
  <si>
    <t>NE-HVAC-airAC-SpltPkg-110to134kBtuh-12p5eer</t>
  </si>
  <si>
    <t>NE-HVAC-airAC-SpltPkg-gte760kBtuh-12p0eer</t>
  </si>
  <si>
    <t>Case</t>
  </si>
  <si>
    <t>Code</t>
  </si>
  <si>
    <t>Measure</t>
  </si>
  <si>
    <t>Economizer</t>
  </si>
  <si>
    <t>Code/Standard</t>
  </si>
  <si>
    <t>Pre-2005</t>
  </si>
  <si>
    <t>2006 - 2009</t>
  </si>
  <si>
    <t>2010 - 2013</t>
  </si>
  <si>
    <t>2014 - 2015</t>
  </si>
  <si>
    <t>na</t>
  </si>
  <si>
    <t>EER-Rated Pkg AC</t>
  </si>
  <si>
    <t>DEER2015 Measure ID</t>
  </si>
  <si>
    <t>DEER 2014 Measure ID</t>
  </si>
  <si>
    <t>RE-HV-ResHP-15p0S-8p7H</t>
  </si>
  <si>
    <t>RE-HV-ResHP-16p0S-9p0H</t>
  </si>
  <si>
    <t>RE-HV-ResHP-17p0S-9p4H</t>
  </si>
  <si>
    <t>RE-HV-ResHP-18p0S-9p7H</t>
  </si>
  <si>
    <t>DEER 2014 Measure ID (by Size Category)</t>
  </si>
  <si>
    <t>NE-HVAC-airAC-Split-lt45kBtuh-15p0seer</t>
  </si>
  <si>
    <t>NE-HVAC-airAC-Split-lt45kBtuh-17p0seer</t>
  </si>
  <si>
    <t>NE-HVAC-airAC-Split-lt45kBtuh-16p0seer</t>
  </si>
  <si>
    <t>NE-HVAC-airAC-Split-lt45kBtuh-18p0seer</t>
  </si>
  <si>
    <t>NE-HVAC-airAC-Split-45to55kBtuh-15p0seer</t>
  </si>
  <si>
    <t>NE-HVAC-airAC-Split-45to55kBtuh-16p0seer</t>
  </si>
  <si>
    <t>NE-HVAC-airAC-Split-45to55kBtuh-17p0seer</t>
  </si>
  <si>
    <t>NE-HVAC-airAC-Split-45to55kBtuh-18p0seer</t>
  </si>
  <si>
    <t>NE-HVAC-airAC-Split-55to65kBtuh-15p0seer</t>
  </si>
  <si>
    <t>NE-HVAC-airAC-Split-55to65kBtuh-16p0seer</t>
  </si>
  <si>
    <t>NE-HVAC-airAC-Split-55to65kBtuh-17p0seer</t>
  </si>
  <si>
    <t>NE-HVAC-airAC-Split-55to65kBtuh-18p0seer</t>
  </si>
  <si>
    <t>DEER2015 Commercial Packaged  and Split AC Measure Technology Summary</t>
  </si>
  <si>
    <t>DEER2015 Residential AC an HP Measure Technology Summary</t>
  </si>
  <si>
    <t>RE-HV-ResAC-lt45kBtuh-15S</t>
  </si>
  <si>
    <t>RE-HV-ResAC-lt45kBtuh-16S</t>
  </si>
  <si>
    <t>RE-HV-ResAC-lt45kBtuh-17S</t>
  </si>
  <si>
    <t>RE-HV-ResAC-lt45kBtuh-18S</t>
  </si>
  <si>
    <t>RE-HV-ResAC-lt45kBtuh-19S</t>
  </si>
  <si>
    <t>RE-HV-ResAC-lt45kBtuh-20S</t>
  </si>
  <si>
    <t>RE-HV-ResAC-lt45kBtuh-21S</t>
  </si>
  <si>
    <t>RE-HV-ResAC-45to65kBtuh-15S</t>
  </si>
  <si>
    <t>RE-HV-ResAC-45to65kBtuh-16S</t>
  </si>
  <si>
    <t>RE-HV-ResAC-45to65kBtuh-17S</t>
  </si>
  <si>
    <t>RE-HV-ResAC-45to65kBtuh-18S</t>
  </si>
  <si>
    <t>RE-HV-ResAC-45to65kBtuh-19S</t>
  </si>
  <si>
    <t>RE-HV-ResAC-45to65kBtuh-20S</t>
  </si>
  <si>
    <t>RE-HV-ResAC-45to65kBtuh-21S</t>
  </si>
  <si>
    <t>DEER2015 Commercial SEER-rated packaged Air Conditioners Technologies</t>
  </si>
  <si>
    <t>DEER2015 Commercial EER-rated packaged Air Conditioners Technologies</t>
  </si>
  <si>
    <t>DEER2015 Residential split-system AC and HP Technologies</t>
  </si>
  <si>
    <t>This table summarizes the key parameters for the DEER2015 residential AC and HP technologies</t>
  </si>
  <si>
    <t>This table summarizes the key parameters for the DEER2015 commercial packaged and split AC  technologies.</t>
  </si>
  <si>
    <t>Com Technology Summary</t>
  </si>
  <si>
    <t>Res Technology Summary</t>
  </si>
  <si>
    <t>Technology tier levels definitions for commercial split and packaged air conditioners</t>
  </si>
  <si>
    <t>Technology tier levels definitions for residential split air conditioners and heat pumps</t>
  </si>
  <si>
    <t>NE-HVAC-airAC-Pkg-lt55kBtuh-15p0seer</t>
  </si>
  <si>
    <t>NE-HVAC-airAC-Pkg-lt55kBtuh-16p0seer</t>
  </si>
  <si>
    <t>NE-HVAC-airAC-Pkg-lt55kBtuh-17p0seer</t>
  </si>
  <si>
    <t>NE-HVAC-airAC-Pkg-lt55kBtuh-18p0seer</t>
  </si>
  <si>
    <t>NE-HVAC-airAC-Pkg-55to64kBtuh-15p0seer</t>
  </si>
  <si>
    <t>NE-HVAC-airAC-Pkg-55to64kBtuh-16p0seer</t>
  </si>
  <si>
    <t>NE-HVAC-airAC-Pkg-55to64kBtuh-17p0seer</t>
  </si>
  <si>
    <t>NE-HVAC-airAC-Pkg-55to64kBtuh-18p0seer</t>
  </si>
  <si>
    <t>Associated DEER Measure IDs</t>
  </si>
  <si>
    <t>Title-24 specifies the two-speed fan requirement based on size ranges above and below 55 kBTU/hr</t>
  </si>
  <si>
    <t>Federal code specifies the minimum EER based on size ranges above and below 45 kBTU/hr</t>
  </si>
  <si>
    <t>Notes:</t>
  </si>
  <si>
    <t>Federal code specifies the minimum EER for AC systems based on size ranges above and below 45 kBTU/hr</t>
  </si>
  <si>
    <t>Technology Description</t>
  </si>
  <si>
    <t>DEER2014 specified a single system type for the two largest size ranges based on the building type without explicitly assigning different BldgHVAC values to the associated energy impacts.</t>
  </si>
  <si>
    <t>DEER2015 generates energy impacts based on multiple system types if applicable to a given building type and assigns the BldgHVAC types to the associated energy impacts.</t>
  </si>
  <si>
    <t>Therefore, for DEER2015 the energy impacts associated with measures in the two largest size ranges include impacts for both the packaged single zone (cDXGF) and variable speed multi-zone (cPVVG) sytem types.</t>
  </si>
  <si>
    <t>Review</t>
  </si>
  <si>
    <t>Residential SEER-rated split Air Conditioners</t>
  </si>
  <si>
    <t>Split and Packaged DX Code Update in Federal Code 430.32</t>
  </si>
  <si>
    <t>NE-HVAC-airAC-Split-lt55kBtuh-13p0seer
NE-HVAC-airAC-Split-lt55kBtuh-14p0seer</t>
  </si>
  <si>
    <t>NE-HVAC-airAC-Split-55to64kBtuh-13p0seer
NE-HVAC-airAC-Split-55to64kBtuh-14p0seer</t>
  </si>
  <si>
    <t>NE-HVAC-airAC-Pkg-lt55kBtuh-13p0seer
NE-HVAC-airAC-Pkg-lt55kBtuh-14p0seer</t>
  </si>
  <si>
    <t>NE-HVAC-airAC-Pkg-55to64kBtuh-13p0seer
NE-HVAC-airAC-Pkg-55to64kBtuh-14p0seer</t>
  </si>
  <si>
    <t>dxAC-Res-Split-45to65kBTUh-SEER-14.0</t>
  </si>
  <si>
    <t>dxAC-Res-Split-lt45kBTUh-SEER-14.0</t>
  </si>
  <si>
    <t>Residential SEER-rated split Heat Pumps</t>
  </si>
  <si>
    <t>COP</t>
  </si>
  <si>
    <t>dxAC-Res-Split-SEER-10.0</t>
  </si>
  <si>
    <t>dxAC-Res-Split-SEER-13.0</t>
  </si>
  <si>
    <t>dxAC-Res-Split-SEER-15.0</t>
  </si>
  <si>
    <t>dxAC-Res-Split-SEER-16.0</t>
  </si>
  <si>
    <t>dxAC-Res-Split-SEER-17.0</t>
  </si>
  <si>
    <t>dxAC-Res-Split-SEER-18.0</t>
  </si>
  <si>
    <t>dxAC-Res-Split-SEER-19.0</t>
  </si>
  <si>
    <t>dxAC-Res-Split-SEER-20.0</t>
  </si>
  <si>
    <t>dxAC-Res-Split-SEER-21.0</t>
  </si>
  <si>
    <t>dxHP-Res-Split-SEER-14.0</t>
  </si>
  <si>
    <t>dxHP-Res-Split-SEER-15.0</t>
  </si>
  <si>
    <t>dxHP-Res-Split-SEER-16.0</t>
  </si>
  <si>
    <t>dxHP-Res-Split-SEER-17.0</t>
  </si>
  <si>
    <t>dxHP-Res-Split-SEER-18.0</t>
  </si>
  <si>
    <t>dxHP-Res-Split-SEER-10.0</t>
  </si>
  <si>
    <t>dxHP-Res-Split-SEER-13.0</t>
  </si>
  <si>
    <t>Com SEER-Rated Pkg AC</t>
  </si>
  <si>
    <t>Res SEER-Rated Splt AC</t>
  </si>
  <si>
    <t>Res SEER-Rated Splt HP</t>
  </si>
  <si>
    <t>Com SEER-Rated Splt AC</t>
  </si>
  <si>
    <t>rDXHP</t>
  </si>
  <si>
    <t>rDXGF</t>
  </si>
  <si>
    <t>dxAC-Com-Pkg-SEER-10.0</t>
  </si>
  <si>
    <t>dxAC-Com-Pkg-SEER-13.0</t>
  </si>
  <si>
    <t>Commercial EER-rated packaged AC</t>
  </si>
  <si>
    <t>Commercial SEER-rated Packaged AC</t>
  </si>
  <si>
    <t>Commercial SEER-rated Split AC</t>
  </si>
  <si>
    <t>dxAC-Com-Split-SEER-10.0</t>
  </si>
  <si>
    <t>dxAC-Com-Split-SEER-13.0</t>
  </si>
  <si>
    <t>pre-2001</t>
  </si>
  <si>
    <t>post-2001</t>
  </si>
  <si>
    <t>T-stat</t>
  </si>
  <si>
    <t>T-critical</t>
  </si>
  <si>
    <t>Constant</t>
  </si>
  <si>
    <t>DX Split Unit data</t>
  </si>
  <si>
    <t>For the Split DX performance data, there is a trend of decreasing fan power with increasing SEER.  Based on the statistical analysis of all the data, SEER is determined to be the only important variable when assessing fan power based on Size (capacity), SEER and EER levels.</t>
  </si>
  <si>
    <t>Columns labeled 1 - 6 are unit descriptors and are not uses as DOE-2 input fields.</t>
  </si>
  <si>
    <t>UnitID</t>
  </si>
  <si>
    <t>Complete listing of DEER2015 HVAC measure definitions</t>
  </si>
  <si>
    <t>DEER2015 Packaged and Split Air Conditioner Update</t>
  </si>
  <si>
    <t>The process of selecting typical performance maps for the analysis was updated to provide more consistent performance across tier levels for a given class and size range of equipment.</t>
  </si>
  <si>
    <t>Tables to the right indicate the DEER2014 measures that are being updated and the new DEER2015 measure IDs.</t>
  </si>
  <si>
    <t>The table to the right indicates the DEER2014 measures that are being updated and the new DEER2015 measure IDs.</t>
  </si>
  <si>
    <t>dxAC-Com-Pkg-65to110kBTUh-EER11.0</t>
  </si>
  <si>
    <t>dxAC-Com-Pkg-65to110kBTUh-EER11.5</t>
  </si>
  <si>
    <t>dxAC-Com-Pkg-65to110kBTUh-EER12.0</t>
  </si>
  <si>
    <t>dxAC-Com-Pkg-65to110kBTUh-EER13.0</t>
  </si>
  <si>
    <t>dxAC-Com-Pkg-110to135kBTUh-EER11.0</t>
  </si>
  <si>
    <t>dxAC-Com-Pkg-110to135kBTUh-EER11.5</t>
  </si>
  <si>
    <t>dxAC-Com-Pkg-110to135kBTUh-EER12.0</t>
  </si>
  <si>
    <t>dxAC-Com-Pkg-110to135kBTUh-EER12.5</t>
  </si>
  <si>
    <t>dxAC-Com-Pkg-135to240kBTUh-EER10.8</t>
  </si>
  <si>
    <t>dxAC-Com-Pkg-135to240kBTUh-EER11.5</t>
  </si>
  <si>
    <t>dxAC-Com-Pkg-135to240kBTUh-EER12.0</t>
  </si>
  <si>
    <t>dxAC-Com-Pkg-135to240kBTUh-EER12.5</t>
  </si>
  <si>
    <t>dxAC-Com-Pkg-240to760kBTUh-EER9.8</t>
  </si>
  <si>
    <t>dxAC-Com-Pkg-240to760kBTUh-EER10.8</t>
  </si>
  <si>
    <t>dxAC-Com-Pkg-240to760kBTUh-EER11.5</t>
  </si>
  <si>
    <t>dxAC-Com-Pkg-240to760kBTUh-EER12.5</t>
  </si>
  <si>
    <t>dxAC-Com-Pkg-240to760kBTUh-EER10.0</t>
  </si>
  <si>
    <t>dxAC-Com-Pkg-760tokBTUh-EER9.5</t>
  </si>
  <si>
    <t>dxAC-Com-Pkg-760tokBTUh-EER10.2</t>
  </si>
  <si>
    <t>dxAC-Com-Pkg-760tokBTUh-EER11.0</t>
  </si>
  <si>
    <t>dxAC-Com-Pkg-760tokBTUh-EER12.0</t>
  </si>
  <si>
    <t>dxAC-Com-Pkg-760tokBTUh-EER9.7</t>
  </si>
  <si>
    <t>7900473</t>
  </si>
  <si>
    <t>dxAC-Com-Pkg-65to110kBTUh-EER10.1</t>
  </si>
  <si>
    <t>7900573</t>
  </si>
  <si>
    <t>7900673</t>
  </si>
  <si>
    <t>7900773</t>
  </si>
  <si>
    <t>13600473</t>
  </si>
  <si>
    <t>dxAC-Com-Pkg-110to135kBTUh-EER10.1</t>
  </si>
  <si>
    <t>13600573</t>
  </si>
  <si>
    <t>13600673</t>
  </si>
  <si>
    <t>13600773</t>
  </si>
  <si>
    <t>13900473</t>
  </si>
  <si>
    <t>dxAC-Com-Pkg-135to240kBTUh-EER9.5</t>
  </si>
  <si>
    <t>13900573</t>
  </si>
  <si>
    <t>13900673</t>
  </si>
  <si>
    <t>13900773</t>
  </si>
  <si>
    <t>10400473</t>
  </si>
  <si>
    <t>dxAC-Com-Pkg-240to760kBTUh-EER9.3</t>
  </si>
  <si>
    <t>10400573</t>
  </si>
  <si>
    <t>10400673</t>
  </si>
  <si>
    <t>10400773</t>
  </si>
  <si>
    <t>10400460</t>
  </si>
  <si>
    <t>dxAC-Com-Pkg-240to760kBTUh-EER9.5</t>
  </si>
  <si>
    <t>10400560</t>
  </si>
  <si>
    <t>10400660</t>
  </si>
  <si>
    <t>10400760</t>
  </si>
  <si>
    <t>10500473</t>
  </si>
  <si>
    <t>dxAC-Com-Pkg-760tokBTUh-EER9.0</t>
  </si>
  <si>
    <t>10500573</t>
  </si>
  <si>
    <t>10500673</t>
  </si>
  <si>
    <t>10500773</t>
  </si>
  <si>
    <t>10500460</t>
  </si>
  <si>
    <t>dxAC-Com-Pkg-760tokBTUh-EER9.2</t>
  </si>
  <si>
    <t>10500560</t>
  </si>
  <si>
    <t>10500660</t>
  </si>
  <si>
    <t>10500760</t>
  </si>
  <si>
    <t>Residential SEER-rated split Heat Pumps, SEER = 14 (EER = 11.9), HSPF = 8.2 (COP = 3.48), EIR = 0.245, Fan W/CFM = 0.29, one-speed fan</t>
  </si>
  <si>
    <t>Residential SEER-rated split Heat Pumps, SEER = 15 (EER = 12.8), HSPF = 8.7 (COP = 3.68), EIR = 0.232, Fan W/CFM = 0.25, one-speed fan</t>
  </si>
  <si>
    <t>Residential SEER-rated split Heat Pumps, SEER = 16 (EER = 12.5), HSPF = 9 (COP = 3.57), EIR = 0.238, Fan W/CFM = 0.27, two-speed fan</t>
  </si>
  <si>
    <t>Residential SEER-rated split Heat Pumps, SEER = 17 (EER = 13.3), HSPF = 9.4 (COP = 3.74), EIR = 0.223, Fan W/CFM = 0.27, two-speed fan</t>
  </si>
  <si>
    <t>Residential SEER-rated split Heat Pumps, SEER = 18 (EER = 14), HSPF = 9.7 (COP = 3.86), EIR = 0.209, Fan W/CFM = 0.27, two-speed fan</t>
  </si>
  <si>
    <t>Residential SEER-rated split Heat Pumps, SEER = 10 (EER = 8.5), HSPF = 7.1 (COP = 3.01), EIR = 0.345, Fan W/CFM = 0.37, one-speed fan</t>
  </si>
  <si>
    <t>Residential SEER-rated split Heat Pumps, SEER = 13 (EER = 11.1), HSPF = 8.2 (COP = 3.49), EIR = 0.258, Fan W/CFM = 0.35, one-speed fan</t>
  </si>
  <si>
    <t>DEER2015 HVAC Technology Definitions</t>
  </si>
  <si>
    <t>SEER-Rated HVAC Measures update</t>
  </si>
  <si>
    <t>EER-Rated Equipment and Measure Update</t>
  </si>
  <si>
    <t>RE-HV-ResAC-14S
RE-HV-ResAC-15S
RE-HV-ResAC-16S
RE-HV-ResAC-17S
RE-HV-ResAC-18S
RE-HV-ResAC-19S
RE-HV-ResAC-20S
RE-HV-ResAC-21S</t>
  </si>
  <si>
    <t>NE-HVAC-airAC-SpltPkg-240to759kBtuh-9p8eer
NE-HVAC-airAC-SpltPkg-240to759kBtuh-10p5eer
NE-HVAC-airAC-SpltPkg-240to759kBtuh-10p8eer</t>
  </si>
  <si>
    <t>NE-HVAC-airAC-SpltPkg-gte760kBtuh-9p5eer
NE-HVAC-airAC-SpltPkg-gte760kBtuh-9p7eer
NE-HVAC-airAC-SpltPkg-gte760kBtuh-10p2eer</t>
  </si>
  <si>
    <t>This table defines the key equipment parameters for all technologies referenced by  the updated measures.</t>
  </si>
  <si>
    <t>The DEER2015 update also includes an update to the larger, EER-rated packaged DX system efficiency measures.  The 2014 DEER update included changes to the packaged single zone models in response to code requirements for two speed fan capabilities.  For DEER2015, the larger packaged HVAC measures have been updated based on the performance characteristics of available units that meet the current code requirements and tier levels.  Updates to the EER-rated equipment performance curves were also required in order to determine the IEER rating for measure technologies.</t>
  </si>
  <si>
    <t>Technologies</t>
  </si>
  <si>
    <t>Lists all of the technologies referenced by the updated HVAC measures, including their key parameters.</t>
  </si>
  <si>
    <t>DX equipment Vintage specification update</t>
  </si>
  <si>
    <t>Performance Map Selection Process</t>
  </si>
  <si>
    <t>Several new performance map data sets were developed and analyzed to update the packaged and split air conditioning system efficiency measures.  The data sets span a broad range of manufacturer, model, unit capacity and efficiency level.  Each data set inlcudes operational data such as fan power consumption and coil bypass factor as well as a full set of performance curves for simulation.</t>
  </si>
  <si>
    <t>Commercial EER-rated Packaged Performance curves</t>
  </si>
  <si>
    <t>The performance maps for commercial EER-rate packaged AC units were grouped by system size and fan control type as shown in the table below.  For each group a series of simulations were run to select the most typical set of performance curves in the group.  The simulations included all California climate zones and the small office and large retail building types.  The performance curves for the selected unit were then used for all simulations of measures for that group.</t>
  </si>
  <si>
    <t xml:space="preserve">For each test run on each of the performance maps described in the table above, annual cooling and fan energy values were collected.  These data were evaluated to select the performance map for which the deviation from the median was lowest across all test conditions (climate zone, building type and energy end-use). </t>
  </si>
  <si>
    <t>The statistical analysis shown below indicates that EER is not a significant variable in determing the fan power for the various equipment size groups (the T-stat for EER is below the critical T-value for all cases).</t>
  </si>
  <si>
    <t>Summary of changes from DEER2014 to DEER2015</t>
  </si>
  <si>
    <t>Performance Maps</t>
  </si>
  <si>
    <t>Commercial SEER-rated Packaged Air Conditioners, Size Range: 18 - 55 kBTU/h, SEER = 14 (EER = 12), EIR = 0.246, Fan W/CFM = 0.29, one-speed fan, without Econo</t>
  </si>
  <si>
    <t>Commercial SEER-rated Packaged Air Conditioners, Size Range: 18 - 55 kBTU/h, SEER = 15 (EER = 12.9), EIR = 0.234, Fan W/CFM = 0.25, one-speed fan, without Econo</t>
  </si>
  <si>
    <t>Commercial SEER-rated Packaged Air Conditioners, Size Range: 18 - 55 kBTU/h, SEER = 16 (EER = 12.5), EIR = 0.238, Fan W/CFM = 0.27, two-speed fan, without Econo</t>
  </si>
  <si>
    <t>Commercial SEER-rated Packaged Air Conditioners, Size Range: 18 - 55 kBTU/h, SEER = 17 (EER = 13.3), EIR = 0.223, Fan W/CFM = 0.27, two-speed fan, without Econo</t>
  </si>
  <si>
    <t>Commercial SEER-rated Packaged Air Conditioners, Size Range: 18 - 55 kBTU/h, SEER = 18 (EER = 14), EIR = 0.209, Fan W/CFM = 0.27, two-speed fan, without Econo</t>
  </si>
  <si>
    <t>Commercial SEER-rated Packaged Air Conditioners, Size Range: 55 - 65 kBTU/h, SEER = 14 (EER = 11.7), EIR = 0.249, Fan W/CFM = 0.29, two-speed fan, with Econo</t>
  </si>
  <si>
    <t>Commercial SEER-rated Packaged Air Conditioners, Size Range: 55 - 65 kBTU/h, SEER = 15 (EER = 12.6), EIR = 0.236, Fan W/CFM = 0.25, two-speed fan, with Econo</t>
  </si>
  <si>
    <t>Commercial SEER-rated Packaged Air Conditioners, Size Range: 55 - 65 kBTU/h, SEER = 16 (EER = 12.5), EIR = 0.238, Fan W/CFM = 0.27, two-speed fan, with Econo</t>
  </si>
  <si>
    <t>Commercial SEER-rated Packaged Air Conditioners, Size Range: 55 - 65 kBTU/h, SEER = 17 (EER = 13.3), EIR = 0.223, Fan W/CFM = 0.27, two-speed fan, with Econo</t>
  </si>
  <si>
    <t>Commercial SEER-rated Packaged Air Conditioners, Size Range: 55 - 65 kBTU/h, SEER = 18 (EER = 14), EIR = 0.209, Fan W/CFM = 0.27, two-speed fan, with Econo</t>
  </si>
  <si>
    <t>Commercial SEER-rated Packaged Air Conditioners, Size Range: 18 - 65 kBTU/h, SEER = 9.7 (EER = 9.2), EIR = 0.297, Fan W/CFM = 0.43, one-speed fan, without Econo</t>
  </si>
  <si>
    <t>Commercial SEER-rated Packaged Air Conditioners, Size Range: 18 - 65 kBTU/h, SEER = 13 (EER = 11.1), EIR = 0.256, Fan W/CFM = 0.38, one-speed fan, withpit Econo</t>
  </si>
  <si>
    <t>RE-HV-ResAC-13S</t>
  </si>
  <si>
    <t>RE-HV-ResAC-14S</t>
  </si>
  <si>
    <t>RE-HV-ResAC-15S</t>
  </si>
  <si>
    <t>RE-HV-ResAC-16S</t>
  </si>
  <si>
    <t>RE-HV-ResAC-17S</t>
  </si>
  <si>
    <t>RE-HV-ResAC-18S</t>
  </si>
  <si>
    <t>RE-HV-ResAC-19S</t>
  </si>
  <si>
    <t>RE-HV-ResAC-20S</t>
  </si>
  <si>
    <t>RE-HV-ResAC-21S</t>
  </si>
  <si>
    <t>RE-HV-ResEvapAC-17p4S</t>
  </si>
  <si>
    <t>RE-HV-ResHP-13p0S-8p1H</t>
  </si>
  <si>
    <t>NE-HVAC-airAC-Pkg-lt55kBtuh-13p0seer</t>
  </si>
  <si>
    <t>NE-HVAC-airAC-Pkg-lt55kBtuh-14p0seer</t>
  </si>
  <si>
    <t>NE-HVAC-airAC-Split-lt55kBtuh-13p0seer</t>
  </si>
  <si>
    <t>NE-HVAC-airAC-Split-lt55kBtuh-14p0seer</t>
  </si>
  <si>
    <t>DEER2014</t>
  </si>
  <si>
    <t>RE-HV-ResEvapAC-lt45kBtuh-17p4S</t>
  </si>
  <si>
    <t>RE-HV-ResEvapAC-45to65kBtuh-17p4S</t>
  </si>
  <si>
    <t>SEER-rated Packaged Air Conditioners</t>
  </si>
  <si>
    <t>SEER-rated Split Air Conditioners</t>
  </si>
  <si>
    <t>NE-HVAC-airAC-SpltPkg-240to759kBtuh-10p5eer</t>
  </si>
  <si>
    <t>NE-HVAC-airAC-SpltPkg-240to759kBtuh-9p8eer</t>
  </si>
  <si>
    <t>NE-HVAC-airAC-SpltPkg-gte760kBtuh-9p5eer</t>
  </si>
  <si>
    <t>NE-HVAC-airAC-SpltPkg-gte760kBtuh-9p7eer</t>
  </si>
  <si>
    <t>airAC-SpltPkg-gte760kBtuh-10p0eer-wtd</t>
  </si>
  <si>
    <t>EER-rated Packaged Air Conditioners</t>
  </si>
  <si>
    <t>Updated Residential HVAC Measures</t>
  </si>
  <si>
    <t>Updated Commercial HVAC Measures</t>
  </si>
  <si>
    <t>Measure Summary</t>
  </si>
  <si>
    <t>SEER-rated Air Conditioners</t>
  </si>
  <si>
    <t>SEER-rated Heat Pumps</t>
  </si>
  <si>
    <t>SEER-rated Evap-cooled Air Conditioners</t>
  </si>
  <si>
    <t>This table lists the DEER2014 measure IDs that are updated for DEER2015 and the updated measure IDs.</t>
  </si>
  <si>
    <t>DEER2015 includes additional tier levels and size ranges, as required by the code update.</t>
  </si>
  <si>
    <t>For details on the new measure definitions, see the technology summary worksheets and the "Measure Definitions" worksheet.</t>
  </si>
  <si>
    <t>For SEER-rated HVAC measures, the code case is updated from SEER-13 to SEER-14 rated equipment.</t>
  </si>
  <si>
    <t>SEER-rated Measure Update</t>
  </si>
  <si>
    <t>See the "Measure Summary" worksheet for all of the SEER-rated measures that are updated for DEER2015.</t>
  </si>
  <si>
    <t>Tier Levels Updated</t>
  </si>
  <si>
    <t>Commercial EER-rated Packaged AC</t>
  </si>
  <si>
    <t>BldgType</t>
  </si>
  <si>
    <t>Asm</t>
  </si>
  <si>
    <t>cPVVG</t>
  </si>
  <si>
    <t>ECC</t>
  </si>
  <si>
    <t>EPr</t>
  </si>
  <si>
    <t>ESe</t>
  </si>
  <si>
    <t>EUn</t>
  </si>
  <si>
    <t>Gro</t>
  </si>
  <si>
    <t>Hsp</t>
  </si>
  <si>
    <t>Htl</t>
  </si>
  <si>
    <t>MBT</t>
  </si>
  <si>
    <t>MLI</t>
  </si>
  <si>
    <t>Nrs</t>
  </si>
  <si>
    <t>OfL</t>
  </si>
  <si>
    <t>OfS</t>
  </si>
  <si>
    <t>RFF</t>
  </si>
  <si>
    <t>RSD</t>
  </si>
  <si>
    <t>Rt3</t>
  </si>
  <si>
    <t>RtL</t>
  </si>
  <si>
    <t>RtS</t>
  </si>
  <si>
    <t>SCn</t>
  </si>
  <si>
    <t>ERC</t>
  </si>
  <si>
    <t>WRf</t>
  </si>
  <si>
    <t>cWtd</t>
  </si>
  <si>
    <t>Packaged AC Measures greater then 20 tons</t>
  </si>
  <si>
    <t>DEER2014 included SEER levels of 13, 14, 15 and 16.   DEER2015 expands the measure SEER-rating levels to 15, 16, 17 and 18.</t>
  </si>
  <si>
    <t>DEER2014 included SEER levels of 13 and 14.   DEER2015 expands the measure SEER-rating levels to 15, 16, 17 and 18.</t>
  </si>
  <si>
    <t>Capacity ranges updated</t>
  </si>
  <si>
    <t>DEER2014 has a single capacity range of less than 65 kBTU/h.</t>
  </si>
  <si>
    <t>For commercial split systems AC measures:</t>
  </si>
  <si>
    <t>For residential split system AC measures:</t>
  </si>
  <si>
    <t>DEER2015 has two capacity ranges: less than 45 kBTU/h and 45-65 kBTU/h.</t>
  </si>
  <si>
    <t>DEER2015 has three capacity ranges: less than 45 kBTU/h, 45-55 kBTU/h (based on EER requirements) and 55-65 kBTU/h (based on two-speed fan requirements).</t>
  </si>
  <si>
    <t>DEER2014 has two capacity ranges: less than 55 kBTU/h and 55-65 kBTU/h (based on two-speed fan requirements).</t>
  </si>
  <si>
    <t>Efficiency tier levels have been expanded to reflect the equipment currently available that meets and exceeds code requirements.</t>
  </si>
  <si>
    <t>Residential HP tier levels:</t>
  </si>
  <si>
    <t>Commercial SEER-rated Packaged AC:</t>
  </si>
  <si>
    <t>Commercial SEER-rated Split AC:</t>
  </si>
  <si>
    <t>For each capacity range, an additional efficiency tier is added that reflects currently available high-efficiency equipment.</t>
  </si>
  <si>
    <t>Specification of building HVAC system type</t>
  </si>
  <si>
    <t>Residential and commercial split air-conditioners have additional capacity ranges based on new EER code requirements above and below 45 kBTU/h.</t>
  </si>
  <si>
    <t>All packaged HVAC equipment have an effective useful life (EUL) of 15 years and a remaining useful life (RUL) of 5 years.  While new construction and replace-on-burnout measure application types depend only on the measure and code equipment specifications, early retirement measure applications depend on the pre-existing equipment specifications as well.  In order to comply with the early-retirement measure application requirement of replacing viable equipment, all pre-existing equipment specifications are limited to be less than 15 years old.  This requirement caused the equipment in the oldest building vintages to be set to the 2002-era equipment specifications.</t>
  </si>
  <si>
    <t>Summary of Changes</t>
  </si>
  <si>
    <t>This worksheet lists all of the DEER2014 measure IDs updated by DEER2015 as well as the new DEER2015 measure IDs.</t>
  </si>
  <si>
    <t>This worksheet lists all of the categorical changes involved with the DEER2015 HVAC update.</t>
  </si>
  <si>
    <t>NE-HVAC-airAC-Pkg-55to65kBtuh-13p0seer</t>
  </si>
  <si>
    <t>NE-HVAC-airAC-Pkg-55to65kBtuh-15p0seer</t>
  </si>
  <si>
    <t>NE-HVAC-airAC-Pkg-55to65kBtuh-14p0seer</t>
  </si>
  <si>
    <t>NE-HVAC-airAC-Pkg-55to65kBtuh-16p0seer</t>
  </si>
  <si>
    <t>NE-HVAC-airAC-Pkg-55to65kBtuh-17p0seer</t>
  </si>
  <si>
    <t>NE-HVAC-airAC-Pkg-55to65kBtuh-18p0seer</t>
  </si>
  <si>
    <t>NE-HVAC-airAC-Split-55to65kBtuh-13p0seer</t>
  </si>
  <si>
    <t>NE-HVAC-airAC-Split-55to65kBtuh-14p0seer</t>
  </si>
  <si>
    <t>Note: to-code level measures (i.e. measures in which the high-efficiency technology is the same as code requirements, such as SEER-14 measures) are not included in DEER2015.</t>
  </si>
  <si>
    <t>dxAC-Res-EvapAC-SEER-17.4</t>
  </si>
  <si>
    <t>Evap</t>
  </si>
  <si>
    <t>In DEER2014, Commercial EER-rated Packaged AC measures 20 tons and larger were applied to either a packaged single-zone system (cDXGF) or a</t>
  </si>
  <si>
    <t>AC measure larger than 20 tons in DEER2014 and DEER2015.</t>
  </si>
  <si>
    <t>Residential SEER-rated split Air Conditioners, Size Range: 18 - 45 kBTU/h, SEER = 17.4, one-speed fan, evaporative cooled condenser</t>
  </si>
  <si>
    <t>Pre-existing technology Description (lookup is based on Code ID)</t>
  </si>
  <si>
    <t>Note:</t>
  </si>
  <si>
    <t>Energy impacts for the commercial building type (Com) are weighted based on all buildings with the specified HVAC type.</t>
  </si>
  <si>
    <t>DEER2014 Measure ID</t>
  </si>
  <si>
    <t>HVAC Performance Curve Class</t>
  </si>
  <si>
    <t>one-speed, SEER 10 - 15</t>
  </si>
  <si>
    <t>two-speed, SEER 16 - 21</t>
  </si>
  <si>
    <t>HP one-speed, SEER 10 - 15</t>
  </si>
  <si>
    <t>HP two-speed, SEER 16 - 18</t>
  </si>
  <si>
    <t>one speed, SEER 14, EER 12.2</t>
  </si>
  <si>
    <t>one speed, SEER 14, EER 11.7</t>
  </si>
  <si>
    <t>NE-HVAC-airAC-Split-55to65kBtuh-15p0seer-wPreEcono</t>
  </si>
  <si>
    <t>NE-HVAC-airAC-Split-55to65kBtuh-16p0seer-wPreEcono</t>
  </si>
  <si>
    <t>NE-HVAC-airAC-Split-55to65kBtuh-17p0seer-wPreEcono</t>
  </si>
  <si>
    <t>NE-HVAC-airAC-Split-55to65kBtuh-18p0seer-wPreEcono</t>
  </si>
  <si>
    <t>NE-HVAC-airAC-Pkg-55to65kBtuh-15p0seer-wPreEcono</t>
  </si>
  <si>
    <t>NE-HVAC-airAC-Pkg-55to65kBtuh-16p0seer-wPreEcono</t>
  </si>
  <si>
    <t>NE-HVAC-airAC-Pkg-55to65kBtuh-17p0seer-wPreEcono</t>
  </si>
  <si>
    <t>NE-HVAC-airAC-Pkg-55to65kBtuh-18p0seer-wPreEcono</t>
  </si>
  <si>
    <t>NE-HVAC-airAC-SpltPkg-65to109kBtuh-11p5eer-wPreEcono</t>
  </si>
  <si>
    <t>NE-HVAC-airAC-SpltPkg-65to109kBtuh-12p0eer-wPreEcono</t>
  </si>
  <si>
    <t>NE-HVAC-airAC-SpltPkg-65to109kBtuh-13p0eer-wPreEcono</t>
  </si>
  <si>
    <t>1. The measure and code technologies have economizers, as required by code; pre-existing technologies do not have economizer except as required by Code, which is for vintage 2014 only.</t>
  </si>
  <si>
    <t>2. The measure, code and pre-existing technologies have economizers.  These measures are appended with "-wPreEcono" in the measure ID.</t>
  </si>
  <si>
    <t>Economizer in Pre-existing Technologies Option for commercial measures</t>
  </si>
  <si>
    <t xml:space="preserve">For these measures, the energy impacts are due to fan and compressor improvements associated with the various tier levels as well as the addition of an </t>
  </si>
  <si>
    <t>economizer.  For early-retirement measure applications, a large fraction of the RUL period savings (above pre-existing impacts) may be due to the presence of</t>
  </si>
  <si>
    <t>economizer in the measure technology.</t>
  </si>
  <si>
    <t>For these measures, the energy impacts are due to fan and compressor improvements associated with the various tier levels.  For early-retirement measure</t>
  </si>
  <si>
    <t>applications, it is assumed an economizer was present in the pre-existing equipment.</t>
  </si>
  <si>
    <t>multi-zone variable volume system (cPVVG), based on the building type.  In both cases, the HVAC system type is specified as "Any" in the associated</t>
  </si>
  <si>
    <r>
      <t xml:space="preserve">energy impact records.  For DEER2015, the measures in this category are applied to one </t>
    </r>
    <r>
      <rPr>
        <b/>
        <i/>
        <sz val="11"/>
        <color theme="1"/>
        <rFont val="Calibri"/>
        <family val="2"/>
        <scheme val="minor"/>
      </rPr>
      <t>or both</t>
    </r>
    <r>
      <rPr>
        <sz val="11"/>
        <color theme="1"/>
        <rFont val="Calibri"/>
        <family val="2"/>
        <scheme val="minor"/>
      </rPr>
      <t xml:space="preserve"> of the system types, as applicable to the building type, and </t>
    </r>
  </si>
  <si>
    <t>"BldgHVAC" field is specified appropriately in the linked energy impact records.  The following table lists which system types are associated with the packaged</t>
  </si>
  <si>
    <t>Relocatable classroom (ERC) and refrigerated warehouse (WRf) building types are not modeled with large packaged HVAC systems in DEER2015.</t>
  </si>
  <si>
    <t>Econo in Pre-existing Tech</t>
  </si>
  <si>
    <t>NE-HVAC-airAC-SpltPkg-65to109kBtuh-11p0eer
NE-HVAC-airAC-SpltPkg-65to109kBtuh-11p5eer
NE-HVAC-airAC-SpltPkg-65to109kBtuh-12p0eer</t>
  </si>
  <si>
    <t>var spd, multi-zone</t>
  </si>
  <si>
    <t>DEER2015 Commercial SEER-rated split Air Conditioner Code and Measure Technologies</t>
  </si>
  <si>
    <t>Economizer impacts separated from fan and compressor improvements</t>
  </si>
  <si>
    <t>Commercial SEER-rated measures greater than 55 kBTU/h and Commercial EER-rated measures less than 110 kBTU/h have two options:</t>
  </si>
  <si>
    <t>code requirements and tier definitions.</t>
  </si>
  <si>
    <t>For equipment that is subject to a specified SEER level as well as a minimum EER value, the performance characteristics of multiple units were averaged to best</t>
  </si>
  <si>
    <t>match both criteria.</t>
  </si>
  <si>
    <t>Performance maps for all of the HVAC measures in this update have been re-evaluated based on currently available equipment that meet the new</t>
  </si>
  <si>
    <t>For tier-level, SEER-rated equipment that are not limited by a minimum EER requirement, the performance characteristics of multiple units were evaluated for a range of building types and climate zones.</t>
  </si>
  <si>
    <t>The performance map that best represented the group of qualifying equipment (based on the smallest deviation from the median) was chosen for the equipment size range.</t>
  </si>
  <si>
    <t>For commercial SEER-rated measures greater than 55 kBTU/h and commercial EER-rated measures less than 110 kBTU/h, the pre-existing technologies in building vintages before 2014 do have require an economizer,  while the code and measure technologies do require an economizer.  A large fraction of the above pre-existing energy savings for these measures comes from the addition of an economizer in the measure technology.  To address this issue, an additional set of measures are defined that include an economizer in the pre-existing equipment, such that the energy impacts are due to compressor and fan improvements only.</t>
  </si>
  <si>
    <t>135 to 240 kBTU/hr</t>
  </si>
  <si>
    <t>110 to 135 kBTU/hr</t>
  </si>
  <si>
    <t>65 to 110 kBTU/hr</t>
  </si>
  <si>
    <t>240 t0 760 kBTU/hr</t>
  </si>
  <si>
    <t>greater than 760 kBTU/hr</t>
  </si>
  <si>
    <t>Before 1978</t>
  </si>
  <si>
    <t>1978 - 1992</t>
  </si>
  <si>
    <t>1993 - 2001</t>
  </si>
  <si>
    <t>2002 - 2005</t>
  </si>
  <si>
    <t>SEER-rated Evap-cooled AC</t>
  </si>
  <si>
    <t>SFm, MFm</t>
  </si>
  <si>
    <t>DMo</t>
  </si>
  <si>
    <t>Before 1976</t>
  </si>
  <si>
    <t>1976 - 1994</t>
  </si>
  <si>
    <t>1995 - 2005</t>
  </si>
  <si>
    <t>After 2005</t>
  </si>
  <si>
    <t>Building Vintage</t>
  </si>
  <si>
    <t>Single-zone</t>
  </si>
  <si>
    <t>Multi-zone
VAV</t>
  </si>
  <si>
    <t>Commercial - SEER rating by vintage</t>
  </si>
  <si>
    <t>Commercial Packaged Air Conditioners - EER rating by vintage</t>
  </si>
  <si>
    <t>Residential - SEER rating by vintage</t>
  </si>
  <si>
    <t>Mobile homes prior to 1995 are upgraded to SEER 10 from SEER 6.5.  There are no other vintage changes for residential builidngs.</t>
  </si>
  <si>
    <t>For SEER-rated split and packaged measures in commercial buildings, the two oldest vintages are updated to SEER 10 and SEER 9.7, respectively.</t>
  </si>
  <si>
    <t xml:space="preserve">For commercial packaged, EER-rated measures, the pre-2002 vintages are updated to the 2002 vintage specification.  In addition to the efficiency rating changes, </t>
  </si>
  <si>
    <t xml:space="preserve">for units greater than 110 kBTU/hr, the oldest vintage (before 1978) includes an economizer in DEER2015. </t>
  </si>
  <si>
    <t>NE-HVAC-airHP-Pkg-55to64kBtuh-13p0seer-7p7hspf</t>
  </si>
  <si>
    <t>NE-HVAC-airHP-Pkg-55to64kBtuh-14p0seer-8p0hspf</t>
  </si>
  <si>
    <t>NE-HVAC-airHP-Pkg-55to64kBtuh-15p0seer-8p5hspf</t>
  </si>
  <si>
    <t>NE-HVAC-airHP-Pkg-lt55kBtuh-13p0seer-7p7hspf</t>
  </si>
  <si>
    <t>NE-HVAC-airHP-Pkg-lt55kBtuh-14p0seer-8p0hspf</t>
  </si>
  <si>
    <t>NE-HVAC-airHP-Pkg-lt55kBtuh-15p0seer-8p5hspf</t>
  </si>
  <si>
    <t>NE-HVAC-airHP-Split-55to64kBtuh-13p0seer-7p7hspf</t>
  </si>
  <si>
    <t>NE-HVAC-airHP-Split-55to64kBtuh-14p5seer-8p5hspf</t>
  </si>
  <si>
    <t>NE-HVAC-airHP-Split-55to64kBtuh-15p0seer-9p0hspf</t>
  </si>
  <si>
    <t>NE-HVAC-airHP-Split-lt55kBtuh-13p0seer-7p7hspf</t>
  </si>
  <si>
    <t>NE-HVAC-airHP-Split-lt55kBtuh-14p5seer-8p5hspf</t>
  </si>
  <si>
    <t>NE-HVAC-airHP-Split-lt55kBtuh-15p0seer-9p0hspf</t>
  </si>
  <si>
    <t>NE-HVAC-airHP-Pkg-55to64kBtuh-15p0seer-8p2hspf</t>
  </si>
  <si>
    <t>NE-HVAC-airHP-Pkg-55to64kBtuh-16p0seer-8p5hspf</t>
  </si>
  <si>
    <t>NE-HVAC-airHP-Pkg-55to64kBtuh-17p0seer-9p0hspf</t>
  </si>
  <si>
    <t>NE-HVAC-airHP-Split-55to64kBtuh-15p0seer-8p7hspf</t>
  </si>
  <si>
    <t>NE-HVAC-airHP-Split-55to64kBtuh-16p0seer-9p0hspf</t>
  </si>
  <si>
    <t>NE-HVAC-airHP-Split-55to64kBtuh-17p0seer-9p4hspf</t>
  </si>
  <si>
    <t>NE-HVAC-airHP-Split-lt55kBtuh-15p0seer-8p7hspf</t>
  </si>
  <si>
    <t>NE-HVAC-airHP-Split-lt55kBtuh-16p0seer-9p0hspf</t>
  </si>
  <si>
    <t>NE-HVAC-airHP-Split-lt55kBtuh-17p0seer-9p4hspf</t>
  </si>
  <si>
    <t>NE-HVAC-airHP-Pkg-lt55kBtuh-15p0seer-8p2hspf</t>
  </si>
  <si>
    <t>NE-HVAC-airHP-Pkg-lt55kBtuh-16p0seer-8p5hspf</t>
  </si>
  <si>
    <t>NE-HVAC-airHP-Pkg-lt55kBtuh-17p0seer-9p0hspf</t>
  </si>
  <si>
    <t>NE-HVAC-airHP-Split-55to64kBtuh-18p0seer-9p7hspf</t>
  </si>
  <si>
    <t>NE-HVAC-airHP-Split-lt55kBtuh-18p0seer-9p7hspf</t>
  </si>
  <si>
    <t>DEER2015 Commercial SEER-rated split Heat Pump Code and Measure Technologies</t>
  </si>
  <si>
    <t>NE-HVAC-airHP-Split-lt55kBtuh-13p0seer-7p7hspf
NE-HVAC-airHP-Split-lt55kBtuh-14p5seer-8p5hspf
NE-HVAC-airHP-Split-lt55kBtuh-15p0seer-9p0hspf</t>
  </si>
  <si>
    <t>NE-HVAC-airHP-Split-55to64kBtuh-13p0seer-7p7hspf
NE-HVAC-airHP-Split-55to64kBtuh-14p5seer-8p5hspf
NE-HVAC-airHP-Split-55to64kBtuh-15p0seer-9p0hspf</t>
  </si>
  <si>
    <t>DEER2015 Commercial SEER-rated packaged Heat Pumps Technologies</t>
  </si>
  <si>
    <t>SEER-rated Packaged Heat Pumps</t>
  </si>
  <si>
    <t>SEER-rated Split Heat Pumps</t>
  </si>
  <si>
    <t>NE-HVAC-airHP-Pkg-55to64kBtuh-13p0seer-7p7hspf
NE-HVAC-airHP-Pkg-55to64kBtuh-14p0seer-8p0hspf
NE-HVAC-airHP-Pkg-55to64kBtuh-15p0seer-8p5hspf</t>
  </si>
  <si>
    <t>NE-HVAC-airHP-Pkg-lt55kBtuh-13p0seer-7p7hspf
NE-HVAC-airHP-Pkg-lt55kBtuh-14p0seer-8p0hspf
NE-HVAC-airHP-Pkg-lt55kBtuh-15p0seer-8p5hspf</t>
  </si>
  <si>
    <t>Commercial SEER-rated Split HP</t>
  </si>
  <si>
    <t>Commercial SEER-rated Packaged HP</t>
  </si>
  <si>
    <t>Commercial SEER-rated Packaged Heat Pumps</t>
  </si>
  <si>
    <t>Commercial SEER-rated Split Heat Pumps</t>
  </si>
  <si>
    <t>NE-HVAC-airHP-Pkg-lt55kBtuh-14p0seer-8p2hspf</t>
  </si>
  <si>
    <t>ID</t>
  </si>
  <si>
    <t>W/CFM</t>
  </si>
  <si>
    <t>Spd</t>
  </si>
  <si>
    <t>HVAC ID</t>
  </si>
  <si>
    <t>HVAC performance map lookups</t>
  </si>
  <si>
    <t>21006</t>
  </si>
  <si>
    <t>21306</t>
  </si>
  <si>
    <t>cDXHP</t>
  </si>
  <si>
    <t>Com SEER-Rated Pkg HP</t>
  </si>
  <si>
    <t>Com SEER-Rated Split HP</t>
  </si>
  <si>
    <t>SEER-rated Split AC &amp; HP</t>
  </si>
  <si>
    <t>SEER-rated Packaged AC &amp; HP</t>
  </si>
  <si>
    <t>NE-HVAC-airHP-Pkg-55to65kBtuh-15p0seer-8p2hspf</t>
  </si>
  <si>
    <t>NE-HVAC-airHP-Pkg-55to65kBtuh-16p0seer-8p5hspf</t>
  </si>
  <si>
    <t>NE-HVAC-airHP-Pkg-55to65kBtuh-17p0seer-9p0hspf</t>
  </si>
  <si>
    <t>NE-HVAC-airHP-Pkg-55to65kBtuh-15p0seer-8p2hspf-wPreEcono</t>
  </si>
  <si>
    <t>NE-HVAC-airHP-Pkg-55to65kBtuh-16p0seer-8p5hspf-wPreEcono</t>
  </si>
  <si>
    <t>NE-HVAC-airHP-Pkg-55to65kBtuh-17p0seer-9p0hspf-wPreEcono</t>
  </si>
  <si>
    <t>NE-HVAC-airHP-Split-55to65kBtuh-15p0seer-8p7hspf</t>
  </si>
  <si>
    <t>NE-HVAC-airHP-Split-55to65kBtuh-16p0seer-9p0hspf</t>
  </si>
  <si>
    <t>NE-HVAC-airHP-Split-55to65kBtuh-17p0seer-9p4hspf</t>
  </si>
  <si>
    <t>NE-HVAC-airHP-Split-55to65kBtuh-18p0seer-9p7hspf</t>
  </si>
  <si>
    <t>NE-HVAC-airHP-Split-55to65kBtuh-15p0seer-8p7hspf-wPreEcono</t>
  </si>
  <si>
    <t>NE-HVAC-airHP-Split-55to65kBtuh-16p0seer-9p0hspf-wPreEcono</t>
  </si>
  <si>
    <t>NE-HVAC-airHP-Split-55to65kBtuh-17p0seer-9p4hspf-wPreEcono</t>
  </si>
  <si>
    <t>NE-HVAC-airHP-Split-55to65kBtuh-18p0seer-9p7hspf-wPreEcono</t>
  </si>
  <si>
    <t xml:space="preserve">This table lists the efficiency specification of pre-existing equipment by building vintage.  These represent the efficiency levels of the "Customer-average" or "Pre-existing" technology that </t>
  </si>
  <si>
    <t>make up a measure definition.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</si>
</sst>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0.00\ "/>
    <numFmt numFmtId="165" formatCode="#,##0.00000\ "/>
    <numFmt numFmtId="166" formatCode="#,##0.0\ "/>
    <numFmt numFmtId="167" formatCode="0.0"/>
    <numFmt numFmtId="168" formatCode="#,##0.000\ "/>
    <numFmt numFmtId="169" formatCode="#,##0\ "/>
    <numFmt numFmtId="170" formatCode="0.0000"/>
    <numFmt numFmtId="171" formatCode="0.00000"/>
    <numFmt numFmtId="172" formatCode="0.0000E+00"/>
    <numFmt numFmtId="173" formatCode="0.000"/>
    <numFmt numFmtId="174" formatCode="#,##0.0"/>
    <numFmt numFmtId="175" formatCode="#,##0.0000\ "/>
  </numFmts>
  <fonts count="34" x14ac:knownFonts="1">
    <font>
      <sz val="11"/>
      <color theme="1"/>
      <name val="Calibri"/>
      <family val="2"/>
      <scheme val="minor"/>
    </font>
    <font>
      <b/>
      <sz val="15"/>
      <color theme="3"/>
      <name val="Calibri"/>
      <family val="2"/>
      <scheme val="minor"/>
    </font>
    <font>
      <b/>
      <sz val="11"/>
      <color theme="1"/>
      <name val="Calibri"/>
      <family val="2"/>
      <scheme val="minor"/>
    </font>
    <font>
      <sz val="11"/>
      <color theme="0" tint="-0.34998626667073579"/>
      <name val="Calibri"/>
      <family val="2"/>
      <scheme val="minor"/>
    </font>
    <font>
      <sz val="11"/>
      <color rgb="FF0070C0"/>
      <name val="Calibri"/>
      <family val="2"/>
      <scheme val="minor"/>
    </font>
    <font>
      <sz val="8"/>
      <color rgb="FF000000"/>
      <name val="Arial"/>
      <family val="2"/>
    </font>
    <font>
      <b/>
      <sz val="11"/>
      <color theme="1"/>
      <name val="Arial"/>
      <family val="2"/>
    </font>
    <font>
      <sz val="11"/>
      <color theme="1"/>
      <name val="Arial"/>
      <family val="2"/>
    </font>
    <font>
      <sz val="9"/>
      <color rgb="FF000000"/>
      <name val="Arial"/>
      <family val="2"/>
    </font>
    <font>
      <b/>
      <sz val="10"/>
      <color rgb="FF000000"/>
      <name val="Arial"/>
      <family val="2"/>
    </font>
    <font>
      <sz val="10"/>
      <color rgb="FF000000"/>
      <name val="Arial"/>
      <family val="2"/>
    </font>
    <font>
      <i/>
      <sz val="9"/>
      <color rgb="FF000000"/>
      <name val="Arial"/>
      <family val="2"/>
    </font>
    <font>
      <b/>
      <sz val="9"/>
      <color rgb="FFFF0000"/>
      <name val="Arial"/>
      <family val="2"/>
    </font>
    <font>
      <sz val="9"/>
      <color rgb="FFFF0000"/>
      <name val="Arial"/>
      <family val="2"/>
    </font>
    <font>
      <sz val="9"/>
      <name val="Arial"/>
      <family val="2"/>
    </font>
    <font>
      <i/>
      <sz val="11"/>
      <color rgb="FF7F7F7F"/>
      <name val="Calibri"/>
      <family val="2"/>
      <scheme val="minor"/>
    </font>
    <font>
      <vertAlign val="superscript"/>
      <sz val="11"/>
      <color theme="1"/>
      <name val="Arial"/>
      <family val="2"/>
    </font>
    <font>
      <sz val="8"/>
      <name val="Verdana"/>
      <family val="2"/>
    </font>
    <font>
      <b/>
      <sz val="8"/>
      <name val="Verdana"/>
      <family val="2"/>
    </font>
    <font>
      <i/>
      <sz val="11"/>
      <name val="Calibri"/>
      <family val="2"/>
      <scheme val="minor"/>
    </font>
    <font>
      <sz val="11"/>
      <color rgb="FF9C0006"/>
      <name val="Calibri"/>
      <family val="2"/>
      <scheme val="minor"/>
    </font>
    <font>
      <sz val="11"/>
      <color theme="0" tint="-4.9989318521683403E-2"/>
      <name val="Calibri"/>
      <family val="2"/>
      <scheme val="minor"/>
    </font>
    <font>
      <sz val="8"/>
      <color theme="0" tint="-0.249977111117893"/>
      <name val="Verdana"/>
      <family val="2"/>
    </font>
    <font>
      <sz val="11"/>
      <name val="Calibri"/>
      <family val="2"/>
      <scheme val="minor"/>
    </font>
    <font>
      <sz val="11"/>
      <color theme="0" tint="-0.249977111117893"/>
      <name val="Calibri"/>
      <family val="2"/>
      <scheme val="minor"/>
    </font>
    <font>
      <b/>
      <sz val="11"/>
      <color rgb="FF0070C0"/>
      <name val="Calibri"/>
      <family val="2"/>
      <scheme val="minor"/>
    </font>
    <font>
      <sz val="11"/>
      <color rgb="FF9C6500"/>
      <name val="Calibri"/>
      <family val="2"/>
      <scheme val="minor"/>
    </font>
    <font>
      <i/>
      <sz val="11"/>
      <color theme="1"/>
      <name val="Calibri"/>
      <family val="2"/>
      <scheme val="minor"/>
    </font>
    <font>
      <b/>
      <sz val="9"/>
      <color indexed="81"/>
      <name val="Tahoma"/>
      <family val="2"/>
    </font>
    <font>
      <sz val="12"/>
      <name val="Calibri"/>
      <family val="2"/>
      <scheme val="minor"/>
    </font>
    <font>
      <sz val="12"/>
      <color theme="1"/>
      <name val="Calibri"/>
      <family val="2"/>
      <scheme val="minor"/>
    </font>
    <font>
      <b/>
      <i/>
      <sz val="11"/>
      <color theme="1"/>
      <name val="Calibri"/>
      <family val="2"/>
      <scheme val="minor"/>
    </font>
    <font>
      <b/>
      <sz val="11"/>
      <name val="Calibri"/>
      <family val="2"/>
      <scheme val="minor"/>
    </font>
    <font>
      <sz val="11"/>
      <color rgb="FFFF000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C7CE"/>
      </patternFill>
    </fill>
    <fill>
      <patternFill patternType="solid">
        <fgColor theme="6" tint="0.79998168889431442"/>
        <bgColor indexed="64"/>
      </patternFill>
    </fill>
    <fill>
      <patternFill patternType="solid">
        <fgColor rgb="FFFFEB9C"/>
      </patternFill>
    </fill>
    <fill>
      <patternFill patternType="solid">
        <fgColor theme="0" tint="-0.14999847407452621"/>
        <bgColor indexed="64"/>
      </patternFill>
    </fill>
    <fill>
      <patternFill patternType="solid">
        <fgColor theme="2" tint="-9.9978637043366805E-2"/>
        <bgColor indexed="64"/>
      </patternFill>
    </fill>
  </fills>
  <borders count="81">
    <border>
      <left/>
      <right/>
      <top/>
      <bottom/>
      <diagonal/>
    </border>
    <border>
      <left/>
      <right/>
      <top/>
      <bottom style="thick">
        <color theme="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right/>
      <top style="thick">
        <color theme="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rgb="FF000000"/>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top style="thin">
        <color indexed="64"/>
      </top>
      <bottom/>
      <diagonal/>
    </border>
    <border>
      <left style="thin">
        <color rgb="FF000000"/>
      </left>
      <right style="thin">
        <color indexed="64"/>
      </right>
      <top style="medium">
        <color indexed="64"/>
      </top>
      <bottom style="thin">
        <color rgb="FF000000"/>
      </bottom>
      <diagonal/>
    </border>
    <border>
      <left/>
      <right style="thin">
        <color rgb="FF000000"/>
      </right>
      <top style="medium">
        <color rgb="FF000000"/>
      </top>
      <bottom style="thin">
        <color rgb="FF000000"/>
      </bottom>
      <diagonal/>
    </border>
    <border>
      <left/>
      <right style="thin">
        <color indexed="64"/>
      </right>
      <top style="hair">
        <color indexed="64"/>
      </top>
      <bottom style="thin">
        <color indexed="64"/>
      </bottom>
      <diagonal/>
    </border>
    <border>
      <left/>
      <right style="thin">
        <color indexed="64"/>
      </right>
      <top style="hair">
        <color indexed="64"/>
      </top>
      <bottom/>
      <diagonal/>
    </border>
  </borders>
  <cellStyleXfs count="6">
    <xf numFmtId="0" fontId="0" fillId="0" borderId="0"/>
    <xf numFmtId="0" fontId="1" fillId="0" borderId="1" applyNumberFormat="0" applyFill="0" applyAlignment="0" applyProtection="0"/>
    <xf numFmtId="0" fontId="15" fillId="0" borderId="0" applyNumberFormat="0" applyFill="0" applyBorder="0" applyAlignment="0" applyProtection="0"/>
    <xf numFmtId="0" fontId="17" fillId="0" borderId="0"/>
    <xf numFmtId="0" fontId="20" fillId="6" borderId="0" applyNumberFormat="0" applyBorder="0" applyAlignment="0" applyProtection="0"/>
    <xf numFmtId="0" fontId="26" fillId="8" borderId="0" applyNumberFormat="0" applyBorder="0" applyAlignment="0" applyProtection="0"/>
  </cellStyleXfs>
  <cellXfs count="503">
    <xf numFmtId="0" fontId="0" fillId="0" borderId="0" xfId="0"/>
    <xf numFmtId="0" fontId="1" fillId="0" borderId="1" xfId="1"/>
    <xf numFmtId="0" fontId="0" fillId="0" borderId="0" xfId="0" applyAlignment="1">
      <alignment vertical="center" wrapText="1"/>
    </xf>
    <xf numFmtId="0" fontId="2" fillId="0" borderId="0" xfId="0" applyFont="1"/>
    <xf numFmtId="0" fontId="4" fillId="0" borderId="0" xfId="0" applyFont="1"/>
    <xf numFmtId="0" fontId="0" fillId="0" borderId="2" xfId="0" applyBorder="1"/>
    <xf numFmtId="0" fontId="2" fillId="0" borderId="2" xfId="0" applyFont="1" applyBorder="1"/>
    <xf numFmtId="0" fontId="0" fillId="0" borderId="7" xfId="0" applyBorder="1" applyAlignment="1">
      <alignment horizontal="center" vertical="center"/>
    </xf>
    <xf numFmtId="0" fontId="0" fillId="0" borderId="10" xfId="0" applyBorder="1" applyAlignment="1">
      <alignment horizontal="center" vertical="center"/>
    </xf>
    <xf numFmtId="164" fontId="0" fillId="0" borderId="10" xfId="0" applyNumberForma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164" fontId="0" fillId="0" borderId="12" xfId="0" applyNumberFormat="1" applyBorder="1" applyAlignment="1">
      <alignment horizontal="center" vertical="center"/>
    </xf>
    <xf numFmtId="0" fontId="0" fillId="0" borderId="13" xfId="0" applyBorder="1" applyAlignment="1">
      <alignment horizontal="center" vertical="center"/>
    </xf>
    <xf numFmtId="0" fontId="0" fillId="0" borderId="20"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2" borderId="3" xfId="0" applyFill="1" applyBorder="1" applyAlignment="1">
      <alignment horizontal="center" wrapText="1"/>
    </xf>
    <xf numFmtId="0" fontId="0" fillId="2" borderId="4" xfId="0" applyFill="1" applyBorder="1" applyAlignment="1">
      <alignment horizontal="center" wrapText="1"/>
    </xf>
    <xf numFmtId="0" fontId="5" fillId="0" borderId="0" xfId="0" applyFont="1" applyAlignment="1">
      <alignment horizontal="left" vertical="center"/>
    </xf>
    <xf numFmtId="0" fontId="9" fillId="0" borderId="0" xfId="0" applyFont="1" applyAlignment="1">
      <alignment horizontal="left" vertical="center"/>
    </xf>
    <xf numFmtId="1" fontId="3" fillId="0" borderId="0" xfId="0" applyNumberFormat="1" applyFont="1" applyAlignment="1">
      <alignment horizontal="center" vertical="center"/>
    </xf>
    <xf numFmtId="0" fontId="3" fillId="0" borderId="0" xfId="0" applyFont="1" applyAlignment="1">
      <alignment horizontal="center" vertical="center"/>
    </xf>
    <xf numFmtId="0" fontId="0" fillId="0" borderId="0" xfId="0" applyFill="1"/>
    <xf numFmtId="0" fontId="0" fillId="3" borderId="0" xfId="0" applyFill="1"/>
    <xf numFmtId="0" fontId="2" fillId="0" borderId="28" xfId="0" applyFont="1" applyBorder="1" applyAlignment="1">
      <alignment horizontal="right"/>
    </xf>
    <xf numFmtId="0" fontId="2" fillId="0" borderId="23" xfId="0" applyFont="1" applyBorder="1"/>
    <xf numFmtId="0" fontId="0" fillId="0" borderId="29" xfId="0" applyBorder="1" applyAlignment="1">
      <alignment horizontal="right"/>
    </xf>
    <xf numFmtId="165" fontId="0" fillId="0" borderId="27" xfId="0" applyNumberFormat="1" applyBorder="1"/>
    <xf numFmtId="165" fontId="0" fillId="0" borderId="0" xfId="0" applyNumberFormat="1"/>
    <xf numFmtId="164" fontId="0" fillId="0" borderId="27" xfId="0" applyNumberFormat="1" applyBorder="1"/>
    <xf numFmtId="164" fontId="0" fillId="0" borderId="0" xfId="0" applyNumberFormat="1"/>
    <xf numFmtId="166" fontId="0" fillId="0" borderId="27" xfId="0" applyNumberFormat="1" applyBorder="1"/>
    <xf numFmtId="166" fontId="0" fillId="0" borderId="0" xfId="0" applyNumberFormat="1"/>
    <xf numFmtId="0" fontId="2" fillId="0" borderId="0" xfId="0" applyFont="1" applyFill="1" applyBorder="1" applyAlignment="1">
      <alignment horizontal="left"/>
    </xf>
    <xf numFmtId="0" fontId="0" fillId="4" borderId="0" xfId="0" applyFill="1"/>
    <xf numFmtId="0" fontId="0" fillId="5" borderId="0" xfId="0" applyFill="1"/>
    <xf numFmtId="167" fontId="0" fillId="0" borderId="12" xfId="0" applyNumberFormat="1" applyBorder="1" applyAlignment="1">
      <alignment horizontal="center" vertical="center"/>
    </xf>
    <xf numFmtId="0" fontId="0" fillId="2" borderId="31" xfId="0" applyFill="1" applyBorder="1" applyAlignment="1">
      <alignment horizontal="center"/>
    </xf>
    <xf numFmtId="0" fontId="0" fillId="2" borderId="32" xfId="0" applyFill="1" applyBorder="1" applyAlignment="1">
      <alignment horizontal="center"/>
    </xf>
    <xf numFmtId="0" fontId="0" fillId="2" borderId="33" xfId="0" applyFill="1" applyBorder="1" applyAlignment="1">
      <alignment horizontal="center"/>
    </xf>
    <xf numFmtId="0" fontId="0" fillId="0" borderId="34" xfId="0" applyBorder="1" applyAlignment="1">
      <alignment horizontal="center"/>
    </xf>
    <xf numFmtId="0" fontId="0" fillId="0" borderId="0"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168" fontId="0" fillId="0" borderId="0" xfId="0" applyNumberFormat="1"/>
    <xf numFmtId="0" fontId="0" fillId="0" borderId="0" xfId="0" applyAlignment="1">
      <alignment horizontal="right"/>
    </xf>
    <xf numFmtId="168" fontId="0" fillId="0" borderId="11" xfId="0" applyNumberFormat="1" applyBorder="1" applyAlignment="1">
      <alignment horizontal="center"/>
    </xf>
    <xf numFmtId="0" fontId="0" fillId="0" borderId="9" xfId="0" applyBorder="1" applyAlignment="1">
      <alignment horizontal="center"/>
    </xf>
    <xf numFmtId="168" fontId="0" fillId="0" borderId="13" xfId="0" applyNumberFormat="1" applyBorder="1" applyAlignment="1">
      <alignment horizontal="center"/>
    </xf>
    <xf numFmtId="0" fontId="0" fillId="0" borderId="14" xfId="0" applyBorder="1" applyAlignment="1">
      <alignment horizontal="center"/>
    </xf>
    <xf numFmtId="0" fontId="0" fillId="2" borderId="11" xfId="0" applyFill="1" applyBorder="1" applyAlignment="1">
      <alignment horizontal="center"/>
    </xf>
    <xf numFmtId="0" fontId="0" fillId="2" borderId="9" xfId="0" applyFill="1" applyBorder="1" applyAlignment="1">
      <alignment horizontal="center"/>
    </xf>
    <xf numFmtId="0" fontId="0" fillId="2" borderId="8" xfId="0" applyFill="1" applyBorder="1" applyAlignment="1">
      <alignment horizontal="center"/>
    </xf>
    <xf numFmtId="0" fontId="0" fillId="2" borderId="6" xfId="0" applyFill="1" applyBorder="1" applyAlignment="1">
      <alignment horizontal="center"/>
    </xf>
    <xf numFmtId="169" fontId="0" fillId="0" borderId="0" xfId="0" applyNumberFormat="1"/>
    <xf numFmtId="0" fontId="18" fillId="0" borderId="0" xfId="3" applyFont="1"/>
    <xf numFmtId="0" fontId="18" fillId="0" borderId="27" xfId="3" applyFont="1" applyBorder="1"/>
    <xf numFmtId="0" fontId="17" fillId="0" borderId="0" xfId="3"/>
    <xf numFmtId="0" fontId="17" fillId="0" borderId="40" xfId="3" applyFill="1" applyBorder="1" applyAlignment="1">
      <alignment horizontal="center"/>
    </xf>
    <xf numFmtId="0" fontId="17" fillId="0" borderId="20" xfId="3" applyFont="1" applyFill="1" applyBorder="1" applyAlignment="1">
      <alignment horizontal="center"/>
    </xf>
    <xf numFmtId="0" fontId="17" fillId="0" borderId="23" xfId="3" applyFont="1" applyFill="1" applyBorder="1" applyAlignment="1">
      <alignment horizontal="centerContinuous"/>
    </xf>
    <xf numFmtId="0" fontId="17" fillId="0" borderId="2" xfId="3" applyFont="1" applyFill="1" applyBorder="1" applyAlignment="1">
      <alignment horizontal="centerContinuous"/>
    </xf>
    <xf numFmtId="0" fontId="17" fillId="0" borderId="28" xfId="3" applyFont="1" applyFill="1" applyBorder="1" applyAlignment="1">
      <alignment horizontal="centerContinuous"/>
    </xf>
    <xf numFmtId="172" fontId="17" fillId="0" borderId="2" xfId="3" applyNumberFormat="1" applyFont="1" applyFill="1" applyBorder="1" applyAlignment="1">
      <alignment horizontal="centerContinuous"/>
    </xf>
    <xf numFmtId="172" fontId="17" fillId="0" borderId="28" xfId="3" applyNumberFormat="1" applyFont="1" applyFill="1" applyBorder="1" applyAlignment="1">
      <alignment horizontal="centerContinuous"/>
    </xf>
    <xf numFmtId="172" fontId="17" fillId="0" borderId="20" xfId="3" applyNumberFormat="1" applyFont="1" applyFill="1" applyBorder="1" applyAlignment="1">
      <alignment horizontal="centerContinuous"/>
    </xf>
    <xf numFmtId="0" fontId="17" fillId="0" borderId="39" xfId="3" applyFont="1" applyBorder="1" applyAlignment="1">
      <alignment horizontal="center"/>
    </xf>
    <xf numFmtId="0" fontId="17" fillId="0" borderId="40" xfId="3" applyFont="1" applyBorder="1" applyAlignment="1">
      <alignment horizontal="center"/>
    </xf>
    <xf numFmtId="0" fontId="17" fillId="0" borderId="10" xfId="3" applyFont="1" applyBorder="1" applyAlignment="1">
      <alignment horizontal="center" wrapText="1"/>
    </xf>
    <xf numFmtId="0" fontId="17" fillId="0" borderId="37" xfId="0" applyFont="1" applyBorder="1" applyAlignment="1">
      <alignment horizontal="center"/>
    </xf>
    <xf numFmtId="0" fontId="17" fillId="0" borderId="18" xfId="0" applyFont="1" applyBorder="1" applyAlignment="1">
      <alignment horizontal="center"/>
    </xf>
    <xf numFmtId="0" fontId="17" fillId="0" borderId="18" xfId="0" applyFont="1" applyBorder="1" applyAlignment="1">
      <alignment horizontal="center" wrapText="1"/>
    </xf>
    <xf numFmtId="0" fontId="17" fillId="0" borderId="25" xfId="0" applyFont="1" applyBorder="1" applyAlignment="1">
      <alignment horizontal="centerContinuous"/>
    </xf>
    <xf numFmtId="0" fontId="17" fillId="0" borderId="22" xfId="0" applyFont="1" applyBorder="1" applyAlignment="1">
      <alignment horizontal="centerContinuous"/>
    </xf>
    <xf numFmtId="0" fontId="17" fillId="0" borderId="45" xfId="0" applyFont="1" applyBorder="1" applyAlignment="1">
      <alignment horizontal="centerContinuous"/>
    </xf>
    <xf numFmtId="0" fontId="17" fillId="0" borderId="0" xfId="0" applyFont="1" applyFill="1" applyBorder="1" applyAlignment="1"/>
    <xf numFmtId="0" fontId="17" fillId="0" borderId="12" xfId="0" applyFont="1" applyFill="1" applyBorder="1" applyAlignment="1">
      <alignment horizontal="center"/>
    </xf>
    <xf numFmtId="0" fontId="17" fillId="0" borderId="12" xfId="0" applyFont="1" applyBorder="1" applyAlignment="1">
      <alignment horizontal="center"/>
    </xf>
    <xf numFmtId="0" fontId="17" fillId="0" borderId="27" xfId="0" applyFont="1" applyBorder="1" applyAlignment="1">
      <alignment horizontal="centerContinuous"/>
    </xf>
    <xf numFmtId="0" fontId="17" fillId="0" borderId="0" xfId="0" applyFont="1" applyBorder="1" applyAlignment="1">
      <alignment horizontal="centerContinuous"/>
    </xf>
    <xf numFmtId="0" fontId="17" fillId="0" borderId="29" xfId="0" applyFont="1" applyBorder="1" applyAlignment="1">
      <alignment horizontal="centerContinuous"/>
    </xf>
    <xf numFmtId="0" fontId="17" fillId="0" borderId="27" xfId="0" applyFont="1" applyBorder="1" applyAlignment="1">
      <alignment horizontal="center"/>
    </xf>
    <xf numFmtId="0" fontId="17" fillId="0" borderId="43" xfId="3" applyFont="1" applyFill="1" applyBorder="1" applyAlignment="1">
      <alignment horizontal="left"/>
    </xf>
    <xf numFmtId="0" fontId="17" fillId="0" borderId="0" xfId="0" applyFont="1" applyFill="1" applyAlignment="1">
      <alignment horizontal="center"/>
    </xf>
    <xf numFmtId="174" fontId="17" fillId="0" borderId="20" xfId="0" applyNumberFormat="1" applyFont="1" applyFill="1" applyBorder="1" applyAlignment="1">
      <alignment horizontal="center"/>
    </xf>
    <xf numFmtId="1" fontId="17" fillId="0" borderId="20" xfId="0" applyNumberFormat="1" applyFont="1" applyFill="1" applyBorder="1" applyAlignment="1">
      <alignment horizontal="center"/>
    </xf>
    <xf numFmtId="4" fontId="17" fillId="0" borderId="20" xfId="0" applyNumberFormat="1" applyFont="1" applyFill="1" applyBorder="1" applyAlignment="1">
      <alignment horizontal="center"/>
    </xf>
    <xf numFmtId="170" fontId="17" fillId="0" borderId="20" xfId="0" applyNumberFormat="1" applyFont="1" applyFill="1" applyBorder="1" applyAlignment="1">
      <alignment horizontal="center"/>
    </xf>
    <xf numFmtId="171" fontId="17" fillId="0" borderId="20" xfId="0" applyNumberFormat="1" applyFont="1" applyFill="1" applyBorder="1" applyAlignment="1">
      <alignment horizontal="center"/>
    </xf>
    <xf numFmtId="173" fontId="17" fillId="0" borderId="20" xfId="0" applyNumberFormat="1" applyFont="1" applyFill="1" applyBorder="1" applyAlignment="1">
      <alignment horizontal="center"/>
    </xf>
    <xf numFmtId="0" fontId="17" fillId="0" borderId="20" xfId="0" applyFont="1" applyFill="1" applyBorder="1" applyAlignment="1">
      <alignment horizontal="center"/>
    </xf>
    <xf numFmtId="173" fontId="17" fillId="0" borderId="23" xfId="0" applyNumberFormat="1" applyFont="1" applyFill="1" applyBorder="1" applyAlignment="1">
      <alignment horizontal="center"/>
    </xf>
    <xf numFmtId="0" fontId="17" fillId="0" borderId="27" xfId="0" applyFont="1" applyFill="1" applyBorder="1" applyAlignment="1">
      <alignment horizontal="center"/>
    </xf>
    <xf numFmtId="173" fontId="17" fillId="0" borderId="28" xfId="0" quotePrefix="1" applyNumberFormat="1" applyFont="1" applyFill="1" applyBorder="1" applyAlignment="1">
      <alignment horizontal="center"/>
    </xf>
    <xf numFmtId="2" fontId="17" fillId="0" borderId="20" xfId="0" applyNumberFormat="1" applyFont="1" applyFill="1" applyBorder="1" applyAlignment="1">
      <alignment horizontal="center"/>
    </xf>
    <xf numFmtId="0" fontId="17" fillId="0" borderId="12" xfId="3" applyFont="1" applyFill="1" applyBorder="1" applyAlignment="1">
      <alignment horizontal="left"/>
    </xf>
    <xf numFmtId="0" fontId="18" fillId="0" borderId="12" xfId="3" applyFont="1" applyFill="1" applyBorder="1" applyAlignment="1">
      <alignment horizontal="left"/>
    </xf>
    <xf numFmtId="0" fontId="17" fillId="0" borderId="0" xfId="0" applyFont="1" applyFill="1"/>
    <xf numFmtId="1" fontId="17" fillId="0" borderId="0" xfId="0" applyNumberFormat="1" applyFont="1" applyFill="1"/>
    <xf numFmtId="0" fontId="17" fillId="0" borderId="0" xfId="0" applyFont="1"/>
    <xf numFmtId="0" fontId="17" fillId="0" borderId="43" xfId="3" applyFont="1" applyBorder="1" applyAlignment="1">
      <alignment horizontal="left"/>
    </xf>
    <xf numFmtId="174" fontId="17" fillId="0" borderId="20" xfId="0" applyNumberFormat="1" applyFont="1" applyBorder="1" applyAlignment="1">
      <alignment horizontal="center"/>
    </xf>
    <xf numFmtId="0" fontId="17" fillId="0" borderId="20" xfId="0" applyFont="1" applyBorder="1" applyAlignment="1">
      <alignment horizontal="center"/>
    </xf>
    <xf numFmtId="4" fontId="17" fillId="0" borderId="20" xfId="0" applyNumberFormat="1" applyFont="1" applyBorder="1" applyAlignment="1">
      <alignment horizontal="center"/>
    </xf>
    <xf numFmtId="1" fontId="17" fillId="0" borderId="20" xfId="0" applyNumberFormat="1" applyFont="1" applyBorder="1" applyAlignment="1">
      <alignment horizontal="center"/>
    </xf>
    <xf numFmtId="170" fontId="17" fillId="0" borderId="20" xfId="0" applyNumberFormat="1" applyFont="1" applyBorder="1" applyAlignment="1">
      <alignment horizontal="center"/>
    </xf>
    <xf numFmtId="171" fontId="17" fillId="0" borderId="20" xfId="0" applyNumberFormat="1" applyFont="1" applyBorder="1" applyAlignment="1">
      <alignment horizontal="center"/>
    </xf>
    <xf numFmtId="173" fontId="17" fillId="0" borderId="20" xfId="0" applyNumberFormat="1" applyFont="1" applyBorder="1" applyAlignment="1">
      <alignment horizontal="center"/>
    </xf>
    <xf numFmtId="173" fontId="17" fillId="0" borderId="23" xfId="0" applyNumberFormat="1" applyFont="1" applyBorder="1" applyAlignment="1">
      <alignment horizontal="center"/>
    </xf>
    <xf numFmtId="173" fontId="17" fillId="0" borderId="28" xfId="0" quotePrefix="1" applyNumberFormat="1" applyFont="1" applyBorder="1" applyAlignment="1">
      <alignment horizontal="center"/>
    </xf>
    <xf numFmtId="2" fontId="17" fillId="0" borderId="20" xfId="0" applyNumberFormat="1" applyFont="1" applyBorder="1" applyAlignment="1">
      <alignment horizontal="center"/>
    </xf>
    <xf numFmtId="167" fontId="17" fillId="0" borderId="20" xfId="0" applyNumberFormat="1" applyFont="1" applyBorder="1" applyAlignment="1">
      <alignment horizontal="center"/>
    </xf>
    <xf numFmtId="0" fontId="17" fillId="0" borderId="16" xfId="0" applyFont="1" applyBorder="1" applyAlignment="1">
      <alignment horizontal="center"/>
    </xf>
    <xf numFmtId="167" fontId="17" fillId="0" borderId="16" xfId="0" applyNumberFormat="1" applyFont="1" applyBorder="1" applyAlignment="1">
      <alignment horizontal="center"/>
    </xf>
    <xf numFmtId="4" fontId="17" fillId="0" borderId="16" xfId="0" applyNumberFormat="1" applyFont="1" applyBorder="1" applyAlignment="1">
      <alignment horizontal="center"/>
    </xf>
    <xf numFmtId="1" fontId="17" fillId="0" borderId="16" xfId="0" applyNumberFormat="1" applyFont="1" applyBorder="1" applyAlignment="1">
      <alignment horizontal="center"/>
    </xf>
    <xf numFmtId="173" fontId="17" fillId="0" borderId="16" xfId="0" applyNumberFormat="1" applyFont="1" applyBorder="1" applyAlignment="1">
      <alignment horizontal="center"/>
    </xf>
    <xf numFmtId="170" fontId="17" fillId="0" borderId="16" xfId="0" applyNumberFormat="1" applyFont="1" applyBorder="1" applyAlignment="1">
      <alignment horizontal="center"/>
    </xf>
    <xf numFmtId="171" fontId="17" fillId="0" borderId="16" xfId="0" applyNumberFormat="1" applyFont="1" applyBorder="1" applyAlignment="1">
      <alignment horizontal="center"/>
    </xf>
    <xf numFmtId="11" fontId="17" fillId="0" borderId="23" xfId="0" applyNumberFormat="1" applyFont="1" applyFill="1" applyBorder="1" applyAlignment="1">
      <alignment horizontal="center"/>
    </xf>
    <xf numFmtId="11" fontId="17" fillId="0" borderId="2" xfId="0" applyNumberFormat="1" applyFont="1" applyFill="1" applyBorder="1" applyAlignment="1">
      <alignment horizontal="center"/>
    </xf>
    <xf numFmtId="11" fontId="17" fillId="0" borderId="28" xfId="0" applyNumberFormat="1" applyFont="1" applyFill="1" applyBorder="1" applyAlignment="1">
      <alignment horizontal="center"/>
    </xf>
    <xf numFmtId="11" fontId="17" fillId="0" borderId="0" xfId="0" applyNumberFormat="1" applyFont="1"/>
    <xf numFmtId="11" fontId="17" fillId="0" borderId="23" xfId="0" applyNumberFormat="1" applyFont="1" applyBorder="1" applyAlignment="1">
      <alignment horizontal="center"/>
    </xf>
    <xf numFmtId="11" fontId="17" fillId="0" borderId="2" xfId="0" applyNumberFormat="1" applyFont="1" applyBorder="1" applyAlignment="1">
      <alignment horizontal="center"/>
    </xf>
    <xf numFmtId="11" fontId="17" fillId="0" borderId="28" xfId="0" applyNumberFormat="1" applyFont="1" applyBorder="1" applyAlignment="1">
      <alignment horizontal="center"/>
    </xf>
    <xf numFmtId="11" fontId="17" fillId="0" borderId="24" xfId="0" applyNumberFormat="1" applyFont="1" applyBorder="1" applyAlignment="1">
      <alignment horizontal="center"/>
    </xf>
    <xf numFmtId="11" fontId="17" fillId="0" borderId="21" xfId="0" applyNumberFormat="1" applyFont="1" applyBorder="1" applyAlignment="1">
      <alignment horizontal="center"/>
    </xf>
    <xf numFmtId="11" fontId="17" fillId="0" borderId="46" xfId="0" applyNumberFormat="1" applyFont="1" applyBorder="1" applyAlignment="1">
      <alignment horizontal="center"/>
    </xf>
    <xf numFmtId="11" fontId="17" fillId="0" borderId="28" xfId="0" quotePrefix="1" applyNumberFormat="1" applyFont="1" applyFill="1" applyBorder="1" applyAlignment="1">
      <alignment horizontal="center"/>
    </xf>
    <xf numFmtId="11" fontId="17" fillId="0" borderId="28" xfId="0" quotePrefix="1" applyNumberFormat="1" applyFont="1" applyBorder="1" applyAlignment="1">
      <alignment horizontal="center"/>
    </xf>
    <xf numFmtId="11" fontId="17" fillId="0" borderId="46" xfId="0" quotePrefix="1" applyNumberFormat="1" applyFont="1" applyBorder="1" applyAlignment="1">
      <alignment horizontal="center"/>
    </xf>
    <xf numFmtId="164" fontId="17" fillId="0" borderId="20" xfId="0" applyNumberFormat="1" applyFont="1" applyFill="1" applyBorder="1" applyAlignment="1">
      <alignment horizontal="center"/>
    </xf>
    <xf numFmtId="164" fontId="17" fillId="0" borderId="23" xfId="0" applyNumberFormat="1" applyFont="1" applyFill="1" applyBorder="1" applyAlignment="1">
      <alignment horizontal="center"/>
    </xf>
    <xf numFmtId="164" fontId="17" fillId="0" borderId="0" xfId="0" applyNumberFormat="1" applyFont="1"/>
    <xf numFmtId="164" fontId="17" fillId="0" borderId="20" xfId="0" applyNumberFormat="1" applyFont="1" applyBorder="1" applyAlignment="1">
      <alignment horizontal="center"/>
    </xf>
    <xf numFmtId="164" fontId="17" fillId="0" borderId="23" xfId="0" applyNumberFormat="1" applyFont="1" applyBorder="1" applyAlignment="1">
      <alignment horizontal="center"/>
    </xf>
    <xf numFmtId="0" fontId="17" fillId="0" borderId="18" xfId="0" applyFont="1" applyBorder="1" applyAlignment="1">
      <alignment horizontal="center" vertical="center" wrapText="1"/>
    </xf>
    <xf numFmtId="0" fontId="2" fillId="2" borderId="31" xfId="0" applyFont="1" applyFill="1" applyBorder="1"/>
    <xf numFmtId="0" fontId="0" fillId="2" borderId="32" xfId="0" applyFill="1" applyBorder="1"/>
    <xf numFmtId="0" fontId="0" fillId="0" borderId="34" xfId="0" applyBorder="1"/>
    <xf numFmtId="0" fontId="0" fillId="0" borderId="0" xfId="0" applyBorder="1"/>
    <xf numFmtId="0" fontId="0" fillId="0" borderId="36" xfId="0" applyBorder="1"/>
    <xf numFmtId="0" fontId="0" fillId="0" borderId="37" xfId="0" applyBorder="1"/>
    <xf numFmtId="0" fontId="0" fillId="2" borderId="47" xfId="0" applyFill="1" applyBorder="1"/>
    <xf numFmtId="0" fontId="0" fillId="0" borderId="29" xfId="0" applyBorder="1"/>
    <xf numFmtId="0" fontId="0" fillId="0" borderId="48" xfId="0" applyBorder="1"/>
    <xf numFmtId="0" fontId="2" fillId="2" borderId="5" xfId="0" applyFont="1" applyFill="1" applyBorder="1" applyAlignment="1">
      <alignment horizontal="center"/>
    </xf>
    <xf numFmtId="0" fontId="0" fillId="0" borderId="6" xfId="0" applyBorder="1" applyAlignment="1">
      <alignment horizontal="center"/>
    </xf>
    <xf numFmtId="168" fontId="0" fillId="0" borderId="8" xfId="0" applyNumberFormat="1" applyBorder="1" applyAlignment="1">
      <alignment horizontal="center"/>
    </xf>
    <xf numFmtId="0" fontId="17" fillId="0" borderId="0" xfId="3" applyAlignment="1">
      <alignment horizontal="center"/>
    </xf>
    <xf numFmtId="0" fontId="19" fillId="0" borderId="0" xfId="2" applyFont="1"/>
    <xf numFmtId="0" fontId="17" fillId="0" borderId="41" xfId="3" applyFont="1" applyFill="1" applyBorder="1" applyAlignment="1">
      <alignment horizontal="center"/>
    </xf>
    <xf numFmtId="0" fontId="0" fillId="0" borderId="0" xfId="0" applyAlignment="1">
      <alignment horizontal="center"/>
    </xf>
    <xf numFmtId="0" fontId="21" fillId="2" borderId="0" xfId="0" applyFont="1" applyFill="1"/>
    <xf numFmtId="0" fontId="6" fillId="2" borderId="51" xfId="0" applyFont="1" applyFill="1" applyBorder="1" applyAlignment="1">
      <alignment horizontal="center" wrapText="1"/>
    </xf>
    <xf numFmtId="0" fontId="7" fillId="0" borderId="16" xfId="0" applyFont="1" applyFill="1" applyBorder="1" applyAlignment="1">
      <alignment horizontal="center" vertical="top" wrapText="1"/>
    </xf>
    <xf numFmtId="0" fontId="7" fillId="0" borderId="15" xfId="0" applyFont="1" applyFill="1" applyBorder="1" applyAlignment="1">
      <alignment horizontal="left" vertical="top" wrapText="1"/>
    </xf>
    <xf numFmtId="0" fontId="7" fillId="0" borderId="52" xfId="0" applyFont="1" applyFill="1" applyBorder="1" applyAlignment="1">
      <alignment horizontal="center" vertical="top" wrapText="1"/>
    </xf>
    <xf numFmtId="0" fontId="7" fillId="0" borderId="17" xfId="0" applyFont="1" applyFill="1" applyBorder="1" applyAlignment="1">
      <alignment horizontal="left" vertical="top" wrapText="1"/>
    </xf>
    <xf numFmtId="0" fontId="7" fillId="0" borderId="53" xfId="0" applyFont="1" applyFill="1" applyBorder="1" applyAlignment="1">
      <alignment horizontal="center" vertical="top" wrapText="1"/>
    </xf>
    <xf numFmtId="0" fontId="6" fillId="2" borderId="56" xfId="0" applyFont="1" applyFill="1" applyBorder="1" applyAlignment="1">
      <alignment horizontal="center" wrapText="1"/>
    </xf>
    <xf numFmtId="0" fontId="7" fillId="0" borderId="57" xfId="0" applyFont="1" applyFill="1" applyBorder="1" applyAlignment="1">
      <alignment horizontal="left" vertical="top" wrapText="1"/>
    </xf>
    <xf numFmtId="0" fontId="7" fillId="0" borderId="58" xfId="0" applyFont="1" applyFill="1" applyBorder="1" applyAlignment="1">
      <alignment horizontal="center" vertical="top" wrapText="1"/>
    </xf>
    <xf numFmtId="0" fontId="7" fillId="0" borderId="59" xfId="0" applyFont="1" applyFill="1" applyBorder="1" applyAlignment="1">
      <alignment horizontal="center" vertical="top" wrapText="1"/>
    </xf>
    <xf numFmtId="0" fontId="7" fillId="0" borderId="18" xfId="0" applyFont="1" applyFill="1" applyBorder="1" applyAlignment="1">
      <alignment horizontal="center" vertical="top" wrapText="1"/>
    </xf>
    <xf numFmtId="0" fontId="0" fillId="0" borderId="0" xfId="0" applyBorder="1" applyAlignment="1">
      <alignment horizontal="center" vertical="center"/>
    </xf>
    <xf numFmtId="0" fontId="0" fillId="7" borderId="12" xfId="0" applyFill="1" applyBorder="1" applyAlignment="1">
      <alignment horizontal="center" vertical="center"/>
    </xf>
    <xf numFmtId="0" fontId="0" fillId="7" borderId="10" xfId="0" applyFill="1" applyBorder="1" applyAlignment="1">
      <alignment horizontal="center" vertical="center"/>
    </xf>
    <xf numFmtId="0" fontId="0" fillId="7" borderId="62" xfId="0" applyFill="1" applyBorder="1" applyAlignment="1">
      <alignment horizontal="center" vertical="center"/>
    </xf>
    <xf numFmtId="0" fontId="0" fillId="7" borderId="18" xfId="0" applyFill="1" applyBorder="1" applyAlignment="1">
      <alignment horizontal="center" vertical="center"/>
    </xf>
    <xf numFmtId="164" fontId="0" fillId="7" borderId="12" xfId="0" applyNumberFormat="1" applyFill="1" applyBorder="1" applyAlignment="1">
      <alignment horizontal="center" vertical="center"/>
    </xf>
    <xf numFmtId="164" fontId="0" fillId="7" borderId="10" xfId="0" applyNumberFormat="1" applyFill="1" applyBorder="1" applyAlignment="1">
      <alignment horizontal="center" vertical="center"/>
    </xf>
    <xf numFmtId="164" fontId="0" fillId="7" borderId="62" xfId="0" applyNumberFormat="1" applyFill="1" applyBorder="1" applyAlignment="1">
      <alignment horizontal="center" vertical="center"/>
    </xf>
    <xf numFmtId="0" fontId="0" fillId="7" borderId="11" xfId="0" applyFill="1" applyBorder="1" applyAlignment="1">
      <alignment horizontal="center" vertical="center"/>
    </xf>
    <xf numFmtId="164" fontId="0" fillId="7" borderId="18" xfId="0" applyNumberFormat="1" applyFill="1" applyBorder="1" applyAlignment="1">
      <alignment horizontal="center" vertical="center"/>
    </xf>
    <xf numFmtId="0" fontId="0" fillId="7" borderId="0" xfId="0" applyFill="1"/>
    <xf numFmtId="0" fontId="0" fillId="7" borderId="63" xfId="0" applyFill="1" applyBorder="1" applyAlignment="1">
      <alignment horizontal="center" vertical="center"/>
    </xf>
    <xf numFmtId="0" fontId="0" fillId="0" borderId="0" xfId="0" applyAlignment="1">
      <alignment horizontal="left"/>
    </xf>
    <xf numFmtId="167" fontId="0" fillId="7" borderId="12" xfId="0" applyNumberFormat="1" applyFill="1" applyBorder="1" applyAlignment="1">
      <alignment horizontal="center" vertical="center"/>
    </xf>
    <xf numFmtId="0" fontId="0" fillId="7" borderId="13" xfId="0" applyFill="1" applyBorder="1" applyAlignment="1">
      <alignment horizontal="center" vertical="center"/>
    </xf>
    <xf numFmtId="167" fontId="0" fillId="7" borderId="10" xfId="0" applyNumberFormat="1" applyFill="1" applyBorder="1" applyAlignment="1">
      <alignment horizontal="center" vertical="center"/>
    </xf>
    <xf numFmtId="0" fontId="24" fillId="0" borderId="7" xfId="0" applyFont="1" applyBorder="1" applyAlignment="1">
      <alignment horizontal="center" vertical="center"/>
    </xf>
    <xf numFmtId="164" fontId="24" fillId="0" borderId="7" xfId="0" applyNumberFormat="1" applyFont="1" applyBorder="1" applyAlignment="1">
      <alignment horizontal="center" vertical="center"/>
    </xf>
    <xf numFmtId="0" fontId="24" fillId="0" borderId="8" xfId="0" applyFont="1" applyBorder="1" applyAlignment="1">
      <alignment horizontal="center" vertical="center"/>
    </xf>
    <xf numFmtId="0" fontId="24" fillId="0" borderId="12" xfId="0" applyFont="1" applyBorder="1" applyAlignment="1">
      <alignment horizontal="center" vertical="center"/>
    </xf>
    <xf numFmtId="164" fontId="24" fillId="0" borderId="12" xfId="0" applyNumberFormat="1" applyFont="1" applyBorder="1" applyAlignment="1">
      <alignment horizontal="center" vertical="center"/>
    </xf>
    <xf numFmtId="0" fontId="24" fillId="0" borderId="13" xfId="0" applyFont="1" applyBorder="1" applyAlignment="1">
      <alignment horizontal="center" vertical="center"/>
    </xf>
    <xf numFmtId="0" fontId="0" fillId="7" borderId="0" xfId="0" applyFill="1" applyBorder="1" applyAlignment="1">
      <alignment horizontal="center" vertical="center"/>
    </xf>
    <xf numFmtId="0" fontId="0" fillId="0" borderId="8" xfId="0" applyBorder="1" applyAlignment="1">
      <alignment horizontal="center" vertical="center"/>
    </xf>
    <xf numFmtId="164" fontId="24" fillId="7" borderId="62" xfId="0" applyNumberFormat="1" applyFont="1" applyFill="1" applyBorder="1" applyAlignment="1">
      <alignment horizontal="center" vertical="center"/>
    </xf>
    <xf numFmtId="164" fontId="24" fillId="7" borderId="10" xfId="0" applyNumberFormat="1" applyFont="1" applyFill="1" applyBorder="1" applyAlignment="1">
      <alignment horizontal="center" vertical="center"/>
    </xf>
    <xf numFmtId="167" fontId="0" fillId="7" borderId="64" xfId="0" applyNumberFormat="1" applyFill="1" applyBorder="1" applyAlignment="1">
      <alignment horizontal="center" vertical="center"/>
    </xf>
    <xf numFmtId="167" fontId="0" fillId="0" borderId="37" xfId="0" applyNumberFormat="1" applyBorder="1" applyAlignment="1">
      <alignment horizontal="center"/>
    </xf>
    <xf numFmtId="0" fontId="24" fillId="2" borderId="12" xfId="0" applyFont="1" applyFill="1" applyBorder="1" applyAlignment="1">
      <alignment horizontal="center" vertical="center"/>
    </xf>
    <xf numFmtId="0" fontId="0" fillId="2" borderId="12" xfId="0" applyFill="1" applyBorder="1" applyAlignment="1">
      <alignment horizontal="center" vertical="center"/>
    </xf>
    <xf numFmtId="0" fontId="0" fillId="2" borderId="10" xfId="0" applyFill="1" applyBorder="1" applyAlignment="1">
      <alignment horizontal="center" vertical="center"/>
    </xf>
    <xf numFmtId="0" fontId="24" fillId="0" borderId="29" xfId="0" applyFont="1" applyBorder="1" applyAlignment="1">
      <alignment horizontal="center" vertical="center"/>
    </xf>
    <xf numFmtId="0" fontId="0" fillId="0" borderId="29" xfId="0" applyBorder="1" applyAlignment="1">
      <alignment horizontal="center" vertical="center"/>
    </xf>
    <xf numFmtId="0" fontId="0" fillId="0" borderId="48" xfId="0" applyBorder="1" applyAlignment="1">
      <alignment horizontal="center" vertical="center"/>
    </xf>
    <xf numFmtId="0" fontId="0" fillId="7" borderId="29" xfId="0" applyFill="1" applyBorder="1" applyAlignment="1">
      <alignment horizontal="center" vertical="center"/>
    </xf>
    <xf numFmtId="0" fontId="0" fillId="7" borderId="48" xfId="0" applyFill="1" applyBorder="1" applyAlignment="1">
      <alignment horizontal="center" vertical="center"/>
    </xf>
    <xf numFmtId="167" fontId="0" fillId="0" borderId="0" xfId="0" applyNumberFormat="1" applyBorder="1" applyAlignment="1">
      <alignment horizontal="center"/>
    </xf>
    <xf numFmtId="0" fontId="24" fillId="0" borderId="65" xfId="0" applyFont="1" applyBorder="1" applyAlignment="1">
      <alignment horizontal="center" vertical="center"/>
    </xf>
    <xf numFmtId="0" fontId="24" fillId="2" borderId="7" xfId="0" applyFont="1" applyFill="1" applyBorder="1" applyAlignment="1">
      <alignment horizontal="center" vertical="center"/>
    </xf>
    <xf numFmtId="167" fontId="25" fillId="0" borderId="0" xfId="0" applyNumberFormat="1" applyFont="1" applyBorder="1" applyAlignment="1">
      <alignment horizontal="center"/>
    </xf>
    <xf numFmtId="167" fontId="25" fillId="0" borderId="60" xfId="0" applyNumberFormat="1" applyFont="1" applyBorder="1" applyAlignment="1">
      <alignment horizontal="center"/>
    </xf>
    <xf numFmtId="0" fontId="0" fillId="0" borderId="2" xfId="0" applyBorder="1" applyAlignment="1">
      <alignment horizontal="right"/>
    </xf>
    <xf numFmtId="0" fontId="0" fillId="0" borderId="2" xfId="0" applyFill="1" applyBorder="1" applyAlignment="1">
      <alignment horizontal="right"/>
    </xf>
    <xf numFmtId="0" fontId="0" fillId="0" borderId="2" xfId="0" applyBorder="1" applyAlignment="1">
      <alignment horizontal="center"/>
    </xf>
    <xf numFmtId="0" fontId="3" fillId="0" borderId="0" xfId="0" applyFont="1"/>
    <xf numFmtId="0" fontId="0" fillId="9" borderId="6" xfId="0" applyFill="1" applyBorder="1" applyAlignment="1">
      <alignment horizontal="center" vertical="center" wrapText="1"/>
    </xf>
    <xf numFmtId="0" fontId="0" fillId="9" borderId="7" xfId="0" applyFill="1" applyBorder="1" applyAlignment="1">
      <alignment horizontal="center" vertical="center" wrapText="1"/>
    </xf>
    <xf numFmtId="0" fontId="0" fillId="9" borderId="3" xfId="0" applyFill="1" applyBorder="1" applyAlignment="1">
      <alignment horizontal="center" vertical="center" wrapText="1"/>
    </xf>
    <xf numFmtId="0" fontId="0" fillId="9" borderId="47" xfId="0" applyFill="1" applyBorder="1" applyAlignment="1">
      <alignment horizontal="center" vertical="center" wrapText="1"/>
    </xf>
    <xf numFmtId="0" fontId="0" fillId="9" borderId="4" xfId="0" applyFill="1" applyBorder="1" applyAlignment="1">
      <alignment horizontal="center" vertical="center" wrapText="1"/>
    </xf>
    <xf numFmtId="0" fontId="0" fillId="9" borderId="32" xfId="0" applyFill="1" applyBorder="1" applyAlignment="1">
      <alignment horizontal="center" vertical="center" wrapText="1"/>
    </xf>
    <xf numFmtId="0" fontId="0" fillId="9" borderId="5" xfId="0" applyFill="1" applyBorder="1" applyAlignment="1">
      <alignment horizontal="center" vertical="center" wrapText="1"/>
    </xf>
    <xf numFmtId="0" fontId="0" fillId="7" borderId="20" xfId="0" applyFill="1" applyBorder="1" applyAlignment="1">
      <alignment horizontal="center" vertical="center"/>
    </xf>
    <xf numFmtId="164" fontId="0" fillId="7" borderId="20" xfId="0" applyNumberFormat="1" applyFill="1" applyBorder="1" applyAlignment="1">
      <alignment horizontal="center" vertical="center"/>
    </xf>
    <xf numFmtId="0" fontId="27" fillId="0" borderId="0" xfId="0" applyFont="1"/>
    <xf numFmtId="0" fontId="0" fillId="2" borderId="14" xfId="0" applyFill="1" applyBorder="1" applyAlignment="1">
      <alignment horizontal="center"/>
    </xf>
    <xf numFmtId="0" fontId="0" fillId="2" borderId="35" xfId="0" applyFill="1" applyBorder="1" applyAlignment="1">
      <alignment horizontal="center"/>
    </xf>
    <xf numFmtId="0" fontId="0" fillId="0" borderId="26" xfId="0" applyBorder="1" applyAlignment="1">
      <alignment horizontal="center"/>
    </xf>
    <xf numFmtId="0" fontId="2" fillId="9" borderId="31" xfId="0" applyFont="1" applyFill="1" applyBorder="1" applyAlignment="1">
      <alignment horizontal="center"/>
    </xf>
    <xf numFmtId="0" fontId="2" fillId="9" borderId="33" xfId="0" applyFont="1" applyFill="1" applyBorder="1" applyAlignment="1">
      <alignment horizontal="center"/>
    </xf>
    <xf numFmtId="0" fontId="0" fillId="0" borderId="0" xfId="0" applyAlignment="1">
      <alignment horizontal="left" vertical="center" wrapText="1"/>
    </xf>
    <xf numFmtId="0" fontId="0" fillId="0" borderId="0" xfId="0" applyAlignment="1">
      <alignment vertical="center" wrapText="1"/>
    </xf>
    <xf numFmtId="0" fontId="0" fillId="0" borderId="0" xfId="0" applyNumberFormat="1" applyAlignment="1">
      <alignment horizontal="right"/>
    </xf>
    <xf numFmtId="173" fontId="0" fillId="0" borderId="0" xfId="0" applyNumberFormat="1" applyAlignment="1">
      <alignment horizontal="right"/>
    </xf>
    <xf numFmtId="2" fontId="0" fillId="0" borderId="0" xfId="0" applyNumberFormat="1" applyAlignment="1">
      <alignment horizontal="right"/>
    </xf>
    <xf numFmtId="167" fontId="0" fillId="0" borderId="0" xfId="0" applyNumberFormat="1" applyAlignment="1">
      <alignment horizontal="right"/>
    </xf>
    <xf numFmtId="0" fontId="24" fillId="0" borderId="0" xfId="0" applyFont="1" applyAlignment="1">
      <alignment horizontal="center"/>
    </xf>
    <xf numFmtId="0" fontId="24" fillId="0" borderId="0" xfId="0" applyFont="1"/>
    <xf numFmtId="0" fontId="24" fillId="0" borderId="0" xfId="0" applyFont="1" applyAlignment="1">
      <alignment horizontal="right"/>
    </xf>
    <xf numFmtId="1" fontId="0" fillId="0" borderId="0" xfId="0" applyNumberFormat="1" applyAlignment="1">
      <alignment horizontal="right"/>
    </xf>
    <xf numFmtId="0" fontId="2" fillId="0" borderId="37" xfId="0" applyFont="1" applyBorder="1"/>
    <xf numFmtId="0" fontId="0" fillId="0" borderId="37" xfId="0" applyBorder="1" applyAlignment="1">
      <alignment horizontal="right"/>
    </xf>
    <xf numFmtId="0" fontId="0" fillId="0" borderId="37" xfId="0" applyFill="1" applyBorder="1" applyAlignment="1">
      <alignment horizontal="right"/>
    </xf>
    <xf numFmtId="0" fontId="0" fillId="0" borderId="37" xfId="0" applyFill="1" applyBorder="1" applyAlignment="1">
      <alignment horizontal="left"/>
    </xf>
    <xf numFmtId="1" fontId="0" fillId="0" borderId="2" xfId="0" applyNumberFormat="1" applyBorder="1" applyAlignment="1">
      <alignment horizontal="right"/>
    </xf>
    <xf numFmtId="0" fontId="24" fillId="0" borderId="2" xfId="0" applyFont="1" applyBorder="1" applyAlignment="1">
      <alignment horizontal="right"/>
    </xf>
    <xf numFmtId="0" fontId="0" fillId="0" borderId="0" xfId="0" applyNumberFormat="1"/>
    <xf numFmtId="0" fontId="0" fillId="0" borderId="37" xfId="0" applyNumberFormat="1" applyBorder="1" applyAlignment="1">
      <alignment horizontal="right"/>
    </xf>
    <xf numFmtId="0" fontId="0" fillId="0" borderId="2" xfId="0" applyNumberFormat="1" applyBorder="1" applyAlignment="1">
      <alignment horizontal="right"/>
    </xf>
    <xf numFmtId="0" fontId="24" fillId="0" borderId="0" xfId="0" applyNumberFormat="1" applyFont="1"/>
    <xf numFmtId="0" fontId="0" fillId="0" borderId="2" xfId="0" applyNumberFormat="1" applyBorder="1"/>
    <xf numFmtId="0" fontId="0" fillId="0" borderId="37" xfId="0" applyNumberFormat="1" applyFill="1" applyBorder="1" applyAlignment="1">
      <alignment horizontal="right"/>
    </xf>
    <xf numFmtId="0" fontId="0" fillId="0" borderId="2" xfId="0" applyNumberFormat="1" applyFill="1" applyBorder="1" applyAlignment="1">
      <alignment horizontal="right"/>
    </xf>
    <xf numFmtId="0" fontId="24" fillId="0" borderId="0" xfId="0" applyNumberFormat="1" applyFont="1" applyAlignment="1">
      <alignment horizontal="right"/>
    </xf>
    <xf numFmtId="170" fontId="0" fillId="0" borderId="0" xfId="0" applyNumberFormat="1"/>
    <xf numFmtId="173" fontId="0" fillId="0" borderId="0" xfId="0" applyNumberFormat="1"/>
    <xf numFmtId="2" fontId="0" fillId="0" borderId="0" xfId="0" applyNumberFormat="1"/>
    <xf numFmtId="167" fontId="23" fillId="7" borderId="0" xfId="5" applyNumberFormat="1" applyFont="1" applyFill="1" applyBorder="1" applyAlignment="1">
      <alignment horizontal="center"/>
    </xf>
    <xf numFmtId="167" fontId="23" fillId="7" borderId="37" xfId="5" applyNumberFormat="1" applyFont="1" applyFill="1" applyBorder="1" applyAlignment="1">
      <alignment horizontal="center"/>
    </xf>
    <xf numFmtId="167" fontId="23" fillId="0" borderId="60" xfId="5" applyNumberFormat="1" applyFont="1" applyFill="1" applyBorder="1" applyAlignment="1">
      <alignment horizontal="center"/>
    </xf>
    <xf numFmtId="167" fontId="23" fillId="0" borderId="0" xfId="5" applyNumberFormat="1" applyFont="1" applyFill="1" applyBorder="1" applyAlignment="1">
      <alignment horizontal="center"/>
    </xf>
    <xf numFmtId="164" fontId="0" fillId="3" borderId="13" xfId="0" applyNumberFormat="1" applyFill="1" applyBorder="1" applyAlignment="1">
      <alignment horizontal="center"/>
    </xf>
    <xf numFmtId="164" fontId="0" fillId="4" borderId="13" xfId="0" applyNumberFormat="1" applyFill="1" applyBorder="1" applyAlignment="1">
      <alignment horizontal="center"/>
    </xf>
    <xf numFmtId="164" fontId="0" fillId="5" borderId="13" xfId="0" applyNumberFormat="1" applyFill="1" applyBorder="1" applyAlignment="1">
      <alignment horizontal="center"/>
    </xf>
    <xf numFmtId="164" fontId="0" fillId="10" borderId="11" xfId="0" applyNumberFormat="1" applyFill="1" applyBorder="1" applyAlignment="1">
      <alignment horizontal="center"/>
    </xf>
    <xf numFmtId="0" fontId="0" fillId="10" borderId="0" xfId="0" applyFill="1"/>
    <xf numFmtId="2" fontId="0" fillId="0" borderId="0" xfId="0" applyNumberFormat="1" applyFill="1"/>
    <xf numFmtId="0" fontId="0" fillId="0" borderId="29" xfId="0" applyFill="1" applyBorder="1" applyAlignment="1">
      <alignment horizontal="right"/>
    </xf>
    <xf numFmtId="173" fontId="2" fillId="0" borderId="0" xfId="0" applyNumberFormat="1" applyFont="1"/>
    <xf numFmtId="0" fontId="3" fillId="0" borderId="0" xfId="0" applyFont="1" applyFill="1"/>
    <xf numFmtId="0" fontId="0" fillId="0" borderId="28" xfId="0" applyFont="1" applyBorder="1" applyAlignment="1">
      <alignment horizontal="right"/>
    </xf>
    <xf numFmtId="0" fontId="0" fillId="0" borderId="0" xfId="0" applyAlignment="1">
      <alignment vertical="center"/>
    </xf>
    <xf numFmtId="0" fontId="0" fillId="0" borderId="0" xfId="0" quotePrefix="1" applyAlignment="1">
      <alignment horizontal="center"/>
    </xf>
    <xf numFmtId="0" fontId="2" fillId="0" borderId="0" xfId="0" applyFont="1" applyAlignment="1">
      <alignment horizontal="left" vertical="center"/>
    </xf>
    <xf numFmtId="0" fontId="22" fillId="0" borderId="0" xfId="3" applyFont="1" applyFill="1" applyBorder="1" applyAlignment="1">
      <alignment horizontal="center"/>
    </xf>
    <xf numFmtId="0" fontId="0" fillId="0" borderId="19" xfId="0" applyBorder="1" applyAlignment="1">
      <alignment horizontal="center" vertical="center" wrapText="1"/>
    </xf>
    <xf numFmtId="0" fontId="0" fillId="0" borderId="0" xfId="0" applyAlignment="1">
      <alignment horizontal="left" vertical="center" wrapText="1"/>
    </xf>
    <xf numFmtId="167" fontId="0" fillId="0" borderId="0" xfId="0" applyNumberFormat="1"/>
    <xf numFmtId="0" fontId="0" fillId="2" borderId="5" xfId="0" applyFill="1" applyBorder="1" applyAlignment="1">
      <alignment horizontal="center" wrapText="1"/>
    </xf>
    <xf numFmtId="0" fontId="0" fillId="0" borderId="66" xfId="0" applyBorder="1" applyAlignment="1">
      <alignment horizontal="center"/>
    </xf>
    <xf numFmtId="0" fontId="0" fillId="0" borderId="52" xfId="0" applyBorder="1" applyAlignment="1">
      <alignment horizontal="center"/>
    </xf>
    <xf numFmtId="0" fontId="0" fillId="0" borderId="53" xfId="0" applyBorder="1" applyAlignment="1">
      <alignment horizontal="center"/>
    </xf>
    <xf numFmtId="0" fontId="0" fillId="0" borderId="0" xfId="0" applyFont="1" applyAlignment="1">
      <alignment horizontal="left" vertical="center"/>
    </xf>
    <xf numFmtId="173" fontId="0" fillId="0" borderId="2" xfId="0" applyNumberFormat="1" applyBorder="1" applyAlignment="1">
      <alignment horizontal="right"/>
    </xf>
    <xf numFmtId="0" fontId="0" fillId="7" borderId="35" xfId="0" applyFill="1" applyBorder="1" applyAlignment="1">
      <alignment horizontal="center"/>
    </xf>
    <xf numFmtId="0" fontId="0" fillId="7" borderId="26" xfId="0" applyFill="1" applyBorder="1" applyAlignment="1">
      <alignment horizontal="center"/>
    </xf>
    <xf numFmtId="0" fontId="0" fillId="7" borderId="38" xfId="0" applyFill="1" applyBorder="1" applyAlignment="1">
      <alignment horizontal="center"/>
    </xf>
    <xf numFmtId="0" fontId="23" fillId="7" borderId="13" xfId="0" applyFont="1" applyFill="1" applyBorder="1" applyAlignment="1">
      <alignment horizontal="center" vertical="top" wrapText="1"/>
    </xf>
    <xf numFmtId="0" fontId="0" fillId="7" borderId="13" xfId="0" applyFill="1" applyBorder="1" applyAlignment="1">
      <alignment horizontal="center" vertical="center" wrapText="1"/>
    </xf>
    <xf numFmtId="0" fontId="0" fillId="0" borderId="27" xfId="0" applyBorder="1" applyAlignment="1">
      <alignment horizontal="center"/>
    </xf>
    <xf numFmtId="0" fontId="0" fillId="0" borderId="29" xfId="0" applyBorder="1" applyAlignment="1">
      <alignment horizontal="center"/>
    </xf>
    <xf numFmtId="0" fontId="0" fillId="2" borderId="68" xfId="0" applyFill="1" applyBorder="1" applyAlignment="1">
      <alignment horizontal="center"/>
    </xf>
    <xf numFmtId="0" fontId="0" fillId="2" borderId="64" xfId="0" applyFill="1" applyBorder="1" applyAlignment="1"/>
    <xf numFmtId="0" fontId="0" fillId="2" borderId="10" xfId="0" applyFill="1" applyBorder="1" applyAlignment="1">
      <alignment horizontal="center"/>
    </xf>
    <xf numFmtId="0" fontId="0" fillId="0" borderId="12" xfId="0" applyBorder="1" applyAlignment="1">
      <alignment horizontal="center"/>
    </xf>
    <xf numFmtId="0" fontId="0" fillId="2" borderId="62" xfId="0" applyFill="1" applyBorder="1" applyAlignment="1">
      <alignment horizontal="center"/>
    </xf>
    <xf numFmtId="0" fontId="0" fillId="0" borderId="0" xfId="0" applyFill="1" applyBorder="1" applyAlignment="1">
      <alignment horizontal="center"/>
    </xf>
    <xf numFmtId="0" fontId="24" fillId="0" borderId="23" xfId="0" applyFont="1" applyBorder="1" applyAlignment="1">
      <alignment horizontal="center"/>
    </xf>
    <xf numFmtId="0" fontId="24" fillId="0" borderId="20" xfId="0" applyFont="1" applyBorder="1" applyAlignment="1">
      <alignment horizontal="center"/>
    </xf>
    <xf numFmtId="0" fontId="24" fillId="0" borderId="2" xfId="0" applyFont="1" applyBorder="1" applyAlignment="1">
      <alignment horizontal="center"/>
    </xf>
    <xf numFmtId="0" fontId="24" fillId="0" borderId="28" xfId="0" applyFont="1" applyBorder="1" applyAlignment="1">
      <alignment horizontal="center"/>
    </xf>
    <xf numFmtId="0" fontId="24" fillId="0" borderId="27" xfId="0" applyFont="1" applyBorder="1" applyAlignment="1">
      <alignment horizontal="center"/>
    </xf>
    <xf numFmtId="0" fontId="24" fillId="0" borderId="12" xfId="0" applyFont="1" applyBorder="1" applyAlignment="1">
      <alignment horizontal="center"/>
    </xf>
    <xf numFmtId="0" fontId="27" fillId="0" borderId="0" xfId="0" applyFont="1" applyBorder="1" applyAlignment="1">
      <alignment horizontal="center"/>
    </xf>
    <xf numFmtId="0" fontId="27" fillId="0" borderId="0" xfId="0" applyFont="1" applyBorder="1" applyAlignment="1">
      <alignment horizontal="left"/>
    </xf>
    <xf numFmtId="0" fontId="0" fillId="0" borderId="2" xfId="0" applyBorder="1" applyAlignment="1">
      <alignment horizontal="center" wrapText="1"/>
    </xf>
    <xf numFmtId="0" fontId="1" fillId="0" borderId="1" xfId="1" applyFill="1"/>
    <xf numFmtId="0" fontId="0" fillId="0" borderId="0" xfId="0" applyFill="1" applyAlignment="1">
      <alignment horizontal="left"/>
    </xf>
    <xf numFmtId="0" fontId="0" fillId="0" borderId="0" xfId="0" applyFill="1" applyAlignment="1"/>
    <xf numFmtId="0" fontId="3" fillId="0" borderId="2" xfId="0" applyFont="1" applyFill="1" applyBorder="1" applyAlignment="1">
      <alignment horizontal="center"/>
    </xf>
    <xf numFmtId="0" fontId="0" fillId="0" borderId="2" xfId="0" applyFill="1" applyBorder="1"/>
    <xf numFmtId="0" fontId="2" fillId="0" borderId="2" xfId="0" applyFont="1" applyFill="1" applyBorder="1"/>
    <xf numFmtId="0" fontId="2" fillId="0" borderId="0" xfId="0" applyFont="1" applyFill="1"/>
    <xf numFmtId="22" fontId="0" fillId="0" borderId="0" xfId="0" applyNumberFormat="1" applyFill="1"/>
    <xf numFmtId="14" fontId="0" fillId="0" borderId="0" xfId="0" applyNumberFormat="1" applyFill="1"/>
    <xf numFmtId="0" fontId="0" fillId="0" borderId="0" xfId="0" applyFill="1" applyAlignment="1">
      <alignment horizontal="center"/>
    </xf>
    <xf numFmtId="0" fontId="0" fillId="0" borderId="0" xfId="0" applyFill="1" applyBorder="1"/>
    <xf numFmtId="0" fontId="2" fillId="0" borderId="0" xfId="0" applyFont="1" applyFill="1" applyBorder="1"/>
    <xf numFmtId="0" fontId="25" fillId="0" borderId="7" xfId="0" applyFont="1" applyBorder="1" applyAlignment="1">
      <alignment horizontal="center" vertical="center"/>
    </xf>
    <xf numFmtId="167" fontId="0" fillId="7" borderId="27" xfId="0" applyNumberFormat="1" applyFill="1" applyBorder="1" applyAlignment="1">
      <alignment horizontal="center" vertical="center"/>
    </xf>
    <xf numFmtId="0" fontId="0" fillId="7" borderId="16" xfId="0" applyFill="1" applyBorder="1" applyAlignment="1">
      <alignment horizontal="center" vertical="center"/>
    </xf>
    <xf numFmtId="164" fontId="0" fillId="7" borderId="16" xfId="0" applyNumberFormat="1" applyFill="1" applyBorder="1" applyAlignment="1">
      <alignment horizontal="center" vertical="center"/>
    </xf>
    <xf numFmtId="0" fontId="2" fillId="0" borderId="37" xfId="0" applyFont="1" applyBorder="1" applyAlignment="1"/>
    <xf numFmtId="0" fontId="2" fillId="7" borderId="74" xfId="0" applyFont="1" applyFill="1" applyBorder="1" applyAlignment="1">
      <alignment horizontal="center"/>
    </xf>
    <xf numFmtId="0" fontId="2" fillId="7" borderId="26" xfId="0" applyFont="1" applyFill="1" applyBorder="1" applyAlignment="1">
      <alignment horizontal="center"/>
    </xf>
    <xf numFmtId="0" fontId="32" fillId="7" borderId="36" xfId="0" applyFont="1" applyFill="1" applyBorder="1" applyAlignment="1">
      <alignment horizontal="center"/>
    </xf>
    <xf numFmtId="0" fontId="32" fillId="7" borderId="38" xfId="0" applyFont="1" applyFill="1" applyBorder="1" applyAlignment="1">
      <alignment horizontal="center"/>
    </xf>
    <xf numFmtId="0" fontId="2" fillId="9" borderId="32" xfId="0" applyFont="1" applyFill="1" applyBorder="1" applyAlignment="1">
      <alignment horizontal="center"/>
    </xf>
    <xf numFmtId="0" fontId="2" fillId="9" borderId="33" xfId="0" applyFont="1" applyFill="1" applyBorder="1" applyAlignment="1">
      <alignment horizontal="center" vertical="center"/>
    </xf>
    <xf numFmtId="0" fontId="0" fillId="0" borderId="59" xfId="0" applyFill="1" applyBorder="1" applyAlignment="1">
      <alignment horizontal="center"/>
    </xf>
    <xf numFmtId="0" fontId="23" fillId="0" borderId="7" xfId="0" applyFont="1" applyBorder="1" applyAlignment="1">
      <alignment horizontal="center" vertical="center"/>
    </xf>
    <xf numFmtId="0" fontId="0" fillId="7" borderId="62" xfId="0" applyFont="1" applyFill="1" applyBorder="1" applyAlignment="1">
      <alignment horizontal="center" vertical="center"/>
    </xf>
    <xf numFmtId="167" fontId="0" fillId="7" borderId="64" xfId="0" applyNumberFormat="1" applyFont="1" applyFill="1" applyBorder="1" applyAlignment="1">
      <alignment horizontal="center" vertical="center"/>
    </xf>
    <xf numFmtId="0" fontId="0" fillId="7" borderId="12" xfId="0" applyFont="1" applyFill="1" applyBorder="1" applyAlignment="1">
      <alignment horizontal="center" vertical="center"/>
    </xf>
    <xf numFmtId="0" fontId="0" fillId="7" borderId="10" xfId="0" applyFont="1" applyFill="1" applyBorder="1" applyAlignment="1">
      <alignment horizontal="center" vertical="center"/>
    </xf>
    <xf numFmtId="0" fontId="23" fillId="7" borderId="62" xfId="0" applyFont="1" applyFill="1" applyBorder="1" applyAlignment="1">
      <alignment horizontal="center" vertical="center"/>
    </xf>
    <xf numFmtId="167" fontId="23" fillId="7" borderId="64" xfId="0" applyNumberFormat="1" applyFont="1" applyFill="1" applyBorder="1" applyAlignment="1">
      <alignment horizontal="center" vertical="center"/>
    </xf>
    <xf numFmtId="0" fontId="23" fillId="7" borderId="12" xfId="0" applyFont="1" applyFill="1" applyBorder="1" applyAlignment="1">
      <alignment horizontal="center" vertical="center"/>
    </xf>
    <xf numFmtId="0" fontId="23" fillId="7" borderId="10" xfId="0" applyFont="1" applyFill="1" applyBorder="1" applyAlignment="1">
      <alignment horizontal="center" vertical="center"/>
    </xf>
    <xf numFmtId="0" fontId="2" fillId="9" borderId="4" xfId="0" applyFont="1" applyFill="1" applyBorder="1" applyAlignment="1">
      <alignment horizontal="center"/>
    </xf>
    <xf numFmtId="0" fontId="0" fillId="2" borderId="28" xfId="0" applyFill="1" applyBorder="1" applyAlignment="1">
      <alignment horizontal="center"/>
    </xf>
    <xf numFmtId="0" fontId="23" fillId="0" borderId="58" xfId="0" applyFont="1" applyBorder="1" applyAlignment="1">
      <alignment horizontal="center" vertical="center"/>
    </xf>
    <xf numFmtId="0" fontId="0" fillId="7" borderId="11" xfId="0" applyFill="1" applyBorder="1" applyAlignment="1">
      <alignment horizontal="center"/>
    </xf>
    <xf numFmtId="0" fontId="23" fillId="7" borderId="11" xfId="0" applyFont="1" applyFill="1" applyBorder="1" applyAlignment="1">
      <alignment horizontal="center" vertical="top" wrapText="1"/>
    </xf>
    <xf numFmtId="0" fontId="0" fillId="7" borderId="11" xfId="0" applyFill="1" applyBorder="1" applyAlignment="1">
      <alignment horizontal="center" vertical="center" wrapText="1"/>
    </xf>
    <xf numFmtId="0" fontId="23" fillId="7" borderId="66" xfId="0" applyFont="1" applyFill="1" applyBorder="1" applyAlignment="1">
      <alignment horizontal="center" vertical="top" wrapText="1"/>
    </xf>
    <xf numFmtId="0" fontId="0" fillId="7" borderId="66" xfId="0" applyFill="1" applyBorder="1" applyAlignment="1">
      <alignment horizontal="center" vertical="center" wrapText="1"/>
    </xf>
    <xf numFmtId="0" fontId="0" fillId="0" borderId="59" xfId="0" applyBorder="1" applyAlignment="1">
      <alignment vertical="center" wrapText="1"/>
    </xf>
    <xf numFmtId="0" fontId="0" fillId="0" borderId="52" xfId="0" applyBorder="1" applyAlignment="1">
      <alignment horizontal="center" vertical="center" wrapText="1"/>
    </xf>
    <xf numFmtId="0" fontId="0" fillId="0" borderId="59" xfId="0" applyBorder="1" applyAlignment="1">
      <alignment wrapText="1"/>
    </xf>
    <xf numFmtId="0" fontId="0" fillId="0" borderId="66" xfId="0" applyBorder="1" applyAlignment="1">
      <alignment horizontal="center" vertical="center" wrapText="1"/>
    </xf>
    <xf numFmtId="0" fontId="0" fillId="0" borderId="52" xfId="0" applyBorder="1" applyAlignment="1">
      <alignment vertical="center" wrapText="1"/>
    </xf>
    <xf numFmtId="0" fontId="0" fillId="7" borderId="27" xfId="0" applyFill="1" applyBorder="1" applyAlignment="1">
      <alignment horizontal="center" vertical="center"/>
    </xf>
    <xf numFmtId="0" fontId="3" fillId="0" borderId="58" xfId="0" applyFont="1" applyBorder="1" applyAlignment="1">
      <alignment horizontal="center" vertical="center"/>
    </xf>
    <xf numFmtId="0" fontId="3" fillId="0" borderId="75" xfId="0" applyFont="1" applyFill="1" applyBorder="1" applyAlignment="1">
      <alignment horizontal="center" vertical="center"/>
    </xf>
    <xf numFmtId="164" fontId="3" fillId="0" borderId="58" xfId="0" applyNumberFormat="1" applyFont="1" applyBorder="1" applyAlignment="1">
      <alignment horizontal="center" vertical="center"/>
    </xf>
    <xf numFmtId="0" fontId="3" fillId="0" borderId="20" xfId="0" applyFont="1" applyBorder="1" applyAlignment="1">
      <alignment horizontal="center" vertical="center"/>
    </xf>
    <xf numFmtId="0" fontId="3" fillId="0" borderId="2" xfId="0" applyFont="1" applyFill="1" applyBorder="1" applyAlignment="1">
      <alignment horizontal="center" vertical="center"/>
    </xf>
    <xf numFmtId="164" fontId="3" fillId="0" borderId="20" xfId="0" applyNumberFormat="1" applyFont="1" applyBorder="1" applyAlignment="1">
      <alignment horizontal="center" vertical="center"/>
    </xf>
    <xf numFmtId="0" fontId="3" fillId="0" borderId="7" xfId="0" applyFont="1" applyBorder="1" applyAlignment="1">
      <alignment horizontal="center" vertical="center"/>
    </xf>
    <xf numFmtId="0" fontId="0" fillId="0" borderId="0" xfId="0" applyAlignment="1">
      <alignment horizontal="left" indent="1"/>
    </xf>
    <xf numFmtId="0" fontId="2" fillId="0" borderId="2" xfId="0" applyFont="1" applyBorder="1" applyAlignment="1">
      <alignment horizontal="left"/>
    </xf>
    <xf numFmtId="0" fontId="23" fillId="0" borderId="0" xfId="0" applyFont="1" applyFill="1"/>
    <xf numFmtId="0" fontId="3" fillId="0" borderId="2" xfId="0" applyFont="1" applyBorder="1"/>
    <xf numFmtId="0" fontId="0" fillId="0" borderId="76" xfId="0" applyBorder="1"/>
    <xf numFmtId="0" fontId="3" fillId="0" borderId="76" xfId="0" applyFont="1" applyBorder="1"/>
    <xf numFmtId="0" fontId="3" fillId="0" borderId="0" xfId="0" applyFont="1" applyBorder="1"/>
    <xf numFmtId="167" fontId="0" fillId="0" borderId="76" xfId="0" applyNumberFormat="1" applyBorder="1"/>
    <xf numFmtId="167" fontId="3" fillId="0" borderId="76" xfId="0" applyNumberFormat="1" applyFont="1" applyBorder="1"/>
    <xf numFmtId="167" fontId="0" fillId="0" borderId="2" xfId="0" applyNumberFormat="1" applyBorder="1"/>
    <xf numFmtId="167" fontId="3" fillId="0" borderId="2" xfId="0" applyNumberFormat="1" applyFont="1" applyBorder="1"/>
    <xf numFmtId="0" fontId="0" fillId="0" borderId="0" xfId="0" applyBorder="1" applyAlignment="1">
      <alignment horizontal="left" indent="1"/>
    </xf>
    <xf numFmtId="0" fontId="0" fillId="0" borderId="0" xfId="0" applyAlignment="1">
      <alignment horizontal="center"/>
    </xf>
    <xf numFmtId="14" fontId="0" fillId="0" borderId="0" xfId="0" applyNumberFormat="1"/>
    <xf numFmtId="0" fontId="23" fillId="0" borderId="34" xfId="0" applyFont="1" applyBorder="1" applyAlignment="1">
      <alignment horizontal="center"/>
    </xf>
    <xf numFmtId="0" fontId="23" fillId="0" borderId="35" xfId="0" applyFont="1" applyBorder="1" applyAlignment="1">
      <alignment horizontal="center"/>
    </xf>
    <xf numFmtId="0" fontId="23" fillId="0" borderId="36" xfId="0" applyFont="1" applyBorder="1" applyAlignment="1">
      <alignment horizontal="center"/>
    </xf>
    <xf numFmtId="0" fontId="0" fillId="0" borderId="52" xfId="0" applyBorder="1" applyAlignment="1">
      <alignment wrapText="1"/>
    </xf>
    <xf numFmtId="0" fontId="6" fillId="2" borderId="61" xfId="0" applyFont="1" applyFill="1" applyBorder="1" applyAlignment="1">
      <alignment horizontal="center" wrapText="1"/>
    </xf>
    <xf numFmtId="0" fontId="6" fillId="2" borderId="57" xfId="0" applyFont="1" applyFill="1" applyBorder="1" applyAlignment="1">
      <alignment horizontal="center" wrapText="1"/>
    </xf>
    <xf numFmtId="0" fontId="7" fillId="0" borderId="78" xfId="0" applyFont="1" applyFill="1" applyBorder="1" applyAlignment="1">
      <alignment horizontal="center" vertical="top" wrapText="1"/>
    </xf>
    <xf numFmtId="0" fontId="7" fillId="0" borderId="77" xfId="0" applyFont="1" applyFill="1" applyBorder="1" applyAlignment="1">
      <alignment horizontal="left" vertical="top" wrapText="1"/>
    </xf>
    <xf numFmtId="167" fontId="0" fillId="7" borderId="0" xfId="0" applyNumberFormat="1" applyFont="1" applyFill="1" applyBorder="1" applyAlignment="1">
      <alignment horizontal="center"/>
    </xf>
    <xf numFmtId="167" fontId="23" fillId="7" borderId="0" xfId="0" applyNumberFormat="1" applyFont="1" applyFill="1" applyBorder="1" applyAlignment="1">
      <alignment horizontal="center"/>
    </xf>
    <xf numFmtId="0" fontId="3" fillId="0" borderId="59" xfId="0" applyFont="1" applyBorder="1" applyAlignment="1">
      <alignment horizontal="center" vertical="center"/>
    </xf>
    <xf numFmtId="0" fontId="23" fillId="0" borderId="35" xfId="0" applyFont="1" applyBorder="1" applyAlignment="1">
      <alignment horizontal="left"/>
    </xf>
    <xf numFmtId="0" fontId="0" fillId="0" borderId="35" xfId="0" applyBorder="1" applyAlignment="1">
      <alignment horizontal="left"/>
    </xf>
    <xf numFmtId="0" fontId="0" fillId="0" borderId="0" xfId="0" applyBorder="1" applyAlignment="1">
      <alignment horizontal="left"/>
    </xf>
    <xf numFmtId="0" fontId="23" fillId="0" borderId="0" xfId="0" applyFont="1" applyBorder="1" applyAlignment="1">
      <alignment horizontal="left"/>
    </xf>
    <xf numFmtId="167" fontId="23" fillId="7" borderId="37" xfId="0" applyNumberFormat="1" applyFont="1" applyFill="1" applyBorder="1" applyAlignment="1">
      <alignment horizontal="center"/>
    </xf>
    <xf numFmtId="0" fontId="33" fillId="0" borderId="0" xfId="0" applyFont="1"/>
    <xf numFmtId="0" fontId="0" fillId="0" borderId="0" xfId="0" applyFill="1" applyBorder="1" applyAlignment="1">
      <alignment horizontal="right"/>
    </xf>
    <xf numFmtId="167" fontId="3" fillId="0" borderId="60" xfId="0" applyNumberFormat="1" applyFont="1" applyFill="1" applyBorder="1" applyAlignment="1">
      <alignment horizontal="center" vertical="center"/>
    </xf>
    <xf numFmtId="167" fontId="0" fillId="7" borderId="37" xfId="0" applyNumberFormat="1" applyFont="1" applyFill="1" applyBorder="1" applyAlignment="1">
      <alignment horizontal="center"/>
    </xf>
    <xf numFmtId="167" fontId="0" fillId="7" borderId="0" xfId="0" applyNumberFormat="1" applyFill="1" applyBorder="1" applyAlignment="1">
      <alignment horizontal="center"/>
    </xf>
    <xf numFmtId="167" fontId="0" fillId="7" borderId="2" xfId="0" applyNumberFormat="1" applyFill="1" applyBorder="1" applyAlignment="1">
      <alignment horizontal="center"/>
    </xf>
    <xf numFmtId="167" fontId="0" fillId="7" borderId="37" xfId="0" applyNumberFormat="1" applyFill="1" applyBorder="1" applyAlignment="1">
      <alignment horizontal="center"/>
    </xf>
    <xf numFmtId="168" fontId="3" fillId="0" borderId="7" xfId="0" applyNumberFormat="1" applyFont="1" applyBorder="1" applyAlignment="1">
      <alignment horizontal="center" vertical="center"/>
    </xf>
    <xf numFmtId="168" fontId="0" fillId="7" borderId="62" xfId="0" applyNumberFormat="1" applyFont="1" applyFill="1" applyBorder="1" applyAlignment="1">
      <alignment horizontal="center" vertical="center"/>
    </xf>
    <xf numFmtId="168" fontId="0" fillId="7" borderId="12" xfId="0" applyNumberFormat="1" applyFont="1" applyFill="1" applyBorder="1" applyAlignment="1">
      <alignment horizontal="center" vertical="center"/>
    </xf>
    <xf numFmtId="168" fontId="0" fillId="7" borderId="10" xfId="0" applyNumberFormat="1" applyFont="1" applyFill="1" applyBorder="1" applyAlignment="1">
      <alignment horizontal="center" vertical="center"/>
    </xf>
    <xf numFmtId="168" fontId="0" fillId="7" borderId="62" xfId="0" applyNumberFormat="1" applyFill="1" applyBorder="1" applyAlignment="1">
      <alignment horizontal="center" vertical="center"/>
    </xf>
    <xf numFmtId="168" fontId="0" fillId="7" borderId="12" xfId="0" applyNumberFormat="1" applyFill="1" applyBorder="1" applyAlignment="1">
      <alignment horizontal="center" vertical="center"/>
    </xf>
    <xf numFmtId="168" fontId="0" fillId="7" borderId="20" xfId="0" applyNumberFormat="1" applyFill="1" applyBorder="1" applyAlignment="1">
      <alignment horizontal="center" vertical="center"/>
    </xf>
    <xf numFmtId="168" fontId="0" fillId="7" borderId="10" xfId="0" applyNumberFormat="1" applyFill="1" applyBorder="1" applyAlignment="1">
      <alignment horizontal="center" vertical="center"/>
    </xf>
    <xf numFmtId="167" fontId="0" fillId="7" borderId="20" xfId="0" applyNumberFormat="1" applyFont="1" applyFill="1" applyBorder="1" applyAlignment="1">
      <alignment horizontal="center"/>
    </xf>
    <xf numFmtId="175" fontId="3" fillId="0" borderId="7" xfId="0" applyNumberFormat="1" applyFont="1" applyBorder="1" applyAlignment="1">
      <alignment horizontal="center" vertical="center"/>
    </xf>
    <xf numFmtId="175" fontId="0" fillId="7" borderId="62" xfId="0" applyNumberFormat="1" applyFont="1" applyFill="1" applyBorder="1" applyAlignment="1">
      <alignment horizontal="center" vertical="center"/>
    </xf>
    <xf numFmtId="175" fontId="0" fillId="7" borderId="12" xfId="0" applyNumberFormat="1" applyFont="1" applyFill="1" applyBorder="1" applyAlignment="1">
      <alignment horizontal="center" vertical="center"/>
    </xf>
    <xf numFmtId="175" fontId="0" fillId="7" borderId="10" xfId="0" applyNumberFormat="1" applyFont="1" applyFill="1" applyBorder="1" applyAlignment="1">
      <alignment horizontal="center" vertical="center"/>
    </xf>
    <xf numFmtId="175" fontId="0" fillId="7" borderId="62" xfId="0" applyNumberFormat="1" applyFill="1" applyBorder="1" applyAlignment="1">
      <alignment horizontal="center" vertical="center"/>
    </xf>
    <xf numFmtId="175" fontId="0" fillId="7" borderId="12" xfId="0" applyNumberFormat="1" applyFill="1" applyBorder="1" applyAlignment="1">
      <alignment horizontal="center" vertical="center"/>
    </xf>
    <xf numFmtId="175" fontId="0" fillId="7" borderId="20" xfId="0" applyNumberFormat="1" applyFill="1" applyBorder="1" applyAlignment="1">
      <alignment horizontal="center" vertical="center"/>
    </xf>
    <xf numFmtId="175" fontId="0" fillId="7" borderId="10" xfId="0" applyNumberFormat="1" applyFill="1" applyBorder="1" applyAlignment="1">
      <alignment horizontal="center" vertical="center"/>
    </xf>
    <xf numFmtId="168" fontId="23" fillId="7" borderId="62" xfId="0" applyNumberFormat="1" applyFont="1" applyFill="1" applyBorder="1" applyAlignment="1">
      <alignment horizontal="center" vertical="center"/>
    </xf>
    <xf numFmtId="168" fontId="23" fillId="7" borderId="12" xfId="0" applyNumberFormat="1" applyFont="1" applyFill="1" applyBorder="1" applyAlignment="1">
      <alignment horizontal="center" vertical="center"/>
    </xf>
    <xf numFmtId="168" fontId="23" fillId="7" borderId="10" xfId="0" applyNumberFormat="1" applyFont="1" applyFill="1" applyBorder="1" applyAlignment="1">
      <alignment horizontal="center" vertical="center"/>
    </xf>
    <xf numFmtId="0" fontId="17" fillId="0" borderId="0" xfId="3" applyFont="1" applyFill="1" applyBorder="1" applyAlignment="1">
      <alignment horizontal="center"/>
    </xf>
    <xf numFmtId="173" fontId="17" fillId="0" borderId="0" xfId="3" applyNumberFormat="1" applyFont="1" applyFill="1" applyBorder="1" applyAlignment="1">
      <alignment horizontal="center"/>
    </xf>
    <xf numFmtId="167" fontId="17" fillId="0" borderId="0" xfId="3" applyNumberFormat="1" applyFont="1" applyFill="1" applyBorder="1" applyAlignment="1">
      <alignment horizontal="center"/>
    </xf>
    <xf numFmtId="1" fontId="17" fillId="0" borderId="0" xfId="3" applyNumberFormat="1" applyFont="1" applyFill="1" applyBorder="1" applyAlignment="1">
      <alignment horizontal="center"/>
    </xf>
    <xf numFmtId="0" fontId="17" fillId="0" borderId="42" xfId="3" applyFont="1" applyFill="1" applyBorder="1" applyAlignment="1">
      <alignment horizontal="centerContinuous"/>
    </xf>
    <xf numFmtId="0" fontId="17" fillId="0" borderId="79" xfId="3" applyFont="1" applyFill="1" applyBorder="1" applyAlignment="1">
      <alignment horizontal="centerContinuous"/>
    </xf>
    <xf numFmtId="0" fontId="17" fillId="0" borderId="29" xfId="3" applyFont="1" applyFill="1" applyBorder="1" applyAlignment="1">
      <alignment horizontal="center"/>
    </xf>
    <xf numFmtId="0" fontId="17" fillId="0" borderId="27" xfId="3" applyFont="1" applyBorder="1" applyAlignment="1">
      <alignment horizontal="center"/>
    </xf>
    <xf numFmtId="0" fontId="17" fillId="0" borderId="44" xfId="3" applyBorder="1" applyAlignment="1">
      <alignment horizontal="center"/>
    </xf>
    <xf numFmtId="0" fontId="17" fillId="0" borderId="44" xfId="3" applyFill="1" applyBorder="1" applyAlignment="1">
      <alignment horizontal="center"/>
    </xf>
    <xf numFmtId="0" fontId="17" fillId="0" borderId="2" xfId="3" applyFont="1" applyBorder="1" applyAlignment="1">
      <alignment horizontal="center" wrapText="1"/>
    </xf>
    <xf numFmtId="2" fontId="17" fillId="0" borderId="2" xfId="3" applyNumberFormat="1" applyFont="1" applyBorder="1" applyAlignment="1">
      <alignment horizontal="center"/>
    </xf>
    <xf numFmtId="0" fontId="17" fillId="0" borderId="2" xfId="3" applyFont="1" applyBorder="1" applyAlignment="1">
      <alignment horizontal="center"/>
    </xf>
    <xf numFmtId="170" fontId="17" fillId="0" borderId="2" xfId="3" applyNumberFormat="1" applyFont="1" applyFill="1" applyBorder="1" applyAlignment="1">
      <alignment horizontal="center"/>
    </xf>
    <xf numFmtId="0" fontId="17" fillId="0" borderId="2" xfId="3" applyFont="1" applyFill="1" applyBorder="1" applyAlignment="1">
      <alignment horizontal="center"/>
    </xf>
    <xf numFmtId="171" fontId="17" fillId="0" borderId="2" xfId="3" applyNumberFormat="1" applyFont="1" applyFill="1" applyBorder="1" applyAlignment="1">
      <alignment horizontal="center"/>
    </xf>
    <xf numFmtId="0" fontId="17" fillId="0" borderId="28" xfId="3" applyFont="1" applyFill="1" applyBorder="1" applyAlignment="1">
      <alignment horizontal="center"/>
    </xf>
    <xf numFmtId="0" fontId="17" fillId="0" borderId="80" xfId="3" applyFont="1" applyFill="1" applyBorder="1" applyAlignment="1">
      <alignment horizontal="centerContinuous"/>
    </xf>
    <xf numFmtId="172" fontId="17" fillId="0" borderId="79" xfId="3" applyNumberFormat="1" applyFont="1" applyFill="1" applyBorder="1" applyAlignment="1">
      <alignment horizontal="centerContinuous"/>
    </xf>
    <xf numFmtId="0" fontId="17" fillId="0" borderId="80" xfId="3" applyFont="1" applyFill="1" applyBorder="1" applyAlignment="1">
      <alignment horizontal="center"/>
    </xf>
    <xf numFmtId="173" fontId="17" fillId="0" borderId="29" xfId="3" applyNumberFormat="1" applyFont="1" applyFill="1" applyBorder="1" applyAlignment="1">
      <alignment horizontal="center"/>
    </xf>
    <xf numFmtId="0" fontId="17" fillId="0" borderId="67" xfId="3" applyFont="1" applyFill="1" applyBorder="1" applyAlignment="1">
      <alignment horizontal="center"/>
    </xf>
    <xf numFmtId="1" fontId="0" fillId="0" borderId="0" xfId="0" applyNumberFormat="1"/>
    <xf numFmtId="0" fontId="24" fillId="0" borderId="0" xfId="0" applyFont="1" applyBorder="1"/>
    <xf numFmtId="167" fontId="22" fillId="0" borderId="0" xfId="3" applyNumberFormat="1" applyFont="1" applyFill="1" applyBorder="1" applyAlignment="1">
      <alignment horizontal="center"/>
    </xf>
    <xf numFmtId="1" fontId="22" fillId="0" borderId="0" xfId="3" applyNumberFormat="1" applyFont="1" applyFill="1" applyBorder="1" applyAlignment="1">
      <alignment horizontal="center"/>
    </xf>
    <xf numFmtId="173" fontId="22" fillId="0" borderId="0" xfId="3" applyNumberFormat="1" applyFont="1" applyFill="1" applyBorder="1" applyAlignment="1">
      <alignment horizontal="center"/>
    </xf>
    <xf numFmtId="0" fontId="22" fillId="0" borderId="29" xfId="3" applyFont="1" applyFill="1" applyBorder="1" applyAlignment="1">
      <alignment horizontal="center"/>
    </xf>
    <xf numFmtId="173" fontId="24" fillId="0" borderId="0" xfId="0" applyNumberFormat="1" applyFont="1"/>
    <xf numFmtId="0" fontId="0" fillId="0" borderId="0" xfId="0" quotePrefix="1"/>
    <xf numFmtId="0" fontId="23" fillId="0" borderId="2" xfId="0" applyFont="1" applyBorder="1" applyAlignment="1">
      <alignment horizontal="right"/>
    </xf>
    <xf numFmtId="0" fontId="0" fillId="0" borderId="0" xfId="0" applyFont="1"/>
    <xf numFmtId="14" fontId="0" fillId="0" borderId="30" xfId="0" applyNumberFormat="1" applyBorder="1" applyAlignment="1">
      <alignment horizontal="left"/>
    </xf>
    <xf numFmtId="0" fontId="0" fillId="0" borderId="0" xfId="0" applyAlignment="1">
      <alignment horizontal="left" vertical="center" wrapText="1"/>
    </xf>
    <xf numFmtId="0" fontId="0" fillId="0" borderId="0" xfId="0" applyAlignment="1">
      <alignment vertical="center" wrapText="1"/>
    </xf>
    <xf numFmtId="0" fontId="0" fillId="0" borderId="0" xfId="0" applyBorder="1" applyAlignment="1">
      <alignment horizontal="center" wrapText="1"/>
    </xf>
    <xf numFmtId="0" fontId="0" fillId="0" borderId="2" xfId="0" applyBorder="1" applyAlignment="1">
      <alignment horizontal="center" wrapText="1"/>
    </xf>
    <xf numFmtId="0" fontId="0" fillId="0" borderId="0" xfId="0" applyAlignment="1">
      <alignment horizontal="center"/>
    </xf>
    <xf numFmtId="0" fontId="0" fillId="2" borderId="64" xfId="0" applyFill="1" applyBorder="1" applyAlignment="1">
      <alignment horizontal="center"/>
    </xf>
    <xf numFmtId="0" fontId="0" fillId="2" borderId="67" xfId="0" applyFill="1" applyBorder="1" applyAlignment="1">
      <alignment horizontal="center"/>
    </xf>
    <xf numFmtId="0" fontId="0" fillId="2" borderId="68" xfId="0" applyFill="1" applyBorder="1" applyAlignment="1">
      <alignment horizontal="center"/>
    </xf>
    <xf numFmtId="0" fontId="0" fillId="2" borderId="48" xfId="0" applyFill="1" applyBorder="1" applyAlignment="1">
      <alignment horizontal="center"/>
    </xf>
    <xf numFmtId="0" fontId="2" fillId="0" borderId="2" xfId="0" applyFont="1" applyBorder="1" applyAlignment="1">
      <alignment horizontal="center"/>
    </xf>
    <xf numFmtId="0" fontId="0" fillId="0" borderId="76" xfId="0" applyBorder="1" applyAlignment="1">
      <alignment horizontal="center" vertical="center"/>
    </xf>
    <xf numFmtId="0" fontId="0" fillId="0" borderId="2" xfId="0" applyBorder="1" applyAlignment="1">
      <alignment horizontal="center" vertical="center"/>
    </xf>
    <xf numFmtId="0" fontId="31" fillId="2" borderId="72" xfId="0" applyFont="1" applyFill="1" applyBorder="1" applyAlignment="1">
      <alignment horizontal="center"/>
    </xf>
    <xf numFmtId="0" fontId="31" fillId="2" borderId="73" xfId="0" applyFont="1" applyFill="1" applyBorder="1" applyAlignment="1">
      <alignment horizontal="center"/>
    </xf>
    <xf numFmtId="0" fontId="29" fillId="7" borderId="69" xfId="0" applyFont="1" applyFill="1" applyBorder="1" applyAlignment="1">
      <alignment horizontal="center"/>
    </xf>
    <xf numFmtId="0" fontId="29" fillId="7" borderId="61" xfId="0" applyFont="1" applyFill="1" applyBorder="1" applyAlignment="1">
      <alignment horizontal="center"/>
    </xf>
    <xf numFmtId="0" fontId="31" fillId="2" borderId="70" xfId="0" applyFont="1" applyFill="1" applyBorder="1" applyAlignment="1">
      <alignment horizontal="center"/>
    </xf>
    <xf numFmtId="0" fontId="31" fillId="2" borderId="71" xfId="0" applyFont="1" applyFill="1" applyBorder="1" applyAlignment="1">
      <alignment horizontal="center"/>
    </xf>
    <xf numFmtId="0" fontId="30" fillId="7" borderId="69" xfId="0" applyFont="1" applyFill="1" applyBorder="1" applyAlignment="1">
      <alignment horizontal="center"/>
    </xf>
    <xf numFmtId="0" fontId="30" fillId="7" borderId="61" xfId="0" applyFont="1" applyFill="1" applyBorder="1" applyAlignment="1">
      <alignment horizontal="center"/>
    </xf>
    <xf numFmtId="0" fontId="6" fillId="2" borderId="49" xfId="0" applyFont="1" applyFill="1" applyBorder="1" applyAlignment="1">
      <alignment horizontal="center" wrapText="1"/>
    </xf>
    <xf numFmtId="0" fontId="6" fillId="2" borderId="54" xfId="0" applyFont="1" applyFill="1" applyBorder="1" applyAlignment="1">
      <alignment horizontal="center" wrapText="1"/>
    </xf>
    <xf numFmtId="0" fontId="6" fillId="2" borderId="50" xfId="0" applyFont="1" applyFill="1" applyBorder="1" applyAlignment="1">
      <alignment horizontal="center" wrapText="1"/>
    </xf>
    <xf numFmtId="0" fontId="6" fillId="2" borderId="55" xfId="0" applyFont="1" applyFill="1" applyBorder="1" applyAlignment="1">
      <alignment horizontal="center" wrapText="1"/>
    </xf>
    <xf numFmtId="0" fontId="10" fillId="0" borderId="0" xfId="0" applyFont="1" applyAlignment="1">
      <alignment horizontal="left" vertical="center" wrapText="1"/>
    </xf>
    <xf numFmtId="0" fontId="8" fillId="0" borderId="0" xfId="0" applyFont="1" applyAlignment="1">
      <alignment horizontal="left" vertical="center" wrapText="1"/>
    </xf>
    <xf numFmtId="0" fontId="0" fillId="2" borderId="6"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9" xfId="0" applyFill="1" applyBorder="1" applyAlignment="1">
      <alignment horizontal="center" vertical="center" wrapText="1"/>
    </xf>
    <xf numFmtId="0" fontId="0" fillId="0" borderId="65" xfId="0" applyBorder="1" applyAlignment="1">
      <alignment horizontal="center" vertical="center" wrapText="1"/>
    </xf>
    <xf numFmtId="0" fontId="0" fillId="0" borderId="29" xfId="0" applyBorder="1" applyAlignment="1">
      <alignment horizontal="center" vertical="center" wrapText="1"/>
    </xf>
    <xf numFmtId="0" fontId="0" fillId="0" borderId="48" xfId="0" applyBorder="1" applyAlignment="1">
      <alignment horizontal="center" vertical="center" wrapText="1"/>
    </xf>
    <xf numFmtId="0" fontId="23" fillId="2" borderId="6" xfId="4" applyFont="1" applyFill="1" applyBorder="1" applyAlignment="1">
      <alignment horizontal="center" vertical="center" wrapText="1"/>
    </xf>
    <xf numFmtId="0" fontId="23" fillId="2" borderId="14" xfId="4" applyFont="1" applyFill="1" applyBorder="1" applyAlignment="1">
      <alignment horizontal="center" vertical="center" wrapText="1"/>
    </xf>
    <xf numFmtId="0" fontId="23" fillId="2" borderId="9" xfId="4" applyFont="1" applyFill="1" applyBorder="1" applyAlignment="1">
      <alignment horizontal="center" vertical="center" wrapText="1"/>
    </xf>
    <xf numFmtId="0" fontId="2" fillId="0" borderId="0" xfId="0" applyFont="1" applyAlignment="1">
      <alignment horizontal="center"/>
    </xf>
    <xf numFmtId="0" fontId="2" fillId="0" borderId="37" xfId="0" applyFont="1" applyBorder="1" applyAlignment="1">
      <alignment horizontal="left"/>
    </xf>
    <xf numFmtId="0" fontId="0" fillId="0" borderId="29" xfId="0" applyBorder="1" applyAlignment="1">
      <alignment horizontal="center" vertical="center"/>
    </xf>
    <xf numFmtId="0" fontId="0" fillId="0" borderId="48" xfId="0" applyBorder="1" applyAlignment="1">
      <alignment horizontal="center" vertical="center"/>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horizontal="center" vertical="center" wrapText="1"/>
    </xf>
    <xf numFmtId="0" fontId="0" fillId="2" borderId="14" xfId="0" applyFill="1" applyBorder="1" applyAlignment="1">
      <alignment horizontal="center" vertical="center"/>
    </xf>
    <xf numFmtId="0" fontId="0" fillId="2" borderId="9" xfId="0" applyFill="1" applyBorder="1" applyAlignment="1">
      <alignment horizontal="center" vertical="center"/>
    </xf>
    <xf numFmtId="0" fontId="0" fillId="0" borderId="67" xfId="0" applyBorder="1" applyAlignment="1">
      <alignment horizontal="center" vertical="center" wrapText="1"/>
    </xf>
    <xf numFmtId="0" fontId="0" fillId="0" borderId="28" xfId="0" applyBorder="1" applyAlignment="1">
      <alignment horizontal="center" vertical="center" wrapText="1"/>
    </xf>
    <xf numFmtId="0" fontId="0" fillId="2" borderId="34" xfId="0" applyFill="1" applyBorder="1" applyAlignment="1">
      <alignment horizontal="center" vertical="center" wrapText="1"/>
    </xf>
    <xf numFmtId="0" fontId="0" fillId="2" borderId="6" xfId="0" applyFill="1" applyBorder="1" applyAlignment="1">
      <alignment horizontal="center" vertical="center"/>
    </xf>
    <xf numFmtId="0" fontId="2" fillId="0" borderId="37" xfId="0" applyFont="1" applyBorder="1" applyAlignment="1">
      <alignment horizontal="center"/>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cellXfs>
  <cellStyles count="6">
    <cellStyle name="Bad" xfId="4" builtinId="27"/>
    <cellStyle name="Explanatory Text" xfId="2" builtinId="53"/>
    <cellStyle name="Heading 1" xfId="1" builtinId="16"/>
    <cellStyle name="Neutral" xfId="5" builtinId="28"/>
    <cellStyle name="Normal" xfId="0" builtinId="0"/>
    <cellStyle name="Normal_DEER-eQ Wizard Tables 06-08-1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77537182852142"/>
          <c:y val="3.2958801498127341E-2"/>
          <c:w val="0.81566907261592303"/>
          <c:h val="0.86194120908638583"/>
        </c:manualLayout>
      </c:layout>
      <c:scatterChart>
        <c:scatterStyle val="lineMarker"/>
        <c:varyColors val="0"/>
        <c:ser>
          <c:idx val="0"/>
          <c:order val="0"/>
          <c:tx>
            <c:v>Recent Manufacturer Data</c:v>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2278433945756781E-2"/>
                  <c:y val="0.46225509451767965"/>
                </c:manualLayout>
              </c:layout>
              <c:numFmt formatCode="General" sourceLinked="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'Split HP Tier Selection'!$C$12:$C$51</c:f>
              <c:numCache>
                <c:formatCode>General</c:formatCode>
                <c:ptCount val="40"/>
                <c:pt idx="0">
                  <c:v>14</c:v>
                </c:pt>
                <c:pt idx="1">
                  <c:v>14</c:v>
                </c:pt>
                <c:pt idx="2">
                  <c:v>14</c:v>
                </c:pt>
                <c:pt idx="3">
                  <c:v>14.5</c:v>
                </c:pt>
                <c:pt idx="4">
                  <c:v>15</c:v>
                </c:pt>
                <c:pt idx="5">
                  <c:v>15</c:v>
                </c:pt>
                <c:pt idx="6">
                  <c:v>15</c:v>
                </c:pt>
                <c:pt idx="7">
                  <c:v>15</c:v>
                </c:pt>
                <c:pt idx="8">
                  <c:v>15.2</c:v>
                </c:pt>
                <c:pt idx="9">
                  <c:v>15.2</c:v>
                </c:pt>
                <c:pt idx="10">
                  <c:v>15.3</c:v>
                </c:pt>
                <c:pt idx="11">
                  <c:v>15.3</c:v>
                </c:pt>
                <c:pt idx="12">
                  <c:v>15.5</c:v>
                </c:pt>
                <c:pt idx="13">
                  <c:v>15.5</c:v>
                </c:pt>
                <c:pt idx="14">
                  <c:v>15.7</c:v>
                </c:pt>
                <c:pt idx="15">
                  <c:v>15.7</c:v>
                </c:pt>
                <c:pt idx="16">
                  <c:v>16</c:v>
                </c:pt>
                <c:pt idx="17">
                  <c:v>16</c:v>
                </c:pt>
                <c:pt idx="18">
                  <c:v>16.2</c:v>
                </c:pt>
                <c:pt idx="19">
                  <c:v>16.2</c:v>
                </c:pt>
                <c:pt idx="20">
                  <c:v>16.2</c:v>
                </c:pt>
                <c:pt idx="21">
                  <c:v>16.25</c:v>
                </c:pt>
                <c:pt idx="22">
                  <c:v>16.5</c:v>
                </c:pt>
                <c:pt idx="23">
                  <c:v>16.5</c:v>
                </c:pt>
                <c:pt idx="24">
                  <c:v>16.5</c:v>
                </c:pt>
                <c:pt idx="25">
                  <c:v>16.5</c:v>
                </c:pt>
                <c:pt idx="26">
                  <c:v>16.75</c:v>
                </c:pt>
                <c:pt idx="27">
                  <c:v>17</c:v>
                </c:pt>
                <c:pt idx="28">
                  <c:v>17</c:v>
                </c:pt>
                <c:pt idx="29">
                  <c:v>17.2</c:v>
                </c:pt>
                <c:pt idx="30">
                  <c:v>17.2</c:v>
                </c:pt>
                <c:pt idx="31">
                  <c:v>17.2</c:v>
                </c:pt>
                <c:pt idx="32">
                  <c:v>17.5</c:v>
                </c:pt>
                <c:pt idx="33">
                  <c:v>17.7</c:v>
                </c:pt>
                <c:pt idx="34">
                  <c:v>18</c:v>
                </c:pt>
                <c:pt idx="35">
                  <c:v>18</c:v>
                </c:pt>
                <c:pt idx="36">
                  <c:v>18</c:v>
                </c:pt>
                <c:pt idx="37">
                  <c:v>18</c:v>
                </c:pt>
                <c:pt idx="38">
                  <c:v>18</c:v>
                </c:pt>
                <c:pt idx="39">
                  <c:v>18.5</c:v>
                </c:pt>
              </c:numCache>
            </c:numRef>
          </c:xVal>
          <c:yVal>
            <c:numRef>
              <c:f>'Split HP Tier Selection'!$D$12:$D$51</c:f>
              <c:numCache>
                <c:formatCode>General</c:formatCode>
                <c:ptCount val="40"/>
                <c:pt idx="0">
                  <c:v>8.1</c:v>
                </c:pt>
                <c:pt idx="1">
                  <c:v>8.1999999999999993</c:v>
                </c:pt>
                <c:pt idx="2">
                  <c:v>8.5</c:v>
                </c:pt>
                <c:pt idx="3">
                  <c:v>8.5</c:v>
                </c:pt>
                <c:pt idx="4">
                  <c:v>8.1999999999999993</c:v>
                </c:pt>
                <c:pt idx="5">
                  <c:v>8.1</c:v>
                </c:pt>
                <c:pt idx="6">
                  <c:v>9</c:v>
                </c:pt>
                <c:pt idx="7">
                  <c:v>8.1999999999999993</c:v>
                </c:pt>
                <c:pt idx="8">
                  <c:v>9.1999999999999993</c:v>
                </c:pt>
                <c:pt idx="9">
                  <c:v>9.1999999999999993</c:v>
                </c:pt>
                <c:pt idx="10">
                  <c:v>9</c:v>
                </c:pt>
                <c:pt idx="11">
                  <c:v>9</c:v>
                </c:pt>
                <c:pt idx="12">
                  <c:v>9.5</c:v>
                </c:pt>
                <c:pt idx="13">
                  <c:v>9</c:v>
                </c:pt>
                <c:pt idx="14">
                  <c:v>9.1999999999999993</c:v>
                </c:pt>
                <c:pt idx="15">
                  <c:v>8.6999999999999993</c:v>
                </c:pt>
                <c:pt idx="16">
                  <c:v>9.5</c:v>
                </c:pt>
                <c:pt idx="17">
                  <c:v>9.5</c:v>
                </c:pt>
                <c:pt idx="18">
                  <c:v>8.6999999999999993</c:v>
                </c:pt>
                <c:pt idx="19">
                  <c:v>9.5</c:v>
                </c:pt>
                <c:pt idx="20">
                  <c:v>9</c:v>
                </c:pt>
                <c:pt idx="21">
                  <c:v>9.6999999999999993</c:v>
                </c:pt>
                <c:pt idx="22">
                  <c:v>9.1999999999999993</c:v>
                </c:pt>
                <c:pt idx="23">
                  <c:v>9</c:v>
                </c:pt>
                <c:pt idx="24">
                  <c:v>9</c:v>
                </c:pt>
                <c:pt idx="25">
                  <c:v>9</c:v>
                </c:pt>
                <c:pt idx="26">
                  <c:v>9.25</c:v>
                </c:pt>
                <c:pt idx="27">
                  <c:v>8.5</c:v>
                </c:pt>
                <c:pt idx="28">
                  <c:v>9.3000000000000007</c:v>
                </c:pt>
                <c:pt idx="29">
                  <c:v>9.1999999999999993</c:v>
                </c:pt>
                <c:pt idx="30">
                  <c:v>9.5</c:v>
                </c:pt>
                <c:pt idx="31">
                  <c:v>9.5</c:v>
                </c:pt>
                <c:pt idx="32">
                  <c:v>9.25</c:v>
                </c:pt>
                <c:pt idx="33">
                  <c:v>9.5</c:v>
                </c:pt>
                <c:pt idx="34">
                  <c:v>9.5</c:v>
                </c:pt>
                <c:pt idx="35">
                  <c:v>10</c:v>
                </c:pt>
                <c:pt idx="36">
                  <c:v>9.5</c:v>
                </c:pt>
                <c:pt idx="37">
                  <c:v>9.5</c:v>
                </c:pt>
                <c:pt idx="38">
                  <c:v>11</c:v>
                </c:pt>
                <c:pt idx="39">
                  <c:v>9.6999999999999993</c:v>
                </c:pt>
              </c:numCache>
            </c:numRef>
          </c:yVal>
          <c:smooth val="0"/>
        </c:ser>
        <c:ser>
          <c:idx val="1"/>
          <c:order val="1"/>
          <c:tx>
            <c:v>DEER2014 Perf Map Data</c:v>
          </c:tx>
          <c:spPr>
            <a:ln w="25400" cap="rnd">
              <a:noFill/>
              <a:round/>
            </a:ln>
            <a:effectLst/>
          </c:spPr>
          <c:marker>
            <c:symbol val="square"/>
            <c:size val="6"/>
            <c:spPr>
              <a:noFill/>
              <a:ln w="9525">
                <a:solidFill>
                  <a:schemeClr val="accent2"/>
                </a:solidFill>
              </a:ln>
              <a:effectLst/>
            </c:spPr>
          </c:marker>
          <c:xVal>
            <c:numRef>
              <c:f>'Split HP Tier Selection'!$C$63:$C$108</c:f>
              <c:numCache>
                <c:formatCode>General</c:formatCode>
                <c:ptCount val="46"/>
                <c:pt idx="0">
                  <c:v>10</c:v>
                </c:pt>
                <c:pt idx="1">
                  <c:v>10</c:v>
                </c:pt>
                <c:pt idx="2">
                  <c:v>10</c:v>
                </c:pt>
                <c:pt idx="3">
                  <c:v>10</c:v>
                </c:pt>
                <c:pt idx="4">
                  <c:v>10</c:v>
                </c:pt>
                <c:pt idx="5">
                  <c:v>10</c:v>
                </c:pt>
                <c:pt idx="6">
                  <c:v>10</c:v>
                </c:pt>
                <c:pt idx="7">
                  <c:v>10</c:v>
                </c:pt>
                <c:pt idx="8">
                  <c:v>10</c:v>
                </c:pt>
                <c:pt idx="9">
                  <c:v>13</c:v>
                </c:pt>
                <c:pt idx="10">
                  <c:v>13</c:v>
                </c:pt>
                <c:pt idx="11">
                  <c:v>13</c:v>
                </c:pt>
                <c:pt idx="12">
                  <c:v>13</c:v>
                </c:pt>
                <c:pt idx="13">
                  <c:v>13</c:v>
                </c:pt>
                <c:pt idx="14">
                  <c:v>13</c:v>
                </c:pt>
                <c:pt idx="15">
                  <c:v>13</c:v>
                </c:pt>
                <c:pt idx="16">
                  <c:v>13</c:v>
                </c:pt>
                <c:pt idx="17">
                  <c:v>13</c:v>
                </c:pt>
                <c:pt idx="18">
                  <c:v>14</c:v>
                </c:pt>
                <c:pt idx="19">
                  <c:v>14</c:v>
                </c:pt>
                <c:pt idx="20">
                  <c:v>14</c:v>
                </c:pt>
                <c:pt idx="21">
                  <c:v>14</c:v>
                </c:pt>
                <c:pt idx="22">
                  <c:v>14</c:v>
                </c:pt>
                <c:pt idx="23">
                  <c:v>14</c:v>
                </c:pt>
                <c:pt idx="24">
                  <c:v>15</c:v>
                </c:pt>
                <c:pt idx="25">
                  <c:v>15</c:v>
                </c:pt>
                <c:pt idx="26">
                  <c:v>15</c:v>
                </c:pt>
                <c:pt idx="27">
                  <c:v>15</c:v>
                </c:pt>
                <c:pt idx="28">
                  <c:v>15</c:v>
                </c:pt>
                <c:pt idx="29">
                  <c:v>15</c:v>
                </c:pt>
                <c:pt idx="30">
                  <c:v>16</c:v>
                </c:pt>
                <c:pt idx="31">
                  <c:v>16</c:v>
                </c:pt>
                <c:pt idx="32">
                  <c:v>16</c:v>
                </c:pt>
                <c:pt idx="33">
                  <c:v>16</c:v>
                </c:pt>
                <c:pt idx="34">
                  <c:v>16</c:v>
                </c:pt>
                <c:pt idx="35">
                  <c:v>16</c:v>
                </c:pt>
                <c:pt idx="36">
                  <c:v>16</c:v>
                </c:pt>
                <c:pt idx="37">
                  <c:v>16</c:v>
                </c:pt>
                <c:pt idx="38">
                  <c:v>17</c:v>
                </c:pt>
                <c:pt idx="39">
                  <c:v>17</c:v>
                </c:pt>
                <c:pt idx="40">
                  <c:v>17</c:v>
                </c:pt>
                <c:pt idx="41">
                  <c:v>17</c:v>
                </c:pt>
                <c:pt idx="42">
                  <c:v>18</c:v>
                </c:pt>
                <c:pt idx="43">
                  <c:v>18</c:v>
                </c:pt>
                <c:pt idx="44">
                  <c:v>18</c:v>
                </c:pt>
                <c:pt idx="45">
                  <c:v>18</c:v>
                </c:pt>
              </c:numCache>
            </c:numRef>
          </c:xVal>
          <c:yVal>
            <c:numRef>
              <c:f>'Split HP Tier Selection'!$D$63:$D$108</c:f>
              <c:numCache>
                <c:formatCode>General</c:formatCode>
                <c:ptCount val="46"/>
                <c:pt idx="0">
                  <c:v>6.8</c:v>
                </c:pt>
                <c:pt idx="1">
                  <c:v>7</c:v>
                </c:pt>
                <c:pt idx="2">
                  <c:v>7.2</c:v>
                </c:pt>
                <c:pt idx="3">
                  <c:v>6.9</c:v>
                </c:pt>
                <c:pt idx="4">
                  <c:v>7.2</c:v>
                </c:pt>
                <c:pt idx="5">
                  <c:v>7.2</c:v>
                </c:pt>
                <c:pt idx="6">
                  <c:v>7.2</c:v>
                </c:pt>
                <c:pt idx="7">
                  <c:v>7.3</c:v>
                </c:pt>
                <c:pt idx="8">
                  <c:v>7.2</c:v>
                </c:pt>
                <c:pt idx="9">
                  <c:v>8.3000000000000007</c:v>
                </c:pt>
                <c:pt idx="10">
                  <c:v>8</c:v>
                </c:pt>
                <c:pt idx="11">
                  <c:v>8</c:v>
                </c:pt>
                <c:pt idx="12">
                  <c:v>8.3000000000000007</c:v>
                </c:pt>
                <c:pt idx="13">
                  <c:v>8.1</c:v>
                </c:pt>
                <c:pt idx="14">
                  <c:v>8.5500000000000007</c:v>
                </c:pt>
                <c:pt idx="15">
                  <c:v>8.1</c:v>
                </c:pt>
                <c:pt idx="16">
                  <c:v>8.5</c:v>
                </c:pt>
                <c:pt idx="17">
                  <c:v>8</c:v>
                </c:pt>
                <c:pt idx="18">
                  <c:v>8.1999999999999993</c:v>
                </c:pt>
                <c:pt idx="19">
                  <c:v>8.5</c:v>
                </c:pt>
                <c:pt idx="20">
                  <c:v>8.5</c:v>
                </c:pt>
                <c:pt idx="21">
                  <c:v>8.1999999999999993</c:v>
                </c:pt>
                <c:pt idx="22">
                  <c:v>8.6</c:v>
                </c:pt>
                <c:pt idx="23">
                  <c:v>8.3000000000000007</c:v>
                </c:pt>
                <c:pt idx="24">
                  <c:v>8.8000000000000007</c:v>
                </c:pt>
                <c:pt idx="25">
                  <c:v>8.1999999999999993</c:v>
                </c:pt>
                <c:pt idx="26">
                  <c:v>9</c:v>
                </c:pt>
                <c:pt idx="27">
                  <c:v>9.4</c:v>
                </c:pt>
                <c:pt idx="28">
                  <c:v>9</c:v>
                </c:pt>
                <c:pt idx="29">
                  <c:v>8</c:v>
                </c:pt>
                <c:pt idx="30">
                  <c:v>8.8000000000000007</c:v>
                </c:pt>
                <c:pt idx="31">
                  <c:v>8.3000000000000007</c:v>
                </c:pt>
                <c:pt idx="32">
                  <c:v>8.5</c:v>
                </c:pt>
                <c:pt idx="33">
                  <c:v>8.4</c:v>
                </c:pt>
                <c:pt idx="34">
                  <c:v>8.9</c:v>
                </c:pt>
                <c:pt idx="35">
                  <c:v>8.15</c:v>
                </c:pt>
                <c:pt idx="36">
                  <c:v>8.1999999999999993</c:v>
                </c:pt>
                <c:pt idx="37">
                  <c:v>8.25</c:v>
                </c:pt>
                <c:pt idx="38">
                  <c:v>9.5</c:v>
                </c:pt>
                <c:pt idx="39">
                  <c:v>9</c:v>
                </c:pt>
                <c:pt idx="40">
                  <c:v>8.75</c:v>
                </c:pt>
                <c:pt idx="41">
                  <c:v>8.5500000000000007</c:v>
                </c:pt>
                <c:pt idx="42">
                  <c:v>8.4499999999999993</c:v>
                </c:pt>
                <c:pt idx="43">
                  <c:v>9.1999999999999993</c:v>
                </c:pt>
                <c:pt idx="44">
                  <c:v>8.75</c:v>
                </c:pt>
                <c:pt idx="45">
                  <c:v>8.4</c:v>
                </c:pt>
              </c:numCache>
            </c:numRef>
          </c:yVal>
          <c:smooth val="0"/>
        </c:ser>
        <c:dLbls>
          <c:showLegendKey val="0"/>
          <c:showVal val="0"/>
          <c:showCatName val="0"/>
          <c:showSerName val="0"/>
          <c:showPercent val="0"/>
          <c:showBubbleSize val="0"/>
        </c:dLbls>
        <c:axId val="349921520"/>
        <c:axId val="349921912"/>
      </c:scatterChart>
      <c:valAx>
        <c:axId val="349921520"/>
        <c:scaling>
          <c:orientation val="minMax"/>
          <c:max val="20"/>
          <c:min val="1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SEER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921912"/>
        <c:crosses val="autoZero"/>
        <c:crossBetween val="midCat"/>
      </c:valAx>
      <c:valAx>
        <c:axId val="349921912"/>
        <c:scaling>
          <c:orientation val="minMax"/>
          <c:min val="7"/>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HSPF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921520"/>
        <c:crosses val="autoZero"/>
        <c:crossBetween val="midCat"/>
      </c:valAx>
      <c:spPr>
        <a:noFill/>
        <a:ln>
          <a:noFill/>
        </a:ln>
        <a:effectLst/>
      </c:spPr>
    </c:plotArea>
    <c:legend>
      <c:legendPos val="r"/>
      <c:layout>
        <c:manualLayout>
          <c:xMode val="edge"/>
          <c:yMode val="edge"/>
          <c:x val="0.18605446194225725"/>
          <c:y val="5.4680509728387394E-2"/>
          <c:w val="0.33616776027996498"/>
          <c:h val="0.24944032557728038"/>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71437</xdr:colOff>
      <xdr:row>9</xdr:row>
      <xdr:rowOff>47625</xdr:rowOff>
    </xdr:from>
    <xdr:to>
      <xdr:col>13</xdr:col>
      <xdr:colOff>376237</xdr:colOff>
      <xdr:row>28</xdr:row>
      <xdr:rowOff>171451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2:M50"/>
  <sheetViews>
    <sheetView tabSelected="1" workbookViewId="0">
      <selection activeCell="B4" sqref="B4"/>
    </sheetView>
  </sheetViews>
  <sheetFormatPr defaultRowHeight="15" x14ac:dyDescent="0.25"/>
  <cols>
    <col min="2" max="2" width="6.42578125" customWidth="1"/>
  </cols>
  <sheetData>
    <row r="2" spans="2:13" ht="20.25" thickBot="1" x14ac:dyDescent="0.35">
      <c r="B2" s="1" t="s">
        <v>641</v>
      </c>
      <c r="C2" s="1"/>
      <c r="D2" s="1"/>
      <c r="E2" s="1"/>
      <c r="F2" s="1"/>
      <c r="G2" s="1"/>
      <c r="H2" s="1"/>
      <c r="I2" s="1"/>
    </row>
    <row r="3" spans="2:13" ht="15.75" thickTop="1" x14ac:dyDescent="0.25">
      <c r="B3" s="450">
        <v>41967</v>
      </c>
      <c r="C3" s="450"/>
    </row>
    <row r="5" spans="2:13" x14ac:dyDescent="0.25">
      <c r="B5" s="3" t="s">
        <v>710</v>
      </c>
    </row>
    <row r="6" spans="2:13" ht="61.5" customHeight="1" x14ac:dyDescent="0.25">
      <c r="B6" s="451" t="s">
        <v>406</v>
      </c>
      <c r="C6" s="451"/>
      <c r="D6" s="451"/>
      <c r="E6" s="451"/>
      <c r="F6" s="451"/>
      <c r="G6" s="451"/>
      <c r="H6" s="451"/>
      <c r="I6" s="451"/>
      <c r="J6" s="451"/>
      <c r="K6" s="451"/>
      <c r="L6" s="451"/>
      <c r="M6" s="451"/>
    </row>
    <row r="8" spans="2:13" x14ac:dyDescent="0.25">
      <c r="B8" s="3" t="s">
        <v>711</v>
      </c>
    </row>
    <row r="9" spans="2:13" ht="78.75" customHeight="1" x14ac:dyDescent="0.25">
      <c r="B9" s="451" t="s">
        <v>716</v>
      </c>
      <c r="C9" s="451"/>
      <c r="D9" s="451"/>
      <c r="E9" s="451"/>
      <c r="F9" s="451"/>
      <c r="G9" s="451"/>
      <c r="H9" s="451"/>
      <c r="I9" s="451"/>
      <c r="J9" s="451"/>
      <c r="K9" s="451"/>
      <c r="L9" s="451"/>
      <c r="M9" s="451"/>
    </row>
    <row r="10" spans="2:13" x14ac:dyDescent="0.25">
      <c r="B10" s="231"/>
      <c r="C10" s="231"/>
      <c r="D10" s="231"/>
      <c r="E10" s="231"/>
      <c r="F10" s="231"/>
      <c r="G10" s="231"/>
      <c r="H10" s="231"/>
      <c r="I10" s="231"/>
      <c r="J10" s="231"/>
      <c r="K10" s="231"/>
      <c r="L10" s="231"/>
      <c r="M10" s="231"/>
    </row>
    <row r="11" spans="2:13" x14ac:dyDescent="0.25">
      <c r="B11" s="274" t="s">
        <v>719</v>
      </c>
      <c r="C11" s="231"/>
      <c r="D11" s="231"/>
      <c r="E11" s="231"/>
      <c r="F11" s="231"/>
      <c r="G11" s="231"/>
      <c r="H11" s="231"/>
      <c r="I11" s="231"/>
      <c r="J11" s="231"/>
      <c r="K11" s="231"/>
      <c r="L11" s="231"/>
      <c r="M11" s="231"/>
    </row>
    <row r="12" spans="2:13" ht="103.5" customHeight="1" x14ac:dyDescent="0.25">
      <c r="B12" s="451" t="s">
        <v>821</v>
      </c>
      <c r="C12" s="451"/>
      <c r="D12" s="451"/>
      <c r="E12" s="451"/>
      <c r="F12" s="451"/>
      <c r="G12" s="451"/>
      <c r="H12" s="451"/>
      <c r="I12" s="451"/>
      <c r="J12" s="451"/>
      <c r="K12" s="451"/>
      <c r="L12" s="451"/>
      <c r="M12" s="451"/>
    </row>
    <row r="13" spans="2:13" x14ac:dyDescent="0.25">
      <c r="B13" s="277"/>
      <c r="C13" s="277"/>
      <c r="D13" s="277"/>
      <c r="E13" s="277"/>
      <c r="F13" s="277"/>
      <c r="G13" s="277"/>
      <c r="H13" s="277"/>
      <c r="I13" s="277"/>
      <c r="J13" s="277"/>
      <c r="K13" s="277"/>
      <c r="L13" s="277"/>
      <c r="M13" s="277"/>
    </row>
    <row r="14" spans="2:13" x14ac:dyDescent="0.25">
      <c r="B14" s="274" t="s">
        <v>877</v>
      </c>
      <c r="C14" s="277"/>
      <c r="D14" s="277"/>
      <c r="E14" s="277"/>
      <c r="F14" s="277"/>
      <c r="G14" s="277"/>
      <c r="H14" s="277"/>
      <c r="I14" s="277"/>
      <c r="J14" s="277"/>
      <c r="K14" s="277"/>
      <c r="L14" s="277"/>
      <c r="M14" s="277"/>
    </row>
    <row r="15" spans="2:13" ht="98.25" customHeight="1" x14ac:dyDescent="0.25">
      <c r="B15" s="451" t="s">
        <v>885</v>
      </c>
      <c r="C15" s="451"/>
      <c r="D15" s="451"/>
      <c r="E15" s="451"/>
      <c r="F15" s="451"/>
      <c r="G15" s="451"/>
      <c r="H15" s="451"/>
      <c r="I15" s="451"/>
      <c r="J15" s="451"/>
      <c r="K15" s="451"/>
      <c r="L15" s="451"/>
      <c r="M15" s="451"/>
    </row>
    <row r="16" spans="2:13" x14ac:dyDescent="0.25">
      <c r="B16" s="277"/>
      <c r="C16" s="277"/>
      <c r="D16" s="277"/>
      <c r="E16" s="277"/>
      <c r="F16" s="277"/>
      <c r="G16" s="277"/>
      <c r="H16" s="277"/>
      <c r="I16" s="277"/>
      <c r="J16" s="277"/>
      <c r="K16" s="277"/>
      <c r="L16" s="277"/>
      <c r="M16" s="277"/>
    </row>
    <row r="17" spans="2:13" x14ac:dyDescent="0.25">
      <c r="B17" s="451" t="s">
        <v>404</v>
      </c>
      <c r="C17" s="451"/>
      <c r="D17" s="451"/>
      <c r="E17" s="451"/>
      <c r="F17" s="451"/>
      <c r="G17" s="451"/>
      <c r="H17" s="451"/>
      <c r="I17" s="451"/>
      <c r="J17" s="451"/>
      <c r="K17" s="451"/>
      <c r="L17" s="451"/>
      <c r="M17" s="451"/>
    </row>
    <row r="18" spans="2:13" ht="30.75" customHeight="1" x14ac:dyDescent="0.25">
      <c r="B18" s="23">
        <v>1</v>
      </c>
      <c r="C18" s="452" t="s">
        <v>642</v>
      </c>
      <c r="D18" s="452"/>
      <c r="E18" s="452"/>
      <c r="F18" s="452"/>
      <c r="G18" s="452"/>
      <c r="H18" s="452"/>
      <c r="I18" s="452"/>
      <c r="J18" s="452"/>
      <c r="K18" s="452"/>
      <c r="L18" s="452"/>
      <c r="M18" s="452"/>
    </row>
    <row r="19" spans="2:13" ht="44.25" customHeight="1" x14ac:dyDescent="0.25">
      <c r="B19" s="24">
        <f>+B18+1</f>
        <v>2</v>
      </c>
      <c r="C19" s="452" t="s">
        <v>0</v>
      </c>
      <c r="D19" s="452"/>
      <c r="E19" s="452"/>
      <c r="F19" s="452"/>
      <c r="G19" s="452"/>
      <c r="H19" s="452"/>
      <c r="I19" s="452"/>
      <c r="J19" s="452"/>
      <c r="K19" s="452"/>
      <c r="L19" s="452"/>
      <c r="M19" s="452"/>
    </row>
    <row r="20" spans="2:13" ht="31.5" customHeight="1" x14ac:dyDescent="0.25">
      <c r="B20" s="24">
        <f t="shared" ref="B20:B22" si="0">+B19+1</f>
        <v>3</v>
      </c>
      <c r="C20" s="451" t="s">
        <v>1</v>
      </c>
      <c r="D20" s="451"/>
      <c r="E20" s="451"/>
      <c r="F20" s="451"/>
      <c r="G20" s="451"/>
      <c r="H20" s="451"/>
      <c r="I20" s="451"/>
      <c r="J20" s="451"/>
      <c r="K20" s="451"/>
      <c r="L20" s="451"/>
      <c r="M20" s="451"/>
    </row>
    <row r="21" spans="2:13" ht="18.75" customHeight="1" x14ac:dyDescent="0.25">
      <c r="B21" s="24">
        <f t="shared" si="0"/>
        <v>4</v>
      </c>
      <c r="C21" s="451" t="s">
        <v>402</v>
      </c>
      <c r="D21" s="451"/>
      <c r="E21" s="451"/>
      <c r="F21" s="451"/>
      <c r="G21" s="451"/>
      <c r="H21" s="451"/>
      <c r="I21" s="451"/>
      <c r="J21" s="451"/>
      <c r="K21" s="451"/>
      <c r="L21" s="451"/>
      <c r="M21" s="451"/>
    </row>
    <row r="22" spans="2:13" ht="32.25" customHeight="1" x14ac:dyDescent="0.25">
      <c r="B22" s="24">
        <f t="shared" si="0"/>
        <v>5</v>
      </c>
      <c r="C22" s="451" t="s">
        <v>2</v>
      </c>
      <c r="D22" s="451"/>
      <c r="E22" s="451"/>
      <c r="F22" s="451"/>
      <c r="G22" s="451"/>
      <c r="H22" s="451"/>
      <c r="I22" s="451"/>
      <c r="J22" s="451"/>
      <c r="K22" s="451"/>
      <c r="L22" s="451"/>
      <c r="M22" s="451"/>
    </row>
    <row r="24" spans="2:13" x14ac:dyDescent="0.25">
      <c r="B24" s="3" t="s">
        <v>3</v>
      </c>
    </row>
    <row r="25" spans="2:13" x14ac:dyDescent="0.25">
      <c r="B25" s="4" t="s">
        <v>822</v>
      </c>
    </row>
    <row r="26" spans="2:13" x14ac:dyDescent="0.25">
      <c r="C26" t="s">
        <v>824</v>
      </c>
    </row>
    <row r="27" spans="2:13" x14ac:dyDescent="0.25">
      <c r="B27" s="4" t="s">
        <v>768</v>
      </c>
    </row>
    <row r="28" spans="2:13" x14ac:dyDescent="0.25">
      <c r="C28" t="s">
        <v>823</v>
      </c>
    </row>
    <row r="29" spans="2:13" x14ac:dyDescent="0.25">
      <c r="B29" s="4" t="s">
        <v>69</v>
      </c>
    </row>
    <row r="30" spans="2:13" x14ac:dyDescent="0.25">
      <c r="C30" t="s">
        <v>384</v>
      </c>
    </row>
    <row r="31" spans="2:13" x14ac:dyDescent="0.25">
      <c r="B31" s="4" t="s">
        <v>570</v>
      </c>
    </row>
    <row r="32" spans="2:13" x14ac:dyDescent="0.25">
      <c r="C32" t="s">
        <v>572</v>
      </c>
    </row>
    <row r="33" spans="2:3" x14ac:dyDescent="0.25">
      <c r="B33" s="4" t="s">
        <v>571</v>
      </c>
    </row>
    <row r="34" spans="2:3" x14ac:dyDescent="0.25">
      <c r="C34" t="s">
        <v>573</v>
      </c>
    </row>
    <row r="35" spans="2:3" x14ac:dyDescent="0.25">
      <c r="B35" s="4" t="s">
        <v>4</v>
      </c>
    </row>
    <row r="36" spans="2:3" x14ac:dyDescent="0.25">
      <c r="C36" t="s">
        <v>640</v>
      </c>
    </row>
    <row r="37" spans="2:3" x14ac:dyDescent="0.25">
      <c r="B37" s="4" t="s">
        <v>717</v>
      </c>
    </row>
    <row r="38" spans="2:3" x14ac:dyDescent="0.25">
      <c r="C38" t="s">
        <v>718</v>
      </c>
    </row>
    <row r="39" spans="2:3" x14ac:dyDescent="0.25">
      <c r="B39" s="4" t="s">
        <v>215</v>
      </c>
    </row>
    <row r="40" spans="2:3" x14ac:dyDescent="0.25">
      <c r="B40" s="4"/>
      <c r="C40" t="s">
        <v>390</v>
      </c>
    </row>
    <row r="41" spans="2:3" x14ac:dyDescent="0.25">
      <c r="B41" s="4" t="s">
        <v>216</v>
      </c>
    </row>
    <row r="42" spans="2:3" x14ac:dyDescent="0.25">
      <c r="C42" t="s">
        <v>391</v>
      </c>
    </row>
    <row r="43" spans="2:3" x14ac:dyDescent="0.25">
      <c r="B43" s="4" t="s">
        <v>51</v>
      </c>
    </row>
    <row r="44" spans="2:3" x14ac:dyDescent="0.25">
      <c r="C44" t="s">
        <v>399</v>
      </c>
    </row>
    <row r="45" spans="2:3" x14ac:dyDescent="0.25">
      <c r="B45" s="4" t="s">
        <v>217</v>
      </c>
    </row>
    <row r="46" spans="2:3" x14ac:dyDescent="0.25">
      <c r="C46" t="s">
        <v>398</v>
      </c>
    </row>
    <row r="47" spans="2:3" x14ac:dyDescent="0.25">
      <c r="B47" s="4" t="s">
        <v>205</v>
      </c>
    </row>
    <row r="48" spans="2:3" x14ac:dyDescent="0.25">
      <c r="C48" t="s">
        <v>401</v>
      </c>
    </row>
    <row r="49" spans="2:3" x14ac:dyDescent="0.25">
      <c r="B49" s="4" t="s">
        <v>206</v>
      </c>
    </row>
    <row r="50" spans="2:3" x14ac:dyDescent="0.25">
      <c r="C50" t="s">
        <v>400</v>
      </c>
    </row>
  </sheetData>
  <mergeCells count="11">
    <mergeCell ref="B3:C3"/>
    <mergeCell ref="C22:M22"/>
    <mergeCell ref="B6:M6"/>
    <mergeCell ref="B9:M9"/>
    <mergeCell ref="B17:M17"/>
    <mergeCell ref="C18:M18"/>
    <mergeCell ref="C19:M19"/>
    <mergeCell ref="C20:M20"/>
    <mergeCell ref="C21:M21"/>
    <mergeCell ref="B12:M12"/>
    <mergeCell ref="B15:M15"/>
  </mergeCells>
  <pageMargins left="0.7" right="0.7" top="0.75" bottom="0.75" header="0.3" footer="0.3"/>
  <pageSetup orientation="portrait" horizontalDpi="0" verticalDpi="0" r:id="rId1"/>
  <headerFooter>
    <oddFooter>&amp;L&amp;Z&amp;F &amp;A&amp;C&amp;P&amp;R&amp;D &amp;T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M75"/>
  <sheetViews>
    <sheetView workbookViewId="0">
      <selection activeCell="H11" sqref="H11"/>
    </sheetView>
  </sheetViews>
  <sheetFormatPr defaultRowHeight="15" x14ac:dyDescent="0.25"/>
  <cols>
    <col min="1" max="1" width="7.85546875" customWidth="1"/>
  </cols>
  <sheetData>
    <row r="2" spans="2:9" ht="20.25" thickBot="1" x14ac:dyDescent="0.35">
      <c r="B2" s="1" t="s">
        <v>223</v>
      </c>
      <c r="C2" s="1"/>
      <c r="D2" s="1"/>
      <c r="E2" s="1"/>
      <c r="F2" s="1"/>
      <c r="G2" s="1"/>
    </row>
    <row r="3" spans="2:9" ht="15.75" thickTop="1" x14ac:dyDescent="0.25"/>
    <row r="4" spans="2:9" ht="62.25" customHeight="1" x14ac:dyDescent="0.25">
      <c r="B4" s="451" t="s">
        <v>637</v>
      </c>
      <c r="C4" s="451"/>
      <c r="D4" s="451"/>
      <c r="E4" s="451"/>
      <c r="F4" s="451"/>
      <c r="G4" s="451"/>
      <c r="H4" s="451"/>
      <c r="I4" s="451"/>
    </row>
    <row r="5" spans="2:9" x14ac:dyDescent="0.25">
      <c r="B5" t="s">
        <v>393</v>
      </c>
      <c r="C5" s="232"/>
      <c r="D5" s="232"/>
      <c r="E5" s="232"/>
      <c r="F5" s="232"/>
      <c r="G5" s="232"/>
      <c r="H5" s="232"/>
      <c r="I5" s="232"/>
    </row>
    <row r="6" spans="2:9" x14ac:dyDescent="0.25">
      <c r="B6" s="272"/>
      <c r="C6" s="232"/>
      <c r="D6" s="232"/>
      <c r="E6" s="232"/>
      <c r="F6" s="232"/>
      <c r="G6" s="232"/>
      <c r="H6" s="232"/>
      <c r="I6" s="232"/>
    </row>
    <row r="8" spans="2:9" ht="15.75" thickBot="1" x14ac:dyDescent="0.3">
      <c r="B8" t="s">
        <v>636</v>
      </c>
      <c r="H8" t="s">
        <v>392</v>
      </c>
    </row>
    <row r="9" spans="2:9" x14ac:dyDescent="0.25">
      <c r="B9" s="5" t="s">
        <v>222</v>
      </c>
      <c r="C9" s="5" t="s">
        <v>221</v>
      </c>
      <c r="D9" s="214" t="s">
        <v>91</v>
      </c>
      <c r="E9" s="214" t="s">
        <v>114</v>
      </c>
      <c r="F9" s="5" t="s">
        <v>101</v>
      </c>
      <c r="H9" s="58" t="s">
        <v>91</v>
      </c>
      <c r="I9" s="57" t="s">
        <v>224</v>
      </c>
    </row>
    <row r="10" spans="2:9" ht="15.75" thickBot="1" x14ac:dyDescent="0.3">
      <c r="B10" s="59">
        <v>23397</v>
      </c>
      <c r="C10" s="35">
        <f t="shared" ref="C10:C41" si="0">B10/12000</f>
        <v>1.9497500000000001</v>
      </c>
      <c r="D10">
        <v>10</v>
      </c>
      <c r="E10">
        <v>8.8699999999999992</v>
      </c>
      <c r="F10">
        <v>0.36499999999999999</v>
      </c>
      <c r="H10" s="56" t="s">
        <v>220</v>
      </c>
      <c r="I10" s="55" t="s">
        <v>225</v>
      </c>
    </row>
    <row r="11" spans="2:9" x14ac:dyDescent="0.25">
      <c r="B11" s="59">
        <v>30000</v>
      </c>
      <c r="C11" s="35">
        <f t="shared" si="0"/>
        <v>2.5</v>
      </c>
      <c r="D11">
        <v>10</v>
      </c>
      <c r="E11">
        <v>9.2899999999999991</v>
      </c>
      <c r="F11">
        <v>0.36499999999999999</v>
      </c>
      <c r="H11" s="153">
        <v>10</v>
      </c>
      <c r="I11" s="154">
        <f>AVERAGE(F10:F18)</f>
        <v>0.36499999999999999</v>
      </c>
    </row>
    <row r="12" spans="2:9" x14ac:dyDescent="0.25">
      <c r="B12" s="59">
        <v>24120</v>
      </c>
      <c r="C12" s="35">
        <f t="shared" si="0"/>
        <v>2.0099999999999998</v>
      </c>
      <c r="D12">
        <v>10</v>
      </c>
      <c r="E12">
        <v>9.51</v>
      </c>
      <c r="F12">
        <v>0.36499999999999999</v>
      </c>
      <c r="H12" s="54">
        <v>13</v>
      </c>
      <c r="I12" s="53">
        <f>AVERAGE(F19:F27)</f>
        <v>0.34833333333333338</v>
      </c>
    </row>
    <row r="13" spans="2:9" x14ac:dyDescent="0.25">
      <c r="B13" s="59">
        <v>17947</v>
      </c>
      <c r="C13" s="35">
        <f t="shared" si="0"/>
        <v>1.4955833333333333</v>
      </c>
      <c r="D13">
        <v>10</v>
      </c>
      <c r="E13">
        <v>8.77</v>
      </c>
      <c r="F13">
        <v>0.36499999999999999</v>
      </c>
      <c r="H13" s="54">
        <v>14</v>
      </c>
      <c r="I13" s="53">
        <f>AVERAGE(F28:F33)</f>
        <v>0.29366666666666669</v>
      </c>
    </row>
    <row r="14" spans="2:9" x14ac:dyDescent="0.25">
      <c r="B14" s="59">
        <v>35495</v>
      </c>
      <c r="C14" s="35">
        <f t="shared" si="0"/>
        <v>2.9579166666666667</v>
      </c>
      <c r="D14">
        <v>10</v>
      </c>
      <c r="E14">
        <v>9.08</v>
      </c>
      <c r="F14">
        <v>0.36499999999999999</v>
      </c>
      <c r="H14" s="54">
        <v>15</v>
      </c>
      <c r="I14" s="53">
        <f>AVERAGE(F34:F39)</f>
        <v>0.25133333333333335</v>
      </c>
    </row>
    <row r="15" spans="2:9" x14ac:dyDescent="0.25">
      <c r="B15" s="59">
        <v>18840</v>
      </c>
      <c r="C15" s="35">
        <f t="shared" si="0"/>
        <v>1.57</v>
      </c>
      <c r="D15">
        <v>10</v>
      </c>
      <c r="E15">
        <v>9.83</v>
      </c>
      <c r="F15">
        <v>0.36499999999999999</v>
      </c>
      <c r="H15" s="54" t="s">
        <v>219</v>
      </c>
      <c r="I15" s="53">
        <f>AVERAGE(F40:F57)</f>
        <v>0.27061111111111108</v>
      </c>
    </row>
    <row r="16" spans="2:9" ht="15.75" thickBot="1" x14ac:dyDescent="0.3">
      <c r="B16" s="59">
        <v>47993</v>
      </c>
      <c r="C16" s="35">
        <f t="shared" si="0"/>
        <v>3.9994166666666668</v>
      </c>
      <c r="D16">
        <v>10</v>
      </c>
      <c r="E16">
        <v>8.4600000000000009</v>
      </c>
      <c r="F16">
        <v>0.36499999999999999</v>
      </c>
      <c r="H16" s="52" t="s">
        <v>218</v>
      </c>
      <c r="I16" s="51">
        <f>AVERAGE(F64:F67)</f>
        <v>0.23275000000000001</v>
      </c>
    </row>
    <row r="17" spans="2:13" x14ac:dyDescent="0.25">
      <c r="B17" s="59">
        <v>48893</v>
      </c>
      <c r="C17" s="35">
        <f t="shared" si="0"/>
        <v>4.074416666666667</v>
      </c>
      <c r="D17">
        <v>10</v>
      </c>
      <c r="E17">
        <v>8.7899999999999991</v>
      </c>
      <c r="F17">
        <v>0.36499999999999999</v>
      </c>
    </row>
    <row r="18" spans="2:13" x14ac:dyDescent="0.25">
      <c r="B18" s="59">
        <v>41713</v>
      </c>
      <c r="C18" s="35">
        <f t="shared" si="0"/>
        <v>3.4760833333333334</v>
      </c>
      <c r="D18">
        <v>10</v>
      </c>
      <c r="E18">
        <v>9.31</v>
      </c>
      <c r="F18">
        <v>0.36499999999999999</v>
      </c>
    </row>
    <row r="19" spans="2:13" x14ac:dyDescent="0.25">
      <c r="B19" s="59">
        <v>43994.894</v>
      </c>
      <c r="C19" s="35">
        <f t="shared" si="0"/>
        <v>3.6662411666666666</v>
      </c>
      <c r="D19">
        <v>13</v>
      </c>
      <c r="E19">
        <v>11.36</v>
      </c>
      <c r="F19">
        <v>0.36499999999999999</v>
      </c>
    </row>
    <row r="20" spans="2:13" x14ac:dyDescent="0.25">
      <c r="B20" s="59">
        <v>49930</v>
      </c>
      <c r="C20" s="35">
        <f t="shared" si="0"/>
        <v>4.1608333333333336</v>
      </c>
      <c r="D20">
        <v>13</v>
      </c>
      <c r="E20">
        <v>12.04</v>
      </c>
      <c r="F20">
        <v>0.36499999999999999</v>
      </c>
    </row>
    <row r="21" spans="2:13" x14ac:dyDescent="0.25">
      <c r="B21" s="59">
        <v>26120</v>
      </c>
      <c r="C21" s="35">
        <f t="shared" si="0"/>
        <v>2.1766666666666667</v>
      </c>
      <c r="D21">
        <v>13</v>
      </c>
      <c r="E21">
        <v>12.5</v>
      </c>
      <c r="F21">
        <v>0.36499999999999999</v>
      </c>
    </row>
    <row r="22" spans="2:13" x14ac:dyDescent="0.25">
      <c r="B22" s="59">
        <v>44700</v>
      </c>
      <c r="C22" s="35">
        <f t="shared" si="0"/>
        <v>3.7250000000000001</v>
      </c>
      <c r="D22">
        <v>13</v>
      </c>
      <c r="E22">
        <v>11.09</v>
      </c>
      <c r="F22">
        <v>0.36399999999999999</v>
      </c>
    </row>
    <row r="23" spans="2:13" x14ac:dyDescent="0.25">
      <c r="B23" s="59">
        <v>43544.042999999998</v>
      </c>
      <c r="C23" s="35">
        <f t="shared" si="0"/>
        <v>3.6286702499999999</v>
      </c>
      <c r="D23">
        <v>13</v>
      </c>
      <c r="E23">
        <v>11.3</v>
      </c>
      <c r="F23">
        <v>0.36499999999999999</v>
      </c>
    </row>
    <row r="24" spans="2:13" x14ac:dyDescent="0.25">
      <c r="B24" s="59">
        <v>30545.744999999999</v>
      </c>
      <c r="C24" s="35">
        <f t="shared" si="0"/>
        <v>2.54547875</v>
      </c>
      <c r="D24">
        <v>13</v>
      </c>
      <c r="E24">
        <v>11.72</v>
      </c>
      <c r="F24">
        <v>0.36499999999999999</v>
      </c>
    </row>
    <row r="25" spans="2:13" x14ac:dyDescent="0.25">
      <c r="B25" s="59">
        <v>43400</v>
      </c>
      <c r="C25" s="35">
        <f t="shared" si="0"/>
        <v>3.6166666666666667</v>
      </c>
      <c r="D25">
        <v>13</v>
      </c>
      <c r="E25">
        <v>10.74</v>
      </c>
      <c r="F25">
        <v>0.28799999999999998</v>
      </c>
    </row>
    <row r="26" spans="2:13" x14ac:dyDescent="0.25">
      <c r="B26" s="59">
        <v>62102</v>
      </c>
      <c r="C26" s="35">
        <f t="shared" si="0"/>
        <v>5.1751666666666667</v>
      </c>
      <c r="D26">
        <v>13</v>
      </c>
      <c r="E26">
        <v>10.98</v>
      </c>
      <c r="F26">
        <v>0.32900000000000001</v>
      </c>
      <c r="M26" s="49"/>
    </row>
    <row r="27" spans="2:13" x14ac:dyDescent="0.25">
      <c r="B27" s="59">
        <v>41570</v>
      </c>
      <c r="C27" s="35">
        <f t="shared" si="0"/>
        <v>3.4641666666666668</v>
      </c>
      <c r="D27">
        <v>13</v>
      </c>
      <c r="E27">
        <v>11.35</v>
      </c>
      <c r="F27">
        <v>0.32900000000000001</v>
      </c>
      <c r="M27" s="49"/>
    </row>
    <row r="28" spans="2:13" x14ac:dyDescent="0.25">
      <c r="B28" s="59">
        <v>36500</v>
      </c>
      <c r="C28" s="35">
        <f t="shared" si="0"/>
        <v>3.0416666666666665</v>
      </c>
      <c r="D28">
        <v>14</v>
      </c>
      <c r="E28">
        <v>11.99</v>
      </c>
      <c r="F28">
        <v>0.38300000000000001</v>
      </c>
      <c r="M28" s="49"/>
    </row>
    <row r="29" spans="2:13" x14ac:dyDescent="0.25">
      <c r="B29" s="59">
        <v>37680</v>
      </c>
      <c r="C29" s="35">
        <f t="shared" si="0"/>
        <v>3.14</v>
      </c>
      <c r="D29">
        <v>14</v>
      </c>
      <c r="E29">
        <v>13.08</v>
      </c>
      <c r="F29">
        <v>0.26300000000000001</v>
      </c>
      <c r="M29" s="49"/>
    </row>
    <row r="30" spans="2:13" x14ac:dyDescent="0.25">
      <c r="B30" s="59">
        <v>41520</v>
      </c>
      <c r="C30" s="35">
        <f t="shared" si="0"/>
        <v>3.46</v>
      </c>
      <c r="D30">
        <v>14</v>
      </c>
      <c r="E30">
        <v>13.22</v>
      </c>
      <c r="F30">
        <v>0.24</v>
      </c>
      <c r="M30" s="49"/>
    </row>
    <row r="31" spans="2:13" x14ac:dyDescent="0.25">
      <c r="B31" s="59">
        <v>31167.924999999996</v>
      </c>
      <c r="C31" s="35">
        <f t="shared" si="0"/>
        <v>2.5973270833333331</v>
      </c>
      <c r="D31">
        <v>14</v>
      </c>
      <c r="E31">
        <v>11.7</v>
      </c>
      <c r="F31">
        <v>0.22500000000000001</v>
      </c>
      <c r="L31" s="49"/>
      <c r="M31" s="33"/>
    </row>
    <row r="32" spans="2:13" x14ac:dyDescent="0.25">
      <c r="B32" s="59">
        <v>29100</v>
      </c>
      <c r="C32" s="35">
        <f t="shared" si="0"/>
        <v>2.4249999999999998</v>
      </c>
      <c r="D32">
        <v>14</v>
      </c>
      <c r="E32">
        <v>11.84</v>
      </c>
      <c r="F32">
        <v>0.34499999999999997</v>
      </c>
      <c r="M32" s="33"/>
    </row>
    <row r="33" spans="2:13" x14ac:dyDescent="0.25">
      <c r="B33" s="59">
        <v>25300</v>
      </c>
      <c r="C33" s="35">
        <f t="shared" si="0"/>
        <v>2.1083333333333334</v>
      </c>
      <c r="D33">
        <v>14</v>
      </c>
      <c r="E33">
        <v>12.17</v>
      </c>
      <c r="F33">
        <v>0.30599999999999999</v>
      </c>
      <c r="J33" s="50"/>
      <c r="M33" s="33"/>
    </row>
    <row r="34" spans="2:13" x14ac:dyDescent="0.25">
      <c r="B34" s="59">
        <v>45047.790999999997</v>
      </c>
      <c r="C34" s="35">
        <f t="shared" si="0"/>
        <v>3.7539825833333329</v>
      </c>
      <c r="D34">
        <v>15</v>
      </c>
      <c r="E34">
        <v>12.72</v>
      </c>
      <c r="F34">
        <v>0.25600000000000001</v>
      </c>
      <c r="L34" s="49"/>
      <c r="M34" s="33"/>
    </row>
    <row r="35" spans="2:13" x14ac:dyDescent="0.25">
      <c r="B35" s="59">
        <v>36100</v>
      </c>
      <c r="C35" s="35">
        <f t="shared" si="0"/>
        <v>3.0083333333333333</v>
      </c>
      <c r="D35">
        <v>15</v>
      </c>
      <c r="E35">
        <v>12.99</v>
      </c>
      <c r="F35">
        <v>0.23300000000000001</v>
      </c>
      <c r="K35" s="50"/>
      <c r="L35" s="49"/>
    </row>
    <row r="36" spans="2:13" x14ac:dyDescent="0.25">
      <c r="B36" s="59">
        <v>29600</v>
      </c>
      <c r="C36" s="35">
        <f t="shared" si="0"/>
        <v>2.4666666666666668</v>
      </c>
      <c r="D36">
        <v>15</v>
      </c>
      <c r="E36">
        <v>13.11</v>
      </c>
      <c r="F36">
        <v>0.19</v>
      </c>
      <c r="K36" s="50"/>
      <c r="L36" s="49"/>
    </row>
    <row r="37" spans="2:13" x14ac:dyDescent="0.25">
      <c r="B37" s="59">
        <v>51934.145300000004</v>
      </c>
      <c r="C37" s="35">
        <f t="shared" si="0"/>
        <v>4.3278454416666667</v>
      </c>
      <c r="D37">
        <v>15</v>
      </c>
      <c r="E37">
        <v>12.39</v>
      </c>
      <c r="F37">
        <v>0.318</v>
      </c>
    </row>
    <row r="38" spans="2:13" x14ac:dyDescent="0.25">
      <c r="B38" s="59">
        <v>30874</v>
      </c>
      <c r="C38" s="35">
        <f t="shared" si="0"/>
        <v>2.5728333333333335</v>
      </c>
      <c r="D38">
        <v>15</v>
      </c>
      <c r="E38">
        <v>13.01</v>
      </c>
      <c r="F38">
        <v>0.25600000000000001</v>
      </c>
    </row>
    <row r="39" spans="2:13" x14ac:dyDescent="0.25">
      <c r="B39" s="59">
        <v>23967</v>
      </c>
      <c r="C39" s="35">
        <f t="shared" si="0"/>
        <v>1.99725</v>
      </c>
      <c r="D39">
        <v>15</v>
      </c>
      <c r="E39">
        <v>12.85</v>
      </c>
      <c r="F39">
        <v>0.255</v>
      </c>
    </row>
    <row r="40" spans="2:13" x14ac:dyDescent="0.25">
      <c r="B40" s="59">
        <v>36720.290999999997</v>
      </c>
      <c r="C40" s="35">
        <f t="shared" si="0"/>
        <v>3.0600242499999997</v>
      </c>
      <c r="D40">
        <v>16</v>
      </c>
      <c r="E40">
        <v>11.74</v>
      </c>
      <c r="F40">
        <v>0.25600000000000001</v>
      </c>
    </row>
    <row r="41" spans="2:13" x14ac:dyDescent="0.25">
      <c r="B41" s="59">
        <v>36192.361000000004</v>
      </c>
      <c r="C41" s="35">
        <f t="shared" si="0"/>
        <v>3.0160300833333338</v>
      </c>
      <c r="D41">
        <v>16</v>
      </c>
      <c r="E41">
        <v>11.77</v>
      </c>
      <c r="F41">
        <v>0.17899999999999999</v>
      </c>
    </row>
    <row r="42" spans="2:13" x14ac:dyDescent="0.25">
      <c r="B42" s="59">
        <v>36955.719666666657</v>
      </c>
      <c r="C42" s="35">
        <f t="shared" ref="C42:C67" si="1">B42/12000</f>
        <v>3.0796433055555545</v>
      </c>
      <c r="D42">
        <v>16</v>
      </c>
      <c r="E42">
        <v>12.2</v>
      </c>
      <c r="F42">
        <v>0.255</v>
      </c>
    </row>
    <row r="43" spans="2:13" x14ac:dyDescent="0.25">
      <c r="B43" s="59">
        <v>37000</v>
      </c>
      <c r="C43" s="35">
        <f t="shared" si="1"/>
        <v>3.0833333333333335</v>
      </c>
      <c r="D43">
        <v>16</v>
      </c>
      <c r="E43">
        <v>11.61</v>
      </c>
      <c r="F43">
        <v>0.27400000000000002</v>
      </c>
    </row>
    <row r="44" spans="2:13" x14ac:dyDescent="0.25">
      <c r="B44" s="59">
        <v>50500</v>
      </c>
      <c r="C44" s="35">
        <f t="shared" si="1"/>
        <v>4.208333333333333</v>
      </c>
      <c r="D44">
        <v>16</v>
      </c>
      <c r="E44">
        <v>12.17</v>
      </c>
      <c r="F44">
        <v>0.25800000000000001</v>
      </c>
    </row>
    <row r="45" spans="2:13" x14ac:dyDescent="0.25">
      <c r="B45" s="59">
        <v>37600</v>
      </c>
      <c r="C45" s="35">
        <f t="shared" si="1"/>
        <v>3.1333333333333333</v>
      </c>
      <c r="D45">
        <v>16</v>
      </c>
      <c r="E45">
        <v>12.2</v>
      </c>
      <c r="F45">
        <v>0.36699999999999999</v>
      </c>
    </row>
    <row r="46" spans="2:13" x14ac:dyDescent="0.25">
      <c r="B46" s="59">
        <v>36910</v>
      </c>
      <c r="C46" s="35">
        <f t="shared" si="1"/>
        <v>3.0758333333333332</v>
      </c>
      <c r="D46">
        <v>16</v>
      </c>
      <c r="E46">
        <v>12.42</v>
      </c>
      <c r="F46">
        <v>0.255</v>
      </c>
    </row>
    <row r="47" spans="2:13" x14ac:dyDescent="0.25">
      <c r="B47" s="59">
        <v>47293.871000000006</v>
      </c>
      <c r="C47" s="35">
        <f t="shared" si="1"/>
        <v>3.9411559166666672</v>
      </c>
      <c r="D47">
        <v>16</v>
      </c>
      <c r="E47">
        <v>11.1</v>
      </c>
      <c r="F47">
        <v>0.29199999999999998</v>
      </c>
    </row>
    <row r="48" spans="2:13" x14ac:dyDescent="0.25">
      <c r="B48" s="59">
        <v>35847.79099999999</v>
      </c>
      <c r="C48" s="35">
        <f t="shared" si="1"/>
        <v>2.9873159166666658</v>
      </c>
      <c r="D48">
        <v>16</v>
      </c>
      <c r="E48">
        <v>11.33</v>
      </c>
      <c r="F48">
        <v>0.25600000000000001</v>
      </c>
    </row>
    <row r="49" spans="2:6" x14ac:dyDescent="0.25">
      <c r="B49" s="59">
        <v>35751.184000000001</v>
      </c>
      <c r="C49" s="35">
        <f t="shared" si="1"/>
        <v>2.9792653333333332</v>
      </c>
      <c r="D49">
        <v>17</v>
      </c>
      <c r="E49">
        <v>12.4</v>
      </c>
      <c r="F49">
        <v>0.255</v>
      </c>
    </row>
    <row r="50" spans="2:6" x14ac:dyDescent="0.25">
      <c r="B50" s="59">
        <v>36479.053</v>
      </c>
      <c r="C50" s="35">
        <f t="shared" si="1"/>
        <v>3.0399210833333332</v>
      </c>
      <c r="D50">
        <v>17</v>
      </c>
      <c r="E50">
        <v>12.47</v>
      </c>
      <c r="F50">
        <v>0.255</v>
      </c>
    </row>
    <row r="51" spans="2:6" x14ac:dyDescent="0.25">
      <c r="B51" s="59">
        <v>36117.884000000005</v>
      </c>
      <c r="C51" s="35">
        <f t="shared" si="1"/>
        <v>3.0098236666666671</v>
      </c>
      <c r="D51">
        <v>17</v>
      </c>
      <c r="E51">
        <v>12.68</v>
      </c>
      <c r="F51">
        <v>0.255</v>
      </c>
    </row>
    <row r="52" spans="2:6" x14ac:dyDescent="0.25">
      <c r="B52" s="59">
        <v>38000</v>
      </c>
      <c r="C52" s="35">
        <f t="shared" si="1"/>
        <v>3.1666666666666665</v>
      </c>
      <c r="D52">
        <v>17</v>
      </c>
      <c r="E52">
        <v>12.28</v>
      </c>
      <c r="F52">
        <v>0.20200000000000001</v>
      </c>
    </row>
    <row r="53" spans="2:6" x14ac:dyDescent="0.25">
      <c r="B53" s="59">
        <v>37600</v>
      </c>
      <c r="C53" s="35">
        <f t="shared" si="1"/>
        <v>3.1333333333333333</v>
      </c>
      <c r="D53">
        <v>17</v>
      </c>
      <c r="E53">
        <v>12.47</v>
      </c>
      <c r="F53">
        <v>0.16200000000000001</v>
      </c>
    </row>
    <row r="54" spans="2:6" x14ac:dyDescent="0.25">
      <c r="B54" s="59">
        <v>36800</v>
      </c>
      <c r="C54" s="35">
        <f t="shared" si="1"/>
        <v>3.0666666666666669</v>
      </c>
      <c r="D54">
        <v>17</v>
      </c>
      <c r="E54">
        <v>12.67</v>
      </c>
      <c r="F54">
        <v>0.29199999999999998</v>
      </c>
    </row>
    <row r="55" spans="2:6" x14ac:dyDescent="0.25">
      <c r="B55" s="59">
        <v>61342.341000000008</v>
      </c>
      <c r="C55" s="35">
        <f t="shared" si="1"/>
        <v>5.111861750000001</v>
      </c>
      <c r="D55">
        <v>17</v>
      </c>
      <c r="E55">
        <v>11.41</v>
      </c>
      <c r="F55">
        <v>0.36499999999999999</v>
      </c>
    </row>
    <row r="56" spans="2:6" x14ac:dyDescent="0.25">
      <c r="B56" s="59">
        <v>51504.454000000005</v>
      </c>
      <c r="C56" s="35">
        <f t="shared" si="1"/>
        <v>4.2920378333333336</v>
      </c>
      <c r="D56">
        <v>17</v>
      </c>
      <c r="E56">
        <v>12.16</v>
      </c>
      <c r="F56">
        <v>0.32800000000000001</v>
      </c>
    </row>
    <row r="57" spans="2:6" x14ac:dyDescent="0.25">
      <c r="B57" s="59">
        <v>33842.341000000008</v>
      </c>
      <c r="C57" s="35">
        <f t="shared" si="1"/>
        <v>2.820195083333334</v>
      </c>
      <c r="D57">
        <v>17</v>
      </c>
      <c r="E57">
        <v>12.95</v>
      </c>
      <c r="F57">
        <v>0.36499999999999999</v>
      </c>
    </row>
    <row r="58" spans="2:6" x14ac:dyDescent="0.25">
      <c r="B58" s="59">
        <v>37800</v>
      </c>
      <c r="C58" s="35">
        <f t="shared" si="1"/>
        <v>3.15</v>
      </c>
      <c r="D58">
        <v>18</v>
      </c>
      <c r="E58">
        <v>12.97</v>
      </c>
      <c r="F58">
        <v>0.28699999999999998</v>
      </c>
    </row>
    <row r="59" spans="2:6" x14ac:dyDescent="0.25">
      <c r="B59" s="59">
        <v>37600</v>
      </c>
      <c r="C59" s="35">
        <f t="shared" si="1"/>
        <v>3.1333333333333333</v>
      </c>
      <c r="D59">
        <v>18</v>
      </c>
      <c r="E59">
        <v>13.22</v>
      </c>
      <c r="F59">
        <v>0.223</v>
      </c>
    </row>
    <row r="60" spans="2:6" x14ac:dyDescent="0.25">
      <c r="B60" s="59">
        <v>37347.79099999999</v>
      </c>
      <c r="C60" s="35">
        <f t="shared" si="1"/>
        <v>3.1123159166666658</v>
      </c>
      <c r="D60">
        <v>18</v>
      </c>
      <c r="E60">
        <v>12.73</v>
      </c>
      <c r="F60">
        <v>0.25600000000000001</v>
      </c>
    </row>
    <row r="61" spans="2:6" x14ac:dyDescent="0.25">
      <c r="B61" s="59">
        <v>33259.052999999993</v>
      </c>
      <c r="C61" s="35">
        <f t="shared" si="1"/>
        <v>2.7715877499999992</v>
      </c>
      <c r="D61">
        <v>18</v>
      </c>
      <c r="E61">
        <v>13.37</v>
      </c>
      <c r="F61">
        <v>0.255</v>
      </c>
    </row>
    <row r="62" spans="2:6" x14ac:dyDescent="0.25">
      <c r="B62" s="59">
        <v>34047.790999999997</v>
      </c>
      <c r="C62" s="35">
        <f t="shared" si="1"/>
        <v>2.8373159166666664</v>
      </c>
      <c r="D62">
        <v>18</v>
      </c>
      <c r="E62">
        <v>13.75</v>
      </c>
      <c r="F62">
        <v>0.25600000000000001</v>
      </c>
    </row>
    <row r="63" spans="2:6" x14ac:dyDescent="0.25">
      <c r="B63" s="59">
        <v>36300</v>
      </c>
      <c r="C63" s="35">
        <f t="shared" si="1"/>
        <v>3.0249999999999999</v>
      </c>
      <c r="D63">
        <v>18</v>
      </c>
      <c r="E63">
        <v>13.38</v>
      </c>
      <c r="F63">
        <v>0.36599999999999999</v>
      </c>
    </row>
    <row r="64" spans="2:6" x14ac:dyDescent="0.25">
      <c r="B64" s="59">
        <v>38933.116000000002</v>
      </c>
      <c r="C64" s="35">
        <f t="shared" si="1"/>
        <v>3.2444263333333336</v>
      </c>
      <c r="D64">
        <v>19</v>
      </c>
      <c r="E64">
        <v>13.12</v>
      </c>
      <c r="F64">
        <v>0.255</v>
      </c>
    </row>
    <row r="65" spans="2:8" x14ac:dyDescent="0.25">
      <c r="B65" s="59">
        <v>25966.252</v>
      </c>
      <c r="C65" s="35">
        <f t="shared" si="1"/>
        <v>2.1638543333333335</v>
      </c>
      <c r="D65">
        <v>19</v>
      </c>
      <c r="E65">
        <v>14</v>
      </c>
      <c r="F65">
        <v>0.255</v>
      </c>
    </row>
    <row r="66" spans="2:8" x14ac:dyDescent="0.25">
      <c r="B66" s="59">
        <v>38000</v>
      </c>
      <c r="C66" s="35">
        <f t="shared" si="1"/>
        <v>3.1666666666666665</v>
      </c>
      <c r="D66">
        <v>19</v>
      </c>
      <c r="E66">
        <v>13.82</v>
      </c>
      <c r="F66">
        <v>0.16600000000000001</v>
      </c>
    </row>
    <row r="67" spans="2:8" x14ac:dyDescent="0.25">
      <c r="B67" s="59">
        <v>26498.252</v>
      </c>
      <c r="C67" s="35">
        <f t="shared" si="1"/>
        <v>2.2081876666666669</v>
      </c>
      <c r="D67">
        <v>20</v>
      </c>
      <c r="E67">
        <v>14.43</v>
      </c>
      <c r="F67">
        <v>0.255</v>
      </c>
    </row>
    <row r="69" spans="2:8" x14ac:dyDescent="0.25">
      <c r="C69" s="271" t="s">
        <v>113</v>
      </c>
      <c r="D69" s="5" t="s">
        <v>221</v>
      </c>
      <c r="E69" s="214" t="s">
        <v>91</v>
      </c>
      <c r="F69" s="214" t="s">
        <v>114</v>
      </c>
      <c r="G69" s="5" t="s">
        <v>635</v>
      </c>
      <c r="H69" s="5" t="s">
        <v>634</v>
      </c>
    </row>
    <row r="70" spans="2:8" x14ac:dyDescent="0.25">
      <c r="C70" s="29" t="s">
        <v>118</v>
      </c>
      <c r="D70" s="256">
        <f t="array" ref="D70:G74">LINEST(F10:F67,C10:E67,TRUE,TRUE)</f>
        <v>-7.309465284725189E-3</v>
      </c>
      <c r="E70" s="256">
        <v>-1.0939760718210702E-2</v>
      </c>
      <c r="F70" s="256">
        <v>9.6110266319278902E-3</v>
      </c>
      <c r="G70" s="256">
        <v>0.51517806691394841</v>
      </c>
    </row>
    <row r="71" spans="2:8" x14ac:dyDescent="0.25">
      <c r="C71" s="29" t="s">
        <v>120</v>
      </c>
      <c r="D71" s="256">
        <v>9.3189265511872E-3</v>
      </c>
      <c r="E71" s="256">
        <v>4.8462484867641395E-3</v>
      </c>
      <c r="F71" s="256">
        <v>8.8043209325820021E-3</v>
      </c>
      <c r="G71" s="256">
        <v>6.8558165250633338E-2</v>
      </c>
    </row>
    <row r="72" spans="2:8" x14ac:dyDescent="0.25">
      <c r="C72" s="29" t="s">
        <v>122</v>
      </c>
      <c r="D72" s="256">
        <v>0.41484931620909199</v>
      </c>
      <c r="E72" s="256">
        <v>4.8845011460560389E-2</v>
      </c>
      <c r="F72" s="159" t="e">
        <v>#N/A</v>
      </c>
      <c r="G72" s="159" t="e">
        <v>#N/A</v>
      </c>
    </row>
    <row r="73" spans="2:8" x14ac:dyDescent="0.25">
      <c r="C73" s="29" t="s">
        <v>124</v>
      </c>
      <c r="D73" s="256">
        <v>12.761307298466635</v>
      </c>
      <c r="E73">
        <v>54</v>
      </c>
      <c r="F73" s="159" t="e">
        <v>#N/A</v>
      </c>
      <c r="G73" s="159" t="e">
        <v>#N/A</v>
      </c>
    </row>
    <row r="74" spans="2:8" x14ac:dyDescent="0.25">
      <c r="C74" s="29" t="s">
        <v>126</v>
      </c>
      <c r="D74" s="256">
        <v>9.1339126330487991E-2</v>
      </c>
      <c r="E74" s="256">
        <v>0.1288350978074429</v>
      </c>
      <c r="F74" s="159" t="e">
        <v>#N/A</v>
      </c>
      <c r="G74" s="159" t="e">
        <v>#N/A</v>
      </c>
    </row>
    <row r="75" spans="2:8" x14ac:dyDescent="0.25">
      <c r="C75" s="268" t="s">
        <v>633</v>
      </c>
      <c r="D75" s="256">
        <f>ABS(D70/D71)</f>
        <v>0.78436773211759969</v>
      </c>
      <c r="E75" s="269">
        <f t="shared" ref="E75:G75" si="2">ABS(E70/E71)</f>
        <v>2.2573668577021784</v>
      </c>
      <c r="F75" s="256">
        <f t="shared" si="2"/>
        <v>1.0916261123967581</v>
      </c>
      <c r="G75" s="256">
        <f t="shared" si="2"/>
        <v>7.5144669497874172</v>
      </c>
      <c r="H75" s="256">
        <f>TINV(0.05,E73)</f>
        <v>2.0048792881880577</v>
      </c>
    </row>
  </sheetData>
  <mergeCells count="1">
    <mergeCell ref="B4:I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2:AA19"/>
  <sheetViews>
    <sheetView workbookViewId="0">
      <selection activeCell="C25" sqref="C25"/>
    </sheetView>
  </sheetViews>
  <sheetFormatPr defaultRowHeight="15" x14ac:dyDescent="0.25"/>
  <cols>
    <col min="2" max="2" width="13.140625" customWidth="1"/>
    <col min="3" max="4" width="14.85546875" customWidth="1"/>
    <col min="5" max="5" width="17.42578125" customWidth="1"/>
  </cols>
  <sheetData>
    <row r="2" spans="2:27" ht="20.25" thickBot="1" x14ac:dyDescent="0.35">
      <c r="B2" s="1" t="s">
        <v>720</v>
      </c>
      <c r="C2" s="1"/>
      <c r="D2" s="1"/>
      <c r="E2" s="1"/>
      <c r="F2" s="1"/>
      <c r="G2" s="1"/>
    </row>
    <row r="3" spans="2:27" ht="15.75" thickTop="1" x14ac:dyDescent="0.25">
      <c r="B3" s="232"/>
      <c r="C3" s="232"/>
      <c r="D3" s="232"/>
      <c r="E3" s="232"/>
      <c r="F3" s="232"/>
      <c r="G3" s="232"/>
      <c r="H3" s="232"/>
      <c r="I3" s="232"/>
      <c r="J3" s="232"/>
      <c r="K3" s="232"/>
      <c r="L3" s="232"/>
      <c r="M3" s="232"/>
    </row>
    <row r="4" spans="2:27" ht="49.5" customHeight="1" x14ac:dyDescent="0.25">
      <c r="B4" s="451" t="s">
        <v>721</v>
      </c>
      <c r="C4" s="451"/>
      <c r="D4" s="451"/>
      <c r="E4" s="451"/>
      <c r="F4" s="451"/>
      <c r="G4" s="451"/>
      <c r="H4" s="451"/>
      <c r="I4" s="451"/>
      <c r="J4" s="451"/>
      <c r="K4" s="451"/>
      <c r="L4" s="451"/>
      <c r="M4" s="451"/>
    </row>
    <row r="6" spans="2:27" x14ac:dyDescent="0.25">
      <c r="B6" s="3" t="s">
        <v>722</v>
      </c>
    </row>
    <row r="7" spans="2:27" ht="63" customHeight="1" x14ac:dyDescent="0.25">
      <c r="B7" s="451" t="s">
        <v>723</v>
      </c>
      <c r="C7" s="451"/>
      <c r="D7" s="451"/>
      <c r="E7" s="451"/>
      <c r="F7" s="451"/>
      <c r="G7" s="451"/>
      <c r="H7" s="451"/>
      <c r="I7" s="451"/>
      <c r="J7" s="451"/>
      <c r="K7" s="451"/>
      <c r="L7" s="451"/>
      <c r="M7" s="451"/>
      <c r="P7" s="451"/>
      <c r="Q7" s="451"/>
      <c r="R7" s="451"/>
      <c r="S7" s="451"/>
      <c r="T7" s="451"/>
      <c r="U7" s="451"/>
      <c r="V7" s="451"/>
      <c r="W7" s="451"/>
      <c r="X7" s="451"/>
      <c r="Y7" s="451"/>
      <c r="Z7" s="451"/>
      <c r="AA7" s="451"/>
    </row>
    <row r="9" spans="2:27" ht="15.75" customHeight="1" thickBot="1" x14ac:dyDescent="0.3">
      <c r="C9" s="283" t="s">
        <v>68</v>
      </c>
      <c r="D9" s="274"/>
      <c r="E9" s="274"/>
      <c r="F9" s="274"/>
      <c r="G9" s="274"/>
      <c r="H9" s="274"/>
      <c r="I9" s="274"/>
      <c r="J9" s="274"/>
      <c r="K9" s="274"/>
      <c r="L9" s="274"/>
      <c r="M9" s="274"/>
    </row>
    <row r="10" spans="2:27" ht="33.75" customHeight="1" thickBot="1" x14ac:dyDescent="0.3">
      <c r="C10" s="19" t="s">
        <v>63</v>
      </c>
      <c r="D10" s="20" t="s">
        <v>59</v>
      </c>
      <c r="E10" s="279" t="s">
        <v>65</v>
      </c>
    </row>
    <row r="11" spans="2:27" x14ac:dyDescent="0.25">
      <c r="C11" s="276" t="s">
        <v>66</v>
      </c>
      <c r="D11" s="14" t="s">
        <v>64</v>
      </c>
      <c r="E11" s="280">
        <v>28</v>
      </c>
    </row>
    <row r="12" spans="2:27" x14ac:dyDescent="0.25">
      <c r="C12" s="15" t="s">
        <v>57</v>
      </c>
      <c r="D12" s="16" t="s">
        <v>64</v>
      </c>
      <c r="E12" s="281">
        <v>27</v>
      </c>
    </row>
    <row r="13" spans="2:27" x14ac:dyDescent="0.25">
      <c r="C13" s="15" t="s">
        <v>58</v>
      </c>
      <c r="D13" s="16" t="s">
        <v>64</v>
      </c>
      <c r="E13" s="281">
        <v>29</v>
      </c>
    </row>
    <row r="14" spans="2:27" ht="15.75" thickBot="1" x14ac:dyDescent="0.3">
      <c r="C14" s="17" t="s">
        <v>58</v>
      </c>
      <c r="D14" s="18" t="s">
        <v>67</v>
      </c>
      <c r="E14" s="282">
        <v>24</v>
      </c>
    </row>
    <row r="16" spans="2:27" ht="50.25" customHeight="1" x14ac:dyDescent="0.25">
      <c r="B16" s="451" t="s">
        <v>724</v>
      </c>
      <c r="C16" s="451"/>
      <c r="D16" s="451"/>
      <c r="E16" s="451"/>
      <c r="F16" s="451"/>
      <c r="G16" s="451"/>
      <c r="H16" s="451"/>
      <c r="I16" s="451"/>
      <c r="J16" s="451"/>
      <c r="K16" s="451"/>
      <c r="L16" s="451"/>
      <c r="M16" s="451"/>
    </row>
    <row r="19" spans="2:2" x14ac:dyDescent="0.25">
      <c r="B19" s="3"/>
    </row>
  </sheetData>
  <mergeCells count="4">
    <mergeCell ref="P7:AA7"/>
    <mergeCell ref="B7:M7"/>
    <mergeCell ref="B16:M16"/>
    <mergeCell ref="B4:M4"/>
  </mergeCells>
  <pageMargins left="0.7" right="0.7" top="0.75" bottom="0.75" header="0.3" footer="0.3"/>
  <pageSetup orientation="portrait" horizontalDpi="0" verticalDpi="0" r:id="rId1"/>
  <headerFooter>
    <oddFooter>&amp;L&amp;Z&amp;F &amp;A&amp;C&amp;P&amp;R&amp;D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2:M108"/>
  <sheetViews>
    <sheetView workbookViewId="0">
      <selection activeCell="C25" sqref="C25"/>
    </sheetView>
  </sheetViews>
  <sheetFormatPr defaultRowHeight="15" x14ac:dyDescent="0.25"/>
  <sheetData>
    <row r="2" spans="2:13" ht="20.25" thickBot="1" x14ac:dyDescent="0.35">
      <c r="B2" s="1" t="s">
        <v>208</v>
      </c>
      <c r="C2" s="1"/>
      <c r="D2" s="1"/>
      <c r="E2" s="1"/>
      <c r="F2" s="1"/>
    </row>
    <row r="3" spans="2:13" ht="15.75" thickTop="1" x14ac:dyDescent="0.25"/>
    <row r="4" spans="2:13" x14ac:dyDescent="0.25">
      <c r="B4" t="s">
        <v>209</v>
      </c>
    </row>
    <row r="5" spans="2:13" x14ac:dyDescent="0.25">
      <c r="B5" s="452" t="s">
        <v>395</v>
      </c>
      <c r="C5" s="452"/>
      <c r="D5" s="452"/>
      <c r="E5" s="452"/>
      <c r="F5" s="452"/>
      <c r="G5" s="452"/>
      <c r="H5" s="452"/>
      <c r="I5" s="452"/>
      <c r="J5" s="452"/>
      <c r="K5" s="452"/>
      <c r="L5" s="452"/>
      <c r="M5" s="452"/>
    </row>
    <row r="6" spans="2:13" x14ac:dyDescent="0.25">
      <c r="B6" s="452"/>
      <c r="C6" s="452"/>
      <c r="D6" s="452"/>
      <c r="E6" s="452"/>
      <c r="F6" s="452"/>
      <c r="G6" s="452"/>
      <c r="H6" s="452"/>
      <c r="I6" s="452"/>
      <c r="J6" s="452"/>
      <c r="K6" s="452"/>
      <c r="L6" s="452"/>
      <c r="M6" s="452"/>
    </row>
    <row r="7" spans="2:13" x14ac:dyDescent="0.25">
      <c r="B7" t="s">
        <v>394</v>
      </c>
    </row>
    <row r="9" spans="2:13" x14ac:dyDescent="0.25">
      <c r="B9" s="3" t="s">
        <v>213</v>
      </c>
    </row>
    <row r="10" spans="2:13" x14ac:dyDescent="0.25">
      <c r="B10" t="s">
        <v>211</v>
      </c>
      <c r="C10" t="s">
        <v>91</v>
      </c>
      <c r="D10" s="2" t="s">
        <v>85</v>
      </c>
    </row>
    <row r="11" spans="2:13" x14ac:dyDescent="0.25">
      <c r="B11" t="s">
        <v>92</v>
      </c>
      <c r="C11">
        <v>13</v>
      </c>
      <c r="D11">
        <v>8.3000000000000007</v>
      </c>
    </row>
    <row r="12" spans="2:13" x14ac:dyDescent="0.25">
      <c r="B12" t="s">
        <v>93</v>
      </c>
      <c r="C12">
        <v>14</v>
      </c>
      <c r="D12">
        <v>8.1</v>
      </c>
    </row>
    <row r="13" spans="2:13" x14ac:dyDescent="0.25">
      <c r="B13" t="s">
        <v>94</v>
      </c>
      <c r="C13">
        <v>14</v>
      </c>
      <c r="D13">
        <v>8.1999999999999993</v>
      </c>
    </row>
    <row r="14" spans="2:13" x14ac:dyDescent="0.25">
      <c r="B14" t="s">
        <v>92</v>
      </c>
      <c r="C14">
        <v>14</v>
      </c>
      <c r="D14">
        <v>8.5</v>
      </c>
    </row>
    <row r="15" spans="2:13" x14ac:dyDescent="0.25">
      <c r="B15" t="s">
        <v>92</v>
      </c>
      <c r="C15">
        <v>14.5</v>
      </c>
      <c r="D15">
        <v>8.5</v>
      </c>
    </row>
    <row r="16" spans="2:13" x14ac:dyDescent="0.25">
      <c r="B16" t="s">
        <v>95</v>
      </c>
      <c r="C16">
        <v>15</v>
      </c>
      <c r="D16">
        <v>8.1999999999999993</v>
      </c>
    </row>
    <row r="17" spans="2:9" x14ac:dyDescent="0.25">
      <c r="B17" t="s">
        <v>93</v>
      </c>
      <c r="C17">
        <v>15</v>
      </c>
      <c r="D17">
        <v>8.1</v>
      </c>
    </row>
    <row r="18" spans="2:9" x14ac:dyDescent="0.25">
      <c r="B18" t="s">
        <v>92</v>
      </c>
      <c r="C18">
        <v>15</v>
      </c>
      <c r="D18">
        <v>9</v>
      </c>
    </row>
    <row r="19" spans="2:9" x14ac:dyDescent="0.25">
      <c r="B19" t="s">
        <v>92</v>
      </c>
      <c r="C19">
        <v>15</v>
      </c>
      <c r="D19">
        <v>8.1999999999999993</v>
      </c>
    </row>
    <row r="20" spans="2:9" x14ac:dyDescent="0.25">
      <c r="B20" t="s">
        <v>95</v>
      </c>
      <c r="C20">
        <v>15.2</v>
      </c>
      <c r="D20">
        <v>9.1999999999999993</v>
      </c>
    </row>
    <row r="21" spans="2:9" x14ac:dyDescent="0.25">
      <c r="B21" t="s">
        <v>95</v>
      </c>
      <c r="C21">
        <v>15.2</v>
      </c>
      <c r="D21">
        <v>9.1999999999999993</v>
      </c>
    </row>
    <row r="22" spans="2:9" x14ac:dyDescent="0.25">
      <c r="B22" t="s">
        <v>92</v>
      </c>
      <c r="C22">
        <v>15.3</v>
      </c>
      <c r="D22">
        <v>9</v>
      </c>
    </row>
    <row r="23" spans="2:9" x14ac:dyDescent="0.25">
      <c r="B23" t="s">
        <v>92</v>
      </c>
      <c r="C23">
        <v>15.3</v>
      </c>
      <c r="D23">
        <v>9</v>
      </c>
    </row>
    <row r="24" spans="2:9" x14ac:dyDescent="0.25">
      <c r="B24" t="s">
        <v>92</v>
      </c>
      <c r="C24">
        <v>15.5</v>
      </c>
      <c r="D24">
        <v>9.5</v>
      </c>
    </row>
    <row r="25" spans="2:9" x14ac:dyDescent="0.25">
      <c r="B25" t="s">
        <v>92</v>
      </c>
      <c r="C25">
        <v>15.5</v>
      </c>
      <c r="D25">
        <v>9</v>
      </c>
    </row>
    <row r="26" spans="2:9" x14ac:dyDescent="0.25">
      <c r="B26" t="s">
        <v>95</v>
      </c>
      <c r="C26">
        <v>15.7</v>
      </c>
      <c r="D26">
        <v>9.1999999999999993</v>
      </c>
    </row>
    <row r="27" spans="2:9" x14ac:dyDescent="0.25">
      <c r="B27" t="s">
        <v>95</v>
      </c>
      <c r="C27">
        <v>15.7</v>
      </c>
      <c r="D27">
        <v>8.6999999999999993</v>
      </c>
    </row>
    <row r="28" spans="2:9" x14ac:dyDescent="0.25">
      <c r="B28" t="s">
        <v>95</v>
      </c>
      <c r="C28">
        <v>16</v>
      </c>
      <c r="D28">
        <v>9.5</v>
      </c>
    </row>
    <row r="29" spans="2:9" x14ac:dyDescent="0.25">
      <c r="B29" t="s">
        <v>94</v>
      </c>
      <c r="C29">
        <v>16</v>
      </c>
      <c r="D29">
        <v>9.5</v>
      </c>
    </row>
    <row r="30" spans="2:9" x14ac:dyDescent="0.25">
      <c r="B30" t="s">
        <v>95</v>
      </c>
      <c r="C30">
        <v>16.2</v>
      </c>
      <c r="D30">
        <v>8.6999999999999993</v>
      </c>
    </row>
    <row r="31" spans="2:9" ht="15.75" thickBot="1" x14ac:dyDescent="0.3">
      <c r="B31" t="s">
        <v>95</v>
      </c>
      <c r="C31">
        <v>16.2</v>
      </c>
      <c r="D31">
        <v>9.5</v>
      </c>
      <c r="G31" s="3" t="s">
        <v>212</v>
      </c>
    </row>
    <row r="32" spans="2:9" ht="15.75" thickBot="1" x14ac:dyDescent="0.3">
      <c r="B32" t="s">
        <v>95</v>
      </c>
      <c r="C32">
        <v>16.2</v>
      </c>
      <c r="D32">
        <v>9</v>
      </c>
      <c r="G32" s="40" t="s">
        <v>210</v>
      </c>
      <c r="H32" s="41" t="s">
        <v>91</v>
      </c>
      <c r="I32" s="42" t="s">
        <v>85</v>
      </c>
    </row>
    <row r="33" spans="2:9" x14ac:dyDescent="0.25">
      <c r="B33" t="s">
        <v>94</v>
      </c>
      <c r="C33">
        <v>16.25</v>
      </c>
      <c r="D33">
        <v>9.6999999999999993</v>
      </c>
      <c r="G33" s="43">
        <v>0</v>
      </c>
      <c r="H33" s="44">
        <v>14</v>
      </c>
      <c r="I33" s="45">
        <f>ROUND(3.666+0.3364*H33,1)</f>
        <v>8.4</v>
      </c>
    </row>
    <row r="34" spans="2:9" x14ac:dyDescent="0.25">
      <c r="B34" t="s">
        <v>95</v>
      </c>
      <c r="C34">
        <v>16.5</v>
      </c>
      <c r="D34">
        <v>9.1999999999999993</v>
      </c>
      <c r="G34" s="43">
        <v>1</v>
      </c>
      <c r="H34" s="44">
        <v>15</v>
      </c>
      <c r="I34" s="45">
        <f t="shared" ref="I34:I37" si="0">ROUND(3.666+0.3364*H34,1)</f>
        <v>8.6999999999999993</v>
      </c>
    </row>
    <row r="35" spans="2:9" x14ac:dyDescent="0.25">
      <c r="B35" t="s">
        <v>95</v>
      </c>
      <c r="C35">
        <v>16.5</v>
      </c>
      <c r="D35">
        <v>9</v>
      </c>
      <c r="G35" s="43">
        <v>2</v>
      </c>
      <c r="H35" s="44">
        <v>16</v>
      </c>
      <c r="I35" s="45">
        <f t="shared" si="0"/>
        <v>9</v>
      </c>
    </row>
    <row r="36" spans="2:9" x14ac:dyDescent="0.25">
      <c r="B36" t="s">
        <v>95</v>
      </c>
      <c r="C36">
        <v>16.5</v>
      </c>
      <c r="D36">
        <v>9</v>
      </c>
      <c r="G36" s="43">
        <v>3</v>
      </c>
      <c r="H36" s="44">
        <v>17</v>
      </c>
      <c r="I36" s="45">
        <f t="shared" si="0"/>
        <v>9.4</v>
      </c>
    </row>
    <row r="37" spans="2:9" ht="15.75" thickBot="1" x14ac:dyDescent="0.3">
      <c r="B37" t="s">
        <v>93</v>
      </c>
      <c r="C37">
        <v>16.5</v>
      </c>
      <c r="D37">
        <v>9</v>
      </c>
      <c r="G37" s="46">
        <v>4</v>
      </c>
      <c r="H37" s="47">
        <v>18</v>
      </c>
      <c r="I37" s="48">
        <f t="shared" si="0"/>
        <v>9.6999999999999993</v>
      </c>
    </row>
    <row r="38" spans="2:9" x14ac:dyDescent="0.25">
      <c r="B38" t="s">
        <v>93</v>
      </c>
      <c r="C38">
        <v>16.75</v>
      </c>
      <c r="D38">
        <v>9.25</v>
      </c>
    </row>
    <row r="39" spans="2:9" x14ac:dyDescent="0.25">
      <c r="B39" t="s">
        <v>95</v>
      </c>
      <c r="C39">
        <v>17</v>
      </c>
      <c r="D39">
        <v>8.5</v>
      </c>
    </row>
    <row r="40" spans="2:9" x14ac:dyDescent="0.25">
      <c r="B40" t="s">
        <v>93</v>
      </c>
      <c r="C40">
        <v>17</v>
      </c>
      <c r="D40">
        <v>9.3000000000000007</v>
      </c>
    </row>
    <row r="41" spans="2:9" x14ac:dyDescent="0.25">
      <c r="B41" t="s">
        <v>95</v>
      </c>
      <c r="C41">
        <v>17.2</v>
      </c>
      <c r="D41">
        <v>9.1999999999999993</v>
      </c>
    </row>
    <row r="42" spans="2:9" x14ac:dyDescent="0.25">
      <c r="B42" t="s">
        <v>92</v>
      </c>
      <c r="C42">
        <v>17.2</v>
      </c>
      <c r="D42">
        <v>9.5</v>
      </c>
    </row>
    <row r="43" spans="2:9" x14ac:dyDescent="0.25">
      <c r="B43" t="s">
        <v>92</v>
      </c>
      <c r="C43">
        <v>17.2</v>
      </c>
      <c r="D43">
        <v>9.5</v>
      </c>
    </row>
    <row r="44" spans="2:9" x14ac:dyDescent="0.25">
      <c r="B44" t="s">
        <v>93</v>
      </c>
      <c r="C44">
        <v>17.5</v>
      </c>
      <c r="D44">
        <v>9.25</v>
      </c>
    </row>
    <row r="45" spans="2:9" x14ac:dyDescent="0.25">
      <c r="B45" t="s">
        <v>95</v>
      </c>
      <c r="C45">
        <v>17.7</v>
      </c>
      <c r="D45">
        <v>9.5</v>
      </c>
    </row>
    <row r="46" spans="2:9" x14ac:dyDescent="0.25">
      <c r="B46" t="s">
        <v>93</v>
      </c>
      <c r="C46">
        <v>18</v>
      </c>
      <c r="D46">
        <v>9.5</v>
      </c>
    </row>
    <row r="47" spans="2:9" x14ac:dyDescent="0.25">
      <c r="B47" t="s">
        <v>94</v>
      </c>
      <c r="C47">
        <v>18</v>
      </c>
      <c r="D47">
        <v>10</v>
      </c>
    </row>
    <row r="48" spans="2:9" x14ac:dyDescent="0.25">
      <c r="B48" t="s">
        <v>94</v>
      </c>
      <c r="C48">
        <v>18</v>
      </c>
      <c r="D48">
        <v>9.5</v>
      </c>
    </row>
    <row r="49" spans="2:4" x14ac:dyDescent="0.25">
      <c r="B49" t="s">
        <v>94</v>
      </c>
      <c r="C49">
        <v>18</v>
      </c>
      <c r="D49">
        <v>9.5</v>
      </c>
    </row>
    <row r="50" spans="2:4" x14ac:dyDescent="0.25">
      <c r="B50" t="s">
        <v>92</v>
      </c>
      <c r="C50">
        <v>18</v>
      </c>
      <c r="D50">
        <v>11</v>
      </c>
    </row>
    <row r="51" spans="2:4" x14ac:dyDescent="0.25">
      <c r="B51" t="s">
        <v>95</v>
      </c>
      <c r="C51">
        <v>18.5</v>
      </c>
      <c r="D51">
        <v>9.6999999999999993</v>
      </c>
    </row>
    <row r="52" spans="2:4" x14ac:dyDescent="0.25">
      <c r="B52" t="s">
        <v>94</v>
      </c>
      <c r="C52">
        <v>19</v>
      </c>
      <c r="D52">
        <v>10</v>
      </c>
    </row>
    <row r="53" spans="2:4" x14ac:dyDescent="0.25">
      <c r="B53" t="s">
        <v>92</v>
      </c>
      <c r="C53">
        <v>19</v>
      </c>
      <c r="D53">
        <v>10</v>
      </c>
    </row>
    <row r="54" spans="2:4" x14ac:dyDescent="0.25">
      <c r="B54" t="s">
        <v>95</v>
      </c>
      <c r="C54">
        <v>19.2</v>
      </c>
      <c r="D54">
        <v>9.1999999999999993</v>
      </c>
    </row>
    <row r="55" spans="2:4" x14ac:dyDescent="0.25">
      <c r="B55" t="s">
        <v>95</v>
      </c>
      <c r="C55">
        <v>19.5</v>
      </c>
      <c r="D55">
        <v>10.199999999999999</v>
      </c>
    </row>
    <row r="56" spans="2:4" x14ac:dyDescent="0.25">
      <c r="B56" t="s">
        <v>95</v>
      </c>
      <c r="C56">
        <v>20.5</v>
      </c>
      <c r="D56">
        <v>10.199999999999999</v>
      </c>
    </row>
    <row r="57" spans="2:4" x14ac:dyDescent="0.25">
      <c r="B57" t="s">
        <v>92</v>
      </c>
      <c r="C57">
        <v>20.5</v>
      </c>
      <c r="D57">
        <v>13</v>
      </c>
    </row>
    <row r="58" spans="2:4" x14ac:dyDescent="0.25">
      <c r="B58" t="s">
        <v>95</v>
      </c>
      <c r="C58">
        <v>21.5</v>
      </c>
      <c r="D58">
        <v>10</v>
      </c>
    </row>
    <row r="59" spans="2:4" x14ac:dyDescent="0.25">
      <c r="B59" t="s">
        <v>95</v>
      </c>
      <c r="C59">
        <v>23.5</v>
      </c>
      <c r="D59">
        <v>10.199999999999999</v>
      </c>
    </row>
    <row r="61" spans="2:4" x14ac:dyDescent="0.25">
      <c r="C61" s="3" t="s">
        <v>214</v>
      </c>
    </row>
    <row r="62" spans="2:4" x14ac:dyDescent="0.25">
      <c r="C62" t="s">
        <v>91</v>
      </c>
      <c r="D62" t="s">
        <v>85</v>
      </c>
    </row>
    <row r="63" spans="2:4" x14ac:dyDescent="0.25">
      <c r="C63">
        <v>10</v>
      </c>
      <c r="D63">
        <v>6.8</v>
      </c>
    </row>
    <row r="64" spans="2:4" x14ac:dyDescent="0.25">
      <c r="C64">
        <v>10</v>
      </c>
      <c r="D64">
        <v>7</v>
      </c>
    </row>
    <row r="65" spans="3:4" x14ac:dyDescent="0.25">
      <c r="C65">
        <v>10</v>
      </c>
      <c r="D65">
        <v>7.2</v>
      </c>
    </row>
    <row r="66" spans="3:4" x14ac:dyDescent="0.25">
      <c r="C66">
        <v>10</v>
      </c>
      <c r="D66">
        <v>6.9</v>
      </c>
    </row>
    <row r="67" spans="3:4" x14ac:dyDescent="0.25">
      <c r="C67">
        <v>10</v>
      </c>
      <c r="D67">
        <v>7.2</v>
      </c>
    </row>
    <row r="68" spans="3:4" x14ac:dyDescent="0.25">
      <c r="C68">
        <v>10</v>
      </c>
      <c r="D68">
        <v>7.2</v>
      </c>
    </row>
    <row r="69" spans="3:4" x14ac:dyDescent="0.25">
      <c r="C69">
        <v>10</v>
      </c>
      <c r="D69">
        <v>7.2</v>
      </c>
    </row>
    <row r="70" spans="3:4" x14ac:dyDescent="0.25">
      <c r="C70">
        <v>10</v>
      </c>
      <c r="D70">
        <v>7.3</v>
      </c>
    </row>
    <row r="71" spans="3:4" x14ac:dyDescent="0.25">
      <c r="C71">
        <v>10</v>
      </c>
      <c r="D71">
        <v>7.2</v>
      </c>
    </row>
    <row r="72" spans="3:4" x14ac:dyDescent="0.25">
      <c r="C72">
        <v>13</v>
      </c>
      <c r="D72">
        <v>8.3000000000000007</v>
      </c>
    </row>
    <row r="73" spans="3:4" x14ac:dyDescent="0.25">
      <c r="C73">
        <v>13</v>
      </c>
      <c r="D73">
        <v>8</v>
      </c>
    </row>
    <row r="74" spans="3:4" x14ac:dyDescent="0.25">
      <c r="C74">
        <v>13</v>
      </c>
      <c r="D74">
        <v>8</v>
      </c>
    </row>
    <row r="75" spans="3:4" x14ac:dyDescent="0.25">
      <c r="C75">
        <v>13</v>
      </c>
      <c r="D75">
        <v>8.3000000000000007</v>
      </c>
    </row>
    <row r="76" spans="3:4" x14ac:dyDescent="0.25">
      <c r="C76">
        <v>13</v>
      </c>
      <c r="D76">
        <v>8.1</v>
      </c>
    </row>
    <row r="77" spans="3:4" x14ac:dyDescent="0.25">
      <c r="C77">
        <v>13</v>
      </c>
      <c r="D77">
        <v>8.5500000000000007</v>
      </c>
    </row>
    <row r="78" spans="3:4" x14ac:dyDescent="0.25">
      <c r="C78">
        <v>13</v>
      </c>
      <c r="D78">
        <v>8.1</v>
      </c>
    </row>
    <row r="79" spans="3:4" x14ac:dyDescent="0.25">
      <c r="C79">
        <v>13</v>
      </c>
      <c r="D79">
        <v>8.5</v>
      </c>
    </row>
    <row r="80" spans="3:4" x14ac:dyDescent="0.25">
      <c r="C80">
        <v>13</v>
      </c>
      <c r="D80">
        <v>8</v>
      </c>
    </row>
    <row r="81" spans="3:4" x14ac:dyDescent="0.25">
      <c r="C81">
        <v>14</v>
      </c>
      <c r="D81">
        <v>8.1999999999999993</v>
      </c>
    </row>
    <row r="82" spans="3:4" x14ac:dyDescent="0.25">
      <c r="C82">
        <v>14</v>
      </c>
      <c r="D82">
        <v>8.5</v>
      </c>
    </row>
    <row r="83" spans="3:4" x14ac:dyDescent="0.25">
      <c r="C83">
        <v>14</v>
      </c>
      <c r="D83">
        <v>8.5</v>
      </c>
    </row>
    <row r="84" spans="3:4" x14ac:dyDescent="0.25">
      <c r="C84">
        <v>14</v>
      </c>
      <c r="D84">
        <v>8.1999999999999993</v>
      </c>
    </row>
    <row r="85" spans="3:4" x14ac:dyDescent="0.25">
      <c r="C85">
        <v>14</v>
      </c>
      <c r="D85">
        <v>8.6</v>
      </c>
    </row>
    <row r="86" spans="3:4" x14ac:dyDescent="0.25">
      <c r="C86">
        <v>14</v>
      </c>
      <c r="D86">
        <v>8.3000000000000007</v>
      </c>
    </row>
    <row r="87" spans="3:4" x14ac:dyDescent="0.25">
      <c r="C87">
        <v>15</v>
      </c>
      <c r="D87">
        <v>8.8000000000000007</v>
      </c>
    </row>
    <row r="88" spans="3:4" x14ac:dyDescent="0.25">
      <c r="C88">
        <v>15</v>
      </c>
      <c r="D88">
        <v>8.1999999999999993</v>
      </c>
    </row>
    <row r="89" spans="3:4" x14ac:dyDescent="0.25">
      <c r="C89">
        <v>15</v>
      </c>
      <c r="D89">
        <v>9</v>
      </c>
    </row>
    <row r="90" spans="3:4" x14ac:dyDescent="0.25">
      <c r="C90">
        <v>15</v>
      </c>
      <c r="D90">
        <v>9.4</v>
      </c>
    </row>
    <row r="91" spans="3:4" x14ac:dyDescent="0.25">
      <c r="C91">
        <v>15</v>
      </c>
      <c r="D91">
        <v>9</v>
      </c>
    </row>
    <row r="92" spans="3:4" x14ac:dyDescent="0.25">
      <c r="C92">
        <v>15</v>
      </c>
      <c r="D92">
        <v>8</v>
      </c>
    </row>
    <row r="93" spans="3:4" x14ac:dyDescent="0.25">
      <c r="C93">
        <v>16</v>
      </c>
      <c r="D93">
        <v>8.8000000000000007</v>
      </c>
    </row>
    <row r="94" spans="3:4" x14ac:dyDescent="0.25">
      <c r="C94">
        <v>16</v>
      </c>
      <c r="D94">
        <v>8.3000000000000007</v>
      </c>
    </row>
    <row r="95" spans="3:4" x14ac:dyDescent="0.25">
      <c r="C95">
        <v>16</v>
      </c>
      <c r="D95">
        <v>8.5</v>
      </c>
    </row>
    <row r="96" spans="3:4" x14ac:dyDescent="0.25">
      <c r="C96">
        <v>16</v>
      </c>
      <c r="D96">
        <v>8.4</v>
      </c>
    </row>
    <row r="97" spans="3:4" x14ac:dyDescent="0.25">
      <c r="C97">
        <v>16</v>
      </c>
      <c r="D97">
        <v>8.9</v>
      </c>
    </row>
    <row r="98" spans="3:4" x14ac:dyDescent="0.25">
      <c r="C98">
        <v>16</v>
      </c>
      <c r="D98">
        <v>8.15</v>
      </c>
    </row>
    <row r="99" spans="3:4" x14ac:dyDescent="0.25">
      <c r="C99">
        <v>16</v>
      </c>
      <c r="D99">
        <v>8.1999999999999993</v>
      </c>
    </row>
    <row r="100" spans="3:4" x14ac:dyDescent="0.25">
      <c r="C100">
        <v>16</v>
      </c>
      <c r="D100">
        <v>8.25</v>
      </c>
    </row>
    <row r="101" spans="3:4" x14ac:dyDescent="0.25">
      <c r="C101">
        <v>17</v>
      </c>
      <c r="D101">
        <v>9.5</v>
      </c>
    </row>
    <row r="102" spans="3:4" x14ac:dyDescent="0.25">
      <c r="C102">
        <v>17</v>
      </c>
      <c r="D102">
        <v>9</v>
      </c>
    </row>
    <row r="103" spans="3:4" x14ac:dyDescent="0.25">
      <c r="C103">
        <v>17</v>
      </c>
      <c r="D103">
        <v>8.75</v>
      </c>
    </row>
    <row r="104" spans="3:4" x14ac:dyDescent="0.25">
      <c r="C104">
        <v>17</v>
      </c>
      <c r="D104">
        <v>8.5500000000000007</v>
      </c>
    </row>
    <row r="105" spans="3:4" x14ac:dyDescent="0.25">
      <c r="C105">
        <v>18</v>
      </c>
      <c r="D105">
        <v>8.4499999999999993</v>
      </c>
    </row>
    <row r="106" spans="3:4" x14ac:dyDescent="0.25">
      <c r="C106">
        <v>18</v>
      </c>
      <c r="D106">
        <v>9.1999999999999993</v>
      </c>
    </row>
    <row r="107" spans="3:4" x14ac:dyDescent="0.25">
      <c r="C107">
        <v>18</v>
      </c>
      <c r="D107">
        <v>8.75</v>
      </c>
    </row>
    <row r="108" spans="3:4" x14ac:dyDescent="0.25">
      <c r="C108">
        <v>18</v>
      </c>
      <c r="D108">
        <v>8.4</v>
      </c>
    </row>
  </sheetData>
  <mergeCells count="1">
    <mergeCell ref="B5:M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2:CC114"/>
  <sheetViews>
    <sheetView topLeftCell="A6" workbookViewId="0">
      <selection activeCell="C25" sqref="C25"/>
    </sheetView>
  </sheetViews>
  <sheetFormatPr defaultRowHeight="15" x14ac:dyDescent="0.25"/>
  <cols>
    <col min="1" max="1" width="7.85546875" customWidth="1"/>
    <col min="2" max="4" width="9.28515625" bestFit="1" customWidth="1"/>
    <col min="5" max="5" width="9.7109375" bestFit="1" customWidth="1"/>
    <col min="6" max="11" width="9.28515625" bestFit="1" customWidth="1"/>
    <col min="12" max="15" width="9.42578125" bestFit="1" customWidth="1"/>
    <col min="16" max="16" width="13.140625" bestFit="1" customWidth="1"/>
    <col min="17" max="21" width="9.42578125" bestFit="1" customWidth="1"/>
    <col min="22" max="22" width="13.140625" bestFit="1" customWidth="1"/>
    <col min="23" max="29" width="9.42578125" bestFit="1" customWidth="1"/>
    <col min="30" max="30" width="9.7109375" bestFit="1" customWidth="1"/>
    <col min="31" max="49" width="9.42578125" bestFit="1" customWidth="1"/>
    <col min="50" max="51" width="9.7109375" bestFit="1" customWidth="1"/>
    <col min="52" max="56" width="9.42578125" bestFit="1" customWidth="1"/>
    <col min="57" max="79" width="9.28515625" bestFit="1" customWidth="1"/>
    <col min="81" max="81" width="9.5703125" bestFit="1" customWidth="1"/>
  </cols>
  <sheetData>
    <row r="2" spans="1:81" ht="20.25" thickBot="1" x14ac:dyDescent="0.35">
      <c r="A2" s="1" t="s">
        <v>226</v>
      </c>
      <c r="B2" s="1"/>
      <c r="C2" s="1"/>
      <c r="D2" s="1"/>
      <c r="E2" s="1"/>
    </row>
    <row r="3" spans="1:81" ht="15.75" thickTop="1" x14ac:dyDescent="0.25"/>
    <row r="4" spans="1:81" x14ac:dyDescent="0.25">
      <c r="A4" t="s">
        <v>396</v>
      </c>
    </row>
    <row r="7" spans="1:81" x14ac:dyDescent="0.25">
      <c r="A7" s="60" t="s">
        <v>352</v>
      </c>
      <c r="B7" s="61" t="s">
        <v>228</v>
      </c>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row>
    <row r="8" spans="1:81" x14ac:dyDescent="0.25">
      <c r="A8" s="155">
        <v>1</v>
      </c>
      <c r="B8" s="425">
        <v>1</v>
      </c>
      <c r="C8" s="426">
        <v>2</v>
      </c>
      <c r="D8" s="426">
        <v>3</v>
      </c>
      <c r="E8" s="427">
        <v>4</v>
      </c>
      <c r="F8" s="427">
        <v>5</v>
      </c>
      <c r="G8" s="427">
        <v>6</v>
      </c>
      <c r="H8" s="427">
        <v>7</v>
      </c>
      <c r="I8" s="427">
        <v>8</v>
      </c>
      <c r="J8" s="427">
        <v>9</v>
      </c>
      <c r="K8" s="427">
        <v>10</v>
      </c>
      <c r="L8" s="63">
        <v>11</v>
      </c>
      <c r="M8" s="63">
        <v>12</v>
      </c>
      <c r="N8" s="63">
        <v>13</v>
      </c>
      <c r="O8" s="63">
        <v>14</v>
      </c>
      <c r="P8" s="63">
        <v>15</v>
      </c>
      <c r="Q8" s="63">
        <v>16</v>
      </c>
      <c r="R8" s="63">
        <v>17</v>
      </c>
      <c r="S8" s="63">
        <v>18</v>
      </c>
      <c r="T8" s="63">
        <v>19</v>
      </c>
      <c r="U8" s="63">
        <v>20</v>
      </c>
      <c r="V8" s="63">
        <v>21</v>
      </c>
      <c r="W8" s="63">
        <v>22</v>
      </c>
      <c r="X8" s="63">
        <v>23</v>
      </c>
      <c r="Y8" s="63">
        <v>24</v>
      </c>
      <c r="Z8" s="63">
        <v>25</v>
      </c>
      <c r="AA8" s="63">
        <v>26</v>
      </c>
      <c r="AB8" s="63">
        <v>27</v>
      </c>
      <c r="AC8" s="63">
        <v>28</v>
      </c>
      <c r="AD8" s="63">
        <v>29</v>
      </c>
      <c r="AE8" s="63">
        <v>30</v>
      </c>
      <c r="AF8" s="63">
        <v>31</v>
      </c>
      <c r="AG8" s="63">
        <v>32</v>
      </c>
      <c r="AH8" s="63">
        <v>33</v>
      </c>
      <c r="AI8" s="63">
        <v>34</v>
      </c>
      <c r="AJ8" s="63">
        <v>35</v>
      </c>
      <c r="AK8" s="63">
        <v>36</v>
      </c>
      <c r="AL8" s="63">
        <v>37</v>
      </c>
      <c r="AM8" s="63">
        <v>38</v>
      </c>
      <c r="AN8" s="63">
        <v>39</v>
      </c>
      <c r="AO8" s="63">
        <v>40</v>
      </c>
      <c r="AP8" s="63">
        <v>41</v>
      </c>
      <c r="AQ8" s="63">
        <v>42</v>
      </c>
      <c r="AR8" s="63">
        <v>43</v>
      </c>
      <c r="AS8" s="63">
        <v>44</v>
      </c>
      <c r="AT8" s="63">
        <v>45</v>
      </c>
      <c r="AU8" s="63">
        <v>46</v>
      </c>
      <c r="AV8" s="63">
        <v>47</v>
      </c>
      <c r="AW8" s="63">
        <v>48</v>
      </c>
      <c r="AX8" s="63">
        <v>49</v>
      </c>
      <c r="AY8" s="63">
        <v>50</v>
      </c>
      <c r="AZ8" s="63">
        <v>51</v>
      </c>
      <c r="BA8" s="63">
        <v>52</v>
      </c>
      <c r="BB8" s="63">
        <v>53</v>
      </c>
      <c r="BC8" s="63">
        <v>54</v>
      </c>
      <c r="BD8" s="63">
        <v>55</v>
      </c>
      <c r="BE8" s="63">
        <v>56</v>
      </c>
      <c r="BF8" s="63">
        <v>57</v>
      </c>
      <c r="BG8" s="63">
        <v>58</v>
      </c>
      <c r="BH8" s="63">
        <v>59</v>
      </c>
      <c r="BI8" s="63">
        <v>60</v>
      </c>
      <c r="BJ8" s="63">
        <v>61</v>
      </c>
      <c r="BK8" s="63">
        <v>62</v>
      </c>
      <c r="BL8" s="63">
        <v>63</v>
      </c>
      <c r="BM8" s="63">
        <v>64</v>
      </c>
      <c r="BN8" s="63">
        <v>65</v>
      </c>
      <c r="BO8" s="63">
        <v>66</v>
      </c>
      <c r="BP8" s="63">
        <v>67</v>
      </c>
      <c r="BQ8" s="63">
        <v>68</v>
      </c>
      <c r="BR8" s="63">
        <v>69</v>
      </c>
      <c r="BS8" s="63">
        <v>70</v>
      </c>
      <c r="BT8" s="63">
        <v>71</v>
      </c>
      <c r="BU8" s="63">
        <v>72</v>
      </c>
      <c r="BV8" s="63">
        <v>73</v>
      </c>
      <c r="BW8" s="63">
        <v>74</v>
      </c>
      <c r="BX8" s="63">
        <v>75</v>
      </c>
      <c r="BY8" s="63">
        <v>76</v>
      </c>
      <c r="BZ8" s="63">
        <v>77</v>
      </c>
      <c r="CA8" s="63">
        <v>78</v>
      </c>
    </row>
    <row r="9" spans="1:81" ht="15.75" customHeight="1" x14ac:dyDescent="0.25">
      <c r="A9" s="428" t="s">
        <v>303</v>
      </c>
      <c r="B9" s="428" t="s">
        <v>91</v>
      </c>
      <c r="C9" s="429" t="s">
        <v>114</v>
      </c>
      <c r="D9" s="430" t="s">
        <v>222</v>
      </c>
      <c r="E9" s="431" t="s">
        <v>229</v>
      </c>
      <c r="F9" s="432" t="s">
        <v>230</v>
      </c>
      <c r="G9" s="433" t="s">
        <v>231</v>
      </c>
      <c r="H9" s="432" t="s">
        <v>101</v>
      </c>
      <c r="I9" s="432" t="s">
        <v>232</v>
      </c>
      <c r="J9" s="432" t="s">
        <v>233</v>
      </c>
      <c r="K9" s="434" t="s">
        <v>234</v>
      </c>
      <c r="L9" s="422" t="s">
        <v>235</v>
      </c>
      <c r="M9" s="422"/>
      <c r="N9" s="422"/>
      <c r="O9" s="422"/>
      <c r="P9" s="422"/>
      <c r="Q9" s="423"/>
      <c r="R9" s="66" t="s">
        <v>236</v>
      </c>
      <c r="S9" s="66"/>
      <c r="T9" s="66"/>
      <c r="U9" s="66"/>
      <c r="V9" s="66"/>
      <c r="W9" s="423"/>
      <c r="X9" s="65" t="s">
        <v>237</v>
      </c>
      <c r="Y9" s="66"/>
      <c r="Z9" s="66"/>
      <c r="AA9" s="66"/>
      <c r="AB9" s="66"/>
      <c r="AC9" s="423"/>
      <c r="AD9" s="66" t="s">
        <v>238</v>
      </c>
      <c r="AE9" s="66"/>
      <c r="AF9" s="66"/>
      <c r="AG9" s="66"/>
      <c r="AH9" s="66"/>
      <c r="AI9" s="423"/>
      <c r="AJ9" s="66" t="s">
        <v>239</v>
      </c>
      <c r="AK9" s="66"/>
      <c r="AL9" s="66"/>
      <c r="AM9" s="423"/>
      <c r="AN9" s="66" t="s">
        <v>240</v>
      </c>
      <c r="AO9" s="66"/>
      <c r="AP9" s="66"/>
      <c r="AQ9" s="423"/>
      <c r="AR9" s="66" t="s">
        <v>241</v>
      </c>
      <c r="AS9" s="66"/>
      <c r="AT9" s="66"/>
      <c r="AU9" s="435"/>
      <c r="AV9" s="68" t="s">
        <v>242</v>
      </c>
      <c r="AW9" s="66"/>
      <c r="AX9" s="423"/>
      <c r="AY9" s="68" t="s">
        <v>243</v>
      </c>
      <c r="AZ9" s="68"/>
      <c r="BA9" s="436"/>
      <c r="BB9" s="68" t="s">
        <v>244</v>
      </c>
      <c r="BC9" s="68"/>
      <c r="BD9" s="436"/>
      <c r="BE9" s="424" t="s">
        <v>245</v>
      </c>
      <c r="BF9" s="68" t="s">
        <v>246</v>
      </c>
      <c r="BG9" s="69"/>
      <c r="BH9" s="64" t="s">
        <v>85</v>
      </c>
      <c r="BI9" s="70" t="s">
        <v>247</v>
      </c>
      <c r="BJ9" s="64" t="s">
        <v>248</v>
      </c>
      <c r="BK9" s="157" t="s">
        <v>249</v>
      </c>
      <c r="BL9" s="65" t="s">
        <v>235</v>
      </c>
      <c r="BM9" s="66"/>
      <c r="BN9" s="66"/>
      <c r="BO9" s="66"/>
      <c r="BP9" s="66"/>
      <c r="BQ9" s="67"/>
      <c r="BR9" s="65" t="s">
        <v>250</v>
      </c>
      <c r="BS9" s="66"/>
      <c r="BT9" s="66"/>
      <c r="BU9" s="66"/>
      <c r="BV9" s="66"/>
      <c r="BW9" s="67"/>
      <c r="BX9" s="65" t="s">
        <v>251</v>
      </c>
      <c r="BY9" s="66"/>
      <c r="BZ9" s="66"/>
      <c r="CA9" s="66"/>
    </row>
    <row r="10" spans="1:81" x14ac:dyDescent="0.25">
      <c r="A10" s="146">
        <v>11402</v>
      </c>
      <c r="B10" s="418">
        <v>14</v>
      </c>
      <c r="C10" s="420">
        <v>12.165517241379311</v>
      </c>
      <c r="D10" s="421">
        <v>30924.857142857141</v>
      </c>
      <c r="E10" s="419">
        <v>0.75406428571428574</v>
      </c>
      <c r="F10" s="419">
        <v>0.23930000000000001</v>
      </c>
      <c r="G10" s="419">
        <v>3.2099999999999997E-2</v>
      </c>
      <c r="H10" s="419">
        <v>0.29399999999999998</v>
      </c>
      <c r="I10" s="419">
        <v>0.12</v>
      </c>
      <c r="J10" s="419">
        <v>1.09E-2</v>
      </c>
      <c r="K10" s="424">
        <v>100</v>
      </c>
      <c r="L10" s="418">
        <v>1.8944923970815211</v>
      </c>
      <c r="M10" s="418">
        <v>-3.9201250564869075E-2</v>
      </c>
      <c r="N10" s="418">
        <v>4.6952991071428773E-4</v>
      </c>
      <c r="O10" s="418">
        <v>4.0680843537414836E-3</v>
      </c>
      <c r="P10" s="418">
        <v>-1.3356505102040777E-5</v>
      </c>
      <c r="Q10" s="424">
        <v>-1.0080973032069966E-4</v>
      </c>
      <c r="R10" s="418">
        <v>-0.13189641515731121</v>
      </c>
      <c r="S10" s="418">
        <v>9.1026683687641566E-2</v>
      </c>
      <c r="T10" s="418">
        <v>-1.0761032667233547E-3</v>
      </c>
      <c r="U10" s="418">
        <v>-9.6548765306121911E-3</v>
      </c>
      <c r="V10" s="418">
        <v>-1.6897746598639687E-5</v>
      </c>
      <c r="W10" s="424">
        <v>1.4665382653061219E-4</v>
      </c>
      <c r="X10" s="418">
        <v>-1.4195558657191669</v>
      </c>
      <c r="Y10" s="418">
        <v>6.5634344440395939E-2</v>
      </c>
      <c r="Z10" s="418">
        <v>-4.4694581916100321E-4</v>
      </c>
      <c r="AA10" s="418">
        <v>-2.831027125850363E-3</v>
      </c>
      <c r="AB10" s="418">
        <v>1.9171917517006812E-4</v>
      </c>
      <c r="AC10" s="424">
        <v>-2.2512543731778434E-4</v>
      </c>
      <c r="AD10" s="418">
        <v>80.353610130373141</v>
      </c>
      <c r="AE10" s="418">
        <v>-2.4633768672529284</v>
      </c>
      <c r="AF10" s="418">
        <v>1.9553276299975331E-2</v>
      </c>
      <c r="AG10" s="418">
        <v>9.6934010579638949E-2</v>
      </c>
      <c r="AH10" s="418">
        <v>2.3568695991025413E-4</v>
      </c>
      <c r="AI10" s="424">
        <v>-2.108063339084359E-3</v>
      </c>
      <c r="AJ10" s="418">
        <v>-1.0000000000021103E-4</v>
      </c>
      <c r="AK10" s="418">
        <v>1.1176200000000001</v>
      </c>
      <c r="AL10" s="418">
        <v>-0.14004</v>
      </c>
      <c r="AM10" s="424">
        <v>2.2519999999999998E-2</v>
      </c>
      <c r="AN10" s="418">
        <v>8.0000000000080007E-5</v>
      </c>
      <c r="AO10" s="418">
        <v>1.1481399999999999</v>
      </c>
      <c r="AP10" s="418">
        <v>-0.18251999999999999</v>
      </c>
      <c r="AQ10" s="424">
        <v>3.4299999999999997E-2</v>
      </c>
      <c r="AR10" s="418">
        <v>0</v>
      </c>
      <c r="AS10" s="418">
        <v>1.17628</v>
      </c>
      <c r="AT10" s="418">
        <v>-0.22309999999999999</v>
      </c>
      <c r="AU10" s="424">
        <v>4.6820000000000001E-2</v>
      </c>
      <c r="AV10" s="418">
        <v>0.89346999999999999</v>
      </c>
      <c r="AW10" s="418">
        <v>0.11776</v>
      </c>
      <c r="AX10" s="424">
        <v>-1.123E-2</v>
      </c>
      <c r="AY10" s="418">
        <v>0.86870000000000003</v>
      </c>
      <c r="AZ10" s="418">
        <v>0.14851</v>
      </c>
      <c r="BA10" s="424">
        <v>-1.721E-2</v>
      </c>
      <c r="BB10" s="418">
        <v>0.84664000000000006</v>
      </c>
      <c r="BC10" s="418">
        <v>0.17682</v>
      </c>
      <c r="BD10" s="418">
        <v>-2.3460000000000002E-2</v>
      </c>
      <c r="BE10" s="437">
        <v>1</v>
      </c>
      <c r="BF10" s="418">
        <v>1</v>
      </c>
      <c r="BG10" s="439">
        <v>1</v>
      </c>
      <c r="BH10" s="418">
        <v>0</v>
      </c>
      <c r="BI10" s="418">
        <v>0</v>
      </c>
      <c r="BJ10" s="418">
        <v>0</v>
      </c>
      <c r="BK10" s="424">
        <v>0</v>
      </c>
      <c r="BL10" s="418">
        <v>0</v>
      </c>
      <c r="BM10" s="418">
        <v>0</v>
      </c>
      <c r="BN10" s="418">
        <v>0</v>
      </c>
      <c r="BO10" s="418">
        <v>0</v>
      </c>
      <c r="BP10" s="418">
        <v>0</v>
      </c>
      <c r="BQ10" s="439">
        <v>0</v>
      </c>
      <c r="BR10" s="418">
        <v>0</v>
      </c>
      <c r="BS10" s="418">
        <v>0</v>
      </c>
      <c r="BT10" s="418">
        <v>0</v>
      </c>
      <c r="BU10" s="418">
        <v>0</v>
      </c>
      <c r="BV10" s="418">
        <v>0</v>
      </c>
      <c r="BW10" s="439">
        <v>0</v>
      </c>
      <c r="BX10" s="418">
        <v>1</v>
      </c>
      <c r="BY10" s="418">
        <v>0</v>
      </c>
      <c r="BZ10" s="418">
        <v>0</v>
      </c>
      <c r="CA10" s="418">
        <v>1</v>
      </c>
      <c r="CC10" s="256"/>
    </row>
    <row r="11" spans="1:81" x14ac:dyDescent="0.25">
      <c r="A11" s="146">
        <v>11403</v>
      </c>
      <c r="B11" s="418">
        <v>14</v>
      </c>
      <c r="C11" s="420">
        <v>11.81793103448276</v>
      </c>
      <c r="D11" s="421">
        <v>52519.36363636364</v>
      </c>
      <c r="E11" s="419">
        <v>0.75921818181818179</v>
      </c>
      <c r="F11" s="419">
        <v>0.24660000000000001</v>
      </c>
      <c r="G11" s="419">
        <v>3.2629999999999999E-2</v>
      </c>
      <c r="H11" s="419">
        <v>0.29399999999999998</v>
      </c>
      <c r="I11" s="419">
        <v>0.10651818181818182</v>
      </c>
      <c r="J11" s="419">
        <v>9.0909090909090922E-3</v>
      </c>
      <c r="K11" s="424">
        <v>100</v>
      </c>
      <c r="L11" s="418">
        <v>2.3003823468614759</v>
      </c>
      <c r="M11" s="418">
        <v>-5.2750345959596025E-2</v>
      </c>
      <c r="N11" s="418">
        <v>5.786571067821067E-4</v>
      </c>
      <c r="O11" s="418">
        <v>5.2397696969696747E-3</v>
      </c>
      <c r="P11" s="418">
        <v>-1.7641774891774969E-5</v>
      </c>
      <c r="Q11" s="424">
        <v>-1.1033181818181766E-4</v>
      </c>
      <c r="R11" s="418">
        <v>1.0053296907854063</v>
      </c>
      <c r="S11" s="418">
        <v>6.0879206426509784E-2</v>
      </c>
      <c r="T11" s="418">
        <v>-8.7667739898989675E-4</v>
      </c>
      <c r="U11" s="418">
        <v>-1.3109487121212028E-2</v>
      </c>
      <c r="V11" s="418">
        <v>-1.7829816017316244E-5</v>
      </c>
      <c r="W11" s="424">
        <v>1.9756224489795858E-4</v>
      </c>
      <c r="X11" s="418">
        <v>-1.6279099396838432</v>
      </c>
      <c r="Y11" s="418">
        <v>8.1246720019068797E-2</v>
      </c>
      <c r="Z11" s="418">
        <v>-5.9317906746032194E-4</v>
      </c>
      <c r="AA11" s="418">
        <v>-9.2213475108225522E-3</v>
      </c>
      <c r="AB11" s="418">
        <v>2.0694209956709963E-4</v>
      </c>
      <c r="AC11" s="424">
        <v>-1.7980579777365473E-4</v>
      </c>
      <c r="AD11" s="418">
        <v>58.708763603349652</v>
      </c>
      <c r="AE11" s="418">
        <v>-1.8846843623109797</v>
      </c>
      <c r="AF11" s="418">
        <v>1.557166961193019E-2</v>
      </c>
      <c r="AG11" s="418">
        <v>0.15884114417389239</v>
      </c>
      <c r="AH11" s="418">
        <v>1.5074744831766856E-4</v>
      </c>
      <c r="AI11" s="424">
        <v>-2.7944290077070518E-3</v>
      </c>
      <c r="AJ11" s="418">
        <v>-1.0000000000021103E-4</v>
      </c>
      <c r="AK11" s="418">
        <v>1.1176200000000001</v>
      </c>
      <c r="AL11" s="418">
        <v>-0.14004</v>
      </c>
      <c r="AM11" s="424">
        <v>2.2519999999999998E-2</v>
      </c>
      <c r="AN11" s="418">
        <v>8.0000000000080007E-5</v>
      </c>
      <c r="AO11" s="418">
        <v>1.1481399999999999</v>
      </c>
      <c r="AP11" s="418">
        <v>-0.18251999999999999</v>
      </c>
      <c r="AQ11" s="424">
        <v>3.4299999999999997E-2</v>
      </c>
      <c r="AR11" s="418">
        <v>0</v>
      </c>
      <c r="AS11" s="418">
        <v>1.17628</v>
      </c>
      <c r="AT11" s="418">
        <v>-0.22309999999999999</v>
      </c>
      <c r="AU11" s="424">
        <v>4.6820000000000001E-2</v>
      </c>
      <c r="AV11" s="418">
        <v>0.89346999999999999</v>
      </c>
      <c r="AW11" s="418">
        <v>0.11776</v>
      </c>
      <c r="AX11" s="424">
        <v>-1.123E-2</v>
      </c>
      <c r="AY11" s="418">
        <v>0.86870000000000003</v>
      </c>
      <c r="AZ11" s="418">
        <v>0.14851</v>
      </c>
      <c r="BA11" s="424">
        <v>-1.721E-2</v>
      </c>
      <c r="BB11" s="418">
        <v>0.84664000000000006</v>
      </c>
      <c r="BC11" s="418">
        <v>0.17682</v>
      </c>
      <c r="BD11" s="418">
        <v>-2.3460000000000002E-2</v>
      </c>
      <c r="BE11" s="424">
        <v>1</v>
      </c>
      <c r="BF11" s="418">
        <v>1</v>
      </c>
      <c r="BG11" s="424">
        <v>1</v>
      </c>
      <c r="BH11" s="418">
        <v>0</v>
      </c>
      <c r="BI11" s="418">
        <v>0</v>
      </c>
      <c r="BJ11" s="418">
        <v>0</v>
      </c>
      <c r="BK11" s="424">
        <v>0</v>
      </c>
      <c r="BL11" s="418">
        <v>0</v>
      </c>
      <c r="BM11" s="418">
        <v>0</v>
      </c>
      <c r="BN11" s="418">
        <v>0</v>
      </c>
      <c r="BO11" s="418">
        <v>0</v>
      </c>
      <c r="BP11" s="418">
        <v>0</v>
      </c>
      <c r="BQ11" s="424">
        <v>0</v>
      </c>
      <c r="BR11" s="418">
        <v>0</v>
      </c>
      <c r="BS11" s="418">
        <v>0</v>
      </c>
      <c r="BT11" s="418">
        <v>0</v>
      </c>
      <c r="BU11" s="418">
        <v>0</v>
      </c>
      <c r="BV11" s="418">
        <v>0</v>
      </c>
      <c r="BW11" s="424">
        <v>0</v>
      </c>
      <c r="BX11" s="418">
        <v>1</v>
      </c>
      <c r="BY11" s="418">
        <v>0</v>
      </c>
      <c r="BZ11" s="418">
        <v>0</v>
      </c>
      <c r="CA11" s="418">
        <v>1</v>
      </c>
      <c r="CC11" s="256"/>
    </row>
    <row r="12" spans="1:81" x14ac:dyDescent="0.25">
      <c r="A12" s="146">
        <v>11405</v>
      </c>
      <c r="B12" s="418">
        <v>14</v>
      </c>
      <c r="C12" s="420">
        <v>11.112499999999999</v>
      </c>
      <c r="D12" s="421">
        <v>58310</v>
      </c>
      <c r="E12" s="419">
        <v>0.71699999999999997</v>
      </c>
      <c r="F12" s="419">
        <v>0.26502999999999999</v>
      </c>
      <c r="G12" s="419">
        <v>3.2099999999999997E-2</v>
      </c>
      <c r="H12" s="419">
        <v>0.29399999999999998</v>
      </c>
      <c r="I12" s="419">
        <v>0.12</v>
      </c>
      <c r="J12" s="419">
        <v>1.09E-2</v>
      </c>
      <c r="K12" s="424">
        <v>100</v>
      </c>
      <c r="L12" s="418">
        <v>3.4905836789670701</v>
      </c>
      <c r="M12" s="418">
        <v>-9.1344846307905833E-2</v>
      </c>
      <c r="N12" s="418">
        <v>9.5659465636167319E-4</v>
      </c>
      <c r="O12" s="418">
        <v>6.2175423614240265E-3</v>
      </c>
      <c r="P12" s="418">
        <v>-7.874999999999895E-6</v>
      </c>
      <c r="Q12" s="424">
        <v>-1.8605295178008086E-4</v>
      </c>
      <c r="R12" s="418">
        <v>2.9970667362228278</v>
      </c>
      <c r="S12" s="418">
        <v>1.8496931879762046E-3</v>
      </c>
      <c r="T12" s="418">
        <v>-3.8268391091166086E-4</v>
      </c>
      <c r="U12" s="418">
        <v>-1.7138015772870562E-2</v>
      </c>
      <c r="V12" s="418">
        <v>-1.2462500000000305E-5</v>
      </c>
      <c r="W12" s="424">
        <v>2.1012685894547029E-4</v>
      </c>
      <c r="X12" s="418">
        <v>-3.4577382293497196</v>
      </c>
      <c r="Y12" s="418">
        <v>0.15512148697155423</v>
      </c>
      <c r="Z12" s="418">
        <v>-1.1438288872267963E-3</v>
      </c>
      <c r="AA12" s="418">
        <v>-2.1250800360522688E-2</v>
      </c>
      <c r="AB12" s="418">
        <v>2.9838571428571383E-4</v>
      </c>
      <c r="AC12" s="424">
        <v>-2.3171383506083841E-4</v>
      </c>
      <c r="AD12" s="418">
        <v>29.784171863792952</v>
      </c>
      <c r="AE12" s="418">
        <v>-0.96569196614835773</v>
      </c>
      <c r="AF12" s="418">
        <v>7.8708211483886365E-3</v>
      </c>
      <c r="AG12" s="418">
        <v>0.23114841671331107</v>
      </c>
      <c r="AH12" s="418">
        <v>1.9407979231782078E-4</v>
      </c>
      <c r="AI12" s="424">
        <v>-3.6332436732761137E-3</v>
      </c>
      <c r="AJ12" s="418">
        <v>2.8400000000000001E-3</v>
      </c>
      <c r="AK12" s="418">
        <v>1.06067</v>
      </c>
      <c r="AL12" s="418">
        <v>-6.8739999999999996E-2</v>
      </c>
      <c r="AM12" s="424">
        <v>5.2300000000000003E-3</v>
      </c>
      <c r="AN12" s="418">
        <v>-1.4599999999999999E-3</v>
      </c>
      <c r="AO12" s="418">
        <v>1.1032</v>
      </c>
      <c r="AP12" s="418">
        <v>-0.1193</v>
      </c>
      <c r="AQ12" s="424">
        <v>1.755E-2</v>
      </c>
      <c r="AR12" s="418">
        <v>-1.6000000000000001E-4</v>
      </c>
      <c r="AS12" s="418">
        <v>1.1224000000000001</v>
      </c>
      <c r="AT12" s="418">
        <v>-0.14282</v>
      </c>
      <c r="AU12" s="424">
        <v>2.0580000000000001E-2</v>
      </c>
      <c r="AV12" s="418">
        <v>0.88888999999999996</v>
      </c>
      <c r="AW12" s="418">
        <v>6.9519999999999998E-2</v>
      </c>
      <c r="AX12" s="424">
        <v>-6.4599999999999996E-3</v>
      </c>
      <c r="AY12" s="418">
        <v>0.87243000000000004</v>
      </c>
      <c r="AZ12" s="418">
        <v>9.4130000000000005E-2</v>
      </c>
      <c r="BA12" s="424">
        <v>-7.5199999999999998E-3</v>
      </c>
      <c r="BB12" s="418">
        <v>0.85624999999999996</v>
      </c>
      <c r="BC12" s="418">
        <v>0.12114999999999999</v>
      </c>
      <c r="BD12" s="418">
        <v>-1.2409999999999999E-2</v>
      </c>
      <c r="BE12" s="424">
        <v>2</v>
      </c>
      <c r="BF12" s="418">
        <v>0.77300000000000002</v>
      </c>
      <c r="BG12" s="424">
        <v>0.68200000000000005</v>
      </c>
      <c r="BH12" s="418">
        <v>0</v>
      </c>
      <c r="BI12" s="418">
        <v>0</v>
      </c>
      <c r="BJ12" s="418">
        <v>0</v>
      </c>
      <c r="BK12" s="424">
        <v>0</v>
      </c>
      <c r="BL12" s="418">
        <v>0</v>
      </c>
      <c r="BM12" s="418">
        <v>0</v>
      </c>
      <c r="BN12" s="418">
        <v>0</v>
      </c>
      <c r="BO12" s="418">
        <v>0</v>
      </c>
      <c r="BP12" s="418">
        <v>0</v>
      </c>
      <c r="BQ12" s="424">
        <v>0</v>
      </c>
      <c r="BR12" s="418">
        <v>0</v>
      </c>
      <c r="BS12" s="418">
        <v>0</v>
      </c>
      <c r="BT12" s="418">
        <v>0</v>
      </c>
      <c r="BU12" s="418">
        <v>0</v>
      </c>
      <c r="BV12" s="418">
        <v>0</v>
      </c>
      <c r="BW12" s="424">
        <v>0</v>
      </c>
      <c r="BX12" s="418">
        <v>1.7450000000000001</v>
      </c>
      <c r="BY12" s="418">
        <v>-0.745</v>
      </c>
      <c r="BZ12" s="418">
        <v>1</v>
      </c>
      <c r="CA12" s="418">
        <v>1.1889999999999998</v>
      </c>
      <c r="CC12" s="256"/>
    </row>
    <row r="13" spans="1:81" x14ac:dyDescent="0.25">
      <c r="A13" s="146">
        <v>11501</v>
      </c>
      <c r="B13" s="418">
        <v>15</v>
      </c>
      <c r="C13" s="420">
        <v>12.781690140845072</v>
      </c>
      <c r="D13" s="421">
        <v>34895</v>
      </c>
      <c r="E13" s="419">
        <v>0.74399999999999999</v>
      </c>
      <c r="F13" s="419">
        <v>0.23218</v>
      </c>
      <c r="G13" s="419">
        <v>3.2099999999999997E-2</v>
      </c>
      <c r="H13" s="419">
        <v>0.251</v>
      </c>
      <c r="I13" s="419">
        <v>0.12</v>
      </c>
      <c r="J13" s="419">
        <v>1.09E-2</v>
      </c>
      <c r="K13" s="424">
        <v>100</v>
      </c>
      <c r="L13" s="418">
        <v>0.33897178911564851</v>
      </c>
      <c r="M13" s="418">
        <v>4.1807142857127792E-4</v>
      </c>
      <c r="N13" s="418">
        <v>2.1371428571428737E-4</v>
      </c>
      <c r="O13" s="418">
        <v>8.9003244897959653E-3</v>
      </c>
      <c r="P13" s="418">
        <v>-2.5962585034013662E-5</v>
      </c>
      <c r="Q13" s="424">
        <v>-1.4730000000000052E-4</v>
      </c>
      <c r="R13" s="418">
        <v>4.6779843523809648</v>
      </c>
      <c r="S13" s="418">
        <v>-7.37121142857146E-2</v>
      </c>
      <c r="T13" s="418">
        <v>2.8931428571428772E-4</v>
      </c>
      <c r="U13" s="418">
        <v>6.4477142857142572E-3</v>
      </c>
      <c r="V13" s="418">
        <v>-2.7952380952380968E-5</v>
      </c>
      <c r="W13" s="424">
        <v>-6.2571428571428123E-5</v>
      </c>
      <c r="X13" s="418">
        <v>0.92750261088437846</v>
      </c>
      <c r="Y13" s="418">
        <v>-4.6154285714325525E-4</v>
      </c>
      <c r="Z13" s="418">
        <v>3.9600000000001891E-5</v>
      </c>
      <c r="AA13" s="418">
        <v>-6.8688054421770662E-3</v>
      </c>
      <c r="AB13" s="418">
        <v>2.047959183673473E-4</v>
      </c>
      <c r="AC13" s="424">
        <v>-1.9954285714285575E-4</v>
      </c>
      <c r="AD13" s="418">
        <v>25.546232884620121</v>
      </c>
      <c r="AE13" s="418">
        <v>-0.65921738762013815</v>
      </c>
      <c r="AF13" s="418">
        <v>5.1163880791784697E-3</v>
      </c>
      <c r="AG13" s="418">
        <v>-2.7637602981531319E-2</v>
      </c>
      <c r="AH13" s="418">
        <v>3.3263218349186414E-4</v>
      </c>
      <c r="AI13" s="424">
        <v>-5.848495167748019E-4</v>
      </c>
      <c r="AJ13" s="418">
        <v>-6.9999999999999994E-5</v>
      </c>
      <c r="AK13" s="418">
        <v>1.16951</v>
      </c>
      <c r="AL13" s="418">
        <v>-0.21321000000000001</v>
      </c>
      <c r="AM13" s="424">
        <v>4.3770000000000003E-2</v>
      </c>
      <c r="AN13" s="418">
        <v>1.2E-4</v>
      </c>
      <c r="AO13" s="418">
        <v>1.2017800000000001</v>
      </c>
      <c r="AP13" s="418">
        <v>-0.26145000000000002</v>
      </c>
      <c r="AQ13" s="424">
        <v>5.9549999999999999E-2</v>
      </c>
      <c r="AR13" s="418">
        <v>6.9999999999999994E-5</v>
      </c>
      <c r="AS13" s="418">
        <v>1.23139</v>
      </c>
      <c r="AT13" s="418">
        <v>-0.30703000000000003</v>
      </c>
      <c r="AU13" s="424">
        <v>7.5569999999999998E-2</v>
      </c>
      <c r="AV13" s="418">
        <v>0.85187000000000002</v>
      </c>
      <c r="AW13" s="418">
        <v>0.17007</v>
      </c>
      <c r="AX13" s="424">
        <v>-2.1940000000000001E-2</v>
      </c>
      <c r="AY13" s="418">
        <v>0.82723000000000002</v>
      </c>
      <c r="AZ13" s="418">
        <v>0.20272999999999999</v>
      </c>
      <c r="BA13" s="424">
        <v>-2.9960000000000001E-2</v>
      </c>
      <c r="BB13" s="418">
        <v>0.80530000000000002</v>
      </c>
      <c r="BC13" s="418">
        <v>0.23269999999999999</v>
      </c>
      <c r="BD13" s="418">
        <v>-3.7999999999999999E-2</v>
      </c>
      <c r="BE13" s="424">
        <v>1</v>
      </c>
      <c r="BF13" s="418">
        <v>1</v>
      </c>
      <c r="BG13" s="424">
        <v>1</v>
      </c>
      <c r="BH13" s="418">
        <v>0</v>
      </c>
      <c r="BI13" s="418">
        <v>0</v>
      </c>
      <c r="BJ13" s="418">
        <v>0</v>
      </c>
      <c r="BK13" s="424">
        <v>0</v>
      </c>
      <c r="BL13" s="418">
        <v>0</v>
      </c>
      <c r="BM13" s="418">
        <v>0</v>
      </c>
      <c r="BN13" s="418">
        <v>0</v>
      </c>
      <c r="BO13" s="418">
        <v>0</v>
      </c>
      <c r="BP13" s="418">
        <v>0</v>
      </c>
      <c r="BQ13" s="424">
        <v>0</v>
      </c>
      <c r="BR13" s="418">
        <v>0</v>
      </c>
      <c r="BS13" s="418">
        <v>0</v>
      </c>
      <c r="BT13" s="418">
        <v>0</v>
      </c>
      <c r="BU13" s="418">
        <v>0</v>
      </c>
      <c r="BV13" s="418">
        <v>0</v>
      </c>
      <c r="BW13" s="424">
        <v>0</v>
      </c>
      <c r="BX13" s="418">
        <v>1</v>
      </c>
      <c r="BY13" s="418">
        <v>0</v>
      </c>
      <c r="BZ13" s="418">
        <v>0</v>
      </c>
      <c r="CA13" s="418">
        <v>1</v>
      </c>
      <c r="CC13" s="256"/>
    </row>
    <row r="14" spans="1:81" x14ac:dyDescent="0.25">
      <c r="A14" s="146">
        <v>11505</v>
      </c>
      <c r="B14" s="418">
        <v>15</v>
      </c>
      <c r="C14" s="420">
        <v>11.90625</v>
      </c>
      <c r="D14" s="421">
        <v>58310</v>
      </c>
      <c r="E14" s="419">
        <v>0.71699999999999997</v>
      </c>
      <c r="F14" s="419">
        <v>0.25126999999999999</v>
      </c>
      <c r="G14" s="419">
        <v>3.2099999999999997E-2</v>
      </c>
      <c r="H14" s="419">
        <v>0.251</v>
      </c>
      <c r="I14" s="419">
        <v>0.12</v>
      </c>
      <c r="J14" s="419">
        <v>1.09E-2</v>
      </c>
      <c r="K14" s="424">
        <v>100</v>
      </c>
      <c r="L14" s="418">
        <v>3.4905836789670701</v>
      </c>
      <c r="M14" s="418">
        <v>-9.1344846307905833E-2</v>
      </c>
      <c r="N14" s="418">
        <v>9.5659465636167319E-4</v>
      </c>
      <c r="O14" s="418">
        <v>6.2175423614240265E-3</v>
      </c>
      <c r="P14" s="418">
        <v>-7.874999999999895E-6</v>
      </c>
      <c r="Q14" s="424">
        <v>-1.8605295178008086E-4</v>
      </c>
      <c r="R14" s="418">
        <v>2.9970667362228278</v>
      </c>
      <c r="S14" s="418">
        <v>1.8496931879762046E-3</v>
      </c>
      <c r="T14" s="418">
        <v>-3.8268391091166086E-4</v>
      </c>
      <c r="U14" s="418">
        <v>-1.7138015772870562E-2</v>
      </c>
      <c r="V14" s="418">
        <v>-1.2462500000000305E-5</v>
      </c>
      <c r="W14" s="424">
        <v>2.1012685894547029E-4</v>
      </c>
      <c r="X14" s="418">
        <v>-3.4577382293497196</v>
      </c>
      <c r="Y14" s="418">
        <v>0.15512148697155423</v>
      </c>
      <c r="Z14" s="418">
        <v>-1.1438288872267963E-3</v>
      </c>
      <c r="AA14" s="418">
        <v>-2.1250800360522688E-2</v>
      </c>
      <c r="AB14" s="418">
        <v>2.9838571428571383E-4</v>
      </c>
      <c r="AC14" s="424">
        <v>-2.3171383506083841E-4</v>
      </c>
      <c r="AD14" s="418">
        <v>29.784171863792952</v>
      </c>
      <c r="AE14" s="418">
        <v>-0.96569196614835773</v>
      </c>
      <c r="AF14" s="418">
        <v>7.8708211483886365E-3</v>
      </c>
      <c r="AG14" s="418">
        <v>0.23114841671331107</v>
      </c>
      <c r="AH14" s="418">
        <v>1.9407979231782078E-4</v>
      </c>
      <c r="AI14" s="424">
        <v>-3.6332436732761137E-3</v>
      </c>
      <c r="AJ14" s="418">
        <v>2.8400000000000001E-3</v>
      </c>
      <c r="AK14" s="418">
        <v>1.06067</v>
      </c>
      <c r="AL14" s="418">
        <v>-6.8739999999999996E-2</v>
      </c>
      <c r="AM14" s="424">
        <v>5.2300000000000003E-3</v>
      </c>
      <c r="AN14" s="418">
        <v>-1.4599999999999999E-3</v>
      </c>
      <c r="AO14" s="418">
        <v>1.1032</v>
      </c>
      <c r="AP14" s="418">
        <v>-0.1193</v>
      </c>
      <c r="AQ14" s="424">
        <v>1.755E-2</v>
      </c>
      <c r="AR14" s="418">
        <v>-1.6000000000000001E-4</v>
      </c>
      <c r="AS14" s="418">
        <v>1.1224000000000001</v>
      </c>
      <c r="AT14" s="418">
        <v>-0.14282</v>
      </c>
      <c r="AU14" s="424">
        <v>2.0580000000000001E-2</v>
      </c>
      <c r="AV14" s="418">
        <v>0.88888999999999996</v>
      </c>
      <c r="AW14" s="418">
        <v>6.9519999999999998E-2</v>
      </c>
      <c r="AX14" s="424">
        <v>-6.4599999999999996E-3</v>
      </c>
      <c r="AY14" s="418">
        <v>0.87243000000000004</v>
      </c>
      <c r="AZ14" s="418">
        <v>9.4130000000000005E-2</v>
      </c>
      <c r="BA14" s="424">
        <v>-7.5199999999999998E-3</v>
      </c>
      <c r="BB14" s="418">
        <v>0.85624999999999996</v>
      </c>
      <c r="BC14" s="418">
        <v>0.12114999999999999</v>
      </c>
      <c r="BD14" s="418">
        <v>-1.2409999999999999E-2</v>
      </c>
      <c r="BE14" s="424">
        <v>2</v>
      </c>
      <c r="BF14" s="418">
        <v>0.77300000000000002</v>
      </c>
      <c r="BG14" s="424">
        <v>0.68200000000000005</v>
      </c>
      <c r="BH14" s="418">
        <v>0</v>
      </c>
      <c r="BI14" s="418">
        <v>0</v>
      </c>
      <c r="BJ14" s="418">
        <v>0</v>
      </c>
      <c r="BK14" s="424">
        <v>0</v>
      </c>
      <c r="BL14" s="418">
        <v>0</v>
      </c>
      <c r="BM14" s="418">
        <v>0</v>
      </c>
      <c r="BN14" s="418">
        <v>0</v>
      </c>
      <c r="BO14" s="418">
        <v>0</v>
      </c>
      <c r="BP14" s="418">
        <v>0</v>
      </c>
      <c r="BQ14" s="424">
        <v>0</v>
      </c>
      <c r="BR14" s="418">
        <v>0</v>
      </c>
      <c r="BS14" s="418">
        <v>0</v>
      </c>
      <c r="BT14" s="418">
        <v>0</v>
      </c>
      <c r="BU14" s="418">
        <v>0</v>
      </c>
      <c r="BV14" s="418">
        <v>0</v>
      </c>
      <c r="BW14" s="424">
        <v>0</v>
      </c>
      <c r="BX14" s="418">
        <v>1.7450000000000001</v>
      </c>
      <c r="BY14" s="418">
        <v>-0.745</v>
      </c>
      <c r="BZ14" s="418">
        <v>1</v>
      </c>
      <c r="CA14" s="418">
        <v>1.1889999999999998</v>
      </c>
      <c r="CC14" s="256"/>
    </row>
    <row r="15" spans="1:81" x14ac:dyDescent="0.25">
      <c r="A15" s="146">
        <v>11604</v>
      </c>
      <c r="B15" s="418">
        <v>16</v>
      </c>
      <c r="C15" s="420">
        <v>12.48</v>
      </c>
      <c r="D15" s="421">
        <v>58805</v>
      </c>
      <c r="E15" s="419">
        <v>0.72399999999999998</v>
      </c>
      <c r="F15" s="419">
        <v>0.23813999999999999</v>
      </c>
      <c r="G15" s="419">
        <v>0.03</v>
      </c>
      <c r="H15" s="419">
        <v>0.27100000000000002</v>
      </c>
      <c r="I15" s="419">
        <v>0.10199999999999999</v>
      </c>
      <c r="J15" s="419">
        <v>0.01</v>
      </c>
      <c r="K15" s="424">
        <v>100</v>
      </c>
      <c r="L15" s="418">
        <v>3.4461565310120856</v>
      </c>
      <c r="M15" s="418">
        <v>-9.1330269718902374E-2</v>
      </c>
      <c r="N15" s="418">
        <v>9.2399829570244212E-4</v>
      </c>
      <c r="O15" s="418">
        <v>7.0175794276700178E-3</v>
      </c>
      <c r="P15" s="418">
        <v>-2.0119196428571198E-5</v>
      </c>
      <c r="Q15" s="424">
        <v>-1.5081714173050841E-4</v>
      </c>
      <c r="R15" s="418">
        <v>0.2599408937536426</v>
      </c>
      <c r="S15" s="418">
        <v>7.4842822316778038E-2</v>
      </c>
      <c r="T15" s="418">
        <v>-9.1894734402268299E-4</v>
      </c>
      <c r="U15" s="418">
        <v>-9.6755856100718771E-3</v>
      </c>
      <c r="V15" s="418">
        <v>-3.0969419642857838E-5</v>
      </c>
      <c r="W15" s="424">
        <v>1.6487420009012933E-4</v>
      </c>
      <c r="X15" s="418">
        <v>-3.022348096120381</v>
      </c>
      <c r="Y15" s="418">
        <v>0.13455103785367409</v>
      </c>
      <c r="Z15" s="418">
        <v>-1.0034324143760995E-3</v>
      </c>
      <c r="AA15" s="418">
        <v>-1.5978434373591734E-2</v>
      </c>
      <c r="AB15" s="418">
        <v>2.3792098214285714E-4</v>
      </c>
      <c r="AC15" s="424">
        <v>-1.7556149729607915E-4</v>
      </c>
      <c r="AD15" s="418">
        <v>66.897375698272214</v>
      </c>
      <c r="AE15" s="418">
        <v>-2.013163412131187</v>
      </c>
      <c r="AF15" s="418">
        <v>1.5880129625811059E-2</v>
      </c>
      <c r="AG15" s="418">
        <v>0.1009210752253446</v>
      </c>
      <c r="AH15" s="418">
        <v>3.5450963471849031E-4</v>
      </c>
      <c r="AI15" s="424">
        <v>-2.3705075531014375E-3</v>
      </c>
      <c r="AJ15" s="418">
        <v>-7.2624999999881812E-3</v>
      </c>
      <c r="AK15" s="418">
        <v>1.1133649999999544</v>
      </c>
      <c r="AL15" s="418">
        <v>-0.13234499999994129</v>
      </c>
      <c r="AM15" s="424">
        <v>2.6242499999975043E-2</v>
      </c>
      <c r="AN15" s="418">
        <v>-1.4400000000063251E-3</v>
      </c>
      <c r="AO15" s="418">
        <v>1.1191325000000234</v>
      </c>
      <c r="AP15" s="418">
        <v>-0.13966000000002712</v>
      </c>
      <c r="AQ15" s="424">
        <v>2.1967500000009996E-2</v>
      </c>
      <c r="AR15" s="418">
        <v>6.3475000000017268E-3</v>
      </c>
      <c r="AS15" s="418">
        <v>1.116227499999995</v>
      </c>
      <c r="AT15" s="418">
        <v>-0.13861999999999522</v>
      </c>
      <c r="AU15" s="424">
        <v>1.6044999999998467E-2</v>
      </c>
      <c r="AV15" s="418">
        <v>0.95949749999999889</v>
      </c>
      <c r="AW15" s="418">
        <v>9.3422500000002351E-2</v>
      </c>
      <c r="AX15" s="424">
        <v>-6.8750000000014182E-3</v>
      </c>
      <c r="AY15" s="418">
        <v>0.94031999999999849</v>
      </c>
      <c r="AZ15" s="418">
        <v>0.12406500000000346</v>
      </c>
      <c r="BA15" s="424">
        <v>-1.0927500000001986E-2</v>
      </c>
      <c r="BB15" s="418">
        <v>0.92296499999999926</v>
      </c>
      <c r="BC15" s="418">
        <v>0.15259000000000186</v>
      </c>
      <c r="BD15" s="418">
        <v>-1.5617500000001306E-2</v>
      </c>
      <c r="BE15" s="424">
        <v>2</v>
      </c>
      <c r="BF15" s="418">
        <v>0.73899999999999999</v>
      </c>
      <c r="BG15" s="424">
        <v>0.68600000000000005</v>
      </c>
      <c r="BH15" s="418">
        <v>0</v>
      </c>
      <c r="BI15" s="418">
        <v>0</v>
      </c>
      <c r="BJ15" s="418">
        <v>0</v>
      </c>
      <c r="BK15" s="424">
        <v>0</v>
      </c>
      <c r="BL15" s="418">
        <v>0</v>
      </c>
      <c r="BM15" s="418">
        <v>0</v>
      </c>
      <c r="BN15" s="418">
        <v>0</v>
      </c>
      <c r="BO15" s="418">
        <v>0</v>
      </c>
      <c r="BP15" s="418">
        <v>0</v>
      </c>
      <c r="BQ15" s="424">
        <v>0</v>
      </c>
      <c r="BR15" s="418">
        <v>0</v>
      </c>
      <c r="BS15" s="418">
        <v>0</v>
      </c>
      <c r="BT15" s="418">
        <v>0</v>
      </c>
      <c r="BU15" s="418">
        <v>0</v>
      </c>
      <c r="BV15" s="418">
        <v>0</v>
      </c>
      <c r="BW15" s="424">
        <v>0</v>
      </c>
      <c r="BX15" s="418">
        <v>1.7450000000000001</v>
      </c>
      <c r="BY15" s="418">
        <v>-0.745</v>
      </c>
      <c r="BZ15" s="418">
        <v>1</v>
      </c>
      <c r="CA15" s="418">
        <v>1.1889999999999998</v>
      </c>
      <c r="CC15" s="256"/>
    </row>
    <row r="16" spans="1:81" x14ac:dyDescent="0.25">
      <c r="A16" s="441">
        <v>11605</v>
      </c>
      <c r="B16" s="275">
        <v>16</v>
      </c>
      <c r="C16" s="442">
        <v>12.48</v>
      </c>
      <c r="D16" s="443">
        <v>58805</v>
      </c>
      <c r="E16" s="444">
        <v>0.72399999999999998</v>
      </c>
      <c r="F16" s="444">
        <v>0.23813999999999999</v>
      </c>
      <c r="G16" s="444">
        <v>0.03</v>
      </c>
      <c r="H16" s="444">
        <v>0.27100000000000002</v>
      </c>
      <c r="I16" s="444">
        <v>0.10199999999999999</v>
      </c>
      <c r="J16" s="444">
        <v>0.01</v>
      </c>
      <c r="K16" s="445">
        <v>100</v>
      </c>
      <c r="L16" s="275">
        <v>3.4461565310120856</v>
      </c>
      <c r="M16" s="275">
        <v>-9.1330269718902374E-2</v>
      </c>
      <c r="N16" s="275">
        <v>9.2399829570244212E-4</v>
      </c>
      <c r="O16" s="275">
        <v>7.0175794276700178E-3</v>
      </c>
      <c r="P16" s="275">
        <v>-2.0119196428571198E-5</v>
      </c>
      <c r="Q16" s="445">
        <v>-1.5081714173050841E-4</v>
      </c>
      <c r="R16" s="275">
        <v>0.2599408937536426</v>
      </c>
      <c r="S16" s="275">
        <v>7.4842822316778038E-2</v>
      </c>
      <c r="T16" s="275">
        <v>-9.1894734402268299E-4</v>
      </c>
      <c r="U16" s="275">
        <v>-9.6755856100718771E-3</v>
      </c>
      <c r="V16" s="275">
        <v>-3.0969419642857838E-5</v>
      </c>
      <c r="W16" s="445">
        <v>1.6487420009012933E-4</v>
      </c>
      <c r="X16" s="275">
        <v>-3.022348096120381</v>
      </c>
      <c r="Y16" s="275">
        <v>0.13455103785367409</v>
      </c>
      <c r="Z16" s="275">
        <v>-1.0034324143760995E-3</v>
      </c>
      <c r="AA16" s="275">
        <v>-1.5978434373591734E-2</v>
      </c>
      <c r="AB16" s="275">
        <v>2.3792098214285714E-4</v>
      </c>
      <c r="AC16" s="445">
        <v>-1.7556149729607915E-4</v>
      </c>
      <c r="AD16" s="275">
        <v>66.897375698272214</v>
      </c>
      <c r="AE16" s="275">
        <v>-2.013163412131187</v>
      </c>
      <c r="AF16" s="275">
        <v>1.5880129625811059E-2</v>
      </c>
      <c r="AG16" s="275">
        <v>0.1009210752253446</v>
      </c>
      <c r="AH16" s="275">
        <v>3.5450963471849031E-4</v>
      </c>
      <c r="AI16" s="445">
        <v>-2.3705075531014375E-3</v>
      </c>
      <c r="AJ16" s="275">
        <v>-7.2624999999881812E-3</v>
      </c>
      <c r="AK16" s="275">
        <v>1.1133649999999544</v>
      </c>
      <c r="AL16" s="275">
        <v>-0.13234499999994129</v>
      </c>
      <c r="AM16" s="445">
        <v>2.6242499999975043E-2</v>
      </c>
      <c r="AN16" s="275">
        <v>-1.4400000000063251E-3</v>
      </c>
      <c r="AO16" s="275">
        <v>1.1191325000000234</v>
      </c>
      <c r="AP16" s="275">
        <v>-0.13966000000002712</v>
      </c>
      <c r="AQ16" s="445">
        <v>2.1967500000009996E-2</v>
      </c>
      <c r="AR16" s="275">
        <v>6.3475000000017268E-3</v>
      </c>
      <c r="AS16" s="275">
        <v>1.116227499999995</v>
      </c>
      <c r="AT16" s="275">
        <v>-0.13861999999999522</v>
      </c>
      <c r="AU16" s="445">
        <v>1.6044999999998467E-2</v>
      </c>
      <c r="AV16" s="275">
        <v>0.95949749999999889</v>
      </c>
      <c r="AW16" s="275">
        <v>9.3422500000002351E-2</v>
      </c>
      <c r="AX16" s="445">
        <v>-6.8750000000014182E-3</v>
      </c>
      <c r="AY16" s="275">
        <v>0.94031999999999849</v>
      </c>
      <c r="AZ16" s="275">
        <v>0.12406500000000346</v>
      </c>
      <c r="BA16" s="445">
        <v>-1.0927500000001986E-2</v>
      </c>
      <c r="BB16" s="275">
        <v>0.92296499999999926</v>
      </c>
      <c r="BC16" s="275">
        <v>0.15259000000000186</v>
      </c>
      <c r="BD16" s="275">
        <v>-1.5617500000001306E-2</v>
      </c>
      <c r="BE16" s="445">
        <v>2</v>
      </c>
      <c r="BF16" s="275">
        <v>0.73899999999999999</v>
      </c>
      <c r="BG16" s="445">
        <v>0.68600000000000005</v>
      </c>
      <c r="BH16" s="275">
        <v>0</v>
      </c>
      <c r="BI16" s="275">
        <v>0</v>
      </c>
      <c r="BJ16" s="275">
        <v>0</v>
      </c>
      <c r="BK16" s="445">
        <v>0</v>
      </c>
      <c r="BL16" s="275">
        <v>0</v>
      </c>
      <c r="BM16" s="275">
        <v>0</v>
      </c>
      <c r="BN16" s="275">
        <v>0</v>
      </c>
      <c r="BO16" s="275">
        <v>0</v>
      </c>
      <c r="BP16" s="275">
        <v>0</v>
      </c>
      <c r="BQ16" s="445">
        <v>0</v>
      </c>
      <c r="BR16" s="275">
        <v>0</v>
      </c>
      <c r="BS16" s="275">
        <v>0</v>
      </c>
      <c r="BT16" s="275">
        <v>0</v>
      </c>
      <c r="BU16" s="275">
        <v>0</v>
      </c>
      <c r="BV16" s="275">
        <v>0</v>
      </c>
      <c r="BW16" s="445">
        <v>0</v>
      </c>
      <c r="BX16" s="275">
        <v>1.7450000000000001</v>
      </c>
      <c r="BY16" s="275">
        <v>-0.745</v>
      </c>
      <c r="BZ16" s="275">
        <v>1</v>
      </c>
      <c r="CA16" s="275">
        <v>1.1889999999999998</v>
      </c>
      <c r="CC16" s="446"/>
    </row>
    <row r="17" spans="1:81" x14ac:dyDescent="0.25">
      <c r="A17" s="441">
        <v>11610</v>
      </c>
      <c r="B17" s="275">
        <v>16</v>
      </c>
      <c r="C17" s="442">
        <v>12.48</v>
      </c>
      <c r="D17" s="443">
        <v>58805</v>
      </c>
      <c r="E17" s="444">
        <v>0.72399999999999998</v>
      </c>
      <c r="F17" s="444">
        <v>0.23813999999999999</v>
      </c>
      <c r="G17" s="444">
        <v>0.03</v>
      </c>
      <c r="H17" s="444">
        <v>0.27100000000000002</v>
      </c>
      <c r="I17" s="444">
        <v>0.10199999999999999</v>
      </c>
      <c r="J17" s="444">
        <v>0.01</v>
      </c>
      <c r="K17" s="445">
        <v>100</v>
      </c>
      <c r="L17" s="275">
        <v>3.4461565310120856</v>
      </c>
      <c r="M17" s="275">
        <v>-9.1330269718902374E-2</v>
      </c>
      <c r="N17" s="275">
        <v>9.2399829570244212E-4</v>
      </c>
      <c r="O17" s="275">
        <v>7.0175794276700178E-3</v>
      </c>
      <c r="P17" s="275">
        <v>-2.0119196428571198E-5</v>
      </c>
      <c r="Q17" s="445">
        <v>-1.5081714173050841E-4</v>
      </c>
      <c r="R17" s="275">
        <v>0.2599408937536426</v>
      </c>
      <c r="S17" s="275">
        <v>7.4842822316778038E-2</v>
      </c>
      <c r="T17" s="275">
        <v>-9.1894734402268299E-4</v>
      </c>
      <c r="U17" s="275">
        <v>-9.6755856100718771E-3</v>
      </c>
      <c r="V17" s="275">
        <v>-3.0969419642857838E-5</v>
      </c>
      <c r="W17" s="445">
        <v>1.6487420009012933E-4</v>
      </c>
      <c r="X17" s="275">
        <v>-3.022348096120381</v>
      </c>
      <c r="Y17" s="275">
        <v>0.13455103785367409</v>
      </c>
      <c r="Z17" s="275">
        <v>-1.0034324143760995E-3</v>
      </c>
      <c r="AA17" s="275">
        <v>-1.5978434373591734E-2</v>
      </c>
      <c r="AB17" s="275">
        <v>2.3792098214285714E-4</v>
      </c>
      <c r="AC17" s="445">
        <v>-1.7556149729607915E-4</v>
      </c>
      <c r="AD17" s="275">
        <v>66.897375698272214</v>
      </c>
      <c r="AE17" s="275">
        <v>-2.013163412131187</v>
      </c>
      <c r="AF17" s="275">
        <v>1.5880129625811059E-2</v>
      </c>
      <c r="AG17" s="275">
        <v>0.1009210752253446</v>
      </c>
      <c r="AH17" s="275">
        <v>3.5450963471849031E-4</v>
      </c>
      <c r="AI17" s="445">
        <v>-2.3705075531014375E-3</v>
      </c>
      <c r="AJ17" s="275">
        <v>-7.2624999999881812E-3</v>
      </c>
      <c r="AK17" s="275">
        <v>1.1133649999999544</v>
      </c>
      <c r="AL17" s="275">
        <v>-0.13234499999994129</v>
      </c>
      <c r="AM17" s="445">
        <v>2.6242499999975043E-2</v>
      </c>
      <c r="AN17" s="275">
        <v>-1.4400000000063251E-3</v>
      </c>
      <c r="AO17" s="275">
        <v>1.1191325000000234</v>
      </c>
      <c r="AP17" s="275">
        <v>-0.13966000000002712</v>
      </c>
      <c r="AQ17" s="445">
        <v>2.1967500000009996E-2</v>
      </c>
      <c r="AR17" s="275">
        <v>6.3475000000017268E-3</v>
      </c>
      <c r="AS17" s="275">
        <v>1.116227499999995</v>
      </c>
      <c r="AT17" s="275">
        <v>-0.13861999999999522</v>
      </c>
      <c r="AU17" s="445">
        <v>1.6044999999998467E-2</v>
      </c>
      <c r="AV17" s="275">
        <v>0.95949749999999889</v>
      </c>
      <c r="AW17" s="275">
        <v>9.3422500000002351E-2</v>
      </c>
      <c r="AX17" s="445">
        <v>-6.8750000000014182E-3</v>
      </c>
      <c r="AY17" s="275">
        <v>0.94031999999999849</v>
      </c>
      <c r="AZ17" s="275">
        <v>0.12406500000000346</v>
      </c>
      <c r="BA17" s="445">
        <v>-1.0927500000001986E-2</v>
      </c>
      <c r="BB17" s="275">
        <v>0.92296499999999926</v>
      </c>
      <c r="BC17" s="275">
        <v>0.15259000000000186</v>
      </c>
      <c r="BD17" s="275">
        <v>-1.5617500000001306E-2</v>
      </c>
      <c r="BE17" s="445">
        <v>2</v>
      </c>
      <c r="BF17" s="275">
        <v>0.73899999999999999</v>
      </c>
      <c r="BG17" s="445">
        <v>0.68600000000000005</v>
      </c>
      <c r="BH17" s="275">
        <v>0</v>
      </c>
      <c r="BI17" s="275">
        <v>0</v>
      </c>
      <c r="BJ17" s="275">
        <v>0</v>
      </c>
      <c r="BK17" s="445">
        <v>0</v>
      </c>
      <c r="BL17" s="275">
        <v>0</v>
      </c>
      <c r="BM17" s="275">
        <v>0</v>
      </c>
      <c r="BN17" s="275">
        <v>0</v>
      </c>
      <c r="BO17" s="275">
        <v>0</v>
      </c>
      <c r="BP17" s="275">
        <v>0</v>
      </c>
      <c r="BQ17" s="445">
        <v>0</v>
      </c>
      <c r="BR17" s="275">
        <v>0</v>
      </c>
      <c r="BS17" s="275">
        <v>0</v>
      </c>
      <c r="BT17" s="275">
        <v>0</v>
      </c>
      <c r="BU17" s="275">
        <v>0</v>
      </c>
      <c r="BV17" s="275">
        <v>0</v>
      </c>
      <c r="BW17" s="445">
        <v>0</v>
      </c>
      <c r="BX17" s="275">
        <v>1.7450000000000001</v>
      </c>
      <c r="BY17" s="275">
        <v>-0.745</v>
      </c>
      <c r="BZ17" s="275">
        <v>1</v>
      </c>
      <c r="CA17" s="275">
        <v>1.1889999999999998</v>
      </c>
      <c r="CC17" s="446"/>
    </row>
    <row r="18" spans="1:81" x14ac:dyDescent="0.25">
      <c r="A18" s="146">
        <v>11704</v>
      </c>
      <c r="B18" s="418">
        <v>17</v>
      </c>
      <c r="C18" s="420">
        <v>13.260000000000002</v>
      </c>
      <c r="D18" s="421">
        <v>58805</v>
      </c>
      <c r="E18" s="419">
        <v>0.72399999999999998</v>
      </c>
      <c r="F18" s="419">
        <v>0.2225</v>
      </c>
      <c r="G18" s="419">
        <v>0.03</v>
      </c>
      <c r="H18" s="419">
        <v>0.27100000000000002</v>
      </c>
      <c r="I18" s="419">
        <v>0.10199999999999999</v>
      </c>
      <c r="J18" s="419">
        <v>0.01</v>
      </c>
      <c r="K18" s="424">
        <v>100</v>
      </c>
      <c r="L18" s="418">
        <v>3.4461565310120856</v>
      </c>
      <c r="M18" s="418">
        <v>-9.1330269718902374E-2</v>
      </c>
      <c r="N18" s="418">
        <v>9.2399829570244212E-4</v>
      </c>
      <c r="O18" s="418">
        <v>7.0175794276700178E-3</v>
      </c>
      <c r="P18" s="418">
        <v>-2.0119196428571198E-5</v>
      </c>
      <c r="Q18" s="424">
        <v>-1.5081714173050841E-4</v>
      </c>
      <c r="R18" s="418">
        <v>0.2599408937536426</v>
      </c>
      <c r="S18" s="418">
        <v>7.4842822316778038E-2</v>
      </c>
      <c r="T18" s="418">
        <v>-9.1894734402268299E-4</v>
      </c>
      <c r="U18" s="418">
        <v>-9.6755856100718771E-3</v>
      </c>
      <c r="V18" s="418">
        <v>-3.0969419642857838E-5</v>
      </c>
      <c r="W18" s="424">
        <v>1.6487420009012933E-4</v>
      </c>
      <c r="X18" s="418">
        <v>-3.022348096120381</v>
      </c>
      <c r="Y18" s="418">
        <v>0.13455103785367409</v>
      </c>
      <c r="Z18" s="418">
        <v>-1.0034324143760995E-3</v>
      </c>
      <c r="AA18" s="418">
        <v>-1.5978434373591734E-2</v>
      </c>
      <c r="AB18" s="418">
        <v>2.3792098214285714E-4</v>
      </c>
      <c r="AC18" s="424">
        <v>-1.7556149729607915E-4</v>
      </c>
      <c r="AD18" s="418">
        <v>66.897375698272214</v>
      </c>
      <c r="AE18" s="418">
        <v>-2.013163412131187</v>
      </c>
      <c r="AF18" s="418">
        <v>1.5880129625811059E-2</v>
      </c>
      <c r="AG18" s="418">
        <v>0.1009210752253446</v>
      </c>
      <c r="AH18" s="418">
        <v>3.5450963471849031E-4</v>
      </c>
      <c r="AI18" s="424">
        <v>-2.3705075531014375E-3</v>
      </c>
      <c r="AJ18" s="418">
        <v>-7.2624999999881812E-3</v>
      </c>
      <c r="AK18" s="418">
        <v>1.1133649999999544</v>
      </c>
      <c r="AL18" s="418">
        <v>-0.13234499999994129</v>
      </c>
      <c r="AM18" s="424">
        <v>2.6242499999975043E-2</v>
      </c>
      <c r="AN18" s="418">
        <v>-1.4400000000063251E-3</v>
      </c>
      <c r="AO18" s="418">
        <v>1.1191325000000234</v>
      </c>
      <c r="AP18" s="418">
        <v>-0.13966000000002712</v>
      </c>
      <c r="AQ18" s="424">
        <v>2.1967500000009996E-2</v>
      </c>
      <c r="AR18" s="418">
        <v>6.3475000000017268E-3</v>
      </c>
      <c r="AS18" s="418">
        <v>1.116227499999995</v>
      </c>
      <c r="AT18" s="418">
        <v>-0.13861999999999522</v>
      </c>
      <c r="AU18" s="424">
        <v>1.6044999999998467E-2</v>
      </c>
      <c r="AV18" s="418">
        <v>0.95949749999999889</v>
      </c>
      <c r="AW18" s="418">
        <v>9.3422500000002351E-2</v>
      </c>
      <c r="AX18" s="424">
        <v>-6.8750000000014182E-3</v>
      </c>
      <c r="AY18" s="418">
        <v>0.94031999999999849</v>
      </c>
      <c r="AZ18" s="418">
        <v>0.12406500000000346</v>
      </c>
      <c r="BA18" s="424">
        <v>-1.0927500000001986E-2</v>
      </c>
      <c r="BB18" s="418">
        <v>0.92296499999999926</v>
      </c>
      <c r="BC18" s="418">
        <v>0.15259000000000186</v>
      </c>
      <c r="BD18" s="418">
        <v>-1.5617500000001306E-2</v>
      </c>
      <c r="BE18" s="424">
        <v>2</v>
      </c>
      <c r="BF18" s="418">
        <v>0.73899999999999999</v>
      </c>
      <c r="BG18" s="424">
        <v>0.68600000000000005</v>
      </c>
      <c r="BH18" s="418">
        <v>0</v>
      </c>
      <c r="BI18" s="418">
        <v>0</v>
      </c>
      <c r="BJ18" s="418">
        <v>0</v>
      </c>
      <c r="BK18" s="424">
        <v>0</v>
      </c>
      <c r="BL18" s="418">
        <v>0</v>
      </c>
      <c r="BM18" s="418">
        <v>0</v>
      </c>
      <c r="BN18" s="418">
        <v>0</v>
      </c>
      <c r="BO18" s="418">
        <v>0</v>
      </c>
      <c r="BP18" s="418">
        <v>0</v>
      </c>
      <c r="BQ18" s="424">
        <v>0</v>
      </c>
      <c r="BR18" s="418">
        <v>0</v>
      </c>
      <c r="BS18" s="418">
        <v>0</v>
      </c>
      <c r="BT18" s="418">
        <v>0</v>
      </c>
      <c r="BU18" s="418">
        <v>0</v>
      </c>
      <c r="BV18" s="418">
        <v>0</v>
      </c>
      <c r="BW18" s="424">
        <v>0</v>
      </c>
      <c r="BX18" s="418">
        <v>1.7450000000000001</v>
      </c>
      <c r="BY18" s="418">
        <v>-0.745</v>
      </c>
      <c r="BZ18" s="418">
        <v>1</v>
      </c>
      <c r="CA18" s="418">
        <v>1.1889999999999998</v>
      </c>
      <c r="CC18" s="256"/>
    </row>
    <row r="19" spans="1:81" x14ac:dyDescent="0.25">
      <c r="A19" s="441">
        <v>11705</v>
      </c>
      <c r="B19" s="275">
        <v>17</v>
      </c>
      <c r="C19" s="442">
        <v>13.260000000000002</v>
      </c>
      <c r="D19" s="443">
        <v>58805</v>
      </c>
      <c r="E19" s="444">
        <v>0.72399999999999998</v>
      </c>
      <c r="F19" s="444">
        <v>0.2225</v>
      </c>
      <c r="G19" s="444">
        <v>0.03</v>
      </c>
      <c r="H19" s="444">
        <v>0.27100000000000002</v>
      </c>
      <c r="I19" s="444">
        <v>0.10199999999999999</v>
      </c>
      <c r="J19" s="444">
        <v>0.01</v>
      </c>
      <c r="K19" s="445">
        <v>100</v>
      </c>
      <c r="L19" s="275">
        <v>3.4461565310120856</v>
      </c>
      <c r="M19" s="275">
        <v>-9.1330269718902374E-2</v>
      </c>
      <c r="N19" s="275">
        <v>9.2399829570244212E-4</v>
      </c>
      <c r="O19" s="275">
        <v>7.0175794276700178E-3</v>
      </c>
      <c r="P19" s="275">
        <v>-2.0119196428571198E-5</v>
      </c>
      <c r="Q19" s="445">
        <v>-1.5081714173050841E-4</v>
      </c>
      <c r="R19" s="275">
        <v>0.2599408937536426</v>
      </c>
      <c r="S19" s="275">
        <v>7.4842822316778038E-2</v>
      </c>
      <c r="T19" s="275">
        <v>-9.1894734402268299E-4</v>
      </c>
      <c r="U19" s="275">
        <v>-9.6755856100718771E-3</v>
      </c>
      <c r="V19" s="275">
        <v>-3.0969419642857838E-5</v>
      </c>
      <c r="W19" s="445">
        <v>1.6487420009012933E-4</v>
      </c>
      <c r="X19" s="275">
        <v>-3.022348096120381</v>
      </c>
      <c r="Y19" s="275">
        <v>0.13455103785367409</v>
      </c>
      <c r="Z19" s="275">
        <v>-1.0034324143760995E-3</v>
      </c>
      <c r="AA19" s="275">
        <v>-1.5978434373591734E-2</v>
      </c>
      <c r="AB19" s="275">
        <v>2.3792098214285714E-4</v>
      </c>
      <c r="AC19" s="445">
        <v>-1.7556149729607915E-4</v>
      </c>
      <c r="AD19" s="275">
        <v>66.897375698272214</v>
      </c>
      <c r="AE19" s="275">
        <v>-2.013163412131187</v>
      </c>
      <c r="AF19" s="275">
        <v>1.5880129625811059E-2</v>
      </c>
      <c r="AG19" s="275">
        <v>0.1009210752253446</v>
      </c>
      <c r="AH19" s="275">
        <v>3.5450963471849031E-4</v>
      </c>
      <c r="AI19" s="445">
        <v>-2.3705075531014375E-3</v>
      </c>
      <c r="AJ19" s="275">
        <v>-7.2624999999881812E-3</v>
      </c>
      <c r="AK19" s="275">
        <v>1.1133649999999544</v>
      </c>
      <c r="AL19" s="275">
        <v>-0.13234499999994129</v>
      </c>
      <c r="AM19" s="445">
        <v>2.6242499999975043E-2</v>
      </c>
      <c r="AN19" s="275">
        <v>-1.4400000000063251E-3</v>
      </c>
      <c r="AO19" s="275">
        <v>1.1191325000000234</v>
      </c>
      <c r="AP19" s="275">
        <v>-0.13966000000002712</v>
      </c>
      <c r="AQ19" s="445">
        <v>2.1967500000009996E-2</v>
      </c>
      <c r="AR19" s="275">
        <v>6.3475000000017268E-3</v>
      </c>
      <c r="AS19" s="275">
        <v>1.116227499999995</v>
      </c>
      <c r="AT19" s="275">
        <v>-0.13861999999999522</v>
      </c>
      <c r="AU19" s="445">
        <v>1.6044999999998467E-2</v>
      </c>
      <c r="AV19" s="275">
        <v>0.95949749999999889</v>
      </c>
      <c r="AW19" s="275">
        <v>9.3422500000002351E-2</v>
      </c>
      <c r="AX19" s="445">
        <v>-6.8750000000014182E-3</v>
      </c>
      <c r="AY19" s="275">
        <v>0.94031999999999849</v>
      </c>
      <c r="AZ19" s="275">
        <v>0.12406500000000346</v>
      </c>
      <c r="BA19" s="445">
        <v>-1.0927500000001986E-2</v>
      </c>
      <c r="BB19" s="275">
        <v>0.92296499999999926</v>
      </c>
      <c r="BC19" s="275">
        <v>0.15259000000000186</v>
      </c>
      <c r="BD19" s="275">
        <v>-1.5617500000001306E-2</v>
      </c>
      <c r="BE19" s="445">
        <v>2</v>
      </c>
      <c r="BF19" s="275">
        <v>0.73899999999999999</v>
      </c>
      <c r="BG19" s="445">
        <v>0.68600000000000005</v>
      </c>
      <c r="BH19" s="275">
        <v>0</v>
      </c>
      <c r="BI19" s="275">
        <v>0</v>
      </c>
      <c r="BJ19" s="275">
        <v>0</v>
      </c>
      <c r="BK19" s="445">
        <v>0</v>
      </c>
      <c r="BL19" s="275">
        <v>0</v>
      </c>
      <c r="BM19" s="275">
        <v>0</v>
      </c>
      <c r="BN19" s="275">
        <v>0</v>
      </c>
      <c r="BO19" s="275">
        <v>0</v>
      </c>
      <c r="BP19" s="275">
        <v>0</v>
      </c>
      <c r="BQ19" s="445">
        <v>0</v>
      </c>
      <c r="BR19" s="275">
        <v>0</v>
      </c>
      <c r="BS19" s="275">
        <v>0</v>
      </c>
      <c r="BT19" s="275">
        <v>0</v>
      </c>
      <c r="BU19" s="275">
        <v>0</v>
      </c>
      <c r="BV19" s="275">
        <v>0</v>
      </c>
      <c r="BW19" s="445">
        <v>0</v>
      </c>
      <c r="BX19" s="275">
        <v>1.7450000000000001</v>
      </c>
      <c r="BY19" s="275">
        <v>-0.745</v>
      </c>
      <c r="BZ19" s="275">
        <v>1</v>
      </c>
      <c r="CA19" s="275">
        <v>1.1889999999999998</v>
      </c>
      <c r="CC19" s="446"/>
    </row>
    <row r="20" spans="1:81" x14ac:dyDescent="0.25">
      <c r="A20" s="441">
        <v>11710</v>
      </c>
      <c r="B20" s="275">
        <v>17</v>
      </c>
      <c r="C20" s="442">
        <v>13.260000000000002</v>
      </c>
      <c r="D20" s="443">
        <v>58805</v>
      </c>
      <c r="E20" s="444">
        <v>0.72399999999999998</v>
      </c>
      <c r="F20" s="444">
        <v>0.2225</v>
      </c>
      <c r="G20" s="444">
        <v>0.03</v>
      </c>
      <c r="H20" s="444">
        <v>0.27100000000000002</v>
      </c>
      <c r="I20" s="444">
        <v>0.10199999999999999</v>
      </c>
      <c r="J20" s="444">
        <v>0.01</v>
      </c>
      <c r="K20" s="445">
        <v>100</v>
      </c>
      <c r="L20" s="275">
        <v>3.4461565310120856</v>
      </c>
      <c r="M20" s="275">
        <v>-9.1330269718902374E-2</v>
      </c>
      <c r="N20" s="275">
        <v>9.2399829570244212E-4</v>
      </c>
      <c r="O20" s="275">
        <v>7.0175794276700178E-3</v>
      </c>
      <c r="P20" s="275">
        <v>-2.0119196428571198E-5</v>
      </c>
      <c r="Q20" s="445">
        <v>-1.5081714173050841E-4</v>
      </c>
      <c r="R20" s="275">
        <v>0.2599408937536426</v>
      </c>
      <c r="S20" s="275">
        <v>7.4842822316778038E-2</v>
      </c>
      <c r="T20" s="275">
        <v>-9.1894734402268299E-4</v>
      </c>
      <c r="U20" s="275">
        <v>-9.6755856100718771E-3</v>
      </c>
      <c r="V20" s="275">
        <v>-3.0969419642857838E-5</v>
      </c>
      <c r="W20" s="445">
        <v>1.6487420009012933E-4</v>
      </c>
      <c r="X20" s="275">
        <v>-3.022348096120381</v>
      </c>
      <c r="Y20" s="275">
        <v>0.13455103785367409</v>
      </c>
      <c r="Z20" s="275">
        <v>-1.0034324143760995E-3</v>
      </c>
      <c r="AA20" s="275">
        <v>-1.5978434373591734E-2</v>
      </c>
      <c r="AB20" s="275">
        <v>2.3792098214285714E-4</v>
      </c>
      <c r="AC20" s="445">
        <v>-1.7556149729607915E-4</v>
      </c>
      <c r="AD20" s="275">
        <v>66.897375698272214</v>
      </c>
      <c r="AE20" s="275">
        <v>-2.013163412131187</v>
      </c>
      <c r="AF20" s="275">
        <v>1.5880129625811059E-2</v>
      </c>
      <c r="AG20" s="275">
        <v>0.1009210752253446</v>
      </c>
      <c r="AH20" s="275">
        <v>3.5450963471849031E-4</v>
      </c>
      <c r="AI20" s="445">
        <v>-2.3705075531014375E-3</v>
      </c>
      <c r="AJ20" s="275">
        <v>-7.2624999999881812E-3</v>
      </c>
      <c r="AK20" s="275">
        <v>1.1133649999999544</v>
      </c>
      <c r="AL20" s="275">
        <v>-0.13234499999994129</v>
      </c>
      <c r="AM20" s="445">
        <v>2.6242499999975043E-2</v>
      </c>
      <c r="AN20" s="275">
        <v>-1.4400000000063251E-3</v>
      </c>
      <c r="AO20" s="275">
        <v>1.1191325000000234</v>
      </c>
      <c r="AP20" s="275">
        <v>-0.13966000000002712</v>
      </c>
      <c r="AQ20" s="445">
        <v>2.1967500000009996E-2</v>
      </c>
      <c r="AR20" s="275">
        <v>6.3475000000017268E-3</v>
      </c>
      <c r="AS20" s="275">
        <v>1.116227499999995</v>
      </c>
      <c r="AT20" s="275">
        <v>-0.13861999999999522</v>
      </c>
      <c r="AU20" s="445">
        <v>1.6044999999998467E-2</v>
      </c>
      <c r="AV20" s="275">
        <v>0.95949749999999889</v>
      </c>
      <c r="AW20" s="275">
        <v>9.3422500000002351E-2</v>
      </c>
      <c r="AX20" s="445">
        <v>-6.8750000000014182E-3</v>
      </c>
      <c r="AY20" s="275">
        <v>0.94031999999999849</v>
      </c>
      <c r="AZ20" s="275">
        <v>0.12406500000000346</v>
      </c>
      <c r="BA20" s="445">
        <v>-1.0927500000001986E-2</v>
      </c>
      <c r="BB20" s="275">
        <v>0.92296499999999926</v>
      </c>
      <c r="BC20" s="275">
        <v>0.15259000000000186</v>
      </c>
      <c r="BD20" s="275">
        <v>-1.5617500000001306E-2</v>
      </c>
      <c r="BE20" s="445">
        <v>2</v>
      </c>
      <c r="BF20" s="275">
        <v>0.73899999999999999</v>
      </c>
      <c r="BG20" s="445">
        <v>0.68600000000000005</v>
      </c>
      <c r="BH20" s="275">
        <v>0</v>
      </c>
      <c r="BI20" s="275">
        <v>0</v>
      </c>
      <c r="BJ20" s="275">
        <v>0</v>
      </c>
      <c r="BK20" s="445">
        <v>0</v>
      </c>
      <c r="BL20" s="275">
        <v>0</v>
      </c>
      <c r="BM20" s="275">
        <v>0</v>
      </c>
      <c r="BN20" s="275">
        <v>0</v>
      </c>
      <c r="BO20" s="275">
        <v>0</v>
      </c>
      <c r="BP20" s="275">
        <v>0</v>
      </c>
      <c r="BQ20" s="445">
        <v>0</v>
      </c>
      <c r="BR20" s="275">
        <v>0</v>
      </c>
      <c r="BS20" s="275">
        <v>0</v>
      </c>
      <c r="BT20" s="275">
        <v>0</v>
      </c>
      <c r="BU20" s="275">
        <v>0</v>
      </c>
      <c r="BV20" s="275">
        <v>0</v>
      </c>
      <c r="BW20" s="445">
        <v>0</v>
      </c>
      <c r="BX20" s="275">
        <v>1.7450000000000001</v>
      </c>
      <c r="BY20" s="275">
        <v>-0.745</v>
      </c>
      <c r="BZ20" s="275">
        <v>1</v>
      </c>
      <c r="CA20" s="275">
        <v>1.1889999999999998</v>
      </c>
      <c r="CC20" s="446"/>
    </row>
    <row r="21" spans="1:81" x14ac:dyDescent="0.25">
      <c r="A21" s="146">
        <v>11802</v>
      </c>
      <c r="B21" s="418">
        <v>18</v>
      </c>
      <c r="C21" s="420">
        <v>14.040000000000001</v>
      </c>
      <c r="D21" s="421">
        <v>58805</v>
      </c>
      <c r="E21" s="419">
        <v>0.72399999999999998</v>
      </c>
      <c r="F21" s="419">
        <v>0.20860000000000001</v>
      </c>
      <c r="G21" s="419">
        <v>0.03</v>
      </c>
      <c r="H21" s="419">
        <v>0.27100000000000002</v>
      </c>
      <c r="I21" s="419">
        <v>0.10199999999999999</v>
      </c>
      <c r="J21" s="419">
        <v>0.01</v>
      </c>
      <c r="K21" s="424">
        <v>100</v>
      </c>
      <c r="L21" s="418">
        <v>3.4461565310120856</v>
      </c>
      <c r="M21" s="418">
        <v>-9.1330269718902374E-2</v>
      </c>
      <c r="N21" s="418">
        <v>9.2399829570244212E-4</v>
      </c>
      <c r="O21" s="418">
        <v>7.0175794276700178E-3</v>
      </c>
      <c r="P21" s="418">
        <v>-2.0119196428571198E-5</v>
      </c>
      <c r="Q21" s="424">
        <v>-1.5081714173050841E-4</v>
      </c>
      <c r="R21" s="418">
        <v>0.2599408937536426</v>
      </c>
      <c r="S21" s="418">
        <v>7.4842822316778038E-2</v>
      </c>
      <c r="T21" s="418">
        <v>-9.1894734402268299E-4</v>
      </c>
      <c r="U21" s="418">
        <v>-9.6755856100718771E-3</v>
      </c>
      <c r="V21" s="418">
        <v>-3.0969419642857838E-5</v>
      </c>
      <c r="W21" s="424">
        <v>1.6487420009012933E-4</v>
      </c>
      <c r="X21" s="418">
        <v>-3.022348096120381</v>
      </c>
      <c r="Y21" s="418">
        <v>0.13455103785367409</v>
      </c>
      <c r="Z21" s="418">
        <v>-1.0034324143760995E-3</v>
      </c>
      <c r="AA21" s="418">
        <v>-1.5978434373591734E-2</v>
      </c>
      <c r="AB21" s="418">
        <v>2.3792098214285714E-4</v>
      </c>
      <c r="AC21" s="424">
        <v>-1.7556149729607915E-4</v>
      </c>
      <c r="AD21" s="418">
        <v>66.897375698272214</v>
      </c>
      <c r="AE21" s="418">
        <v>-2.013163412131187</v>
      </c>
      <c r="AF21" s="418">
        <v>1.5880129625811059E-2</v>
      </c>
      <c r="AG21" s="418">
        <v>0.1009210752253446</v>
      </c>
      <c r="AH21" s="418">
        <v>3.5450963471849031E-4</v>
      </c>
      <c r="AI21" s="424">
        <v>-2.3705075531014375E-3</v>
      </c>
      <c r="AJ21" s="418">
        <v>-7.2624999999881812E-3</v>
      </c>
      <c r="AK21" s="418">
        <v>1.1133649999999544</v>
      </c>
      <c r="AL21" s="418">
        <v>-0.13234499999994129</v>
      </c>
      <c r="AM21" s="424">
        <v>2.6242499999975043E-2</v>
      </c>
      <c r="AN21" s="418">
        <v>-1.4400000000063251E-3</v>
      </c>
      <c r="AO21" s="418">
        <v>1.1191325000000234</v>
      </c>
      <c r="AP21" s="418">
        <v>-0.13966000000002712</v>
      </c>
      <c r="AQ21" s="424">
        <v>2.1967500000009996E-2</v>
      </c>
      <c r="AR21" s="418">
        <v>6.3475000000017268E-3</v>
      </c>
      <c r="AS21" s="418">
        <v>1.116227499999995</v>
      </c>
      <c r="AT21" s="418">
        <v>-0.13861999999999522</v>
      </c>
      <c r="AU21" s="424">
        <v>1.6044999999998467E-2</v>
      </c>
      <c r="AV21" s="418">
        <v>0.95949749999999889</v>
      </c>
      <c r="AW21" s="418">
        <v>9.3422500000002351E-2</v>
      </c>
      <c r="AX21" s="424">
        <v>-6.8750000000014182E-3</v>
      </c>
      <c r="AY21" s="418">
        <v>0.94031999999999849</v>
      </c>
      <c r="AZ21" s="418">
        <v>0.12406500000000346</v>
      </c>
      <c r="BA21" s="424">
        <v>-1.0927500000001986E-2</v>
      </c>
      <c r="BB21" s="418">
        <v>0.92296499999999926</v>
      </c>
      <c r="BC21" s="418">
        <v>0.15259000000000186</v>
      </c>
      <c r="BD21" s="418">
        <v>-1.5617500000001306E-2</v>
      </c>
      <c r="BE21" s="424">
        <v>2</v>
      </c>
      <c r="BF21" s="418">
        <v>0.73899999999999999</v>
      </c>
      <c r="BG21" s="424">
        <v>0.68600000000000005</v>
      </c>
      <c r="BH21" s="418">
        <v>0</v>
      </c>
      <c r="BI21" s="418">
        <v>0</v>
      </c>
      <c r="BJ21" s="418">
        <v>0</v>
      </c>
      <c r="BK21" s="424">
        <v>0</v>
      </c>
      <c r="BL21" s="418">
        <v>0</v>
      </c>
      <c r="BM21" s="418">
        <v>0</v>
      </c>
      <c r="BN21" s="418">
        <v>0</v>
      </c>
      <c r="BO21" s="418">
        <v>0</v>
      </c>
      <c r="BP21" s="418">
        <v>0</v>
      </c>
      <c r="BQ21" s="424">
        <v>0</v>
      </c>
      <c r="BR21" s="418">
        <v>0</v>
      </c>
      <c r="BS21" s="418">
        <v>0</v>
      </c>
      <c r="BT21" s="418">
        <v>0</v>
      </c>
      <c r="BU21" s="418">
        <v>0</v>
      </c>
      <c r="BV21" s="418">
        <v>0</v>
      </c>
      <c r="BW21" s="424">
        <v>0</v>
      </c>
      <c r="BX21" s="418">
        <v>1.7450000000000001</v>
      </c>
      <c r="BY21" s="418">
        <v>-0.745</v>
      </c>
      <c r="BZ21" s="418">
        <v>1</v>
      </c>
      <c r="CA21" s="418">
        <v>1.1889999999999998</v>
      </c>
      <c r="CC21" s="256"/>
    </row>
    <row r="22" spans="1:81" x14ac:dyDescent="0.25">
      <c r="A22" s="441">
        <v>11805</v>
      </c>
      <c r="B22" s="275">
        <v>18</v>
      </c>
      <c r="C22" s="442">
        <v>14.040000000000001</v>
      </c>
      <c r="D22" s="443">
        <v>58805</v>
      </c>
      <c r="E22" s="444">
        <v>0.72399999999999998</v>
      </c>
      <c r="F22" s="444">
        <v>0.20860000000000001</v>
      </c>
      <c r="G22" s="444">
        <v>0.03</v>
      </c>
      <c r="H22" s="444">
        <v>0.27100000000000002</v>
      </c>
      <c r="I22" s="444">
        <v>0.10199999999999999</v>
      </c>
      <c r="J22" s="444">
        <v>0.01</v>
      </c>
      <c r="K22" s="445">
        <v>100</v>
      </c>
      <c r="L22" s="275">
        <v>3.4461565310120856</v>
      </c>
      <c r="M22" s="275">
        <v>-9.1330269718902374E-2</v>
      </c>
      <c r="N22" s="275">
        <v>9.2399829570244212E-4</v>
      </c>
      <c r="O22" s="275">
        <v>7.0175794276700178E-3</v>
      </c>
      <c r="P22" s="275">
        <v>-2.0119196428571198E-5</v>
      </c>
      <c r="Q22" s="445">
        <v>-1.5081714173050841E-4</v>
      </c>
      <c r="R22" s="275">
        <v>0.2599408937536426</v>
      </c>
      <c r="S22" s="275">
        <v>7.4842822316778038E-2</v>
      </c>
      <c r="T22" s="275">
        <v>-9.1894734402268299E-4</v>
      </c>
      <c r="U22" s="275">
        <v>-9.6755856100718771E-3</v>
      </c>
      <c r="V22" s="275">
        <v>-3.0969419642857838E-5</v>
      </c>
      <c r="W22" s="445">
        <v>1.6487420009012933E-4</v>
      </c>
      <c r="X22" s="275">
        <v>-3.022348096120381</v>
      </c>
      <c r="Y22" s="275">
        <v>0.13455103785367409</v>
      </c>
      <c r="Z22" s="275">
        <v>-1.0034324143760995E-3</v>
      </c>
      <c r="AA22" s="275">
        <v>-1.5978434373591734E-2</v>
      </c>
      <c r="AB22" s="275">
        <v>2.3792098214285714E-4</v>
      </c>
      <c r="AC22" s="445">
        <v>-1.7556149729607915E-4</v>
      </c>
      <c r="AD22" s="275">
        <v>66.897375698272214</v>
      </c>
      <c r="AE22" s="275">
        <v>-2.013163412131187</v>
      </c>
      <c r="AF22" s="275">
        <v>1.5880129625811059E-2</v>
      </c>
      <c r="AG22" s="275">
        <v>0.1009210752253446</v>
      </c>
      <c r="AH22" s="275">
        <v>3.5450963471849031E-4</v>
      </c>
      <c r="AI22" s="445">
        <v>-2.3705075531014375E-3</v>
      </c>
      <c r="AJ22" s="275">
        <v>-7.2624999999881812E-3</v>
      </c>
      <c r="AK22" s="275">
        <v>1.1133649999999544</v>
      </c>
      <c r="AL22" s="275">
        <v>-0.13234499999994129</v>
      </c>
      <c r="AM22" s="445">
        <v>2.6242499999975043E-2</v>
      </c>
      <c r="AN22" s="275">
        <v>-1.4400000000063251E-3</v>
      </c>
      <c r="AO22" s="275">
        <v>1.1191325000000234</v>
      </c>
      <c r="AP22" s="275">
        <v>-0.13966000000002712</v>
      </c>
      <c r="AQ22" s="445">
        <v>2.1967500000009996E-2</v>
      </c>
      <c r="AR22" s="275">
        <v>6.3475000000017268E-3</v>
      </c>
      <c r="AS22" s="275">
        <v>1.116227499999995</v>
      </c>
      <c r="AT22" s="275">
        <v>-0.13861999999999522</v>
      </c>
      <c r="AU22" s="445">
        <v>1.6044999999998467E-2</v>
      </c>
      <c r="AV22" s="275">
        <v>0.95949749999999889</v>
      </c>
      <c r="AW22" s="275">
        <v>9.3422500000002351E-2</v>
      </c>
      <c r="AX22" s="445">
        <v>-6.8750000000014182E-3</v>
      </c>
      <c r="AY22" s="275">
        <v>0.94031999999999849</v>
      </c>
      <c r="AZ22" s="275">
        <v>0.12406500000000346</v>
      </c>
      <c r="BA22" s="445">
        <v>-1.0927500000001986E-2</v>
      </c>
      <c r="BB22" s="275">
        <v>0.92296499999999926</v>
      </c>
      <c r="BC22" s="275">
        <v>0.15259000000000186</v>
      </c>
      <c r="BD22" s="275">
        <v>-1.5617500000001306E-2</v>
      </c>
      <c r="BE22" s="445">
        <v>2</v>
      </c>
      <c r="BF22" s="275">
        <v>0.73899999999999999</v>
      </c>
      <c r="BG22" s="445">
        <v>0.68600000000000005</v>
      </c>
      <c r="BH22" s="275">
        <v>0</v>
      </c>
      <c r="BI22" s="275">
        <v>0</v>
      </c>
      <c r="BJ22" s="275">
        <v>0</v>
      </c>
      <c r="BK22" s="445">
        <v>0</v>
      </c>
      <c r="BL22" s="275">
        <v>0</v>
      </c>
      <c r="BM22" s="275">
        <v>0</v>
      </c>
      <c r="BN22" s="275">
        <v>0</v>
      </c>
      <c r="BO22" s="275">
        <v>0</v>
      </c>
      <c r="BP22" s="275">
        <v>0</v>
      </c>
      <c r="BQ22" s="445">
        <v>0</v>
      </c>
      <c r="BR22" s="275">
        <v>0</v>
      </c>
      <c r="BS22" s="275">
        <v>0</v>
      </c>
      <c r="BT22" s="275">
        <v>0</v>
      </c>
      <c r="BU22" s="275">
        <v>0</v>
      </c>
      <c r="BV22" s="275">
        <v>0</v>
      </c>
      <c r="BW22" s="445">
        <v>0</v>
      </c>
      <c r="BX22" s="275">
        <v>1.7450000000000001</v>
      </c>
      <c r="BY22" s="275">
        <v>-0.745</v>
      </c>
      <c r="BZ22" s="275">
        <v>1</v>
      </c>
      <c r="CA22" s="275">
        <v>1.1889999999999998</v>
      </c>
      <c r="CC22" s="446"/>
    </row>
    <row r="23" spans="1:81" x14ac:dyDescent="0.25">
      <c r="A23" s="441">
        <v>11810</v>
      </c>
      <c r="B23" s="275">
        <v>18</v>
      </c>
      <c r="C23" s="442">
        <v>14.040000000000001</v>
      </c>
      <c r="D23" s="443">
        <v>58805</v>
      </c>
      <c r="E23" s="444">
        <v>0.72399999999999998</v>
      </c>
      <c r="F23" s="444">
        <v>0.20860000000000001</v>
      </c>
      <c r="G23" s="444">
        <v>0.03</v>
      </c>
      <c r="H23" s="444">
        <v>0.27100000000000002</v>
      </c>
      <c r="I23" s="444">
        <v>0.10199999999999999</v>
      </c>
      <c r="J23" s="444">
        <v>0.01</v>
      </c>
      <c r="K23" s="445">
        <v>100</v>
      </c>
      <c r="L23" s="275">
        <v>3.4461565310120856</v>
      </c>
      <c r="M23" s="275">
        <v>-9.1330269718902374E-2</v>
      </c>
      <c r="N23" s="275">
        <v>9.2399829570244212E-4</v>
      </c>
      <c r="O23" s="275">
        <v>7.0175794276700178E-3</v>
      </c>
      <c r="P23" s="275">
        <v>-2.0119196428571198E-5</v>
      </c>
      <c r="Q23" s="445">
        <v>-1.5081714173050841E-4</v>
      </c>
      <c r="R23" s="275">
        <v>0.2599408937536426</v>
      </c>
      <c r="S23" s="275">
        <v>7.4842822316778038E-2</v>
      </c>
      <c r="T23" s="275">
        <v>-9.1894734402268299E-4</v>
      </c>
      <c r="U23" s="275">
        <v>-9.6755856100718771E-3</v>
      </c>
      <c r="V23" s="275">
        <v>-3.0969419642857838E-5</v>
      </c>
      <c r="W23" s="445">
        <v>1.6487420009012933E-4</v>
      </c>
      <c r="X23" s="275">
        <v>-3.022348096120381</v>
      </c>
      <c r="Y23" s="275">
        <v>0.13455103785367409</v>
      </c>
      <c r="Z23" s="275">
        <v>-1.0034324143760995E-3</v>
      </c>
      <c r="AA23" s="275">
        <v>-1.5978434373591734E-2</v>
      </c>
      <c r="AB23" s="275">
        <v>2.3792098214285714E-4</v>
      </c>
      <c r="AC23" s="445">
        <v>-1.7556149729607915E-4</v>
      </c>
      <c r="AD23" s="275">
        <v>66.897375698272214</v>
      </c>
      <c r="AE23" s="275">
        <v>-2.013163412131187</v>
      </c>
      <c r="AF23" s="275">
        <v>1.5880129625811059E-2</v>
      </c>
      <c r="AG23" s="275">
        <v>0.1009210752253446</v>
      </c>
      <c r="AH23" s="275">
        <v>3.5450963471849031E-4</v>
      </c>
      <c r="AI23" s="445">
        <v>-2.3705075531014375E-3</v>
      </c>
      <c r="AJ23" s="275">
        <v>-7.2624999999881812E-3</v>
      </c>
      <c r="AK23" s="275">
        <v>1.1133649999999544</v>
      </c>
      <c r="AL23" s="275">
        <v>-0.13234499999994129</v>
      </c>
      <c r="AM23" s="445">
        <v>2.6242499999975043E-2</v>
      </c>
      <c r="AN23" s="275">
        <v>-1.4400000000063251E-3</v>
      </c>
      <c r="AO23" s="275">
        <v>1.1191325000000234</v>
      </c>
      <c r="AP23" s="275">
        <v>-0.13966000000002712</v>
      </c>
      <c r="AQ23" s="445">
        <v>2.1967500000009996E-2</v>
      </c>
      <c r="AR23" s="275">
        <v>6.3475000000017268E-3</v>
      </c>
      <c r="AS23" s="275">
        <v>1.116227499999995</v>
      </c>
      <c r="AT23" s="275">
        <v>-0.13861999999999522</v>
      </c>
      <c r="AU23" s="445">
        <v>1.6044999999998467E-2</v>
      </c>
      <c r="AV23" s="275">
        <v>0.95949749999999889</v>
      </c>
      <c r="AW23" s="275">
        <v>9.3422500000002351E-2</v>
      </c>
      <c r="AX23" s="445">
        <v>-6.8750000000014182E-3</v>
      </c>
      <c r="AY23" s="275">
        <v>0.94031999999999849</v>
      </c>
      <c r="AZ23" s="275">
        <v>0.12406500000000346</v>
      </c>
      <c r="BA23" s="445">
        <v>-1.0927500000001986E-2</v>
      </c>
      <c r="BB23" s="275">
        <v>0.92296499999999926</v>
      </c>
      <c r="BC23" s="275">
        <v>0.15259000000000186</v>
      </c>
      <c r="BD23" s="275">
        <v>-1.5617500000001306E-2</v>
      </c>
      <c r="BE23" s="445">
        <v>2</v>
      </c>
      <c r="BF23" s="275">
        <v>0.73899999999999999</v>
      </c>
      <c r="BG23" s="445">
        <v>0.68600000000000005</v>
      </c>
      <c r="BH23" s="275">
        <v>0</v>
      </c>
      <c r="BI23" s="275">
        <v>0</v>
      </c>
      <c r="BJ23" s="275">
        <v>0</v>
      </c>
      <c r="BK23" s="445">
        <v>0</v>
      </c>
      <c r="BL23" s="275">
        <v>0</v>
      </c>
      <c r="BM23" s="275">
        <v>0</v>
      </c>
      <c r="BN23" s="275">
        <v>0</v>
      </c>
      <c r="BO23" s="275">
        <v>0</v>
      </c>
      <c r="BP23" s="275">
        <v>0</v>
      </c>
      <c r="BQ23" s="445">
        <v>0</v>
      </c>
      <c r="BR23" s="275">
        <v>0</v>
      </c>
      <c r="BS23" s="275">
        <v>0</v>
      </c>
      <c r="BT23" s="275">
        <v>0</v>
      </c>
      <c r="BU23" s="275">
        <v>0</v>
      </c>
      <c r="BV23" s="275">
        <v>0</v>
      </c>
      <c r="BW23" s="445">
        <v>0</v>
      </c>
      <c r="BX23" s="275">
        <v>1.7450000000000001</v>
      </c>
      <c r="BY23" s="275">
        <v>-0.745</v>
      </c>
      <c r="BZ23" s="275">
        <v>1</v>
      </c>
      <c r="CA23" s="275">
        <v>1.1889999999999998</v>
      </c>
      <c r="CC23" s="446"/>
    </row>
    <row r="24" spans="1:81" x14ac:dyDescent="0.25">
      <c r="A24" s="146">
        <v>11903</v>
      </c>
      <c r="B24" s="418">
        <v>19</v>
      </c>
      <c r="C24" s="420">
        <v>14.82</v>
      </c>
      <c r="D24" s="421">
        <v>58805</v>
      </c>
      <c r="E24" s="419">
        <v>0.72399999999999998</v>
      </c>
      <c r="F24" s="419">
        <v>0.20094999999999999</v>
      </c>
      <c r="G24" s="419">
        <v>0.03</v>
      </c>
      <c r="H24" s="419">
        <v>0.23300000000000001</v>
      </c>
      <c r="I24" s="419">
        <v>0.10199999999999999</v>
      </c>
      <c r="J24" s="419">
        <v>0.01</v>
      </c>
      <c r="K24" s="424">
        <v>100</v>
      </c>
      <c r="L24" s="418">
        <v>3.4461565310120856</v>
      </c>
      <c r="M24" s="418">
        <v>-9.1330269718902374E-2</v>
      </c>
      <c r="N24" s="418">
        <v>9.2399829570244212E-4</v>
      </c>
      <c r="O24" s="418">
        <v>7.0175794276700178E-3</v>
      </c>
      <c r="P24" s="418">
        <v>-2.0119196428571198E-5</v>
      </c>
      <c r="Q24" s="424">
        <v>-1.5081714173050841E-4</v>
      </c>
      <c r="R24" s="418">
        <v>0.2599408937536426</v>
      </c>
      <c r="S24" s="418">
        <v>7.4842822316778038E-2</v>
      </c>
      <c r="T24" s="418">
        <v>-9.1894734402268299E-4</v>
      </c>
      <c r="U24" s="418">
        <v>-9.6755856100718771E-3</v>
      </c>
      <c r="V24" s="418">
        <v>-3.0969419642857838E-5</v>
      </c>
      <c r="W24" s="424">
        <v>1.6487420009012933E-4</v>
      </c>
      <c r="X24" s="418">
        <v>-3.022348096120381</v>
      </c>
      <c r="Y24" s="418">
        <v>0.13455103785367409</v>
      </c>
      <c r="Z24" s="418">
        <v>-1.0034324143760995E-3</v>
      </c>
      <c r="AA24" s="418">
        <v>-1.5978434373591734E-2</v>
      </c>
      <c r="AB24" s="418">
        <v>2.3792098214285714E-4</v>
      </c>
      <c r="AC24" s="424">
        <v>-1.7556149729607915E-4</v>
      </c>
      <c r="AD24" s="418">
        <v>66.897375698272214</v>
      </c>
      <c r="AE24" s="418">
        <v>-2.013163412131187</v>
      </c>
      <c r="AF24" s="418">
        <v>1.5880129625811059E-2</v>
      </c>
      <c r="AG24" s="418">
        <v>0.1009210752253446</v>
      </c>
      <c r="AH24" s="418">
        <v>3.5450963471849031E-4</v>
      </c>
      <c r="AI24" s="424">
        <v>-2.3705075531014375E-3</v>
      </c>
      <c r="AJ24" s="418">
        <v>-7.2624999999881812E-3</v>
      </c>
      <c r="AK24" s="418">
        <v>1.1133649999999544</v>
      </c>
      <c r="AL24" s="418">
        <v>-0.13234499999994129</v>
      </c>
      <c r="AM24" s="424">
        <v>2.6242499999975043E-2</v>
      </c>
      <c r="AN24" s="418">
        <v>-1.4400000000063251E-3</v>
      </c>
      <c r="AO24" s="418">
        <v>1.1191325000000234</v>
      </c>
      <c r="AP24" s="418">
        <v>-0.13966000000002712</v>
      </c>
      <c r="AQ24" s="424">
        <v>2.1967500000009996E-2</v>
      </c>
      <c r="AR24" s="418">
        <v>6.3475000000017268E-3</v>
      </c>
      <c r="AS24" s="418">
        <v>1.116227499999995</v>
      </c>
      <c r="AT24" s="418">
        <v>-0.13861999999999522</v>
      </c>
      <c r="AU24" s="424">
        <v>1.6044999999998467E-2</v>
      </c>
      <c r="AV24" s="418">
        <v>0.95949749999999889</v>
      </c>
      <c r="AW24" s="418">
        <v>9.3422500000002351E-2</v>
      </c>
      <c r="AX24" s="424">
        <v>-6.8750000000014182E-3</v>
      </c>
      <c r="AY24" s="418">
        <v>0.94031999999999849</v>
      </c>
      <c r="AZ24" s="418">
        <v>0.12406500000000346</v>
      </c>
      <c r="BA24" s="424">
        <v>-1.0927500000001986E-2</v>
      </c>
      <c r="BB24" s="418">
        <v>0.92296499999999926</v>
      </c>
      <c r="BC24" s="418">
        <v>0.15259000000000186</v>
      </c>
      <c r="BD24" s="418">
        <v>-1.5617500000001306E-2</v>
      </c>
      <c r="BE24" s="424">
        <v>2</v>
      </c>
      <c r="BF24" s="418">
        <v>0.73899999999999999</v>
      </c>
      <c r="BG24" s="424">
        <v>0.68600000000000005</v>
      </c>
      <c r="BH24" s="418">
        <v>0</v>
      </c>
      <c r="BI24" s="418">
        <v>0</v>
      </c>
      <c r="BJ24" s="418">
        <v>0</v>
      </c>
      <c r="BK24" s="424">
        <v>0</v>
      </c>
      <c r="BL24" s="418">
        <v>0</v>
      </c>
      <c r="BM24" s="418">
        <v>0</v>
      </c>
      <c r="BN24" s="418">
        <v>0</v>
      </c>
      <c r="BO24" s="418">
        <v>0</v>
      </c>
      <c r="BP24" s="418">
        <v>0</v>
      </c>
      <c r="BQ24" s="424">
        <v>0</v>
      </c>
      <c r="BR24" s="418">
        <v>0</v>
      </c>
      <c r="BS24" s="418">
        <v>0</v>
      </c>
      <c r="BT24" s="418">
        <v>0</v>
      </c>
      <c r="BU24" s="418">
        <v>0</v>
      </c>
      <c r="BV24" s="418">
        <v>0</v>
      </c>
      <c r="BW24" s="424">
        <v>0</v>
      </c>
      <c r="BX24" s="418">
        <v>1.7450000000000001</v>
      </c>
      <c r="BY24" s="418">
        <v>-0.745</v>
      </c>
      <c r="BZ24" s="418">
        <v>1</v>
      </c>
      <c r="CA24" s="418">
        <v>1.1889999999999998</v>
      </c>
      <c r="CC24" s="256"/>
    </row>
    <row r="25" spans="1:81" x14ac:dyDescent="0.25">
      <c r="A25" s="146">
        <v>12001</v>
      </c>
      <c r="B25" s="418">
        <v>20</v>
      </c>
      <c r="C25" s="420">
        <v>15.6</v>
      </c>
      <c r="D25" s="421">
        <v>58805</v>
      </c>
      <c r="E25" s="419">
        <v>0.72399999999999998</v>
      </c>
      <c r="F25" s="419">
        <v>0.18970999999999999</v>
      </c>
      <c r="G25" s="419">
        <v>0.03</v>
      </c>
      <c r="H25" s="419">
        <v>0.23300000000000001</v>
      </c>
      <c r="I25" s="419">
        <v>0.10199999999999999</v>
      </c>
      <c r="J25" s="419">
        <v>0.01</v>
      </c>
      <c r="K25" s="424">
        <v>100</v>
      </c>
      <c r="L25" s="418">
        <v>3.4461565310120856</v>
      </c>
      <c r="M25" s="418">
        <v>-9.1330269718902374E-2</v>
      </c>
      <c r="N25" s="418">
        <v>9.2399829570244212E-4</v>
      </c>
      <c r="O25" s="418">
        <v>7.0175794276700178E-3</v>
      </c>
      <c r="P25" s="418">
        <v>-2.0119196428571198E-5</v>
      </c>
      <c r="Q25" s="424">
        <v>-1.5081714173050841E-4</v>
      </c>
      <c r="R25" s="418">
        <v>0.2599408937536426</v>
      </c>
      <c r="S25" s="418">
        <v>7.4842822316778038E-2</v>
      </c>
      <c r="T25" s="418">
        <v>-9.1894734402268299E-4</v>
      </c>
      <c r="U25" s="418">
        <v>-9.6755856100718771E-3</v>
      </c>
      <c r="V25" s="418">
        <v>-3.0969419642857838E-5</v>
      </c>
      <c r="W25" s="424">
        <v>1.6487420009012933E-4</v>
      </c>
      <c r="X25" s="418">
        <v>-3.022348096120381</v>
      </c>
      <c r="Y25" s="418">
        <v>0.13455103785367409</v>
      </c>
      <c r="Z25" s="418">
        <v>-1.0034324143760995E-3</v>
      </c>
      <c r="AA25" s="418">
        <v>-1.5978434373591734E-2</v>
      </c>
      <c r="AB25" s="418">
        <v>2.3792098214285714E-4</v>
      </c>
      <c r="AC25" s="424">
        <v>-1.7556149729607915E-4</v>
      </c>
      <c r="AD25" s="418">
        <v>66.897375698272214</v>
      </c>
      <c r="AE25" s="418">
        <v>-2.013163412131187</v>
      </c>
      <c r="AF25" s="418">
        <v>1.5880129625811059E-2</v>
      </c>
      <c r="AG25" s="418">
        <v>0.1009210752253446</v>
      </c>
      <c r="AH25" s="418">
        <v>3.5450963471849031E-4</v>
      </c>
      <c r="AI25" s="424">
        <v>-2.3705075531014375E-3</v>
      </c>
      <c r="AJ25" s="418">
        <v>-7.2624999999881812E-3</v>
      </c>
      <c r="AK25" s="418">
        <v>1.1133649999999544</v>
      </c>
      <c r="AL25" s="418">
        <v>-0.13234499999994129</v>
      </c>
      <c r="AM25" s="424">
        <v>2.6242499999975043E-2</v>
      </c>
      <c r="AN25" s="418">
        <v>-1.4400000000063251E-3</v>
      </c>
      <c r="AO25" s="418">
        <v>1.1191325000000234</v>
      </c>
      <c r="AP25" s="418">
        <v>-0.13966000000002712</v>
      </c>
      <c r="AQ25" s="424">
        <v>2.1967500000009996E-2</v>
      </c>
      <c r="AR25" s="418">
        <v>6.3475000000017268E-3</v>
      </c>
      <c r="AS25" s="418">
        <v>1.116227499999995</v>
      </c>
      <c r="AT25" s="418">
        <v>-0.13861999999999522</v>
      </c>
      <c r="AU25" s="424">
        <v>1.6044999999998467E-2</v>
      </c>
      <c r="AV25" s="418">
        <v>0.95949749999999889</v>
      </c>
      <c r="AW25" s="418">
        <v>9.3422500000002351E-2</v>
      </c>
      <c r="AX25" s="424">
        <v>-6.8750000000014182E-3</v>
      </c>
      <c r="AY25" s="418">
        <v>0.94031999999999849</v>
      </c>
      <c r="AZ25" s="418">
        <v>0.12406500000000346</v>
      </c>
      <c r="BA25" s="424">
        <v>-1.0927500000001986E-2</v>
      </c>
      <c r="BB25" s="418">
        <v>0.92296499999999926</v>
      </c>
      <c r="BC25" s="418">
        <v>0.15259000000000186</v>
      </c>
      <c r="BD25" s="418">
        <v>-1.5617500000001306E-2</v>
      </c>
      <c r="BE25" s="424">
        <v>2</v>
      </c>
      <c r="BF25" s="418">
        <v>0.73899999999999999</v>
      </c>
      <c r="BG25" s="424">
        <v>0.68600000000000005</v>
      </c>
      <c r="BH25" s="418">
        <v>0</v>
      </c>
      <c r="BI25" s="418">
        <v>0</v>
      </c>
      <c r="BJ25" s="418">
        <v>0</v>
      </c>
      <c r="BK25" s="424">
        <v>0</v>
      </c>
      <c r="BL25" s="418">
        <v>0</v>
      </c>
      <c r="BM25" s="418">
        <v>0</v>
      </c>
      <c r="BN25" s="418">
        <v>0</v>
      </c>
      <c r="BO25" s="418">
        <v>0</v>
      </c>
      <c r="BP25" s="418">
        <v>0</v>
      </c>
      <c r="BQ25" s="424">
        <v>0</v>
      </c>
      <c r="BR25" s="418">
        <v>0</v>
      </c>
      <c r="BS25" s="418">
        <v>0</v>
      </c>
      <c r="BT25" s="418">
        <v>0</v>
      </c>
      <c r="BU25" s="418">
        <v>0</v>
      </c>
      <c r="BV25" s="418">
        <v>0</v>
      </c>
      <c r="BW25" s="424">
        <v>0</v>
      </c>
      <c r="BX25" s="418">
        <v>1.7450000000000001</v>
      </c>
      <c r="BY25" s="418">
        <v>-0.745</v>
      </c>
      <c r="BZ25" s="418">
        <v>1</v>
      </c>
      <c r="CA25" s="418">
        <v>1.1889999999999998</v>
      </c>
      <c r="CC25" s="256"/>
    </row>
    <row r="26" spans="1:81" x14ac:dyDescent="0.25">
      <c r="A26" s="146">
        <v>12101</v>
      </c>
      <c r="B26" s="418">
        <v>21</v>
      </c>
      <c r="C26" s="420">
        <v>16.38</v>
      </c>
      <c r="D26" s="421">
        <v>58805</v>
      </c>
      <c r="E26" s="419">
        <v>0.72399999999999998</v>
      </c>
      <c r="F26" s="419">
        <v>0.17954000000000001</v>
      </c>
      <c r="G26" s="419">
        <v>0.03</v>
      </c>
      <c r="H26" s="419">
        <v>0.23300000000000001</v>
      </c>
      <c r="I26" s="419">
        <v>0.10199999999999999</v>
      </c>
      <c r="J26" s="419">
        <v>0.01</v>
      </c>
      <c r="K26" s="424">
        <v>100</v>
      </c>
      <c r="L26" s="418">
        <v>3.4461565310120856</v>
      </c>
      <c r="M26" s="418">
        <v>-9.1330269718902374E-2</v>
      </c>
      <c r="N26" s="418">
        <v>9.2399829570244212E-4</v>
      </c>
      <c r="O26" s="418">
        <v>7.0175794276700178E-3</v>
      </c>
      <c r="P26" s="418">
        <v>-2.0119196428571198E-5</v>
      </c>
      <c r="Q26" s="424">
        <v>-1.5081714173050841E-4</v>
      </c>
      <c r="R26" s="418">
        <v>0.2599408937536426</v>
      </c>
      <c r="S26" s="418">
        <v>7.4842822316778038E-2</v>
      </c>
      <c r="T26" s="418">
        <v>-9.1894734402268299E-4</v>
      </c>
      <c r="U26" s="418">
        <v>-9.6755856100718771E-3</v>
      </c>
      <c r="V26" s="418">
        <v>-3.0969419642857838E-5</v>
      </c>
      <c r="W26" s="424">
        <v>1.6487420009012933E-4</v>
      </c>
      <c r="X26" s="418">
        <v>-3.022348096120381</v>
      </c>
      <c r="Y26" s="418">
        <v>0.13455103785367409</v>
      </c>
      <c r="Z26" s="418">
        <v>-1.0034324143760995E-3</v>
      </c>
      <c r="AA26" s="418">
        <v>-1.5978434373591734E-2</v>
      </c>
      <c r="AB26" s="418">
        <v>2.3792098214285714E-4</v>
      </c>
      <c r="AC26" s="424">
        <v>-1.7556149729607915E-4</v>
      </c>
      <c r="AD26" s="418">
        <v>66.897375698272214</v>
      </c>
      <c r="AE26" s="418">
        <v>-2.013163412131187</v>
      </c>
      <c r="AF26" s="418">
        <v>1.5880129625811059E-2</v>
      </c>
      <c r="AG26" s="418">
        <v>0.1009210752253446</v>
      </c>
      <c r="AH26" s="418">
        <v>3.5450963471849031E-4</v>
      </c>
      <c r="AI26" s="424">
        <v>-2.3705075531014375E-3</v>
      </c>
      <c r="AJ26" s="418">
        <v>-7.2624999999881812E-3</v>
      </c>
      <c r="AK26" s="418">
        <v>1.1133649999999544</v>
      </c>
      <c r="AL26" s="418">
        <v>-0.13234499999994129</v>
      </c>
      <c r="AM26" s="424">
        <v>2.6242499999975043E-2</v>
      </c>
      <c r="AN26" s="418">
        <v>-1.4400000000063251E-3</v>
      </c>
      <c r="AO26" s="418">
        <v>1.1191325000000234</v>
      </c>
      <c r="AP26" s="418">
        <v>-0.13966000000002712</v>
      </c>
      <c r="AQ26" s="424">
        <v>2.1967500000009996E-2</v>
      </c>
      <c r="AR26" s="418">
        <v>6.3475000000017268E-3</v>
      </c>
      <c r="AS26" s="418">
        <v>1.116227499999995</v>
      </c>
      <c r="AT26" s="418">
        <v>-0.13861999999999522</v>
      </c>
      <c r="AU26" s="424">
        <v>1.6044999999998467E-2</v>
      </c>
      <c r="AV26" s="418">
        <v>0.95949749999999889</v>
      </c>
      <c r="AW26" s="418">
        <v>9.3422500000002351E-2</v>
      </c>
      <c r="AX26" s="424">
        <v>-6.8750000000014182E-3</v>
      </c>
      <c r="AY26" s="418">
        <v>0.94031999999999849</v>
      </c>
      <c r="AZ26" s="418">
        <v>0.12406500000000346</v>
      </c>
      <c r="BA26" s="424">
        <v>-1.0927500000001986E-2</v>
      </c>
      <c r="BB26" s="418">
        <v>0.92296499999999926</v>
      </c>
      <c r="BC26" s="418">
        <v>0.15259000000000186</v>
      </c>
      <c r="BD26" s="418">
        <v>-1.5617500000001306E-2</v>
      </c>
      <c r="BE26" s="424">
        <v>2</v>
      </c>
      <c r="BF26" s="418">
        <v>0.73899999999999999</v>
      </c>
      <c r="BG26" s="424">
        <v>0.68600000000000005</v>
      </c>
      <c r="BH26" s="418">
        <v>0</v>
      </c>
      <c r="BI26" s="418">
        <v>0</v>
      </c>
      <c r="BJ26" s="418">
        <v>0</v>
      </c>
      <c r="BK26" s="424">
        <v>0</v>
      </c>
      <c r="BL26" s="418">
        <v>0</v>
      </c>
      <c r="BM26" s="418">
        <v>0</v>
      </c>
      <c r="BN26" s="418">
        <v>0</v>
      </c>
      <c r="BO26" s="418">
        <v>0</v>
      </c>
      <c r="BP26" s="418">
        <v>0</v>
      </c>
      <c r="BQ26" s="424">
        <v>0</v>
      </c>
      <c r="BR26" s="418">
        <v>0</v>
      </c>
      <c r="BS26" s="418">
        <v>0</v>
      </c>
      <c r="BT26" s="418">
        <v>0</v>
      </c>
      <c r="BU26" s="418">
        <v>0</v>
      </c>
      <c r="BV26" s="418">
        <v>0</v>
      </c>
      <c r="BW26" s="424">
        <v>0</v>
      </c>
      <c r="BX26" s="418">
        <v>1.7450000000000001</v>
      </c>
      <c r="BY26" s="418">
        <v>-0.745</v>
      </c>
      <c r="BZ26" s="418">
        <v>1</v>
      </c>
      <c r="CA26" s="418">
        <v>1.1889999999999998</v>
      </c>
      <c r="CC26" s="256"/>
    </row>
    <row r="27" spans="1:81" x14ac:dyDescent="0.25">
      <c r="A27" s="146">
        <v>21405</v>
      </c>
      <c r="B27" s="418">
        <v>14</v>
      </c>
      <c r="C27" s="420">
        <v>11.929577464788734</v>
      </c>
      <c r="D27" s="421">
        <v>34895</v>
      </c>
      <c r="E27" s="419">
        <v>0.74399999999999999</v>
      </c>
      <c r="F27" s="419">
        <v>0.24467</v>
      </c>
      <c r="G27" s="419">
        <v>3.2099999999999997E-2</v>
      </c>
      <c r="H27" s="419">
        <v>0.29399999999999998</v>
      </c>
      <c r="I27" s="419">
        <v>0.12</v>
      </c>
      <c r="J27" s="419">
        <v>1.09E-2</v>
      </c>
      <c r="K27" s="424">
        <v>100</v>
      </c>
      <c r="L27" s="418">
        <v>0.33897178911564851</v>
      </c>
      <c r="M27" s="418">
        <v>4.1807142857127792E-4</v>
      </c>
      <c r="N27" s="418">
        <v>2.1371428571428737E-4</v>
      </c>
      <c r="O27" s="418">
        <v>8.9003244897959653E-3</v>
      </c>
      <c r="P27" s="418">
        <v>-2.5962585034013662E-5</v>
      </c>
      <c r="Q27" s="424">
        <v>-1.4730000000000052E-4</v>
      </c>
      <c r="R27" s="418">
        <v>4.6779843523809648</v>
      </c>
      <c r="S27" s="418">
        <v>-7.37121142857146E-2</v>
      </c>
      <c r="T27" s="418">
        <v>2.8931428571428772E-4</v>
      </c>
      <c r="U27" s="418">
        <v>6.4477142857142572E-3</v>
      </c>
      <c r="V27" s="418">
        <v>-2.7952380952380968E-5</v>
      </c>
      <c r="W27" s="424">
        <v>-6.2571428571428123E-5</v>
      </c>
      <c r="X27" s="418">
        <v>0.92750261088437846</v>
      </c>
      <c r="Y27" s="418">
        <v>-4.6154285714325525E-4</v>
      </c>
      <c r="Z27" s="418">
        <v>3.9600000000001891E-5</v>
      </c>
      <c r="AA27" s="418">
        <v>-6.8688054421770662E-3</v>
      </c>
      <c r="AB27" s="418">
        <v>2.047959183673473E-4</v>
      </c>
      <c r="AC27" s="424">
        <v>-1.9954285714285575E-4</v>
      </c>
      <c r="AD27" s="418">
        <v>25.546232884620121</v>
      </c>
      <c r="AE27" s="418">
        <v>-0.65921738762013815</v>
      </c>
      <c r="AF27" s="418">
        <v>5.1163880791784697E-3</v>
      </c>
      <c r="AG27" s="418">
        <v>-2.7637602981531319E-2</v>
      </c>
      <c r="AH27" s="418">
        <v>3.3263218349186414E-4</v>
      </c>
      <c r="AI27" s="424">
        <v>-5.848495167748019E-4</v>
      </c>
      <c r="AJ27" s="418">
        <v>-6.9999999999999994E-5</v>
      </c>
      <c r="AK27" s="418">
        <v>1.16951</v>
      </c>
      <c r="AL27" s="418">
        <v>-0.21321000000000001</v>
      </c>
      <c r="AM27" s="424">
        <v>4.3770000000000003E-2</v>
      </c>
      <c r="AN27" s="418">
        <v>1.2E-4</v>
      </c>
      <c r="AO27" s="418">
        <v>1.2017800000000001</v>
      </c>
      <c r="AP27" s="418">
        <v>-0.26145000000000002</v>
      </c>
      <c r="AQ27" s="424">
        <v>5.9549999999999999E-2</v>
      </c>
      <c r="AR27" s="418">
        <v>6.9999999999999994E-5</v>
      </c>
      <c r="AS27" s="418">
        <v>1.23139</v>
      </c>
      <c r="AT27" s="418">
        <v>-0.30703000000000003</v>
      </c>
      <c r="AU27" s="424">
        <v>7.5569999999999998E-2</v>
      </c>
      <c r="AV27" s="418">
        <v>0.85187000000000002</v>
      </c>
      <c r="AW27" s="418">
        <v>0.17007</v>
      </c>
      <c r="AX27" s="424">
        <v>-2.1940000000000001E-2</v>
      </c>
      <c r="AY27" s="418">
        <v>0.82723000000000002</v>
      </c>
      <c r="AZ27" s="418">
        <v>0.20272999999999999</v>
      </c>
      <c r="BA27" s="424">
        <v>-2.9960000000000001E-2</v>
      </c>
      <c r="BB27" s="418">
        <v>0.80530000000000002</v>
      </c>
      <c r="BC27" s="418">
        <v>0.23269999999999999</v>
      </c>
      <c r="BD27" s="418">
        <v>-3.7999999999999999E-2</v>
      </c>
      <c r="BE27" s="424">
        <v>1</v>
      </c>
      <c r="BF27" s="418">
        <v>1</v>
      </c>
      <c r="BG27" s="424">
        <v>1</v>
      </c>
      <c r="BH27" s="418">
        <v>8.1999999999999993</v>
      </c>
      <c r="BI27" s="418">
        <v>3.48</v>
      </c>
      <c r="BJ27" s="418">
        <v>33754</v>
      </c>
      <c r="BK27" s="438">
        <v>0.28764382763758872</v>
      </c>
      <c r="BL27" s="418">
        <v>0.4833384866331345</v>
      </c>
      <c r="BM27" s="418">
        <v>-1.8833377765659987E-3</v>
      </c>
      <c r="BN27" s="418">
        <v>5.4505813947896185E-6</v>
      </c>
      <c r="BO27" s="418">
        <v>1.7814999884937295E-2</v>
      </c>
      <c r="BP27" s="418">
        <v>-1.6964762912520161E-6</v>
      </c>
      <c r="BQ27" s="424">
        <v>-6.4367832696857446E-5</v>
      </c>
      <c r="BR27" s="418">
        <v>1.3857442620188305</v>
      </c>
      <c r="BS27" s="418">
        <v>5.6717486467470785E-3</v>
      </c>
      <c r="BT27" s="418">
        <v>5.2469745563982854E-5</v>
      </c>
      <c r="BU27" s="418">
        <v>-2.8076219687492267E-2</v>
      </c>
      <c r="BV27" s="418">
        <v>2.6022594687188553E-4</v>
      </c>
      <c r="BW27" s="424">
        <v>-8.9703711818389176E-5</v>
      </c>
      <c r="BX27" s="418">
        <v>1</v>
      </c>
      <c r="BY27" s="418">
        <v>0</v>
      </c>
      <c r="BZ27" s="418">
        <v>0</v>
      </c>
      <c r="CA27" s="418">
        <v>1</v>
      </c>
      <c r="CC27" s="256"/>
    </row>
    <row r="28" spans="1:81" x14ac:dyDescent="0.25">
      <c r="A28" s="146">
        <v>21406</v>
      </c>
      <c r="B28" s="418">
        <v>14</v>
      </c>
      <c r="C28" s="420">
        <v>11.929577464788734</v>
      </c>
      <c r="D28" s="421">
        <v>34895</v>
      </c>
      <c r="E28" s="419">
        <v>0.74399999999999999</v>
      </c>
      <c r="F28" s="419">
        <v>0.24467</v>
      </c>
      <c r="G28" s="419">
        <v>3.2099999999999997E-2</v>
      </c>
      <c r="H28" s="419">
        <v>0.29399999999999998</v>
      </c>
      <c r="I28" s="419">
        <v>0.12</v>
      </c>
      <c r="J28" s="419">
        <v>1.09E-2</v>
      </c>
      <c r="K28" s="424">
        <v>100</v>
      </c>
      <c r="L28" s="418">
        <v>0.33897178911564851</v>
      </c>
      <c r="M28" s="418">
        <v>4.1807142857127792E-4</v>
      </c>
      <c r="N28" s="418">
        <v>2.1371428571428737E-4</v>
      </c>
      <c r="O28" s="418">
        <v>8.9003244897959653E-3</v>
      </c>
      <c r="P28" s="418">
        <v>-2.5962585034013662E-5</v>
      </c>
      <c r="Q28" s="424">
        <v>-1.4730000000000052E-4</v>
      </c>
      <c r="R28" s="418">
        <v>4.6779843523809648</v>
      </c>
      <c r="S28" s="418">
        <v>-7.37121142857146E-2</v>
      </c>
      <c r="T28" s="418">
        <v>2.8931428571428772E-4</v>
      </c>
      <c r="U28" s="418">
        <v>6.4477142857142572E-3</v>
      </c>
      <c r="V28" s="418">
        <v>-2.7952380952380968E-5</v>
      </c>
      <c r="W28" s="424">
        <v>-6.2571428571428123E-5</v>
      </c>
      <c r="X28" s="418">
        <v>0.92750261088437846</v>
      </c>
      <c r="Y28" s="418">
        <v>-4.6154285714325525E-4</v>
      </c>
      <c r="Z28" s="418">
        <v>3.9600000000001891E-5</v>
      </c>
      <c r="AA28" s="418">
        <v>-6.8688054421770662E-3</v>
      </c>
      <c r="AB28" s="418">
        <v>2.047959183673473E-4</v>
      </c>
      <c r="AC28" s="424">
        <v>-1.9954285714285575E-4</v>
      </c>
      <c r="AD28" s="418">
        <v>25.546232884620121</v>
      </c>
      <c r="AE28" s="418">
        <v>-0.65921738762013815</v>
      </c>
      <c r="AF28" s="418">
        <v>5.1163880791784697E-3</v>
      </c>
      <c r="AG28" s="418">
        <v>-2.7637602981531319E-2</v>
      </c>
      <c r="AH28" s="418">
        <v>3.3263218349186414E-4</v>
      </c>
      <c r="AI28" s="424">
        <v>-5.848495167748019E-4</v>
      </c>
      <c r="AJ28" s="418">
        <v>-6.9999999999999994E-5</v>
      </c>
      <c r="AK28" s="418">
        <v>1.16951</v>
      </c>
      <c r="AL28" s="418">
        <v>-0.21321000000000001</v>
      </c>
      <c r="AM28" s="424">
        <v>4.3770000000000003E-2</v>
      </c>
      <c r="AN28" s="418">
        <v>1.2E-4</v>
      </c>
      <c r="AO28" s="418">
        <v>1.2017800000000001</v>
      </c>
      <c r="AP28" s="418">
        <v>-0.26145000000000002</v>
      </c>
      <c r="AQ28" s="424">
        <v>5.9549999999999999E-2</v>
      </c>
      <c r="AR28" s="418">
        <v>6.9999999999999994E-5</v>
      </c>
      <c r="AS28" s="418">
        <v>1.23139</v>
      </c>
      <c r="AT28" s="418">
        <v>-0.30703000000000003</v>
      </c>
      <c r="AU28" s="424">
        <v>7.5569999999999998E-2</v>
      </c>
      <c r="AV28" s="418">
        <v>0.85187000000000002</v>
      </c>
      <c r="AW28" s="418">
        <v>0.17007</v>
      </c>
      <c r="AX28" s="424">
        <v>-2.1940000000000001E-2</v>
      </c>
      <c r="AY28" s="418">
        <v>0.82723000000000002</v>
      </c>
      <c r="AZ28" s="418">
        <v>0.20272999999999999</v>
      </c>
      <c r="BA28" s="424">
        <v>-2.9960000000000001E-2</v>
      </c>
      <c r="BB28" s="418">
        <v>0.80530000000000002</v>
      </c>
      <c r="BC28" s="418">
        <v>0.23269999999999999</v>
      </c>
      <c r="BD28" s="418">
        <v>-3.7999999999999999E-2</v>
      </c>
      <c r="BE28" s="424">
        <v>1</v>
      </c>
      <c r="BF28" s="418">
        <v>1</v>
      </c>
      <c r="BG28" s="424">
        <v>1</v>
      </c>
      <c r="BH28" s="418">
        <v>8.1999999999999993</v>
      </c>
      <c r="BI28" s="418">
        <v>3.48</v>
      </c>
      <c r="BJ28" s="418">
        <v>33754</v>
      </c>
      <c r="BK28" s="438">
        <v>0.28764382763758872</v>
      </c>
      <c r="BL28" s="418">
        <v>0.53250474739796516</v>
      </c>
      <c r="BM28" s="418">
        <v>-4.9955613179735055E-4</v>
      </c>
      <c r="BN28" s="418">
        <v>-1.9120458918389342E-6</v>
      </c>
      <c r="BO28" s="418">
        <v>7.958621932365342E-3</v>
      </c>
      <c r="BP28" s="418">
        <v>1.2730956480253675E-4</v>
      </c>
      <c r="BQ28" s="424">
        <v>-4.3601475006721766E-5</v>
      </c>
      <c r="BR28" s="418">
        <v>0.86180844165824277</v>
      </c>
      <c r="BS28" s="418">
        <v>8.4486963586186403E-3</v>
      </c>
      <c r="BT28" s="418">
        <v>3.6449090019123838E-5</v>
      </c>
      <c r="BU28" s="418">
        <v>-1.0182845854330014E-2</v>
      </c>
      <c r="BV28" s="418">
        <v>6.8600269920831658E-5</v>
      </c>
      <c r="BW28" s="424">
        <v>-9.2632817312115735E-5</v>
      </c>
      <c r="BX28" s="418">
        <v>1</v>
      </c>
      <c r="BY28" s="418">
        <v>0</v>
      </c>
      <c r="BZ28" s="418">
        <v>0</v>
      </c>
      <c r="CA28" s="418">
        <v>1</v>
      </c>
      <c r="CC28" s="256"/>
    </row>
    <row r="29" spans="1:81" x14ac:dyDescent="0.25">
      <c r="A29" s="146">
        <v>21407</v>
      </c>
      <c r="B29" s="418">
        <v>14</v>
      </c>
      <c r="C29" s="420">
        <v>11.929577464788734</v>
      </c>
      <c r="D29" s="421">
        <v>34895</v>
      </c>
      <c r="E29" s="419">
        <v>0.74399999999999999</v>
      </c>
      <c r="F29" s="419">
        <v>0.24467</v>
      </c>
      <c r="G29" s="419">
        <v>3.2099999999999997E-2</v>
      </c>
      <c r="H29" s="419">
        <v>0.29399999999999998</v>
      </c>
      <c r="I29" s="419">
        <v>0.12</v>
      </c>
      <c r="J29" s="419">
        <v>1.09E-2</v>
      </c>
      <c r="K29" s="424">
        <v>100</v>
      </c>
      <c r="L29" s="418">
        <v>0.33897178911564851</v>
      </c>
      <c r="M29" s="418">
        <v>4.1807142857127792E-4</v>
      </c>
      <c r="N29" s="418">
        <v>2.1371428571428737E-4</v>
      </c>
      <c r="O29" s="418">
        <v>8.9003244897959653E-3</v>
      </c>
      <c r="P29" s="418">
        <v>-2.5962585034013662E-5</v>
      </c>
      <c r="Q29" s="424">
        <v>-1.4730000000000052E-4</v>
      </c>
      <c r="R29" s="418">
        <v>4.6779843523809648</v>
      </c>
      <c r="S29" s="418">
        <v>-7.37121142857146E-2</v>
      </c>
      <c r="T29" s="418">
        <v>2.8931428571428772E-4</v>
      </c>
      <c r="U29" s="418">
        <v>6.4477142857142572E-3</v>
      </c>
      <c r="V29" s="418">
        <v>-2.7952380952380968E-5</v>
      </c>
      <c r="W29" s="424">
        <v>-6.2571428571428123E-5</v>
      </c>
      <c r="X29" s="418">
        <v>0.92750261088437846</v>
      </c>
      <c r="Y29" s="418">
        <v>-4.6154285714325525E-4</v>
      </c>
      <c r="Z29" s="418">
        <v>3.9600000000001891E-5</v>
      </c>
      <c r="AA29" s="418">
        <v>-6.8688054421770662E-3</v>
      </c>
      <c r="AB29" s="418">
        <v>2.047959183673473E-4</v>
      </c>
      <c r="AC29" s="424">
        <v>-1.9954285714285575E-4</v>
      </c>
      <c r="AD29" s="418">
        <v>25.546232884620121</v>
      </c>
      <c r="AE29" s="418">
        <v>-0.65921738762013815</v>
      </c>
      <c r="AF29" s="418">
        <v>5.1163880791784697E-3</v>
      </c>
      <c r="AG29" s="418">
        <v>-2.7637602981531319E-2</v>
      </c>
      <c r="AH29" s="418">
        <v>3.3263218349186414E-4</v>
      </c>
      <c r="AI29" s="424">
        <v>-5.848495167748019E-4</v>
      </c>
      <c r="AJ29" s="418">
        <v>-6.9999999999999994E-5</v>
      </c>
      <c r="AK29" s="418">
        <v>1.16951</v>
      </c>
      <c r="AL29" s="418">
        <v>-0.21321000000000001</v>
      </c>
      <c r="AM29" s="424">
        <v>4.3770000000000003E-2</v>
      </c>
      <c r="AN29" s="418">
        <v>1.2E-4</v>
      </c>
      <c r="AO29" s="418">
        <v>1.2017800000000001</v>
      </c>
      <c r="AP29" s="418">
        <v>-0.26145000000000002</v>
      </c>
      <c r="AQ29" s="424">
        <v>5.9549999999999999E-2</v>
      </c>
      <c r="AR29" s="418">
        <v>6.9999999999999994E-5</v>
      </c>
      <c r="AS29" s="418">
        <v>1.23139</v>
      </c>
      <c r="AT29" s="418">
        <v>-0.30703000000000003</v>
      </c>
      <c r="AU29" s="424">
        <v>7.5569999999999998E-2</v>
      </c>
      <c r="AV29" s="418">
        <v>0.85187000000000002</v>
      </c>
      <c r="AW29" s="418">
        <v>0.17007</v>
      </c>
      <c r="AX29" s="424">
        <v>-2.1940000000000001E-2</v>
      </c>
      <c r="AY29" s="418">
        <v>0.82723000000000002</v>
      </c>
      <c r="AZ29" s="418">
        <v>0.20272999999999999</v>
      </c>
      <c r="BA29" s="424">
        <v>-2.9960000000000001E-2</v>
      </c>
      <c r="BB29" s="418">
        <v>0.80530000000000002</v>
      </c>
      <c r="BC29" s="418">
        <v>0.23269999999999999</v>
      </c>
      <c r="BD29" s="418">
        <v>-3.7999999999999999E-2</v>
      </c>
      <c r="BE29" s="424">
        <v>1</v>
      </c>
      <c r="BF29" s="418">
        <v>1</v>
      </c>
      <c r="BG29" s="424">
        <v>1</v>
      </c>
      <c r="BH29" s="418">
        <v>8</v>
      </c>
      <c r="BI29" s="418">
        <v>3.39</v>
      </c>
      <c r="BJ29" s="418">
        <v>33754</v>
      </c>
      <c r="BK29" s="438">
        <v>0.29507085832852836</v>
      </c>
      <c r="BL29" s="418">
        <v>0.53250474739796516</v>
      </c>
      <c r="BM29" s="418">
        <v>-4.9955613179735055E-4</v>
      </c>
      <c r="BN29" s="418">
        <v>-1.9120458918389342E-6</v>
      </c>
      <c r="BO29" s="418">
        <v>7.958621932365342E-3</v>
      </c>
      <c r="BP29" s="418">
        <v>1.2730956480253675E-4</v>
      </c>
      <c r="BQ29" s="424">
        <v>-4.3601475006721766E-5</v>
      </c>
      <c r="BR29" s="418">
        <v>0.86180844165824277</v>
      </c>
      <c r="BS29" s="418">
        <v>8.4486963586186403E-3</v>
      </c>
      <c r="BT29" s="418">
        <v>3.6449090019123838E-5</v>
      </c>
      <c r="BU29" s="418">
        <v>-1.0182845854330014E-2</v>
      </c>
      <c r="BV29" s="418">
        <v>6.8600269920831658E-5</v>
      </c>
      <c r="BW29" s="424">
        <v>-9.2632817312115735E-5</v>
      </c>
      <c r="BX29" s="418">
        <v>1</v>
      </c>
      <c r="BY29" s="418">
        <v>0</v>
      </c>
      <c r="BZ29" s="418">
        <v>0</v>
      </c>
      <c r="CA29" s="418">
        <v>1</v>
      </c>
      <c r="CC29" s="256"/>
    </row>
    <row r="30" spans="1:81" x14ac:dyDescent="0.25">
      <c r="A30" s="146">
        <v>21408</v>
      </c>
      <c r="B30" s="418">
        <v>14</v>
      </c>
      <c r="C30" s="420">
        <v>11.112499999999999</v>
      </c>
      <c r="D30" s="421">
        <v>58310</v>
      </c>
      <c r="E30" s="419">
        <v>0.71699999999999997</v>
      </c>
      <c r="F30" s="419">
        <v>0.27046999999999999</v>
      </c>
      <c r="G30" s="419">
        <v>2.7949999999999999E-2</v>
      </c>
      <c r="H30" s="419">
        <v>0.29399999999999998</v>
      </c>
      <c r="I30" s="419">
        <v>6.9400000000000003E-2</v>
      </c>
      <c r="J30" s="419">
        <v>0.01</v>
      </c>
      <c r="K30" s="424">
        <v>100</v>
      </c>
      <c r="L30" s="418">
        <v>3.4905836789670701</v>
      </c>
      <c r="M30" s="418">
        <v>-9.1344846307905833E-2</v>
      </c>
      <c r="N30" s="418">
        <v>9.5659465636167319E-4</v>
      </c>
      <c r="O30" s="418">
        <v>6.2175423614240265E-3</v>
      </c>
      <c r="P30" s="418">
        <v>-7.874999999999895E-6</v>
      </c>
      <c r="Q30" s="424">
        <v>-1.8605295178008086E-4</v>
      </c>
      <c r="R30" s="418">
        <v>2.9970667362228278</v>
      </c>
      <c r="S30" s="418">
        <v>1.8496931879762046E-3</v>
      </c>
      <c r="T30" s="418">
        <v>-3.8268391091166086E-4</v>
      </c>
      <c r="U30" s="418">
        <v>-1.7138015772870562E-2</v>
      </c>
      <c r="V30" s="418">
        <v>-1.2462500000000305E-5</v>
      </c>
      <c r="W30" s="424">
        <v>2.1012685894547029E-4</v>
      </c>
      <c r="X30" s="418">
        <v>-3.4577382293497196</v>
      </c>
      <c r="Y30" s="418">
        <v>0.15512148697155423</v>
      </c>
      <c r="Z30" s="418">
        <v>-1.1438288872267963E-3</v>
      </c>
      <c r="AA30" s="418">
        <v>-2.1250800360522688E-2</v>
      </c>
      <c r="AB30" s="418">
        <v>2.9838571428571383E-4</v>
      </c>
      <c r="AC30" s="424">
        <v>-2.3171383506083841E-4</v>
      </c>
      <c r="AD30" s="418">
        <v>29.784171863792952</v>
      </c>
      <c r="AE30" s="418">
        <v>-0.96569196614835773</v>
      </c>
      <c r="AF30" s="418">
        <v>7.8708211483886365E-3</v>
      </c>
      <c r="AG30" s="418">
        <v>0.23114841671331107</v>
      </c>
      <c r="AH30" s="418">
        <v>1.9407979231782078E-4</v>
      </c>
      <c r="AI30" s="424">
        <v>-3.6332436732761137E-3</v>
      </c>
      <c r="AJ30" s="418">
        <v>2.8400000000000001E-3</v>
      </c>
      <c r="AK30" s="418">
        <v>1.06067</v>
      </c>
      <c r="AL30" s="418">
        <v>-6.8739999999999996E-2</v>
      </c>
      <c r="AM30" s="424">
        <v>5.2300000000000003E-3</v>
      </c>
      <c r="AN30" s="418">
        <v>-1.4599999999999999E-3</v>
      </c>
      <c r="AO30" s="418">
        <v>1.1032</v>
      </c>
      <c r="AP30" s="418">
        <v>-0.1193</v>
      </c>
      <c r="AQ30" s="424">
        <v>1.755E-2</v>
      </c>
      <c r="AR30" s="418">
        <v>-1.6000000000000001E-4</v>
      </c>
      <c r="AS30" s="418">
        <v>1.1224000000000001</v>
      </c>
      <c r="AT30" s="418">
        <v>-0.14282</v>
      </c>
      <c r="AU30" s="424">
        <v>2.0580000000000001E-2</v>
      </c>
      <c r="AV30" s="418">
        <v>0.88888999999999996</v>
      </c>
      <c r="AW30" s="418">
        <v>6.9519999999999998E-2</v>
      </c>
      <c r="AX30" s="424">
        <v>-6.4599999999999996E-3</v>
      </c>
      <c r="AY30" s="418">
        <v>0.87243000000000004</v>
      </c>
      <c r="AZ30" s="418">
        <v>9.4130000000000005E-2</v>
      </c>
      <c r="BA30" s="424">
        <v>-7.5199999999999998E-3</v>
      </c>
      <c r="BB30" s="418">
        <v>0.85624999999999996</v>
      </c>
      <c r="BC30" s="418">
        <v>0.12114999999999999</v>
      </c>
      <c r="BD30" s="418">
        <v>-1.2409999999999999E-2</v>
      </c>
      <c r="BE30" s="424">
        <v>2</v>
      </c>
      <c r="BF30" s="418">
        <v>0.77300000000000002</v>
      </c>
      <c r="BG30" s="424">
        <v>0.68200000000000005</v>
      </c>
      <c r="BH30" s="418">
        <v>8.1999999999999993</v>
      </c>
      <c r="BI30" s="418">
        <v>3.25</v>
      </c>
      <c r="BJ30" s="418">
        <v>31641</v>
      </c>
      <c r="BK30" s="438">
        <v>0.30794442911602926</v>
      </c>
      <c r="BL30" s="418">
        <v>0.42850557322424038</v>
      </c>
      <c r="BM30" s="418">
        <v>-9.781310650890029E-4</v>
      </c>
      <c r="BN30" s="418">
        <v>5.0141842632088548E-15</v>
      </c>
      <c r="BO30" s="418">
        <v>1.5309057068694105E-2</v>
      </c>
      <c r="BP30" s="418">
        <v>3.901777735449216E-5</v>
      </c>
      <c r="BQ30" s="424">
        <v>-5.038065382895917E-5</v>
      </c>
      <c r="BR30" s="418">
        <v>1.3659605661464331</v>
      </c>
      <c r="BS30" s="418">
        <v>3.4687682277816574E-3</v>
      </c>
      <c r="BT30" s="418">
        <v>6.2208699697665948E-5</v>
      </c>
      <c r="BU30" s="418">
        <v>-2.3459778569559359E-2</v>
      </c>
      <c r="BV30" s="418">
        <v>2.250215469264863E-4</v>
      </c>
      <c r="BW30" s="424">
        <v>-9.3635250760191671E-5</v>
      </c>
      <c r="BX30" s="418">
        <v>1.7450000000000001</v>
      </c>
      <c r="BY30" s="418">
        <v>-0.745</v>
      </c>
      <c r="BZ30" s="418">
        <v>1</v>
      </c>
      <c r="CA30" s="418">
        <v>1.1889999999999998</v>
      </c>
      <c r="CC30" s="256"/>
    </row>
    <row r="31" spans="1:81" x14ac:dyDescent="0.25">
      <c r="A31" s="146">
        <v>21409</v>
      </c>
      <c r="B31" s="418">
        <v>14</v>
      </c>
      <c r="C31" s="420">
        <v>11.112499999999999</v>
      </c>
      <c r="D31" s="421">
        <v>58310</v>
      </c>
      <c r="E31" s="419">
        <v>0.71699999999999997</v>
      </c>
      <c r="F31" s="419">
        <v>0.27046999999999999</v>
      </c>
      <c r="G31" s="419">
        <v>2.7949999999999999E-2</v>
      </c>
      <c r="H31" s="419">
        <v>0.29399999999999998</v>
      </c>
      <c r="I31" s="419">
        <v>6.9400000000000003E-2</v>
      </c>
      <c r="J31" s="419">
        <v>0.01</v>
      </c>
      <c r="K31" s="424">
        <v>100</v>
      </c>
      <c r="L31" s="418">
        <v>3.4905836789670701</v>
      </c>
      <c r="M31" s="418">
        <v>-9.1344846307905833E-2</v>
      </c>
      <c r="N31" s="418">
        <v>9.5659465636167319E-4</v>
      </c>
      <c r="O31" s="418">
        <v>6.2175423614240265E-3</v>
      </c>
      <c r="P31" s="418">
        <v>-7.874999999999895E-6</v>
      </c>
      <c r="Q31" s="424">
        <v>-1.8605295178008086E-4</v>
      </c>
      <c r="R31" s="418">
        <v>2.9970667362228278</v>
      </c>
      <c r="S31" s="418">
        <v>1.8496931879762046E-3</v>
      </c>
      <c r="T31" s="418">
        <v>-3.8268391091166086E-4</v>
      </c>
      <c r="U31" s="418">
        <v>-1.7138015772870562E-2</v>
      </c>
      <c r="V31" s="418">
        <v>-1.2462500000000305E-5</v>
      </c>
      <c r="W31" s="424">
        <v>2.1012685894547029E-4</v>
      </c>
      <c r="X31" s="418">
        <v>-3.4577382293497196</v>
      </c>
      <c r="Y31" s="418">
        <v>0.15512148697155423</v>
      </c>
      <c r="Z31" s="418">
        <v>-1.1438288872267963E-3</v>
      </c>
      <c r="AA31" s="418">
        <v>-2.1250800360522688E-2</v>
      </c>
      <c r="AB31" s="418">
        <v>2.9838571428571383E-4</v>
      </c>
      <c r="AC31" s="424">
        <v>-2.3171383506083841E-4</v>
      </c>
      <c r="AD31" s="418">
        <v>29.784171863792952</v>
      </c>
      <c r="AE31" s="418">
        <v>-0.96569196614835773</v>
      </c>
      <c r="AF31" s="418">
        <v>7.8708211483886365E-3</v>
      </c>
      <c r="AG31" s="418">
        <v>0.23114841671331107</v>
      </c>
      <c r="AH31" s="418">
        <v>1.9407979231782078E-4</v>
      </c>
      <c r="AI31" s="424">
        <v>-3.6332436732761137E-3</v>
      </c>
      <c r="AJ31" s="418">
        <v>2.8400000000000001E-3</v>
      </c>
      <c r="AK31" s="418">
        <v>1.06067</v>
      </c>
      <c r="AL31" s="418">
        <v>-6.8739999999999996E-2</v>
      </c>
      <c r="AM31" s="424">
        <v>5.2300000000000003E-3</v>
      </c>
      <c r="AN31" s="418">
        <v>-1.4599999999999999E-3</v>
      </c>
      <c r="AO31" s="418">
        <v>1.1032</v>
      </c>
      <c r="AP31" s="418">
        <v>-0.1193</v>
      </c>
      <c r="AQ31" s="424">
        <v>1.755E-2</v>
      </c>
      <c r="AR31" s="418">
        <v>-1.6000000000000001E-4</v>
      </c>
      <c r="AS31" s="418">
        <v>1.1224000000000001</v>
      </c>
      <c r="AT31" s="418">
        <v>-0.14282</v>
      </c>
      <c r="AU31" s="424">
        <v>2.0580000000000001E-2</v>
      </c>
      <c r="AV31" s="418">
        <v>0.88888999999999996</v>
      </c>
      <c r="AW31" s="418">
        <v>6.9519999999999998E-2</v>
      </c>
      <c r="AX31" s="424">
        <v>-6.4599999999999996E-3</v>
      </c>
      <c r="AY31" s="418">
        <v>0.87243000000000004</v>
      </c>
      <c r="AZ31" s="418">
        <v>9.4130000000000005E-2</v>
      </c>
      <c r="BA31" s="424">
        <v>-7.5199999999999998E-3</v>
      </c>
      <c r="BB31" s="418">
        <v>0.85624999999999996</v>
      </c>
      <c r="BC31" s="418">
        <v>0.12114999999999999</v>
      </c>
      <c r="BD31" s="418">
        <v>-1.2409999999999999E-2</v>
      </c>
      <c r="BE31" s="424">
        <v>2</v>
      </c>
      <c r="BF31" s="418">
        <v>0.77300000000000002</v>
      </c>
      <c r="BG31" s="424">
        <v>0.68200000000000005</v>
      </c>
      <c r="BH31" s="418">
        <v>8</v>
      </c>
      <c r="BI31" s="418">
        <v>3.17</v>
      </c>
      <c r="BJ31" s="418">
        <v>31641</v>
      </c>
      <c r="BK31" s="438">
        <v>0.31584847234392993</v>
      </c>
      <c r="BL31" s="418">
        <v>0.42850557322424038</v>
      </c>
      <c r="BM31" s="418">
        <v>-9.781310650890029E-4</v>
      </c>
      <c r="BN31" s="418">
        <v>5.0141842632088548E-15</v>
      </c>
      <c r="BO31" s="418">
        <v>1.5309057068694105E-2</v>
      </c>
      <c r="BP31" s="418">
        <v>3.901777735449216E-5</v>
      </c>
      <c r="BQ31" s="424">
        <v>-5.038065382895917E-5</v>
      </c>
      <c r="BR31" s="418">
        <v>1.3659605661464331</v>
      </c>
      <c r="BS31" s="418">
        <v>3.4687682277816574E-3</v>
      </c>
      <c r="BT31" s="418">
        <v>6.2208699697665948E-5</v>
      </c>
      <c r="BU31" s="418">
        <v>-2.3459778569559359E-2</v>
      </c>
      <c r="BV31" s="418">
        <v>2.250215469264863E-4</v>
      </c>
      <c r="BW31" s="424">
        <v>-9.3635250760191671E-5</v>
      </c>
      <c r="BX31" s="418">
        <v>1.7450000000000001</v>
      </c>
      <c r="BY31" s="418">
        <v>-0.745</v>
      </c>
      <c r="BZ31" s="418">
        <v>1</v>
      </c>
      <c r="CA31" s="418">
        <v>1.1889999999999998</v>
      </c>
      <c r="CC31" s="256"/>
    </row>
    <row r="32" spans="1:81" x14ac:dyDescent="0.25">
      <c r="A32" s="146">
        <v>21501</v>
      </c>
      <c r="B32" s="418">
        <v>15</v>
      </c>
      <c r="C32" s="420">
        <v>12.781690140845072</v>
      </c>
      <c r="D32" s="421">
        <v>34895</v>
      </c>
      <c r="E32" s="419">
        <v>0.74399999999999999</v>
      </c>
      <c r="F32" s="419">
        <v>0.23218</v>
      </c>
      <c r="G32" s="419">
        <v>3.2099999999999997E-2</v>
      </c>
      <c r="H32" s="419">
        <v>0.251</v>
      </c>
      <c r="I32" s="419">
        <v>0.12</v>
      </c>
      <c r="J32" s="419">
        <v>1.09E-2</v>
      </c>
      <c r="K32" s="424">
        <v>100</v>
      </c>
      <c r="L32" s="418">
        <v>0.33897178911564851</v>
      </c>
      <c r="M32" s="418">
        <v>4.1807142857127792E-4</v>
      </c>
      <c r="N32" s="418">
        <v>2.1371428571428737E-4</v>
      </c>
      <c r="O32" s="418">
        <v>8.9003244897959653E-3</v>
      </c>
      <c r="P32" s="418">
        <v>-2.5962585034013662E-5</v>
      </c>
      <c r="Q32" s="424">
        <v>-1.4730000000000052E-4</v>
      </c>
      <c r="R32" s="418">
        <v>4.6779843523809648</v>
      </c>
      <c r="S32" s="418">
        <v>-7.37121142857146E-2</v>
      </c>
      <c r="T32" s="418">
        <v>2.8931428571428772E-4</v>
      </c>
      <c r="U32" s="418">
        <v>6.4477142857142572E-3</v>
      </c>
      <c r="V32" s="418">
        <v>-2.7952380952380968E-5</v>
      </c>
      <c r="W32" s="424">
        <v>-6.2571428571428123E-5</v>
      </c>
      <c r="X32" s="418">
        <v>0.92750261088437846</v>
      </c>
      <c r="Y32" s="418">
        <v>-4.6154285714325525E-4</v>
      </c>
      <c r="Z32" s="418">
        <v>3.9600000000001891E-5</v>
      </c>
      <c r="AA32" s="418">
        <v>-6.8688054421770662E-3</v>
      </c>
      <c r="AB32" s="418">
        <v>2.047959183673473E-4</v>
      </c>
      <c r="AC32" s="424">
        <v>-1.9954285714285575E-4</v>
      </c>
      <c r="AD32" s="418">
        <v>25.546232884620121</v>
      </c>
      <c r="AE32" s="418">
        <v>-0.65921738762013815</v>
      </c>
      <c r="AF32" s="418">
        <v>5.1163880791784697E-3</v>
      </c>
      <c r="AG32" s="418">
        <v>-2.7637602981531319E-2</v>
      </c>
      <c r="AH32" s="418">
        <v>3.3263218349186414E-4</v>
      </c>
      <c r="AI32" s="424">
        <v>-5.848495167748019E-4</v>
      </c>
      <c r="AJ32" s="418">
        <v>-6.9999999999999994E-5</v>
      </c>
      <c r="AK32" s="418">
        <v>1.16951</v>
      </c>
      <c r="AL32" s="418">
        <v>-0.21321000000000001</v>
      </c>
      <c r="AM32" s="424">
        <v>4.3770000000000003E-2</v>
      </c>
      <c r="AN32" s="418">
        <v>1.2E-4</v>
      </c>
      <c r="AO32" s="418">
        <v>1.2017800000000001</v>
      </c>
      <c r="AP32" s="418">
        <v>-0.26145000000000002</v>
      </c>
      <c r="AQ32" s="424">
        <v>5.9549999999999999E-2</v>
      </c>
      <c r="AR32" s="418">
        <v>6.9999999999999994E-5</v>
      </c>
      <c r="AS32" s="418">
        <v>1.23139</v>
      </c>
      <c r="AT32" s="418">
        <v>-0.30703000000000003</v>
      </c>
      <c r="AU32" s="424">
        <v>7.5569999999999998E-2</v>
      </c>
      <c r="AV32" s="418">
        <v>0.85187000000000002</v>
      </c>
      <c r="AW32" s="418">
        <v>0.17007</v>
      </c>
      <c r="AX32" s="424">
        <v>-2.1940000000000001E-2</v>
      </c>
      <c r="AY32" s="418">
        <v>0.82723000000000002</v>
      </c>
      <c r="AZ32" s="418">
        <v>0.20272999999999999</v>
      </c>
      <c r="BA32" s="424">
        <v>-2.9960000000000001E-2</v>
      </c>
      <c r="BB32" s="418">
        <v>0.80530000000000002</v>
      </c>
      <c r="BC32" s="418">
        <v>0.23269999999999999</v>
      </c>
      <c r="BD32" s="418">
        <v>-3.7999999999999999E-2</v>
      </c>
      <c r="BE32" s="424">
        <v>1</v>
      </c>
      <c r="BF32" s="418">
        <v>1</v>
      </c>
      <c r="BG32" s="424">
        <v>1</v>
      </c>
      <c r="BH32" s="418">
        <v>8.6999999999999993</v>
      </c>
      <c r="BI32" s="418">
        <v>3.68</v>
      </c>
      <c r="BJ32" s="418">
        <v>33754</v>
      </c>
      <c r="BK32" s="438">
        <v>0.27156761278540476</v>
      </c>
      <c r="BL32" s="418">
        <v>0.4833384866331345</v>
      </c>
      <c r="BM32" s="418">
        <v>-1.8833377765659987E-3</v>
      </c>
      <c r="BN32" s="418">
        <v>5.4505813947896185E-6</v>
      </c>
      <c r="BO32" s="418">
        <v>1.7814999884937295E-2</v>
      </c>
      <c r="BP32" s="418">
        <v>-1.6964762912520161E-6</v>
      </c>
      <c r="BQ32" s="424">
        <v>-6.4367832696857446E-5</v>
      </c>
      <c r="BR32" s="418">
        <v>1.3857442620188305</v>
      </c>
      <c r="BS32" s="418">
        <v>5.6717486467470785E-3</v>
      </c>
      <c r="BT32" s="418">
        <v>5.2469745563982854E-5</v>
      </c>
      <c r="BU32" s="418">
        <v>-2.8076219687492267E-2</v>
      </c>
      <c r="BV32" s="418">
        <v>2.6022594687188553E-4</v>
      </c>
      <c r="BW32" s="424">
        <v>-8.9703711818389176E-5</v>
      </c>
      <c r="BX32" s="418">
        <v>1</v>
      </c>
      <c r="BY32" s="418">
        <v>0</v>
      </c>
      <c r="BZ32" s="418">
        <v>0</v>
      </c>
      <c r="CA32" s="418">
        <v>1</v>
      </c>
      <c r="CC32" s="256"/>
    </row>
    <row r="33" spans="1:81" x14ac:dyDescent="0.25">
      <c r="A33" s="146">
        <v>21506</v>
      </c>
      <c r="B33" s="418">
        <v>15</v>
      </c>
      <c r="C33" s="420">
        <v>12.781690140845072</v>
      </c>
      <c r="D33" s="421">
        <v>34895</v>
      </c>
      <c r="E33" s="419">
        <v>0.74399999999999999</v>
      </c>
      <c r="F33" s="419">
        <v>0.23218</v>
      </c>
      <c r="G33" s="419">
        <v>3.2099999999999997E-2</v>
      </c>
      <c r="H33" s="419">
        <v>0.251</v>
      </c>
      <c r="I33" s="419">
        <v>0.12</v>
      </c>
      <c r="J33" s="419">
        <v>1.09E-2</v>
      </c>
      <c r="K33" s="424">
        <v>100</v>
      </c>
      <c r="L33" s="418">
        <v>0.33897178911564851</v>
      </c>
      <c r="M33" s="418">
        <v>4.1807142857127792E-4</v>
      </c>
      <c r="N33" s="418">
        <v>2.1371428571428737E-4</v>
      </c>
      <c r="O33" s="418">
        <v>8.9003244897959653E-3</v>
      </c>
      <c r="P33" s="418">
        <v>-2.5962585034013662E-5</v>
      </c>
      <c r="Q33" s="424">
        <v>-1.4730000000000052E-4</v>
      </c>
      <c r="R33" s="418">
        <v>4.6779843523809648</v>
      </c>
      <c r="S33" s="418">
        <v>-7.37121142857146E-2</v>
      </c>
      <c r="T33" s="418">
        <v>2.8931428571428772E-4</v>
      </c>
      <c r="U33" s="418">
        <v>6.4477142857142572E-3</v>
      </c>
      <c r="V33" s="418">
        <v>-2.7952380952380968E-5</v>
      </c>
      <c r="W33" s="424">
        <v>-6.2571428571428123E-5</v>
      </c>
      <c r="X33" s="418">
        <v>0.92750261088437846</v>
      </c>
      <c r="Y33" s="418">
        <v>-4.6154285714325525E-4</v>
      </c>
      <c r="Z33" s="418">
        <v>3.9600000000001891E-5</v>
      </c>
      <c r="AA33" s="418">
        <v>-6.8688054421770662E-3</v>
      </c>
      <c r="AB33" s="418">
        <v>2.047959183673473E-4</v>
      </c>
      <c r="AC33" s="424">
        <v>-1.9954285714285575E-4</v>
      </c>
      <c r="AD33" s="418">
        <v>25.546232884620121</v>
      </c>
      <c r="AE33" s="418">
        <v>-0.65921738762013815</v>
      </c>
      <c r="AF33" s="418">
        <v>5.1163880791784697E-3</v>
      </c>
      <c r="AG33" s="418">
        <v>-2.7637602981531319E-2</v>
      </c>
      <c r="AH33" s="418">
        <v>3.3263218349186414E-4</v>
      </c>
      <c r="AI33" s="424">
        <v>-5.848495167748019E-4</v>
      </c>
      <c r="AJ33" s="418">
        <v>-6.9999999999999994E-5</v>
      </c>
      <c r="AK33" s="418">
        <v>1.16951</v>
      </c>
      <c r="AL33" s="418">
        <v>-0.21321000000000001</v>
      </c>
      <c r="AM33" s="424">
        <v>4.3770000000000003E-2</v>
      </c>
      <c r="AN33" s="418">
        <v>1.2E-4</v>
      </c>
      <c r="AO33" s="418">
        <v>1.2017800000000001</v>
      </c>
      <c r="AP33" s="418">
        <v>-0.26145000000000002</v>
      </c>
      <c r="AQ33" s="424">
        <v>5.9549999999999999E-2</v>
      </c>
      <c r="AR33" s="418">
        <v>6.9999999999999994E-5</v>
      </c>
      <c r="AS33" s="418">
        <v>1.23139</v>
      </c>
      <c r="AT33" s="418">
        <v>-0.30703000000000003</v>
      </c>
      <c r="AU33" s="424">
        <v>7.5569999999999998E-2</v>
      </c>
      <c r="AV33" s="418">
        <v>0.85187000000000002</v>
      </c>
      <c r="AW33" s="418">
        <v>0.17007</v>
      </c>
      <c r="AX33" s="424">
        <v>-2.1940000000000001E-2</v>
      </c>
      <c r="AY33" s="418">
        <v>0.82723000000000002</v>
      </c>
      <c r="AZ33" s="418">
        <v>0.20272999999999999</v>
      </c>
      <c r="BA33" s="424">
        <v>-2.9960000000000001E-2</v>
      </c>
      <c r="BB33" s="418">
        <v>0.80530000000000002</v>
      </c>
      <c r="BC33" s="418">
        <v>0.23269999999999999</v>
      </c>
      <c r="BD33" s="418">
        <v>-3.7999999999999999E-2</v>
      </c>
      <c r="BE33" s="424">
        <v>1</v>
      </c>
      <c r="BF33" s="418">
        <v>1</v>
      </c>
      <c r="BG33" s="424">
        <v>1</v>
      </c>
      <c r="BH33" s="418">
        <v>8.6999999999999993</v>
      </c>
      <c r="BI33" s="418">
        <v>3.68</v>
      </c>
      <c r="BJ33" s="418">
        <v>33754</v>
      </c>
      <c r="BK33" s="438">
        <v>0.27156761278540476</v>
      </c>
      <c r="BL33" s="418">
        <v>0.53250474739796516</v>
      </c>
      <c r="BM33" s="418">
        <v>-4.9955613179735055E-4</v>
      </c>
      <c r="BN33" s="418">
        <v>-1.9120458918389342E-6</v>
      </c>
      <c r="BO33" s="418">
        <v>7.958621932365342E-3</v>
      </c>
      <c r="BP33" s="418">
        <v>1.2730956480253675E-4</v>
      </c>
      <c r="BQ33" s="424">
        <v>-4.3601475006721766E-5</v>
      </c>
      <c r="BR33" s="418">
        <v>0.86180844165824277</v>
      </c>
      <c r="BS33" s="418">
        <v>8.4486963586186403E-3</v>
      </c>
      <c r="BT33" s="418">
        <v>3.6449090019123838E-5</v>
      </c>
      <c r="BU33" s="418">
        <v>-1.0182845854330014E-2</v>
      </c>
      <c r="BV33" s="418">
        <v>6.8600269920831658E-5</v>
      </c>
      <c r="BW33" s="424">
        <v>-9.2632817312115735E-5</v>
      </c>
      <c r="BX33" s="418">
        <v>1</v>
      </c>
      <c r="BY33" s="418">
        <v>0</v>
      </c>
      <c r="BZ33" s="418">
        <v>0</v>
      </c>
      <c r="CA33" s="418">
        <v>1</v>
      </c>
      <c r="CC33" s="256"/>
    </row>
    <row r="34" spans="1:81" x14ac:dyDescent="0.25">
      <c r="A34" s="146">
        <v>21507</v>
      </c>
      <c r="B34" s="418">
        <v>15</v>
      </c>
      <c r="C34" s="420">
        <v>12.781690140845072</v>
      </c>
      <c r="D34" s="421">
        <v>34895</v>
      </c>
      <c r="E34" s="419">
        <v>0.74399999999999999</v>
      </c>
      <c r="F34" s="419">
        <v>0.22620999999999999</v>
      </c>
      <c r="G34" s="419">
        <v>3.2099999999999997E-2</v>
      </c>
      <c r="H34" s="419">
        <v>0.29399999999999998</v>
      </c>
      <c r="I34" s="419">
        <v>0.12</v>
      </c>
      <c r="J34" s="419">
        <v>1.09E-2</v>
      </c>
      <c r="K34" s="424">
        <v>100</v>
      </c>
      <c r="L34" s="418">
        <v>0.33897178911564851</v>
      </c>
      <c r="M34" s="418">
        <v>4.1807142857127792E-4</v>
      </c>
      <c r="N34" s="418">
        <v>2.1371428571428737E-4</v>
      </c>
      <c r="O34" s="418">
        <v>8.9003244897959653E-3</v>
      </c>
      <c r="P34" s="418">
        <v>-2.5962585034013662E-5</v>
      </c>
      <c r="Q34" s="424">
        <v>-1.4730000000000052E-4</v>
      </c>
      <c r="R34" s="418">
        <v>4.6779843523809648</v>
      </c>
      <c r="S34" s="418">
        <v>-7.37121142857146E-2</v>
      </c>
      <c r="T34" s="418">
        <v>2.8931428571428772E-4</v>
      </c>
      <c r="U34" s="418">
        <v>6.4477142857142572E-3</v>
      </c>
      <c r="V34" s="418">
        <v>-2.7952380952380968E-5</v>
      </c>
      <c r="W34" s="424">
        <v>-6.2571428571428123E-5</v>
      </c>
      <c r="X34" s="418">
        <v>0.92750261088437846</v>
      </c>
      <c r="Y34" s="418">
        <v>-4.6154285714325525E-4</v>
      </c>
      <c r="Z34" s="418">
        <v>3.9600000000001891E-5</v>
      </c>
      <c r="AA34" s="418">
        <v>-6.8688054421770662E-3</v>
      </c>
      <c r="AB34" s="418">
        <v>2.047959183673473E-4</v>
      </c>
      <c r="AC34" s="424">
        <v>-1.9954285714285575E-4</v>
      </c>
      <c r="AD34" s="418">
        <v>25.546232884620121</v>
      </c>
      <c r="AE34" s="418">
        <v>-0.65921738762013815</v>
      </c>
      <c r="AF34" s="418">
        <v>5.1163880791784697E-3</v>
      </c>
      <c r="AG34" s="418">
        <v>-2.7637602981531319E-2</v>
      </c>
      <c r="AH34" s="418">
        <v>3.3263218349186414E-4</v>
      </c>
      <c r="AI34" s="424">
        <v>-5.848495167748019E-4</v>
      </c>
      <c r="AJ34" s="418">
        <v>-6.9999999999999994E-5</v>
      </c>
      <c r="AK34" s="418">
        <v>1.16951</v>
      </c>
      <c r="AL34" s="418">
        <v>-0.21321000000000001</v>
      </c>
      <c r="AM34" s="424">
        <v>4.3770000000000003E-2</v>
      </c>
      <c r="AN34" s="418">
        <v>1.2E-4</v>
      </c>
      <c r="AO34" s="418">
        <v>1.2017800000000001</v>
      </c>
      <c r="AP34" s="418">
        <v>-0.26145000000000002</v>
      </c>
      <c r="AQ34" s="424">
        <v>5.9549999999999999E-2</v>
      </c>
      <c r="AR34" s="418">
        <v>6.9999999999999994E-5</v>
      </c>
      <c r="AS34" s="418">
        <v>1.23139</v>
      </c>
      <c r="AT34" s="418">
        <v>-0.30703000000000003</v>
      </c>
      <c r="AU34" s="424">
        <v>7.5569999999999998E-2</v>
      </c>
      <c r="AV34" s="418">
        <v>0.85187000000000002</v>
      </c>
      <c r="AW34" s="418">
        <v>0.17007</v>
      </c>
      <c r="AX34" s="424">
        <v>-2.1940000000000001E-2</v>
      </c>
      <c r="AY34" s="418">
        <v>0.82723000000000002</v>
      </c>
      <c r="AZ34" s="418">
        <v>0.20272999999999999</v>
      </c>
      <c r="BA34" s="424">
        <v>-2.9960000000000001E-2</v>
      </c>
      <c r="BB34" s="418">
        <v>0.80530000000000002</v>
      </c>
      <c r="BC34" s="418">
        <v>0.23269999999999999</v>
      </c>
      <c r="BD34" s="418">
        <v>-3.7999999999999999E-2</v>
      </c>
      <c r="BE34" s="424">
        <v>1</v>
      </c>
      <c r="BF34" s="418">
        <v>1</v>
      </c>
      <c r="BG34" s="424">
        <v>1</v>
      </c>
      <c r="BH34" s="418">
        <v>8.1999999999999993</v>
      </c>
      <c r="BI34" s="418">
        <v>3.48</v>
      </c>
      <c r="BJ34" s="418">
        <v>33754</v>
      </c>
      <c r="BK34" s="438">
        <v>0.28764382763758872</v>
      </c>
      <c r="BL34" s="418">
        <v>0.53250474739796516</v>
      </c>
      <c r="BM34" s="418">
        <v>-4.9955613179735055E-4</v>
      </c>
      <c r="BN34" s="418">
        <v>-1.9120458918389342E-6</v>
      </c>
      <c r="BO34" s="418">
        <v>7.958621932365342E-3</v>
      </c>
      <c r="BP34" s="418">
        <v>1.2730956480253675E-4</v>
      </c>
      <c r="BQ34" s="424">
        <v>-4.3601475006721766E-5</v>
      </c>
      <c r="BR34" s="418">
        <v>0.86180844165824277</v>
      </c>
      <c r="BS34" s="418">
        <v>8.4486963586186403E-3</v>
      </c>
      <c r="BT34" s="418">
        <v>3.6449090019123838E-5</v>
      </c>
      <c r="BU34" s="418">
        <v>-1.0182845854330014E-2</v>
      </c>
      <c r="BV34" s="418">
        <v>6.8600269920831658E-5</v>
      </c>
      <c r="BW34" s="424">
        <v>-9.2632817312115735E-5</v>
      </c>
      <c r="BX34" s="418">
        <v>1</v>
      </c>
      <c r="BY34" s="418">
        <v>0</v>
      </c>
      <c r="BZ34" s="418">
        <v>0</v>
      </c>
      <c r="CA34" s="418">
        <v>1</v>
      </c>
      <c r="CC34" s="256"/>
    </row>
    <row r="35" spans="1:81" x14ac:dyDescent="0.25">
      <c r="A35" s="146">
        <v>21508</v>
      </c>
      <c r="B35" s="418">
        <v>15</v>
      </c>
      <c r="C35" s="420">
        <v>11.90625</v>
      </c>
      <c r="D35" s="421">
        <v>58310</v>
      </c>
      <c r="E35" s="419">
        <v>0.71699999999999997</v>
      </c>
      <c r="F35" s="419">
        <v>0.25585000000000002</v>
      </c>
      <c r="G35" s="419">
        <v>2.7949999999999999E-2</v>
      </c>
      <c r="H35" s="419">
        <v>0.251</v>
      </c>
      <c r="I35" s="419">
        <v>6.9400000000000003E-2</v>
      </c>
      <c r="J35" s="419">
        <v>0.01</v>
      </c>
      <c r="K35" s="424">
        <v>100</v>
      </c>
      <c r="L35" s="418">
        <v>3.4905836789670701</v>
      </c>
      <c r="M35" s="418">
        <v>-9.1344846307905833E-2</v>
      </c>
      <c r="N35" s="418">
        <v>9.5659465636167319E-4</v>
      </c>
      <c r="O35" s="418">
        <v>6.2175423614240265E-3</v>
      </c>
      <c r="P35" s="418">
        <v>-7.874999999999895E-6</v>
      </c>
      <c r="Q35" s="424">
        <v>-1.8605295178008086E-4</v>
      </c>
      <c r="R35" s="418">
        <v>2.9970667362228278</v>
      </c>
      <c r="S35" s="418">
        <v>1.8496931879762046E-3</v>
      </c>
      <c r="T35" s="418">
        <v>-3.8268391091166086E-4</v>
      </c>
      <c r="U35" s="418">
        <v>-1.7138015772870562E-2</v>
      </c>
      <c r="V35" s="418">
        <v>-1.2462500000000305E-5</v>
      </c>
      <c r="W35" s="424">
        <v>2.1012685894547029E-4</v>
      </c>
      <c r="X35" s="418">
        <v>-3.4577382293497196</v>
      </c>
      <c r="Y35" s="418">
        <v>0.15512148697155423</v>
      </c>
      <c r="Z35" s="418">
        <v>-1.1438288872267963E-3</v>
      </c>
      <c r="AA35" s="418">
        <v>-2.1250800360522688E-2</v>
      </c>
      <c r="AB35" s="418">
        <v>2.9838571428571383E-4</v>
      </c>
      <c r="AC35" s="424">
        <v>-2.3171383506083841E-4</v>
      </c>
      <c r="AD35" s="418">
        <v>29.784171863792952</v>
      </c>
      <c r="AE35" s="418">
        <v>-0.96569196614835773</v>
      </c>
      <c r="AF35" s="418">
        <v>7.8708211483886365E-3</v>
      </c>
      <c r="AG35" s="418">
        <v>0.23114841671331107</v>
      </c>
      <c r="AH35" s="418">
        <v>1.9407979231782078E-4</v>
      </c>
      <c r="AI35" s="424">
        <v>-3.6332436732761137E-3</v>
      </c>
      <c r="AJ35" s="418">
        <v>2.8400000000000001E-3</v>
      </c>
      <c r="AK35" s="418">
        <v>1.06067</v>
      </c>
      <c r="AL35" s="418">
        <v>-6.8739999999999996E-2</v>
      </c>
      <c r="AM35" s="424">
        <v>5.2300000000000003E-3</v>
      </c>
      <c r="AN35" s="418">
        <v>-1.4599999999999999E-3</v>
      </c>
      <c r="AO35" s="418">
        <v>1.1032</v>
      </c>
      <c r="AP35" s="418">
        <v>-0.1193</v>
      </c>
      <c r="AQ35" s="424">
        <v>1.755E-2</v>
      </c>
      <c r="AR35" s="418">
        <v>-1.6000000000000001E-4</v>
      </c>
      <c r="AS35" s="418">
        <v>1.1224000000000001</v>
      </c>
      <c r="AT35" s="418">
        <v>-0.14282</v>
      </c>
      <c r="AU35" s="424">
        <v>2.0580000000000001E-2</v>
      </c>
      <c r="AV35" s="418">
        <v>0.88888999999999996</v>
      </c>
      <c r="AW35" s="418">
        <v>6.9519999999999998E-2</v>
      </c>
      <c r="AX35" s="424">
        <v>-6.4599999999999996E-3</v>
      </c>
      <c r="AY35" s="418">
        <v>0.87243000000000004</v>
      </c>
      <c r="AZ35" s="418">
        <v>9.4130000000000005E-2</v>
      </c>
      <c r="BA35" s="424">
        <v>-7.5199999999999998E-3</v>
      </c>
      <c r="BB35" s="418">
        <v>0.85624999999999996</v>
      </c>
      <c r="BC35" s="418">
        <v>0.12114999999999999</v>
      </c>
      <c r="BD35" s="418">
        <v>-1.2409999999999999E-2</v>
      </c>
      <c r="BE35" s="424">
        <v>2</v>
      </c>
      <c r="BF35" s="418">
        <v>0.77300000000000002</v>
      </c>
      <c r="BG35" s="424">
        <v>0.68200000000000005</v>
      </c>
      <c r="BH35" s="418">
        <v>8.6999999999999993</v>
      </c>
      <c r="BI35" s="418">
        <v>3.44</v>
      </c>
      <c r="BJ35" s="418">
        <v>31641</v>
      </c>
      <c r="BK35" s="438">
        <v>0.2906208426638065</v>
      </c>
      <c r="BL35" s="418">
        <v>0.42850557322424038</v>
      </c>
      <c r="BM35" s="418">
        <v>-9.781310650890029E-4</v>
      </c>
      <c r="BN35" s="418">
        <v>5.0141842632088548E-15</v>
      </c>
      <c r="BO35" s="418">
        <v>1.5309057068694105E-2</v>
      </c>
      <c r="BP35" s="418">
        <v>3.901777735449216E-5</v>
      </c>
      <c r="BQ35" s="424">
        <v>-5.038065382895917E-5</v>
      </c>
      <c r="BR35" s="418">
        <v>1.3659605661464331</v>
      </c>
      <c r="BS35" s="418">
        <v>3.4687682277816574E-3</v>
      </c>
      <c r="BT35" s="418">
        <v>6.2208699697665948E-5</v>
      </c>
      <c r="BU35" s="418">
        <v>-2.3459778569559359E-2</v>
      </c>
      <c r="BV35" s="418">
        <v>2.250215469264863E-4</v>
      </c>
      <c r="BW35" s="424">
        <v>-9.3635250760191671E-5</v>
      </c>
      <c r="BX35" s="418">
        <v>1.7450000000000001</v>
      </c>
      <c r="BY35" s="418">
        <v>-0.745</v>
      </c>
      <c r="BZ35" s="418">
        <v>1</v>
      </c>
      <c r="CA35" s="418">
        <v>1.1889999999999998</v>
      </c>
      <c r="CC35" s="256"/>
    </row>
    <row r="36" spans="1:81" x14ac:dyDescent="0.25">
      <c r="A36" s="146">
        <v>21509</v>
      </c>
      <c r="B36" s="418">
        <v>15</v>
      </c>
      <c r="C36" s="420">
        <v>11.90625</v>
      </c>
      <c r="D36" s="421">
        <v>58310</v>
      </c>
      <c r="E36" s="419">
        <v>0.71699999999999997</v>
      </c>
      <c r="F36" s="419">
        <v>0.25585000000000002</v>
      </c>
      <c r="G36" s="419">
        <v>2.7949999999999999E-2</v>
      </c>
      <c r="H36" s="419">
        <v>0.251</v>
      </c>
      <c r="I36" s="419">
        <v>6.9400000000000003E-2</v>
      </c>
      <c r="J36" s="419">
        <v>0.01</v>
      </c>
      <c r="K36" s="424">
        <v>100</v>
      </c>
      <c r="L36" s="418">
        <v>3.4905836789670701</v>
      </c>
      <c r="M36" s="418">
        <v>-9.1344846307905833E-2</v>
      </c>
      <c r="N36" s="418">
        <v>9.5659465636167319E-4</v>
      </c>
      <c r="O36" s="418">
        <v>6.2175423614240265E-3</v>
      </c>
      <c r="P36" s="418">
        <v>-7.874999999999895E-6</v>
      </c>
      <c r="Q36" s="424">
        <v>-1.8605295178008086E-4</v>
      </c>
      <c r="R36" s="418">
        <v>2.9970667362228278</v>
      </c>
      <c r="S36" s="418">
        <v>1.8496931879762046E-3</v>
      </c>
      <c r="T36" s="418">
        <v>-3.8268391091166086E-4</v>
      </c>
      <c r="U36" s="418">
        <v>-1.7138015772870562E-2</v>
      </c>
      <c r="V36" s="418">
        <v>-1.2462500000000305E-5</v>
      </c>
      <c r="W36" s="424">
        <v>2.1012685894547029E-4</v>
      </c>
      <c r="X36" s="418">
        <v>-3.4577382293497196</v>
      </c>
      <c r="Y36" s="418">
        <v>0.15512148697155423</v>
      </c>
      <c r="Z36" s="418">
        <v>-1.1438288872267963E-3</v>
      </c>
      <c r="AA36" s="418">
        <v>-2.1250800360522688E-2</v>
      </c>
      <c r="AB36" s="418">
        <v>2.9838571428571383E-4</v>
      </c>
      <c r="AC36" s="424">
        <v>-2.3171383506083841E-4</v>
      </c>
      <c r="AD36" s="418">
        <v>29.784171863792952</v>
      </c>
      <c r="AE36" s="418">
        <v>-0.96569196614835773</v>
      </c>
      <c r="AF36" s="418">
        <v>7.8708211483886365E-3</v>
      </c>
      <c r="AG36" s="418">
        <v>0.23114841671331107</v>
      </c>
      <c r="AH36" s="418">
        <v>1.9407979231782078E-4</v>
      </c>
      <c r="AI36" s="424">
        <v>-3.6332436732761137E-3</v>
      </c>
      <c r="AJ36" s="418">
        <v>2.8400000000000001E-3</v>
      </c>
      <c r="AK36" s="418">
        <v>1.06067</v>
      </c>
      <c r="AL36" s="418">
        <v>-6.8739999999999996E-2</v>
      </c>
      <c r="AM36" s="424">
        <v>5.2300000000000003E-3</v>
      </c>
      <c r="AN36" s="418">
        <v>-1.4599999999999999E-3</v>
      </c>
      <c r="AO36" s="418">
        <v>1.1032</v>
      </c>
      <c r="AP36" s="418">
        <v>-0.1193</v>
      </c>
      <c r="AQ36" s="424">
        <v>1.755E-2</v>
      </c>
      <c r="AR36" s="418">
        <v>-1.6000000000000001E-4</v>
      </c>
      <c r="AS36" s="418">
        <v>1.1224000000000001</v>
      </c>
      <c r="AT36" s="418">
        <v>-0.14282</v>
      </c>
      <c r="AU36" s="424">
        <v>2.0580000000000001E-2</v>
      </c>
      <c r="AV36" s="418">
        <v>0.88888999999999996</v>
      </c>
      <c r="AW36" s="418">
        <v>6.9519999999999998E-2</v>
      </c>
      <c r="AX36" s="424">
        <v>-6.4599999999999996E-3</v>
      </c>
      <c r="AY36" s="418">
        <v>0.87243000000000004</v>
      </c>
      <c r="AZ36" s="418">
        <v>9.4130000000000005E-2</v>
      </c>
      <c r="BA36" s="424">
        <v>-7.5199999999999998E-3</v>
      </c>
      <c r="BB36" s="418">
        <v>0.85624999999999996</v>
      </c>
      <c r="BC36" s="418">
        <v>0.12114999999999999</v>
      </c>
      <c r="BD36" s="418">
        <v>-1.2409999999999999E-2</v>
      </c>
      <c r="BE36" s="424">
        <v>2</v>
      </c>
      <c r="BF36" s="418">
        <v>0.77300000000000002</v>
      </c>
      <c r="BG36" s="424">
        <v>0.68200000000000005</v>
      </c>
      <c r="BH36" s="418">
        <v>8.1999999999999993</v>
      </c>
      <c r="BI36" s="418">
        <v>3.24</v>
      </c>
      <c r="BJ36" s="418">
        <v>31641</v>
      </c>
      <c r="BK36" s="438">
        <v>0.30876939709452639</v>
      </c>
      <c r="BL36" s="418">
        <v>0.42850557322424038</v>
      </c>
      <c r="BM36" s="418">
        <v>-9.781310650890029E-4</v>
      </c>
      <c r="BN36" s="418">
        <v>5.0141842632088548E-15</v>
      </c>
      <c r="BO36" s="418">
        <v>1.5309057068694105E-2</v>
      </c>
      <c r="BP36" s="418">
        <v>3.901777735449216E-5</v>
      </c>
      <c r="BQ36" s="424">
        <v>-5.038065382895917E-5</v>
      </c>
      <c r="BR36" s="418">
        <v>1.3659605661464331</v>
      </c>
      <c r="BS36" s="418">
        <v>3.4687682277816574E-3</v>
      </c>
      <c r="BT36" s="418">
        <v>6.2208699697665948E-5</v>
      </c>
      <c r="BU36" s="418">
        <v>-2.3459778569559359E-2</v>
      </c>
      <c r="BV36" s="418">
        <v>2.250215469264863E-4</v>
      </c>
      <c r="BW36" s="424">
        <v>-9.3635250760191671E-5</v>
      </c>
      <c r="BX36" s="418">
        <v>1.7450000000000001</v>
      </c>
      <c r="BY36" s="418">
        <v>-0.745</v>
      </c>
      <c r="BZ36" s="418">
        <v>1</v>
      </c>
      <c r="CA36" s="418">
        <v>1.1889999999999998</v>
      </c>
      <c r="CC36" s="256"/>
    </row>
    <row r="37" spans="1:81" x14ac:dyDescent="0.25">
      <c r="A37" s="146">
        <v>21604</v>
      </c>
      <c r="B37" s="418">
        <v>16</v>
      </c>
      <c r="C37" s="420">
        <v>12.48</v>
      </c>
      <c r="D37" s="421">
        <v>58805</v>
      </c>
      <c r="E37" s="419">
        <v>0.72399999999999998</v>
      </c>
      <c r="F37" s="419">
        <v>0.23813999999999999</v>
      </c>
      <c r="G37" s="419">
        <v>0.03</v>
      </c>
      <c r="H37" s="419">
        <v>0.27100000000000002</v>
      </c>
      <c r="I37" s="419">
        <v>0.10199999999999999</v>
      </c>
      <c r="J37" s="419">
        <v>0.01</v>
      </c>
      <c r="K37" s="424">
        <v>100</v>
      </c>
      <c r="L37" s="418">
        <v>3.4461565310120856</v>
      </c>
      <c r="M37" s="418">
        <v>-9.1330269718902374E-2</v>
      </c>
      <c r="N37" s="418">
        <v>9.2399829570244212E-4</v>
      </c>
      <c r="O37" s="418">
        <v>7.0175794276700178E-3</v>
      </c>
      <c r="P37" s="418">
        <v>-2.0119196428571198E-5</v>
      </c>
      <c r="Q37" s="424">
        <v>-1.5081714173050841E-4</v>
      </c>
      <c r="R37" s="418">
        <v>0.2599408937536426</v>
      </c>
      <c r="S37" s="418">
        <v>7.4842822316778038E-2</v>
      </c>
      <c r="T37" s="418">
        <v>-9.1894734402268299E-4</v>
      </c>
      <c r="U37" s="418">
        <v>-9.6755856100718771E-3</v>
      </c>
      <c r="V37" s="418">
        <v>-3.0969419642857838E-5</v>
      </c>
      <c r="W37" s="424">
        <v>1.6487420009012933E-4</v>
      </c>
      <c r="X37" s="418">
        <v>-3.022348096120381</v>
      </c>
      <c r="Y37" s="418">
        <v>0.13455103785367409</v>
      </c>
      <c r="Z37" s="418">
        <v>-1.0034324143760995E-3</v>
      </c>
      <c r="AA37" s="418">
        <v>-1.5978434373591734E-2</v>
      </c>
      <c r="AB37" s="418">
        <v>2.3792098214285714E-4</v>
      </c>
      <c r="AC37" s="424">
        <v>-1.7556149729607915E-4</v>
      </c>
      <c r="AD37" s="418">
        <v>66.897375698272214</v>
      </c>
      <c r="AE37" s="418">
        <v>-2.013163412131187</v>
      </c>
      <c r="AF37" s="418">
        <v>1.5880129625811059E-2</v>
      </c>
      <c r="AG37" s="418">
        <v>0.1009210752253446</v>
      </c>
      <c r="AH37" s="418">
        <v>3.5450963471849031E-4</v>
      </c>
      <c r="AI37" s="424">
        <v>-2.3705075531014375E-3</v>
      </c>
      <c r="AJ37" s="418">
        <v>-7.2624999999881812E-3</v>
      </c>
      <c r="AK37" s="418">
        <v>1.1133649999999544</v>
      </c>
      <c r="AL37" s="418">
        <v>-0.13234499999994129</v>
      </c>
      <c r="AM37" s="424">
        <v>2.6242499999975043E-2</v>
      </c>
      <c r="AN37" s="418">
        <v>-1.4400000000063251E-3</v>
      </c>
      <c r="AO37" s="418">
        <v>1.1191325000000234</v>
      </c>
      <c r="AP37" s="418">
        <v>-0.13966000000002712</v>
      </c>
      <c r="AQ37" s="424">
        <v>2.1967500000009996E-2</v>
      </c>
      <c r="AR37" s="418">
        <v>6.3475000000017268E-3</v>
      </c>
      <c r="AS37" s="418">
        <v>1.116227499999995</v>
      </c>
      <c r="AT37" s="418">
        <v>-0.13861999999999522</v>
      </c>
      <c r="AU37" s="424">
        <v>1.6044999999998467E-2</v>
      </c>
      <c r="AV37" s="418">
        <v>0.95949749999999889</v>
      </c>
      <c r="AW37" s="418">
        <v>9.3422500000002351E-2</v>
      </c>
      <c r="AX37" s="424">
        <v>-6.8750000000014182E-3</v>
      </c>
      <c r="AY37" s="418">
        <v>0.94031999999999849</v>
      </c>
      <c r="AZ37" s="418">
        <v>0.12406500000000346</v>
      </c>
      <c r="BA37" s="424">
        <v>-1.0927500000001986E-2</v>
      </c>
      <c r="BB37" s="418">
        <v>0.92296499999999926</v>
      </c>
      <c r="BC37" s="418">
        <v>0.15259000000000186</v>
      </c>
      <c r="BD37" s="418">
        <v>-1.5617500000001306E-2</v>
      </c>
      <c r="BE37" s="424">
        <v>2</v>
      </c>
      <c r="BF37" s="418">
        <v>0.73899999999999999</v>
      </c>
      <c r="BG37" s="424">
        <v>0.68600000000000005</v>
      </c>
      <c r="BH37" s="418">
        <v>9</v>
      </c>
      <c r="BI37" s="418">
        <v>3.57</v>
      </c>
      <c r="BJ37" s="418">
        <v>31641</v>
      </c>
      <c r="BK37" s="438">
        <v>0.27990352176214484</v>
      </c>
      <c r="BL37" s="418">
        <v>0.42850557322424038</v>
      </c>
      <c r="BM37" s="418">
        <v>-9.781310650890029E-4</v>
      </c>
      <c r="BN37" s="418">
        <v>5.0141842632088548E-15</v>
      </c>
      <c r="BO37" s="418">
        <v>1.5309057068694105E-2</v>
      </c>
      <c r="BP37" s="418">
        <v>3.901777735449216E-5</v>
      </c>
      <c r="BQ37" s="424">
        <v>-5.038065382895917E-5</v>
      </c>
      <c r="BR37" s="418">
        <v>1.3659605661464331</v>
      </c>
      <c r="BS37" s="418">
        <v>3.4687682277816574E-3</v>
      </c>
      <c r="BT37" s="418">
        <v>6.2208699697665948E-5</v>
      </c>
      <c r="BU37" s="418">
        <v>-2.3459778569559359E-2</v>
      </c>
      <c r="BV37" s="418">
        <v>2.250215469264863E-4</v>
      </c>
      <c r="BW37" s="424">
        <v>-9.3635250760191671E-5</v>
      </c>
      <c r="BX37" s="418">
        <v>1.7450000000000001</v>
      </c>
      <c r="BY37" s="418">
        <v>-0.745</v>
      </c>
      <c r="BZ37" s="418">
        <v>1</v>
      </c>
      <c r="CA37" s="418">
        <v>1.1889999999999998</v>
      </c>
      <c r="CC37" s="256"/>
    </row>
    <row r="38" spans="1:81" x14ac:dyDescent="0.25">
      <c r="A38" s="146">
        <v>21609</v>
      </c>
      <c r="B38" s="418">
        <v>16</v>
      </c>
      <c r="C38" s="420">
        <v>12.48</v>
      </c>
      <c r="D38" s="421">
        <v>58805</v>
      </c>
      <c r="E38" s="419">
        <v>0.72399999999999998</v>
      </c>
      <c r="F38" s="419">
        <v>0.23813999999999999</v>
      </c>
      <c r="G38" s="419">
        <v>0.03</v>
      </c>
      <c r="H38" s="419">
        <v>0.27100000000000002</v>
      </c>
      <c r="I38" s="419">
        <v>0.10199999999999999</v>
      </c>
      <c r="J38" s="419">
        <v>0.01</v>
      </c>
      <c r="K38" s="424">
        <v>100</v>
      </c>
      <c r="L38" s="418">
        <v>3.4461565310120856</v>
      </c>
      <c r="M38" s="418">
        <v>-9.1330269718902374E-2</v>
      </c>
      <c r="N38" s="418">
        <v>9.2399829570244212E-4</v>
      </c>
      <c r="O38" s="418">
        <v>7.0175794276700178E-3</v>
      </c>
      <c r="P38" s="418">
        <v>-2.0119196428571198E-5</v>
      </c>
      <c r="Q38" s="424">
        <v>-1.5081714173050841E-4</v>
      </c>
      <c r="R38" s="418">
        <v>0.2599408937536426</v>
      </c>
      <c r="S38" s="418">
        <v>7.4842822316778038E-2</v>
      </c>
      <c r="T38" s="418">
        <v>-9.1894734402268299E-4</v>
      </c>
      <c r="U38" s="418">
        <v>-9.6755856100718771E-3</v>
      </c>
      <c r="V38" s="418">
        <v>-3.0969419642857838E-5</v>
      </c>
      <c r="W38" s="424">
        <v>1.6487420009012933E-4</v>
      </c>
      <c r="X38" s="418">
        <v>-3.022348096120381</v>
      </c>
      <c r="Y38" s="418">
        <v>0.13455103785367409</v>
      </c>
      <c r="Z38" s="418">
        <v>-1.0034324143760995E-3</v>
      </c>
      <c r="AA38" s="418">
        <v>-1.5978434373591734E-2</v>
      </c>
      <c r="AB38" s="418">
        <v>2.3792098214285714E-4</v>
      </c>
      <c r="AC38" s="424">
        <v>-1.7556149729607915E-4</v>
      </c>
      <c r="AD38" s="418">
        <v>66.897375698272214</v>
      </c>
      <c r="AE38" s="418">
        <v>-2.013163412131187</v>
      </c>
      <c r="AF38" s="418">
        <v>1.5880129625811059E-2</v>
      </c>
      <c r="AG38" s="418">
        <v>0.1009210752253446</v>
      </c>
      <c r="AH38" s="418">
        <v>3.5450963471849031E-4</v>
      </c>
      <c r="AI38" s="424">
        <v>-2.3705075531014375E-3</v>
      </c>
      <c r="AJ38" s="418">
        <v>-7.2624999999881812E-3</v>
      </c>
      <c r="AK38" s="418">
        <v>1.1133649999999544</v>
      </c>
      <c r="AL38" s="418">
        <v>-0.13234499999994129</v>
      </c>
      <c r="AM38" s="424">
        <v>2.6242499999975043E-2</v>
      </c>
      <c r="AN38" s="418">
        <v>-1.4400000000063251E-3</v>
      </c>
      <c r="AO38" s="418">
        <v>1.1191325000000234</v>
      </c>
      <c r="AP38" s="418">
        <v>-0.13966000000002712</v>
      </c>
      <c r="AQ38" s="424">
        <v>2.1967500000009996E-2</v>
      </c>
      <c r="AR38" s="418">
        <v>6.3475000000017268E-3</v>
      </c>
      <c r="AS38" s="418">
        <v>1.116227499999995</v>
      </c>
      <c r="AT38" s="418">
        <v>-0.13861999999999522</v>
      </c>
      <c r="AU38" s="424">
        <v>1.6044999999998467E-2</v>
      </c>
      <c r="AV38" s="418">
        <v>0.95949749999999889</v>
      </c>
      <c r="AW38" s="418">
        <v>9.3422500000002351E-2</v>
      </c>
      <c r="AX38" s="424">
        <v>-6.8750000000014182E-3</v>
      </c>
      <c r="AY38" s="418">
        <v>0.94031999999999849</v>
      </c>
      <c r="AZ38" s="418">
        <v>0.12406500000000346</v>
      </c>
      <c r="BA38" s="424">
        <v>-1.0927500000001986E-2</v>
      </c>
      <c r="BB38" s="418">
        <v>0.92296499999999926</v>
      </c>
      <c r="BC38" s="418">
        <v>0.15259000000000186</v>
      </c>
      <c r="BD38" s="418">
        <v>-1.5617500000001306E-2</v>
      </c>
      <c r="BE38" s="424">
        <v>2</v>
      </c>
      <c r="BF38" s="418">
        <v>0.73899999999999999</v>
      </c>
      <c r="BG38" s="424">
        <v>0.68600000000000005</v>
      </c>
      <c r="BH38" s="418">
        <v>8.5</v>
      </c>
      <c r="BI38" s="418">
        <v>3.37</v>
      </c>
      <c r="BJ38" s="418">
        <v>31641</v>
      </c>
      <c r="BK38" s="438">
        <v>0.2968466701010945</v>
      </c>
      <c r="BL38" s="418">
        <v>0.42850557322424038</v>
      </c>
      <c r="BM38" s="418">
        <v>-9.781310650890029E-4</v>
      </c>
      <c r="BN38" s="418">
        <v>5.0141842632088548E-15</v>
      </c>
      <c r="BO38" s="418">
        <v>1.5309057068694105E-2</v>
      </c>
      <c r="BP38" s="418">
        <v>3.901777735449216E-5</v>
      </c>
      <c r="BQ38" s="424">
        <v>-5.038065382895917E-5</v>
      </c>
      <c r="BR38" s="418">
        <v>1.3659605661464331</v>
      </c>
      <c r="BS38" s="418">
        <v>3.4687682277816574E-3</v>
      </c>
      <c r="BT38" s="418">
        <v>6.2208699697665948E-5</v>
      </c>
      <c r="BU38" s="418">
        <v>-2.3459778569559359E-2</v>
      </c>
      <c r="BV38" s="418">
        <v>2.250215469264863E-4</v>
      </c>
      <c r="BW38" s="424">
        <v>-9.3635250760191671E-5</v>
      </c>
      <c r="BX38" s="418">
        <v>1.7450000000000001</v>
      </c>
      <c r="BY38" s="418">
        <v>-0.745</v>
      </c>
      <c r="BZ38" s="418">
        <v>1</v>
      </c>
      <c r="CA38" s="418">
        <v>1.1889999999999998</v>
      </c>
      <c r="CC38" s="256"/>
    </row>
    <row r="39" spans="1:81" x14ac:dyDescent="0.25">
      <c r="A39" s="146">
        <v>21704</v>
      </c>
      <c r="B39" s="418">
        <v>17</v>
      </c>
      <c r="C39" s="420">
        <v>13.260000000000002</v>
      </c>
      <c r="D39" s="421">
        <v>58805</v>
      </c>
      <c r="E39" s="419">
        <v>0.72399999999999998</v>
      </c>
      <c r="F39" s="419">
        <v>0.2225</v>
      </c>
      <c r="G39" s="419">
        <v>0.03</v>
      </c>
      <c r="H39" s="419">
        <v>0.27100000000000002</v>
      </c>
      <c r="I39" s="419">
        <v>0.10199999999999999</v>
      </c>
      <c r="J39" s="419">
        <v>0.01</v>
      </c>
      <c r="K39" s="424">
        <v>100</v>
      </c>
      <c r="L39" s="418">
        <v>3.4461565310120856</v>
      </c>
      <c r="M39" s="418">
        <v>-9.1330269718902374E-2</v>
      </c>
      <c r="N39" s="418">
        <v>9.2399829570244212E-4</v>
      </c>
      <c r="O39" s="418">
        <v>7.0175794276700178E-3</v>
      </c>
      <c r="P39" s="418">
        <v>-2.0119196428571198E-5</v>
      </c>
      <c r="Q39" s="424">
        <v>-1.5081714173050841E-4</v>
      </c>
      <c r="R39" s="418">
        <v>0.2599408937536426</v>
      </c>
      <c r="S39" s="418">
        <v>7.4842822316778038E-2</v>
      </c>
      <c r="T39" s="418">
        <v>-9.1894734402268299E-4</v>
      </c>
      <c r="U39" s="418">
        <v>-9.6755856100718771E-3</v>
      </c>
      <c r="V39" s="418">
        <v>-3.0969419642857838E-5</v>
      </c>
      <c r="W39" s="424">
        <v>1.6487420009012933E-4</v>
      </c>
      <c r="X39" s="418">
        <v>-3.022348096120381</v>
      </c>
      <c r="Y39" s="418">
        <v>0.13455103785367409</v>
      </c>
      <c r="Z39" s="418">
        <v>-1.0034324143760995E-3</v>
      </c>
      <c r="AA39" s="418">
        <v>-1.5978434373591734E-2</v>
      </c>
      <c r="AB39" s="418">
        <v>2.3792098214285714E-4</v>
      </c>
      <c r="AC39" s="424">
        <v>-1.7556149729607915E-4</v>
      </c>
      <c r="AD39" s="418">
        <v>66.897375698272214</v>
      </c>
      <c r="AE39" s="418">
        <v>-2.013163412131187</v>
      </c>
      <c r="AF39" s="418">
        <v>1.5880129625811059E-2</v>
      </c>
      <c r="AG39" s="418">
        <v>0.1009210752253446</v>
      </c>
      <c r="AH39" s="418">
        <v>3.5450963471849031E-4</v>
      </c>
      <c r="AI39" s="424">
        <v>-2.3705075531014375E-3</v>
      </c>
      <c r="AJ39" s="418">
        <v>-7.2624999999881812E-3</v>
      </c>
      <c r="AK39" s="418">
        <v>1.1133649999999544</v>
      </c>
      <c r="AL39" s="418">
        <v>-0.13234499999994129</v>
      </c>
      <c r="AM39" s="424">
        <v>2.6242499999975043E-2</v>
      </c>
      <c r="AN39" s="418">
        <v>-1.4400000000063251E-3</v>
      </c>
      <c r="AO39" s="418">
        <v>1.1191325000000234</v>
      </c>
      <c r="AP39" s="418">
        <v>-0.13966000000002712</v>
      </c>
      <c r="AQ39" s="424">
        <v>2.1967500000009996E-2</v>
      </c>
      <c r="AR39" s="418">
        <v>6.3475000000017268E-3</v>
      </c>
      <c r="AS39" s="418">
        <v>1.116227499999995</v>
      </c>
      <c r="AT39" s="418">
        <v>-0.13861999999999522</v>
      </c>
      <c r="AU39" s="424">
        <v>1.6044999999998467E-2</v>
      </c>
      <c r="AV39" s="418">
        <v>0.95949749999999889</v>
      </c>
      <c r="AW39" s="418">
        <v>9.3422500000002351E-2</v>
      </c>
      <c r="AX39" s="424">
        <v>-6.8750000000014182E-3</v>
      </c>
      <c r="AY39" s="418">
        <v>0.94031999999999849</v>
      </c>
      <c r="AZ39" s="418">
        <v>0.12406500000000346</v>
      </c>
      <c r="BA39" s="424">
        <v>-1.0927500000001986E-2</v>
      </c>
      <c r="BB39" s="418">
        <v>0.92296499999999926</v>
      </c>
      <c r="BC39" s="418">
        <v>0.15259000000000186</v>
      </c>
      <c r="BD39" s="418">
        <v>-1.5617500000001306E-2</v>
      </c>
      <c r="BE39" s="424">
        <v>2</v>
      </c>
      <c r="BF39" s="418">
        <v>0.73899999999999999</v>
      </c>
      <c r="BG39" s="424">
        <v>0.68600000000000005</v>
      </c>
      <c r="BH39" s="418">
        <v>9.4</v>
      </c>
      <c r="BI39" s="418">
        <v>3.74</v>
      </c>
      <c r="BJ39" s="418">
        <v>31641</v>
      </c>
      <c r="BK39" s="438">
        <v>0.26764677615524501</v>
      </c>
      <c r="BL39" s="418">
        <v>0.42850557322424038</v>
      </c>
      <c r="BM39" s="418">
        <v>-9.781310650890029E-4</v>
      </c>
      <c r="BN39" s="418">
        <v>5.0141842632088548E-15</v>
      </c>
      <c r="BO39" s="418">
        <v>1.5309057068694105E-2</v>
      </c>
      <c r="BP39" s="418">
        <v>3.901777735449216E-5</v>
      </c>
      <c r="BQ39" s="424">
        <v>-5.038065382895917E-5</v>
      </c>
      <c r="BR39" s="418">
        <v>1.3659605661464331</v>
      </c>
      <c r="BS39" s="418">
        <v>3.4687682277816574E-3</v>
      </c>
      <c r="BT39" s="418">
        <v>6.2208699697665948E-5</v>
      </c>
      <c r="BU39" s="418">
        <v>-2.3459778569559359E-2</v>
      </c>
      <c r="BV39" s="418">
        <v>2.250215469264863E-4</v>
      </c>
      <c r="BW39" s="424">
        <v>-9.3635250760191671E-5</v>
      </c>
      <c r="BX39" s="418">
        <v>1.7450000000000001</v>
      </c>
      <c r="BY39" s="418">
        <v>-0.745</v>
      </c>
      <c r="BZ39" s="418">
        <v>1</v>
      </c>
      <c r="CA39" s="418">
        <v>1.1889999999999998</v>
      </c>
      <c r="CC39" s="256"/>
    </row>
    <row r="40" spans="1:81" x14ac:dyDescent="0.25">
      <c r="A40" s="146">
        <v>21709</v>
      </c>
      <c r="B40" s="418">
        <v>17</v>
      </c>
      <c r="C40" s="420">
        <v>13.260000000000002</v>
      </c>
      <c r="D40" s="421">
        <v>58805</v>
      </c>
      <c r="E40" s="419">
        <v>0.72399999999999998</v>
      </c>
      <c r="F40" s="419">
        <v>0.2225</v>
      </c>
      <c r="G40" s="419">
        <v>0.03</v>
      </c>
      <c r="H40" s="419">
        <v>0.27100000000000002</v>
      </c>
      <c r="I40" s="419">
        <v>0.10199999999999999</v>
      </c>
      <c r="J40" s="419">
        <v>0.01</v>
      </c>
      <c r="K40" s="424">
        <v>100</v>
      </c>
      <c r="L40" s="418">
        <v>3.4461565310120856</v>
      </c>
      <c r="M40" s="418">
        <v>-9.1330269718902374E-2</v>
      </c>
      <c r="N40" s="418">
        <v>9.2399829570244212E-4</v>
      </c>
      <c r="O40" s="418">
        <v>7.0175794276700178E-3</v>
      </c>
      <c r="P40" s="418">
        <v>-2.0119196428571198E-5</v>
      </c>
      <c r="Q40" s="424">
        <v>-1.5081714173050841E-4</v>
      </c>
      <c r="R40" s="418">
        <v>0.2599408937536426</v>
      </c>
      <c r="S40" s="418">
        <v>7.4842822316778038E-2</v>
      </c>
      <c r="T40" s="418">
        <v>-9.1894734402268299E-4</v>
      </c>
      <c r="U40" s="418">
        <v>-9.6755856100718771E-3</v>
      </c>
      <c r="V40" s="418">
        <v>-3.0969419642857838E-5</v>
      </c>
      <c r="W40" s="424">
        <v>1.6487420009012933E-4</v>
      </c>
      <c r="X40" s="418">
        <v>-3.022348096120381</v>
      </c>
      <c r="Y40" s="418">
        <v>0.13455103785367409</v>
      </c>
      <c r="Z40" s="418">
        <v>-1.0034324143760995E-3</v>
      </c>
      <c r="AA40" s="418">
        <v>-1.5978434373591734E-2</v>
      </c>
      <c r="AB40" s="418">
        <v>2.3792098214285714E-4</v>
      </c>
      <c r="AC40" s="424">
        <v>-1.7556149729607915E-4</v>
      </c>
      <c r="AD40" s="418">
        <v>66.897375698272214</v>
      </c>
      <c r="AE40" s="418">
        <v>-2.013163412131187</v>
      </c>
      <c r="AF40" s="418">
        <v>1.5880129625811059E-2</v>
      </c>
      <c r="AG40" s="418">
        <v>0.1009210752253446</v>
      </c>
      <c r="AH40" s="418">
        <v>3.5450963471849031E-4</v>
      </c>
      <c r="AI40" s="424">
        <v>-2.3705075531014375E-3</v>
      </c>
      <c r="AJ40" s="418">
        <v>-7.2624999999881812E-3</v>
      </c>
      <c r="AK40" s="418">
        <v>1.1133649999999544</v>
      </c>
      <c r="AL40" s="418">
        <v>-0.13234499999994129</v>
      </c>
      <c r="AM40" s="424">
        <v>2.6242499999975043E-2</v>
      </c>
      <c r="AN40" s="418">
        <v>-1.4400000000063251E-3</v>
      </c>
      <c r="AO40" s="418">
        <v>1.1191325000000234</v>
      </c>
      <c r="AP40" s="418">
        <v>-0.13966000000002712</v>
      </c>
      <c r="AQ40" s="424">
        <v>2.1967500000009996E-2</v>
      </c>
      <c r="AR40" s="418">
        <v>6.3475000000017268E-3</v>
      </c>
      <c r="AS40" s="418">
        <v>1.116227499999995</v>
      </c>
      <c r="AT40" s="418">
        <v>-0.13861999999999522</v>
      </c>
      <c r="AU40" s="424">
        <v>1.6044999999998467E-2</v>
      </c>
      <c r="AV40" s="418">
        <v>0.95949749999999889</v>
      </c>
      <c r="AW40" s="418">
        <v>9.3422500000002351E-2</v>
      </c>
      <c r="AX40" s="424">
        <v>-6.8750000000014182E-3</v>
      </c>
      <c r="AY40" s="418">
        <v>0.94031999999999849</v>
      </c>
      <c r="AZ40" s="418">
        <v>0.12406500000000346</v>
      </c>
      <c r="BA40" s="424">
        <v>-1.0927500000001986E-2</v>
      </c>
      <c r="BB40" s="418">
        <v>0.92296499999999926</v>
      </c>
      <c r="BC40" s="418">
        <v>0.15259000000000186</v>
      </c>
      <c r="BD40" s="418">
        <v>-1.5617500000001306E-2</v>
      </c>
      <c r="BE40" s="424">
        <v>2</v>
      </c>
      <c r="BF40" s="418">
        <v>0.73899999999999999</v>
      </c>
      <c r="BG40" s="424">
        <v>0.68600000000000005</v>
      </c>
      <c r="BH40" s="418">
        <v>9</v>
      </c>
      <c r="BI40" s="418">
        <v>3.57</v>
      </c>
      <c r="BJ40" s="418">
        <v>31641</v>
      </c>
      <c r="BK40" s="438">
        <v>0.27990352176214484</v>
      </c>
      <c r="BL40" s="418">
        <v>0.42850557322424038</v>
      </c>
      <c r="BM40" s="418">
        <v>-9.781310650890029E-4</v>
      </c>
      <c r="BN40" s="418">
        <v>5.0141842632088548E-15</v>
      </c>
      <c r="BO40" s="418">
        <v>1.5309057068694105E-2</v>
      </c>
      <c r="BP40" s="418">
        <v>3.901777735449216E-5</v>
      </c>
      <c r="BQ40" s="424">
        <v>-5.038065382895917E-5</v>
      </c>
      <c r="BR40" s="418">
        <v>1.3659605661464331</v>
      </c>
      <c r="BS40" s="418">
        <v>3.4687682277816574E-3</v>
      </c>
      <c r="BT40" s="418">
        <v>6.2208699697665948E-5</v>
      </c>
      <c r="BU40" s="418">
        <v>-2.3459778569559359E-2</v>
      </c>
      <c r="BV40" s="418">
        <v>2.250215469264863E-4</v>
      </c>
      <c r="BW40" s="424">
        <v>-9.3635250760191671E-5</v>
      </c>
      <c r="BX40" s="418">
        <v>1.7450000000000001</v>
      </c>
      <c r="BY40" s="418">
        <v>-0.745</v>
      </c>
      <c r="BZ40" s="418">
        <v>1</v>
      </c>
      <c r="CA40" s="418">
        <v>1.1889999999999998</v>
      </c>
      <c r="CC40" s="256"/>
    </row>
    <row r="41" spans="1:81" x14ac:dyDescent="0.25">
      <c r="A41">
        <v>21802</v>
      </c>
      <c r="B41" s="418">
        <v>18</v>
      </c>
      <c r="C41" s="420">
        <v>14.040000000000001</v>
      </c>
      <c r="D41" s="421">
        <v>58805</v>
      </c>
      <c r="E41" s="419">
        <v>0.72399999999999998</v>
      </c>
      <c r="F41" s="419">
        <v>0.20860000000000001</v>
      </c>
      <c r="G41" s="419">
        <v>0.03</v>
      </c>
      <c r="H41" s="419">
        <v>0.27100000000000002</v>
      </c>
      <c r="I41" s="419">
        <v>0.10199999999999999</v>
      </c>
      <c r="J41" s="419">
        <v>0.01</v>
      </c>
      <c r="K41" s="424">
        <v>100</v>
      </c>
      <c r="L41" s="418">
        <v>3.4461565310120856</v>
      </c>
      <c r="M41" s="418">
        <v>-9.1330269718902374E-2</v>
      </c>
      <c r="N41" s="418">
        <v>9.2399829570244212E-4</v>
      </c>
      <c r="O41" s="418">
        <v>7.0175794276700178E-3</v>
      </c>
      <c r="P41" s="418">
        <v>-2.0119196428571198E-5</v>
      </c>
      <c r="Q41" s="424">
        <v>-1.5081714173050841E-4</v>
      </c>
      <c r="R41" s="418">
        <v>0.2599408937536426</v>
      </c>
      <c r="S41" s="418">
        <v>7.4842822316778038E-2</v>
      </c>
      <c r="T41" s="418">
        <v>-9.1894734402268299E-4</v>
      </c>
      <c r="U41" s="418">
        <v>-9.6755856100718771E-3</v>
      </c>
      <c r="V41" s="418">
        <v>-3.0969419642857838E-5</v>
      </c>
      <c r="W41" s="424">
        <v>1.6487420009012933E-4</v>
      </c>
      <c r="X41" s="418">
        <v>-3.022348096120381</v>
      </c>
      <c r="Y41" s="418">
        <v>0.13455103785367409</v>
      </c>
      <c r="Z41" s="418">
        <v>-1.0034324143760995E-3</v>
      </c>
      <c r="AA41" s="418">
        <v>-1.5978434373591734E-2</v>
      </c>
      <c r="AB41" s="418">
        <v>2.3792098214285714E-4</v>
      </c>
      <c r="AC41" s="424">
        <v>-1.7556149729607915E-4</v>
      </c>
      <c r="AD41" s="418">
        <v>66.897375698272214</v>
      </c>
      <c r="AE41" s="418">
        <v>-2.013163412131187</v>
      </c>
      <c r="AF41" s="418">
        <v>1.5880129625811059E-2</v>
      </c>
      <c r="AG41" s="418">
        <v>0.1009210752253446</v>
      </c>
      <c r="AH41" s="418">
        <v>3.5450963471849031E-4</v>
      </c>
      <c r="AI41" s="424">
        <v>-2.3705075531014375E-3</v>
      </c>
      <c r="AJ41" s="418">
        <v>-7.2624999999881812E-3</v>
      </c>
      <c r="AK41" s="418">
        <v>1.1133649999999544</v>
      </c>
      <c r="AL41" s="418">
        <v>-0.13234499999994129</v>
      </c>
      <c r="AM41" s="424">
        <v>2.6242499999975043E-2</v>
      </c>
      <c r="AN41" s="418">
        <v>-1.4400000000063251E-3</v>
      </c>
      <c r="AO41" s="418">
        <v>1.1191325000000234</v>
      </c>
      <c r="AP41" s="418">
        <v>-0.13966000000002712</v>
      </c>
      <c r="AQ41" s="424">
        <v>2.1967500000009996E-2</v>
      </c>
      <c r="AR41" s="418">
        <v>6.3475000000017268E-3</v>
      </c>
      <c r="AS41" s="418">
        <v>1.116227499999995</v>
      </c>
      <c r="AT41" s="418">
        <v>-0.13861999999999522</v>
      </c>
      <c r="AU41" s="424">
        <v>1.6044999999998467E-2</v>
      </c>
      <c r="AV41" s="418">
        <v>0.95949749999999889</v>
      </c>
      <c r="AW41" s="418">
        <v>9.3422500000002351E-2</v>
      </c>
      <c r="AX41" s="424">
        <v>-6.8750000000014182E-3</v>
      </c>
      <c r="AY41" s="418">
        <v>0.94031999999999849</v>
      </c>
      <c r="AZ41" s="418">
        <v>0.12406500000000346</v>
      </c>
      <c r="BA41" s="424">
        <v>-1.0927500000001986E-2</v>
      </c>
      <c r="BB41" s="418">
        <v>0.92296499999999926</v>
      </c>
      <c r="BC41" s="418">
        <v>0.15259000000000186</v>
      </c>
      <c r="BD41" s="418">
        <v>-1.5617500000001306E-2</v>
      </c>
      <c r="BE41" s="424">
        <v>2</v>
      </c>
      <c r="BF41" s="418">
        <v>0.73899999999999999</v>
      </c>
      <c r="BG41" s="424">
        <v>0.68600000000000005</v>
      </c>
      <c r="BH41" s="418">
        <v>9.6999999999999993</v>
      </c>
      <c r="BI41" s="418">
        <v>3.86</v>
      </c>
      <c r="BJ41" s="418">
        <v>31641</v>
      </c>
      <c r="BK41" s="438">
        <v>0.25911759751126839</v>
      </c>
      <c r="BL41" s="418">
        <v>0.42850557322424038</v>
      </c>
      <c r="BM41" s="418">
        <v>-9.781310650890029E-4</v>
      </c>
      <c r="BN41" s="418">
        <v>5.0141842632088548E-15</v>
      </c>
      <c r="BO41" s="418">
        <v>1.5309057068694105E-2</v>
      </c>
      <c r="BP41" s="418">
        <v>3.901777735449216E-5</v>
      </c>
      <c r="BQ41" s="424">
        <v>-5.038065382895917E-5</v>
      </c>
      <c r="BR41" s="418">
        <v>1.3659605661464331</v>
      </c>
      <c r="BS41" s="418">
        <v>3.4687682277816574E-3</v>
      </c>
      <c r="BT41" s="418">
        <v>6.2208699697665948E-5</v>
      </c>
      <c r="BU41" s="418">
        <v>-2.3459778569559359E-2</v>
      </c>
      <c r="BV41" s="418">
        <v>2.250215469264863E-4</v>
      </c>
      <c r="BW41" s="424">
        <v>-9.3635250760191671E-5</v>
      </c>
      <c r="BX41" s="418">
        <v>1.7450000000000001</v>
      </c>
      <c r="BY41" s="418">
        <v>-0.745</v>
      </c>
      <c r="BZ41" s="418">
        <v>1</v>
      </c>
      <c r="CA41" s="418">
        <v>1.1889999999999998</v>
      </c>
      <c r="CC41" s="256"/>
    </row>
    <row r="42" spans="1:81" x14ac:dyDescent="0.25">
      <c r="A42" s="50">
        <v>21006</v>
      </c>
      <c r="B42" s="418">
        <v>10</v>
      </c>
      <c r="C42" s="420">
        <v>8.52112676056338</v>
      </c>
      <c r="D42" s="421">
        <v>34895</v>
      </c>
      <c r="E42" s="419">
        <v>0.74399999999999999</v>
      </c>
      <c r="F42" s="419">
        <v>0.34453</v>
      </c>
      <c r="G42" s="419">
        <v>3.2099999999999997E-2</v>
      </c>
      <c r="H42" s="419">
        <v>0.36499999999999999</v>
      </c>
      <c r="I42" s="419">
        <v>0.12</v>
      </c>
      <c r="J42" s="419">
        <v>1.09E-2</v>
      </c>
      <c r="K42" s="424">
        <v>100</v>
      </c>
      <c r="L42" s="418">
        <v>0.33897178911564851</v>
      </c>
      <c r="M42" s="418">
        <v>4.1807142857127792E-4</v>
      </c>
      <c r="N42" s="418">
        <v>2.1371428571428737E-4</v>
      </c>
      <c r="O42" s="418">
        <v>8.9003244897959653E-3</v>
      </c>
      <c r="P42" s="418">
        <v>-2.5962585034013662E-5</v>
      </c>
      <c r="Q42" s="424">
        <v>-1.4730000000000052E-4</v>
      </c>
      <c r="R42" s="418">
        <v>4.6779843523809648</v>
      </c>
      <c r="S42" s="418">
        <v>-7.37121142857146E-2</v>
      </c>
      <c r="T42" s="418">
        <v>2.8931428571428772E-4</v>
      </c>
      <c r="U42" s="418">
        <v>6.4477142857142572E-3</v>
      </c>
      <c r="V42" s="418">
        <v>-2.7952380952380968E-5</v>
      </c>
      <c r="W42" s="424">
        <v>-6.2571428571428123E-5</v>
      </c>
      <c r="X42" s="418">
        <v>0.92750261088437846</v>
      </c>
      <c r="Y42" s="418">
        <v>-4.6154285714325525E-4</v>
      </c>
      <c r="Z42" s="418">
        <v>3.9600000000001891E-5</v>
      </c>
      <c r="AA42" s="418">
        <v>-6.8688054421770662E-3</v>
      </c>
      <c r="AB42" s="418">
        <v>2.047959183673473E-4</v>
      </c>
      <c r="AC42" s="424">
        <v>-1.9954285714285575E-4</v>
      </c>
      <c r="AD42" s="418">
        <v>25.546232884620121</v>
      </c>
      <c r="AE42" s="418">
        <v>-0.65921738762013815</v>
      </c>
      <c r="AF42" s="418">
        <v>5.1163880791784697E-3</v>
      </c>
      <c r="AG42" s="418">
        <v>-2.7637602981531319E-2</v>
      </c>
      <c r="AH42" s="418">
        <v>3.3263218349186414E-4</v>
      </c>
      <c r="AI42" s="424">
        <v>-5.848495167748019E-4</v>
      </c>
      <c r="AJ42" s="418">
        <v>-6.9999999999999994E-5</v>
      </c>
      <c r="AK42" s="418">
        <v>1.16951</v>
      </c>
      <c r="AL42" s="418">
        <v>-0.21321000000000001</v>
      </c>
      <c r="AM42" s="424">
        <v>4.3770000000000003E-2</v>
      </c>
      <c r="AN42" s="418">
        <v>1.2E-4</v>
      </c>
      <c r="AO42" s="418">
        <v>1.2017800000000001</v>
      </c>
      <c r="AP42" s="418">
        <v>-0.26145000000000002</v>
      </c>
      <c r="AQ42" s="424">
        <v>5.9549999999999999E-2</v>
      </c>
      <c r="AR42" s="418">
        <v>6.9999999999999994E-5</v>
      </c>
      <c r="AS42" s="418">
        <v>1.23139</v>
      </c>
      <c r="AT42" s="418">
        <v>-0.30703000000000003</v>
      </c>
      <c r="AU42" s="424">
        <v>7.5569999999999998E-2</v>
      </c>
      <c r="AV42" s="418">
        <v>0.85187000000000002</v>
      </c>
      <c r="AW42" s="418">
        <v>0.17007</v>
      </c>
      <c r="AX42" s="424">
        <v>-2.1940000000000001E-2</v>
      </c>
      <c r="AY42" s="418">
        <v>0.82723000000000002</v>
      </c>
      <c r="AZ42" s="418">
        <v>0.20272999999999999</v>
      </c>
      <c r="BA42" s="424">
        <v>-2.9960000000000001E-2</v>
      </c>
      <c r="BB42" s="418">
        <v>0.80530000000000002</v>
      </c>
      <c r="BC42" s="418">
        <v>0.23269999999999999</v>
      </c>
      <c r="BD42" s="418">
        <v>-3.7999999999999999E-2</v>
      </c>
      <c r="BE42" s="424">
        <v>1</v>
      </c>
      <c r="BF42" s="418">
        <v>1</v>
      </c>
      <c r="BG42" s="424">
        <v>1</v>
      </c>
      <c r="BH42" s="418">
        <v>7.1</v>
      </c>
      <c r="BI42" s="418">
        <v>3.01</v>
      </c>
      <c r="BJ42" s="418">
        <v>33754</v>
      </c>
      <c r="BK42" s="438">
        <v>0.33216606307917917</v>
      </c>
      <c r="BL42" s="418">
        <v>0.53250474739796516</v>
      </c>
      <c r="BM42" s="418">
        <v>-4.9955613179735055E-4</v>
      </c>
      <c r="BN42" s="418">
        <v>-1.9120458918389342E-6</v>
      </c>
      <c r="BO42" s="418">
        <v>7.958621932365342E-3</v>
      </c>
      <c r="BP42" s="418">
        <v>1.2730956480253675E-4</v>
      </c>
      <c r="BQ42" s="424">
        <v>-4.3601475006721766E-5</v>
      </c>
      <c r="BR42" s="418">
        <v>0.86180844165824277</v>
      </c>
      <c r="BS42" s="418">
        <v>8.4486963586186403E-3</v>
      </c>
      <c r="BT42" s="418">
        <v>3.6449090019123838E-5</v>
      </c>
      <c r="BU42" s="418">
        <v>-1.0182845854330014E-2</v>
      </c>
      <c r="BV42" s="418">
        <v>6.8600269920831658E-5</v>
      </c>
      <c r="BW42" s="424">
        <v>-9.2632817312115735E-5</v>
      </c>
      <c r="BX42" s="418">
        <v>1</v>
      </c>
      <c r="BY42" s="418">
        <v>0</v>
      </c>
      <c r="BZ42" s="418">
        <v>0</v>
      </c>
      <c r="CA42" s="418">
        <v>1</v>
      </c>
    </row>
    <row r="43" spans="1:81" x14ac:dyDescent="0.25">
      <c r="A43" s="50">
        <v>21306</v>
      </c>
      <c r="B43" s="418">
        <v>13</v>
      </c>
      <c r="C43" s="420">
        <v>11.077464788732394</v>
      </c>
      <c r="D43" s="421">
        <v>34895</v>
      </c>
      <c r="E43" s="419">
        <v>0.74399999999999999</v>
      </c>
      <c r="F43" s="419">
        <v>0.25823000000000002</v>
      </c>
      <c r="G43" s="419">
        <v>3.2099999999999997E-2</v>
      </c>
      <c r="H43" s="419">
        <v>0.34799999999999998</v>
      </c>
      <c r="I43" s="419">
        <v>0.12</v>
      </c>
      <c r="J43" s="419">
        <v>1.09E-2</v>
      </c>
      <c r="K43" s="424">
        <v>100</v>
      </c>
      <c r="L43" s="418">
        <v>0.33897178911564851</v>
      </c>
      <c r="M43" s="418">
        <v>4.1807142857127792E-4</v>
      </c>
      <c r="N43" s="418">
        <v>2.1371428571428737E-4</v>
      </c>
      <c r="O43" s="418">
        <v>8.9003244897959653E-3</v>
      </c>
      <c r="P43" s="418">
        <v>-2.5962585034013662E-5</v>
      </c>
      <c r="Q43" s="424">
        <v>-1.4730000000000052E-4</v>
      </c>
      <c r="R43" s="418">
        <v>4.6779843523809648</v>
      </c>
      <c r="S43" s="418">
        <v>-7.37121142857146E-2</v>
      </c>
      <c r="T43" s="418">
        <v>2.8931428571428772E-4</v>
      </c>
      <c r="U43" s="418">
        <v>6.4477142857142572E-3</v>
      </c>
      <c r="V43" s="418">
        <v>-2.7952380952380968E-5</v>
      </c>
      <c r="W43" s="424">
        <v>-6.2571428571428123E-5</v>
      </c>
      <c r="X43" s="418">
        <v>0.92750261088437846</v>
      </c>
      <c r="Y43" s="418">
        <v>-4.6154285714325525E-4</v>
      </c>
      <c r="Z43" s="418">
        <v>3.9600000000001891E-5</v>
      </c>
      <c r="AA43" s="418">
        <v>-6.8688054421770662E-3</v>
      </c>
      <c r="AB43" s="418">
        <v>2.047959183673473E-4</v>
      </c>
      <c r="AC43" s="424">
        <v>-1.9954285714285575E-4</v>
      </c>
      <c r="AD43" s="418">
        <v>25.546232884620121</v>
      </c>
      <c r="AE43" s="418">
        <v>-0.65921738762013815</v>
      </c>
      <c r="AF43" s="418">
        <v>5.1163880791784697E-3</v>
      </c>
      <c r="AG43" s="418">
        <v>-2.7637602981531319E-2</v>
      </c>
      <c r="AH43" s="418">
        <v>3.3263218349186414E-4</v>
      </c>
      <c r="AI43" s="424">
        <v>-5.848495167748019E-4</v>
      </c>
      <c r="AJ43" s="418">
        <v>-6.9999999999999994E-5</v>
      </c>
      <c r="AK43" s="418">
        <v>1.16951</v>
      </c>
      <c r="AL43" s="418">
        <v>-0.21321000000000001</v>
      </c>
      <c r="AM43" s="424">
        <v>4.3770000000000003E-2</v>
      </c>
      <c r="AN43" s="418">
        <v>1.2E-4</v>
      </c>
      <c r="AO43" s="418">
        <v>1.2017800000000001</v>
      </c>
      <c r="AP43" s="418">
        <v>-0.26145000000000002</v>
      </c>
      <c r="AQ43" s="424">
        <v>5.9549999999999999E-2</v>
      </c>
      <c r="AR43" s="418">
        <v>6.9999999999999994E-5</v>
      </c>
      <c r="AS43" s="418">
        <v>1.23139</v>
      </c>
      <c r="AT43" s="418">
        <v>-0.30703000000000003</v>
      </c>
      <c r="AU43" s="424">
        <v>7.5569999999999998E-2</v>
      </c>
      <c r="AV43" s="418">
        <v>0.85187000000000002</v>
      </c>
      <c r="AW43" s="418">
        <v>0.17007</v>
      </c>
      <c r="AX43" s="424">
        <v>-2.1940000000000001E-2</v>
      </c>
      <c r="AY43" s="418">
        <v>0.82723000000000002</v>
      </c>
      <c r="AZ43" s="418">
        <v>0.20272999999999999</v>
      </c>
      <c r="BA43" s="424">
        <v>-2.9960000000000001E-2</v>
      </c>
      <c r="BB43" s="418">
        <v>0.80530000000000002</v>
      </c>
      <c r="BC43" s="418">
        <v>0.23269999999999999</v>
      </c>
      <c r="BD43" s="418">
        <v>-3.7999999999999999E-2</v>
      </c>
      <c r="BE43" s="424">
        <v>1</v>
      </c>
      <c r="BF43" s="418">
        <v>1</v>
      </c>
      <c r="BG43" s="424">
        <v>1</v>
      </c>
      <c r="BH43" s="418">
        <v>8.1999999999999993</v>
      </c>
      <c r="BI43" s="418">
        <v>3.49</v>
      </c>
      <c r="BJ43" s="418">
        <v>33754</v>
      </c>
      <c r="BK43" s="438">
        <v>0.28642057378433045</v>
      </c>
      <c r="BL43" s="418">
        <v>0.53250474739796516</v>
      </c>
      <c r="BM43" s="418">
        <v>-4.9955613179735055E-4</v>
      </c>
      <c r="BN43" s="418">
        <v>-1.9120458918389342E-6</v>
      </c>
      <c r="BO43" s="418">
        <v>7.958621932365342E-3</v>
      </c>
      <c r="BP43" s="418">
        <v>1.2730956480253675E-4</v>
      </c>
      <c r="BQ43" s="424">
        <v>-4.3601475006721766E-5</v>
      </c>
      <c r="BR43" s="418">
        <v>0.86180844165824277</v>
      </c>
      <c r="BS43" s="418">
        <v>8.4486963586186403E-3</v>
      </c>
      <c r="BT43" s="418">
        <v>3.6449090019123838E-5</v>
      </c>
      <c r="BU43" s="418">
        <v>-1.0182845854330014E-2</v>
      </c>
      <c r="BV43" s="418">
        <v>6.8600269920831658E-5</v>
      </c>
      <c r="BW43" s="424">
        <v>-9.2632817312115735E-5</v>
      </c>
      <c r="BX43" s="418">
        <v>1</v>
      </c>
      <c r="BY43" s="418">
        <v>0</v>
      </c>
      <c r="BZ43" s="418">
        <v>0</v>
      </c>
      <c r="CA43" s="418">
        <v>1</v>
      </c>
    </row>
    <row r="77" spans="1:2" x14ac:dyDescent="0.25">
      <c r="A77" s="183" t="s">
        <v>252</v>
      </c>
    </row>
    <row r="78" spans="1:2" ht="30" x14ac:dyDescent="0.25">
      <c r="A78" s="231" t="s">
        <v>253</v>
      </c>
      <c r="B78" t="s">
        <v>254</v>
      </c>
    </row>
    <row r="79" spans="1:2" x14ac:dyDescent="0.25">
      <c r="A79" s="183">
        <v>1</v>
      </c>
      <c r="B79" t="s">
        <v>91</v>
      </c>
    </row>
    <row r="80" spans="1:2" x14ac:dyDescent="0.25">
      <c r="A80" s="183">
        <v>2</v>
      </c>
      <c r="B80" t="s">
        <v>255</v>
      </c>
    </row>
    <row r="81" spans="1:2" x14ac:dyDescent="0.25">
      <c r="A81" s="183">
        <v>3</v>
      </c>
      <c r="B81" t="s">
        <v>256</v>
      </c>
    </row>
    <row r="82" spans="1:2" x14ac:dyDescent="0.25">
      <c r="A82" s="183" t="s">
        <v>257</v>
      </c>
    </row>
    <row r="83" spans="1:2" x14ac:dyDescent="0.25">
      <c r="A83" s="183">
        <v>4</v>
      </c>
      <c r="B83" t="s">
        <v>258</v>
      </c>
    </row>
    <row r="84" spans="1:2" x14ac:dyDescent="0.25">
      <c r="A84" s="183"/>
      <c r="B84" t="s">
        <v>259</v>
      </c>
    </row>
    <row r="85" spans="1:2" x14ac:dyDescent="0.25">
      <c r="A85" s="183">
        <v>5</v>
      </c>
      <c r="B85" t="s">
        <v>260</v>
      </c>
    </row>
    <row r="86" spans="1:2" x14ac:dyDescent="0.25">
      <c r="A86" s="183">
        <v>6</v>
      </c>
      <c r="B86" t="s">
        <v>262</v>
      </c>
    </row>
    <row r="87" spans="1:2" x14ac:dyDescent="0.25">
      <c r="A87" s="183">
        <v>7</v>
      </c>
      <c r="B87" t="s">
        <v>263</v>
      </c>
    </row>
    <row r="88" spans="1:2" x14ac:dyDescent="0.25">
      <c r="A88" s="183"/>
      <c r="B88" t="s">
        <v>264</v>
      </c>
    </row>
    <row r="89" spans="1:2" x14ac:dyDescent="0.25">
      <c r="A89" s="183"/>
      <c r="B89" t="s">
        <v>265</v>
      </c>
    </row>
    <row r="90" spans="1:2" x14ac:dyDescent="0.25">
      <c r="A90" s="183">
        <v>8</v>
      </c>
      <c r="B90" t="s">
        <v>266</v>
      </c>
    </row>
    <row r="91" spans="1:2" x14ac:dyDescent="0.25">
      <c r="A91" s="183">
        <v>9</v>
      </c>
      <c r="B91" t="s">
        <v>267</v>
      </c>
    </row>
    <row r="92" spans="1:2" x14ac:dyDescent="0.25">
      <c r="A92" s="183">
        <v>10</v>
      </c>
      <c r="B92" t="s">
        <v>268</v>
      </c>
    </row>
    <row r="93" spans="1:2" x14ac:dyDescent="0.25">
      <c r="A93" s="183" t="s">
        <v>269</v>
      </c>
      <c r="B93" t="s">
        <v>270</v>
      </c>
    </row>
    <row r="94" spans="1:2" x14ac:dyDescent="0.25">
      <c r="A94" s="183" t="s">
        <v>271</v>
      </c>
      <c r="B94" t="s">
        <v>272</v>
      </c>
    </row>
    <row r="95" spans="1:2" x14ac:dyDescent="0.25">
      <c r="A95" s="183" t="s">
        <v>273</v>
      </c>
      <c r="B95" t="s">
        <v>274</v>
      </c>
    </row>
    <row r="96" spans="1:2" x14ac:dyDescent="0.25">
      <c r="A96" s="183" t="s">
        <v>275</v>
      </c>
      <c r="B96" t="s">
        <v>276</v>
      </c>
    </row>
    <row r="97" spans="1:2" x14ac:dyDescent="0.25">
      <c r="A97" s="183"/>
      <c r="B97" t="s">
        <v>304</v>
      </c>
    </row>
    <row r="98" spans="1:2" x14ac:dyDescent="0.25">
      <c r="A98" s="183" t="s">
        <v>277</v>
      </c>
      <c r="B98" t="s">
        <v>278</v>
      </c>
    </row>
    <row r="99" spans="1:2" x14ac:dyDescent="0.25">
      <c r="A99" s="183" t="s">
        <v>279</v>
      </c>
      <c r="B99" t="s">
        <v>280</v>
      </c>
    </row>
    <row r="100" spans="1:2" x14ac:dyDescent="0.25">
      <c r="A100" s="183" t="s">
        <v>281</v>
      </c>
      <c r="B100" t="s">
        <v>282</v>
      </c>
    </row>
    <row r="101" spans="1:2" x14ac:dyDescent="0.25">
      <c r="A101" s="183" t="s">
        <v>283</v>
      </c>
      <c r="B101" t="s">
        <v>284</v>
      </c>
    </row>
    <row r="102" spans="1:2" x14ac:dyDescent="0.25">
      <c r="A102" s="183" t="s">
        <v>285</v>
      </c>
      <c r="B102" t="s">
        <v>286</v>
      </c>
    </row>
    <row r="103" spans="1:2" x14ac:dyDescent="0.25">
      <c r="A103" s="183" t="s">
        <v>287</v>
      </c>
      <c r="B103" t="s">
        <v>288</v>
      </c>
    </row>
    <row r="104" spans="1:2" x14ac:dyDescent="0.25">
      <c r="A104" s="183">
        <v>56</v>
      </c>
      <c r="B104" t="s">
        <v>289</v>
      </c>
    </row>
    <row r="105" spans="1:2" x14ac:dyDescent="0.25">
      <c r="A105" s="183">
        <v>57</v>
      </c>
      <c r="B105" t="s">
        <v>290</v>
      </c>
    </row>
    <row r="106" spans="1:2" x14ac:dyDescent="0.25">
      <c r="A106" s="183">
        <v>58</v>
      </c>
      <c r="B106" t="s">
        <v>291</v>
      </c>
    </row>
    <row r="107" spans="1:2" x14ac:dyDescent="0.25">
      <c r="A107" s="183" t="s">
        <v>292</v>
      </c>
    </row>
    <row r="108" spans="1:2" x14ac:dyDescent="0.25">
      <c r="A108" s="183">
        <v>59</v>
      </c>
      <c r="B108" t="s">
        <v>293</v>
      </c>
    </row>
    <row r="109" spans="1:2" x14ac:dyDescent="0.25">
      <c r="A109" s="183">
        <v>60</v>
      </c>
      <c r="B109" t="s">
        <v>294</v>
      </c>
    </row>
    <row r="110" spans="1:2" x14ac:dyDescent="0.25">
      <c r="A110" s="183">
        <v>61</v>
      </c>
      <c r="B110" t="s">
        <v>295</v>
      </c>
    </row>
    <row r="111" spans="1:2" x14ac:dyDescent="0.25">
      <c r="A111" s="183">
        <v>62</v>
      </c>
      <c r="B111" t="s">
        <v>296</v>
      </c>
    </row>
    <row r="112" spans="1:2" x14ac:dyDescent="0.25">
      <c r="A112" s="183" t="s">
        <v>297</v>
      </c>
      <c r="B112" t="s">
        <v>298</v>
      </c>
    </row>
    <row r="113" spans="1:2" x14ac:dyDescent="0.25">
      <c r="A113" s="183" t="s">
        <v>299</v>
      </c>
      <c r="B113" t="s">
        <v>300</v>
      </c>
    </row>
    <row r="114" spans="1:2" x14ac:dyDescent="0.25">
      <c r="A114" s="183" t="s">
        <v>301</v>
      </c>
      <c r="B114" t="s">
        <v>302</v>
      </c>
    </row>
  </sheetData>
  <pageMargins left="0.7" right="0.7" top="0.75" bottom="0.75" header="0.3" footer="0.3"/>
  <pageSetup orientation="portrait" horizontalDpi="0" verticalDpi="0" r:id="rId1"/>
  <headerFooter>
    <oddFooter>&amp;L&amp;Z&amp;F &amp;A&amp;C&amp;P&amp;R&amp;D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2:BK93"/>
  <sheetViews>
    <sheetView workbookViewId="0">
      <selection activeCell="C25" sqref="C25"/>
    </sheetView>
  </sheetViews>
  <sheetFormatPr defaultRowHeight="15" x14ac:dyDescent="0.25"/>
  <cols>
    <col min="16" max="21" width="10" bestFit="1" customWidth="1"/>
    <col min="22" max="22" width="10.5703125" bestFit="1" customWidth="1"/>
    <col min="23" max="26" width="10" bestFit="1" customWidth="1"/>
    <col min="27" max="27" width="9.28515625" bestFit="1" customWidth="1"/>
    <col min="28" max="28" width="10.5703125" bestFit="1" customWidth="1"/>
    <col min="29" max="31" width="10" bestFit="1" customWidth="1"/>
    <col min="32" max="32" width="9.28515625" bestFit="1" customWidth="1"/>
    <col min="33" max="33" width="10" bestFit="1" customWidth="1"/>
    <col min="34" max="34" width="9.85546875" bestFit="1" customWidth="1"/>
    <col min="35" max="35" width="10.5703125" bestFit="1" customWidth="1"/>
    <col min="36" max="37" width="9.28515625" bestFit="1" customWidth="1"/>
    <col min="38" max="39" width="10" bestFit="1" customWidth="1"/>
    <col min="40" max="40" width="9.85546875" bestFit="1" customWidth="1"/>
    <col min="41" max="41" width="10.5703125" bestFit="1" customWidth="1"/>
    <col min="42" max="42" width="10" bestFit="1" customWidth="1"/>
    <col min="43" max="43" width="10.5703125" bestFit="1" customWidth="1"/>
    <col min="44" max="45" width="9.85546875" bestFit="1" customWidth="1"/>
    <col min="46" max="47" width="10" bestFit="1" customWidth="1"/>
    <col min="53" max="54" width="9.28515625" bestFit="1" customWidth="1"/>
    <col min="55" max="55" width="10.5703125" bestFit="1" customWidth="1"/>
    <col min="56" max="56" width="10" bestFit="1" customWidth="1"/>
    <col min="57" max="57" width="10.5703125" bestFit="1" customWidth="1"/>
  </cols>
  <sheetData>
    <row r="2" spans="1:63" ht="20.25" thickBot="1" x14ac:dyDescent="0.35">
      <c r="A2" s="1" t="s">
        <v>227</v>
      </c>
      <c r="B2" s="1"/>
      <c r="C2" s="1"/>
      <c r="D2" s="1"/>
      <c r="E2" s="1"/>
      <c r="F2" s="1"/>
    </row>
    <row r="3" spans="1:63" ht="15.75" thickTop="1" x14ac:dyDescent="0.25"/>
    <row r="4" spans="1:63" x14ac:dyDescent="0.25">
      <c r="A4" t="s">
        <v>397</v>
      </c>
    </row>
    <row r="7" spans="1:63" x14ac:dyDescent="0.25">
      <c r="A7" s="60" t="s">
        <v>352</v>
      </c>
      <c r="B7" s="61" t="s">
        <v>228</v>
      </c>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row>
    <row r="8" spans="1:63" x14ac:dyDescent="0.25">
      <c r="A8" s="155">
        <v>1</v>
      </c>
      <c r="B8" s="71">
        <v>1</v>
      </c>
      <c r="C8" s="72">
        <v>2</v>
      </c>
      <c r="D8" s="72">
        <v>3</v>
      </c>
      <c r="E8" s="72">
        <v>4</v>
      </c>
      <c r="F8" s="72">
        <v>5</v>
      </c>
      <c r="G8" s="72">
        <v>6</v>
      </c>
      <c r="H8" s="72">
        <v>7</v>
      </c>
      <c r="I8" s="72">
        <v>8</v>
      </c>
      <c r="J8" s="72">
        <v>9</v>
      </c>
      <c r="K8" s="72">
        <v>10</v>
      </c>
      <c r="L8" s="72">
        <v>11</v>
      </c>
      <c r="M8" s="72">
        <v>12</v>
      </c>
      <c r="N8" s="72">
        <v>13</v>
      </c>
      <c r="O8" s="72">
        <v>14</v>
      </c>
      <c r="P8" s="72">
        <v>15</v>
      </c>
      <c r="Q8" s="72">
        <v>16</v>
      </c>
      <c r="R8" s="72">
        <v>17</v>
      </c>
      <c r="S8" s="72">
        <v>18</v>
      </c>
      <c r="T8" s="72">
        <v>19</v>
      </c>
      <c r="U8" s="72">
        <v>20</v>
      </c>
      <c r="V8" s="72">
        <v>21</v>
      </c>
      <c r="W8" s="72">
        <v>22</v>
      </c>
      <c r="X8" s="72">
        <v>23</v>
      </c>
      <c r="Y8" s="72">
        <v>24</v>
      </c>
      <c r="Z8" s="72">
        <v>25</v>
      </c>
      <c r="AA8" s="72">
        <v>26</v>
      </c>
      <c r="AB8" s="72">
        <v>27</v>
      </c>
      <c r="AC8" s="72">
        <v>28</v>
      </c>
      <c r="AD8" s="72">
        <v>29</v>
      </c>
      <c r="AE8" s="72">
        <v>30</v>
      </c>
      <c r="AF8" s="72">
        <v>31</v>
      </c>
      <c r="AG8" s="72">
        <v>32</v>
      </c>
      <c r="AH8" s="72">
        <v>33</v>
      </c>
      <c r="AI8" s="72">
        <v>34</v>
      </c>
      <c r="AJ8" s="72">
        <v>35</v>
      </c>
      <c r="AK8" s="72">
        <v>36</v>
      </c>
      <c r="AL8" s="72">
        <v>37</v>
      </c>
      <c r="AM8" s="72">
        <v>38</v>
      </c>
      <c r="AN8" s="72">
        <v>39</v>
      </c>
      <c r="AO8" s="72">
        <v>40</v>
      </c>
      <c r="AP8" s="72">
        <v>41</v>
      </c>
      <c r="AQ8" s="72">
        <v>42</v>
      </c>
      <c r="AR8" s="72">
        <v>43</v>
      </c>
      <c r="AS8" s="72">
        <v>44</v>
      </c>
      <c r="AT8" s="72">
        <v>45</v>
      </c>
      <c r="AU8" s="72">
        <v>46</v>
      </c>
      <c r="AV8" s="72">
        <v>47</v>
      </c>
      <c r="AW8" s="72">
        <v>48</v>
      </c>
      <c r="AX8" s="72">
        <v>49</v>
      </c>
      <c r="AY8" s="72">
        <v>50</v>
      </c>
      <c r="AZ8" s="72">
        <v>51</v>
      </c>
      <c r="BA8" s="72">
        <v>52</v>
      </c>
      <c r="BB8" s="72">
        <v>53</v>
      </c>
      <c r="BC8" s="72">
        <v>54</v>
      </c>
      <c r="BD8" s="72">
        <v>55</v>
      </c>
      <c r="BE8" s="72">
        <v>56</v>
      </c>
      <c r="BF8" s="72">
        <v>57</v>
      </c>
      <c r="BG8" s="72">
        <v>58</v>
      </c>
    </row>
    <row r="9" spans="1:63" ht="23.25" thickBot="1" x14ac:dyDescent="0.3">
      <c r="A9" s="73" t="s">
        <v>303</v>
      </c>
      <c r="B9" s="74" t="s">
        <v>210</v>
      </c>
      <c r="C9" s="75" t="s">
        <v>99</v>
      </c>
      <c r="D9" s="142" t="s">
        <v>305</v>
      </c>
      <c r="E9" s="76" t="s">
        <v>306</v>
      </c>
      <c r="F9" s="75" t="s">
        <v>307</v>
      </c>
      <c r="G9" s="75" t="s">
        <v>222</v>
      </c>
      <c r="H9" s="75" t="s">
        <v>229</v>
      </c>
      <c r="I9" s="75" t="s">
        <v>230</v>
      </c>
      <c r="J9" s="75" t="s">
        <v>231</v>
      </c>
      <c r="K9" s="75" t="s">
        <v>101</v>
      </c>
      <c r="L9" s="75" t="s">
        <v>308</v>
      </c>
      <c r="M9" s="75" t="s">
        <v>232</v>
      </c>
      <c r="N9" s="75" t="s">
        <v>233</v>
      </c>
      <c r="O9" s="75" t="s">
        <v>234</v>
      </c>
      <c r="P9" s="77" t="s">
        <v>235</v>
      </c>
      <c r="Q9" s="78"/>
      <c r="R9" s="78"/>
      <c r="S9" s="78"/>
      <c r="T9" s="78"/>
      <c r="U9" s="79"/>
      <c r="V9" s="77" t="s">
        <v>236</v>
      </c>
      <c r="W9" s="78"/>
      <c r="X9" s="78"/>
      <c r="Y9" s="78"/>
      <c r="Z9" s="78"/>
      <c r="AA9" s="79"/>
      <c r="AB9" s="77" t="s">
        <v>237</v>
      </c>
      <c r="AC9" s="78"/>
      <c r="AD9" s="78"/>
      <c r="AE9" s="78"/>
      <c r="AF9" s="78"/>
      <c r="AG9" s="79"/>
      <c r="AH9" s="77" t="s">
        <v>238</v>
      </c>
      <c r="AI9" s="78"/>
      <c r="AJ9" s="78"/>
      <c r="AK9" s="78"/>
      <c r="AL9" s="78"/>
      <c r="AM9" s="79"/>
      <c r="AN9" s="77" t="s">
        <v>309</v>
      </c>
      <c r="AO9" s="78"/>
      <c r="AP9" s="78"/>
      <c r="AQ9" s="79"/>
      <c r="AR9" s="77" t="s">
        <v>310</v>
      </c>
      <c r="AS9" s="78"/>
      <c r="AT9" s="78"/>
      <c r="AU9" s="79"/>
      <c r="AV9" s="77" t="s">
        <v>311</v>
      </c>
      <c r="AW9" s="79"/>
      <c r="AX9" s="75" t="s">
        <v>245</v>
      </c>
      <c r="AY9" s="77" t="s">
        <v>246</v>
      </c>
      <c r="AZ9" s="79"/>
      <c r="BA9" s="77" t="s">
        <v>312</v>
      </c>
      <c r="BB9" s="79"/>
      <c r="BC9" s="77" t="s">
        <v>313</v>
      </c>
      <c r="BD9" s="78"/>
      <c r="BE9" s="79"/>
      <c r="BF9" s="75" t="s">
        <v>314</v>
      </c>
      <c r="BG9" s="75" t="s">
        <v>315</v>
      </c>
    </row>
    <row r="10" spans="1:63" x14ac:dyDescent="0.25">
      <c r="A10" s="80" t="s">
        <v>316</v>
      </c>
      <c r="B10" s="62"/>
      <c r="C10" s="81"/>
      <c r="D10" s="81"/>
      <c r="E10" s="81"/>
      <c r="F10" s="81"/>
      <c r="G10" s="81"/>
      <c r="H10" s="81"/>
      <c r="I10" s="81"/>
      <c r="J10" s="81"/>
      <c r="K10" s="81"/>
      <c r="L10" s="82"/>
      <c r="M10" s="82"/>
      <c r="N10" s="82"/>
      <c r="O10" s="82"/>
      <c r="P10" s="83"/>
      <c r="Q10" s="84"/>
      <c r="R10" s="84"/>
      <c r="S10" s="84"/>
      <c r="T10" s="84"/>
      <c r="U10" s="85"/>
      <c r="V10" s="83"/>
      <c r="W10" s="84"/>
      <c r="X10" s="84"/>
      <c r="Y10" s="84"/>
      <c r="Z10" s="84"/>
      <c r="AA10" s="85"/>
      <c r="AB10" s="83"/>
      <c r="AC10" s="84"/>
      <c r="AD10" s="84"/>
      <c r="AE10" s="84"/>
      <c r="AF10" s="84"/>
      <c r="AG10" s="85"/>
      <c r="AH10" s="83"/>
      <c r="AI10" s="84"/>
      <c r="AJ10" s="84"/>
      <c r="AK10" s="84"/>
      <c r="AL10" s="84"/>
      <c r="AM10" s="85"/>
      <c r="AN10" s="83"/>
      <c r="AO10" s="84"/>
      <c r="AP10" s="84"/>
      <c r="AQ10" s="85"/>
      <c r="AR10" s="83"/>
      <c r="AS10" s="84"/>
      <c r="AT10" s="84"/>
      <c r="AU10" s="85"/>
      <c r="AV10" s="83"/>
      <c r="AW10" s="84"/>
      <c r="AX10" s="82"/>
      <c r="AY10" s="83"/>
      <c r="AZ10" s="84"/>
      <c r="BA10" s="83"/>
      <c r="BB10" s="85"/>
      <c r="BC10" s="83"/>
      <c r="BD10" s="84"/>
      <c r="BE10" s="85"/>
      <c r="BF10" s="86"/>
      <c r="BG10" s="86"/>
    </row>
    <row r="11" spans="1:63" x14ac:dyDescent="0.25">
      <c r="A11" s="87">
        <v>30007</v>
      </c>
      <c r="B11" s="88">
        <v>0</v>
      </c>
      <c r="C11" s="89">
        <v>2</v>
      </c>
      <c r="D11" s="90">
        <v>1</v>
      </c>
      <c r="E11" s="91">
        <v>10</v>
      </c>
      <c r="F11" s="91">
        <v>9.4980694980694995</v>
      </c>
      <c r="G11" s="90">
        <v>25800</v>
      </c>
      <c r="H11" s="92">
        <v>0.69750000000000001</v>
      </c>
      <c r="I11" s="92">
        <v>0.29709999999999998</v>
      </c>
      <c r="J11" s="93">
        <v>3.1029999999999999E-2</v>
      </c>
      <c r="K11" s="94">
        <v>0.4325</v>
      </c>
      <c r="L11" s="92">
        <v>0</v>
      </c>
      <c r="M11" s="92">
        <v>0.21429999999999999</v>
      </c>
      <c r="N11" s="92">
        <v>0</v>
      </c>
      <c r="O11" s="95">
        <v>55</v>
      </c>
      <c r="P11" s="124">
        <v>-0.35077683333333121</v>
      </c>
      <c r="Q11" s="125">
        <v>3.2250999999999995E-2</v>
      </c>
      <c r="R11" s="125">
        <v>-1.5400000000000006E-4</v>
      </c>
      <c r="S11" s="125">
        <v>-2.7732666666667126E-3</v>
      </c>
      <c r="T11" s="125">
        <v>-3.8833333333333116E-5</v>
      </c>
      <c r="U11" s="126">
        <v>7.7800000000000116E-5</v>
      </c>
      <c r="V11" s="124">
        <v>2.8739089166666716</v>
      </c>
      <c r="W11" s="125">
        <v>-2.9210000000000659E-3</v>
      </c>
      <c r="X11" s="125">
        <v>-3.6100000000000016E-4</v>
      </c>
      <c r="Y11" s="125">
        <v>-7.4042666666666937E-3</v>
      </c>
      <c r="Z11" s="125">
        <v>-1.8583333333333393E-5</v>
      </c>
      <c r="AA11" s="126">
        <v>1.2780000000000056E-4</v>
      </c>
      <c r="AB11" s="124">
        <v>1.3044892500000027</v>
      </c>
      <c r="AC11" s="125">
        <v>-2.8713000000000072E-2</v>
      </c>
      <c r="AD11" s="125">
        <v>3.1200000000000059E-4</v>
      </c>
      <c r="AE11" s="125">
        <v>1.1817399999999999E-2</v>
      </c>
      <c r="AF11" s="125">
        <v>9.6750000000000048E-5</v>
      </c>
      <c r="AG11" s="126">
        <v>-2.7920000000000017E-4</v>
      </c>
      <c r="AH11" s="124">
        <v>8.5771239906282233</v>
      </c>
      <c r="AI11" s="125">
        <v>-0.342751424341459</v>
      </c>
      <c r="AJ11" s="125">
        <v>3.6657870777953286E-3</v>
      </c>
      <c r="AK11" s="125">
        <v>8.1184207912844059E-2</v>
      </c>
      <c r="AL11" s="125">
        <v>5.573849629123583E-5</v>
      </c>
      <c r="AM11" s="126">
        <v>-1.4586074521166206E-3</v>
      </c>
      <c r="AN11" s="124">
        <v>2.1410087827966606E-5</v>
      </c>
      <c r="AO11" s="125">
        <v>1.1382732310001937</v>
      </c>
      <c r="AP11" s="125">
        <v>-0.16866319302052848</v>
      </c>
      <c r="AQ11" s="126">
        <v>3.0368551932506857E-2</v>
      </c>
      <c r="AR11" s="124">
        <v>0.87639939345108175</v>
      </c>
      <c r="AS11" s="125">
        <v>0.14070321883201295</v>
      </c>
      <c r="AT11" s="125">
        <v>-2.0848644692906464E-2</v>
      </c>
      <c r="AU11" s="126">
        <v>3.7538904472654323E-3</v>
      </c>
      <c r="AV11" s="137">
        <v>0.85</v>
      </c>
      <c r="AW11" s="138">
        <v>1</v>
      </c>
      <c r="AX11" s="95">
        <v>1</v>
      </c>
      <c r="AY11" s="96">
        <v>1</v>
      </c>
      <c r="AZ11" s="96">
        <v>1</v>
      </c>
      <c r="BA11" s="124">
        <v>0.80746116756677688</v>
      </c>
      <c r="BB11" s="134">
        <v>0.19253883243322312</v>
      </c>
      <c r="BC11" s="124">
        <v>0.34575992811927136</v>
      </c>
      <c r="BD11" s="125">
        <v>0.83220671181161698</v>
      </c>
      <c r="BE11" s="126">
        <v>-0.17796663993088829</v>
      </c>
      <c r="BF11" s="96">
        <v>0.13848538868826762</v>
      </c>
      <c r="BG11" s="96">
        <v>1.2289360194981023</v>
      </c>
    </row>
    <row r="12" spans="1:63" x14ac:dyDescent="0.25">
      <c r="A12" s="87">
        <v>30103</v>
      </c>
      <c r="B12" s="88">
        <v>1</v>
      </c>
      <c r="C12" s="89">
        <v>5</v>
      </c>
      <c r="D12" s="90">
        <v>1</v>
      </c>
      <c r="E12" s="91">
        <v>13</v>
      </c>
      <c r="F12" s="91">
        <v>11.055871229907892</v>
      </c>
      <c r="G12" s="90">
        <v>63800</v>
      </c>
      <c r="H12" s="92">
        <v>0.73199999999999998</v>
      </c>
      <c r="I12" s="92">
        <v>0.25569999999999998</v>
      </c>
      <c r="J12" s="93">
        <v>3.1350000000000003E-2</v>
      </c>
      <c r="K12" s="94">
        <v>0.3785</v>
      </c>
      <c r="L12" s="92">
        <v>0</v>
      </c>
      <c r="M12" s="92">
        <v>0.13039999999999999</v>
      </c>
      <c r="N12" s="92">
        <v>0</v>
      </c>
      <c r="O12" s="95">
        <v>55</v>
      </c>
      <c r="P12" s="124">
        <v>-0.94185835714285626</v>
      </c>
      <c r="Q12" s="125">
        <v>5.3996499999999996E-2</v>
      </c>
      <c r="R12" s="125">
        <v>-3.1999999999999992E-4</v>
      </c>
      <c r="S12" s="125">
        <v>-6.4383380952381161E-3</v>
      </c>
      <c r="T12" s="125">
        <v>-1.6095238095237984E-5</v>
      </c>
      <c r="U12" s="126">
        <v>8.1300000000000011E-5</v>
      </c>
      <c r="V12" s="124">
        <v>0.74100873809523526</v>
      </c>
      <c r="W12" s="125">
        <v>6.6733500000000112E-2</v>
      </c>
      <c r="X12" s="125">
        <v>-9.4200000000000089E-4</v>
      </c>
      <c r="Y12" s="125">
        <v>-1.0652652380952395E-2</v>
      </c>
      <c r="Z12" s="125">
        <v>-2.5047619047619009E-5</v>
      </c>
      <c r="AA12" s="126">
        <v>1.9710000000000005E-4</v>
      </c>
      <c r="AB12" s="124">
        <v>2.0296084761904649</v>
      </c>
      <c r="AC12" s="125">
        <v>-6.4610999999999696E-2</v>
      </c>
      <c r="AD12" s="125">
        <v>6.5599999999999762E-4</v>
      </c>
      <c r="AE12" s="125">
        <v>2.0324161904761929E-2</v>
      </c>
      <c r="AF12" s="125">
        <v>1.3157142857142838E-4</v>
      </c>
      <c r="AG12" s="126">
        <v>-4.3419999999999982E-4</v>
      </c>
      <c r="AH12" s="124">
        <v>47.11127899260498</v>
      </c>
      <c r="AI12" s="125">
        <v>-1.5076718276863359</v>
      </c>
      <c r="AJ12" s="125">
        <v>1.3014734141776948E-2</v>
      </c>
      <c r="AK12" s="125">
        <v>7.9070606423615256E-2</v>
      </c>
      <c r="AL12" s="125">
        <v>3.567003323164775E-4</v>
      </c>
      <c r="AM12" s="126">
        <v>-2.2390159009358754E-3</v>
      </c>
      <c r="AN12" s="124">
        <v>3.1427856317378655E-8</v>
      </c>
      <c r="AO12" s="125">
        <v>1.017230162743286</v>
      </c>
      <c r="AP12" s="125">
        <v>-1.7804248929353842E-2</v>
      </c>
      <c r="AQ12" s="126">
        <v>5.7405475821150937E-4</v>
      </c>
      <c r="AR12" s="124">
        <v>0.98305555901687647</v>
      </c>
      <c r="AS12" s="125">
        <v>1.7236399982590096E-2</v>
      </c>
      <c r="AT12" s="125">
        <v>-3.0168311230802444E-4</v>
      </c>
      <c r="AU12" s="126">
        <v>9.7270420529073466E-6</v>
      </c>
      <c r="AV12" s="138">
        <v>0.97899999999999998</v>
      </c>
      <c r="AW12" s="138">
        <v>1</v>
      </c>
      <c r="AX12" s="95">
        <v>1</v>
      </c>
      <c r="AY12" s="96">
        <v>1</v>
      </c>
      <c r="AZ12" s="96">
        <v>1</v>
      </c>
      <c r="BA12" s="124">
        <v>0.87281683833407975</v>
      </c>
      <c r="BB12" s="134">
        <v>0.12718316166592028</v>
      </c>
      <c r="BC12" s="124">
        <v>0.36331192005709734</v>
      </c>
      <c r="BD12" s="125">
        <v>0.79657387580300654</v>
      </c>
      <c r="BE12" s="126">
        <v>-0.15988579586010385</v>
      </c>
      <c r="BF12" s="96">
        <v>2.5823862658377763</v>
      </c>
      <c r="BG12" s="96">
        <v>1.2607346621789426</v>
      </c>
    </row>
    <row r="13" spans="1:63" x14ac:dyDescent="0.25">
      <c r="A13" s="87">
        <v>30203</v>
      </c>
      <c r="B13" s="97">
        <v>2</v>
      </c>
      <c r="C13" s="89">
        <v>5</v>
      </c>
      <c r="D13" s="90">
        <v>1</v>
      </c>
      <c r="E13" s="91">
        <v>14</v>
      </c>
      <c r="F13" s="91">
        <v>12.039051018308989</v>
      </c>
      <c r="G13" s="90">
        <v>60300</v>
      </c>
      <c r="H13" s="92">
        <v>0.69320000000000004</v>
      </c>
      <c r="I13" s="92">
        <v>0.24560000000000001</v>
      </c>
      <c r="J13" s="93">
        <v>2.819E-2</v>
      </c>
      <c r="K13" s="94">
        <v>0.29399999999999998</v>
      </c>
      <c r="L13" s="92">
        <v>0</v>
      </c>
      <c r="M13" s="92">
        <v>0.1482</v>
      </c>
      <c r="N13" s="92">
        <v>0</v>
      </c>
      <c r="O13" s="95">
        <v>55</v>
      </c>
      <c r="P13" s="124">
        <v>0.27138929761904595</v>
      </c>
      <c r="Q13" s="125">
        <v>4.2667142857143441E-3</v>
      </c>
      <c r="R13" s="125">
        <v>1.5433333333333266E-4</v>
      </c>
      <c r="S13" s="125">
        <v>5.888257142857142E-3</v>
      </c>
      <c r="T13" s="125">
        <v>-2.4059523809523904E-5</v>
      </c>
      <c r="U13" s="126">
        <v>-9.3057142857142565E-5</v>
      </c>
      <c r="V13" s="124">
        <v>2.8637262916666648</v>
      </c>
      <c r="W13" s="125">
        <v>-8.7430476190475635E-3</v>
      </c>
      <c r="X13" s="125">
        <v>-2.640000000000004E-4</v>
      </c>
      <c r="Y13" s="125">
        <v>-2.4260666666666699E-3</v>
      </c>
      <c r="Z13" s="125">
        <v>-2.0053571428571405E-5</v>
      </c>
      <c r="AA13" s="126">
        <v>5.0057142857142855E-5</v>
      </c>
      <c r="AB13" s="124">
        <v>0.67901907142856133</v>
      </c>
      <c r="AC13" s="125">
        <v>-1.8999047619045137E-3</v>
      </c>
      <c r="AD13" s="125">
        <v>9.5333333333331345E-5</v>
      </c>
      <c r="AE13" s="125">
        <v>8.589333333333738E-4</v>
      </c>
      <c r="AF13" s="125">
        <v>1.8540476190476157E-4</v>
      </c>
      <c r="AG13" s="126">
        <v>-2.7251428571428552E-4</v>
      </c>
      <c r="AH13" s="124">
        <v>15.504323139585585</v>
      </c>
      <c r="AI13" s="125">
        <v>-0.47623340574003598</v>
      </c>
      <c r="AJ13" s="125">
        <v>4.2993730427135189E-3</v>
      </c>
      <c r="AK13" s="125">
        <v>3.0314126094751988E-2</v>
      </c>
      <c r="AL13" s="125">
        <v>1.8497133009723422E-4</v>
      </c>
      <c r="AM13" s="126">
        <v>-1.0126910882754345E-3</v>
      </c>
      <c r="AN13" s="124">
        <v>7.1270995463112996E-6</v>
      </c>
      <c r="AO13" s="125">
        <v>1.0978708753418969</v>
      </c>
      <c r="AP13" s="125">
        <v>-0.11401940358216964</v>
      </c>
      <c r="AQ13" s="126">
        <v>1.614140114072652E-2</v>
      </c>
      <c r="AR13" s="124">
        <v>0.91000288915242822</v>
      </c>
      <c r="AS13" s="125">
        <v>9.8808378781260475E-2</v>
      </c>
      <c r="AT13" s="125">
        <v>-1.0261746323360162E-2</v>
      </c>
      <c r="AU13" s="126">
        <v>1.4527261032131228E-3</v>
      </c>
      <c r="AV13" s="137">
        <v>0.89</v>
      </c>
      <c r="AW13" s="138">
        <v>1</v>
      </c>
      <c r="AX13" s="95">
        <v>1</v>
      </c>
      <c r="AY13" s="96">
        <v>1</v>
      </c>
      <c r="AZ13" s="98">
        <v>1</v>
      </c>
      <c r="BA13" s="124">
        <v>0.83381338919437931</v>
      </c>
      <c r="BB13" s="134">
        <v>0.16618661080562064</v>
      </c>
      <c r="BC13" s="124">
        <v>1.2846889952153151</v>
      </c>
      <c r="BD13" s="125">
        <v>-0.99912280701755174</v>
      </c>
      <c r="BE13" s="126">
        <v>0.71443381180223653</v>
      </c>
      <c r="BF13" s="99">
        <v>2.1701750527892822</v>
      </c>
      <c r="BG13" s="99">
        <v>1.3370898528912689</v>
      </c>
    </row>
    <row r="14" spans="1:63" x14ac:dyDescent="0.25">
      <c r="A14" s="87">
        <v>30301</v>
      </c>
      <c r="B14" s="97">
        <v>3</v>
      </c>
      <c r="C14" s="89">
        <v>5</v>
      </c>
      <c r="D14" s="90">
        <v>1</v>
      </c>
      <c r="E14" s="91">
        <v>15</v>
      </c>
      <c r="F14" s="91">
        <v>12.9</v>
      </c>
      <c r="G14" s="90">
        <v>60300</v>
      </c>
      <c r="H14" s="92">
        <v>0.69320000000000004</v>
      </c>
      <c r="I14" s="92">
        <v>0.23404</v>
      </c>
      <c r="J14" s="93">
        <v>2.819E-2</v>
      </c>
      <c r="K14" s="94">
        <v>0.251</v>
      </c>
      <c r="L14" s="92">
        <v>0</v>
      </c>
      <c r="M14" s="92">
        <v>0.1482</v>
      </c>
      <c r="N14" s="92">
        <v>0</v>
      </c>
      <c r="O14" s="95">
        <v>55</v>
      </c>
      <c r="P14" s="124">
        <v>0.27138929761904595</v>
      </c>
      <c r="Q14" s="125">
        <v>4.2667142857143441E-3</v>
      </c>
      <c r="R14" s="125">
        <v>1.5433333333333266E-4</v>
      </c>
      <c r="S14" s="125">
        <v>5.888257142857142E-3</v>
      </c>
      <c r="T14" s="125">
        <v>-2.4059523809523904E-5</v>
      </c>
      <c r="U14" s="126">
        <v>-9.3057142857142565E-5</v>
      </c>
      <c r="V14" s="124">
        <v>2.8637262916666648</v>
      </c>
      <c r="W14" s="125">
        <v>-8.7430476190475635E-3</v>
      </c>
      <c r="X14" s="125">
        <v>-2.640000000000004E-4</v>
      </c>
      <c r="Y14" s="125">
        <v>-2.4260666666666699E-3</v>
      </c>
      <c r="Z14" s="125">
        <v>-2.0053571428571405E-5</v>
      </c>
      <c r="AA14" s="126">
        <v>5.0057142857142855E-5</v>
      </c>
      <c r="AB14" s="124">
        <v>0.67901907142856133</v>
      </c>
      <c r="AC14" s="125">
        <v>-1.8999047619045137E-3</v>
      </c>
      <c r="AD14" s="125">
        <v>9.5333333333331345E-5</v>
      </c>
      <c r="AE14" s="125">
        <v>8.589333333333738E-4</v>
      </c>
      <c r="AF14" s="125">
        <v>1.8540476190476157E-4</v>
      </c>
      <c r="AG14" s="126">
        <v>-2.7251428571428552E-4</v>
      </c>
      <c r="AH14" s="124">
        <v>15.504323139585585</v>
      </c>
      <c r="AI14" s="125">
        <v>-0.47623340574003598</v>
      </c>
      <c r="AJ14" s="125">
        <v>4.2993730427135189E-3</v>
      </c>
      <c r="AK14" s="125">
        <v>3.0314126094751988E-2</v>
      </c>
      <c r="AL14" s="125">
        <v>1.8497133009723422E-4</v>
      </c>
      <c r="AM14" s="126">
        <v>-1.0126910882754345E-3</v>
      </c>
      <c r="AN14" s="124">
        <v>7.1270995463112996E-6</v>
      </c>
      <c r="AO14" s="125">
        <v>1.0978708753418969</v>
      </c>
      <c r="AP14" s="125">
        <v>-0.11401940358216964</v>
      </c>
      <c r="AQ14" s="126">
        <v>1.614140114072652E-2</v>
      </c>
      <c r="AR14" s="124">
        <v>0.91000288915242822</v>
      </c>
      <c r="AS14" s="125">
        <v>9.8808378781260475E-2</v>
      </c>
      <c r="AT14" s="125">
        <v>-1.0261746323360162E-2</v>
      </c>
      <c r="AU14" s="126">
        <v>1.4527261032131228E-3</v>
      </c>
      <c r="AV14" s="137">
        <v>0.89</v>
      </c>
      <c r="AW14" s="138">
        <v>1</v>
      </c>
      <c r="AX14" s="95">
        <v>1</v>
      </c>
      <c r="AY14" s="96">
        <v>1</v>
      </c>
      <c r="AZ14" s="98">
        <v>1</v>
      </c>
      <c r="BA14" s="124">
        <v>0.83381338919437931</v>
      </c>
      <c r="BB14" s="134">
        <v>0.16618661080562064</v>
      </c>
      <c r="BC14" s="124">
        <v>1.2846889952153151</v>
      </c>
      <c r="BD14" s="125">
        <v>-0.99912280701755174</v>
      </c>
      <c r="BE14" s="126">
        <v>0.71443381180223653</v>
      </c>
      <c r="BF14" s="99">
        <v>2.1701750527892822</v>
      </c>
      <c r="BG14" s="99">
        <v>1.3639919712700574</v>
      </c>
    </row>
    <row r="15" spans="1:63" x14ac:dyDescent="0.25">
      <c r="A15" s="100" t="s">
        <v>345</v>
      </c>
      <c r="B15" s="101"/>
      <c r="C15" s="102"/>
      <c r="D15" s="102"/>
      <c r="E15" s="102"/>
      <c r="F15" s="102"/>
      <c r="G15" s="103"/>
      <c r="H15" s="102"/>
      <c r="I15" s="102"/>
      <c r="J15" s="102"/>
      <c r="K15" s="102"/>
      <c r="L15" s="104"/>
      <c r="M15" s="104"/>
      <c r="N15" s="104"/>
      <c r="O15" s="104"/>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39"/>
      <c r="AW15" s="139"/>
      <c r="AX15" s="104"/>
      <c r="AY15" s="104"/>
      <c r="AZ15" s="104"/>
      <c r="BA15" s="127"/>
      <c r="BB15" s="127"/>
      <c r="BC15" s="127"/>
      <c r="BD15" s="127"/>
      <c r="BE15" s="127"/>
      <c r="BF15" s="104"/>
      <c r="BG15" s="104"/>
    </row>
    <row r="16" spans="1:63" x14ac:dyDescent="0.25">
      <c r="A16" s="105">
        <v>31001</v>
      </c>
      <c r="B16" s="97">
        <v>0</v>
      </c>
      <c r="C16" s="89">
        <v>15</v>
      </c>
      <c r="D16" s="90">
        <v>1</v>
      </c>
      <c r="E16" s="91">
        <v>11</v>
      </c>
      <c r="F16" s="91">
        <v>10.64</v>
      </c>
      <c r="G16" s="90">
        <v>184139.99999999997</v>
      </c>
      <c r="H16" s="92">
        <v>0.66300000000000003</v>
      </c>
      <c r="I16" s="92">
        <v>0.27299000000000001</v>
      </c>
      <c r="J16" s="93">
        <v>2.6499999999999999E-2</v>
      </c>
      <c r="K16" s="94">
        <v>0.4</v>
      </c>
      <c r="L16" s="92">
        <v>0</v>
      </c>
      <c r="M16" s="92">
        <v>0.114</v>
      </c>
      <c r="N16" s="92">
        <v>0.02</v>
      </c>
      <c r="O16" s="95">
        <v>100</v>
      </c>
      <c r="P16" s="124">
        <v>1.954259644345242</v>
      </c>
      <c r="Q16" s="125">
        <v>-3.65021190476192E-2</v>
      </c>
      <c r="R16" s="125">
        <v>3.5616666666666826E-4</v>
      </c>
      <c r="S16" s="125">
        <v>6.2696442857142834E-3</v>
      </c>
      <c r="T16" s="125">
        <v>-4.1441964285714149E-5</v>
      </c>
      <c r="U16" s="126">
        <v>-5.1697142857143171E-5</v>
      </c>
      <c r="V16" s="124">
        <v>0.24556646130952031</v>
      </c>
      <c r="W16" s="125">
        <v>9.0507452380952577E-2</v>
      </c>
      <c r="X16" s="125">
        <v>-1.1888333333333358E-3</v>
      </c>
      <c r="Y16" s="125">
        <v>-1.026310571428574E-2</v>
      </c>
      <c r="Z16" s="125">
        <v>-4.2723214285714462E-5</v>
      </c>
      <c r="AA16" s="126">
        <v>2.1801714285714377E-4</v>
      </c>
      <c r="AB16" s="124">
        <v>0.13022528124998622</v>
      </c>
      <c r="AC16" s="125">
        <v>3.6993119047619476E-2</v>
      </c>
      <c r="AD16" s="125">
        <v>-2.778333333333368E-4</v>
      </c>
      <c r="AE16" s="125">
        <v>-2.0131978571428556E-2</v>
      </c>
      <c r="AF16" s="125">
        <v>2.1539732142857127E-4</v>
      </c>
      <c r="AG16" s="126">
        <v>-6.174285714285705E-5</v>
      </c>
      <c r="AH16" s="124">
        <v>57.034218414861726</v>
      </c>
      <c r="AI16" s="125">
        <v>-1.7700911226458396</v>
      </c>
      <c r="AJ16" s="125">
        <v>1.4453376246705504E-2</v>
      </c>
      <c r="AK16" s="125">
        <v>1.3433392483068681E-2</v>
      </c>
      <c r="AL16" s="125">
        <v>2.9803146969426144E-4</v>
      </c>
      <c r="AM16" s="126">
        <v>-9.8746668797073311E-4</v>
      </c>
      <c r="AN16" s="124">
        <v>1.8440000000000002E-2</v>
      </c>
      <c r="AO16" s="125">
        <v>1.1476200000000001</v>
      </c>
      <c r="AP16" s="125">
        <v>-0.20832999999999999</v>
      </c>
      <c r="AQ16" s="126">
        <v>4.2270000000000002E-2</v>
      </c>
      <c r="AR16" s="124">
        <v>0.88227999999999995</v>
      </c>
      <c r="AS16" s="125">
        <v>0.21052999999999999</v>
      </c>
      <c r="AT16" s="125">
        <v>-4.3889999999999998E-2</v>
      </c>
      <c r="AU16" s="126">
        <v>9.7999999999999997E-3</v>
      </c>
      <c r="AV16" s="137">
        <v>0.83230000000000004</v>
      </c>
      <c r="AW16" s="138">
        <v>1.1087</v>
      </c>
      <c r="AX16" s="95">
        <v>2</v>
      </c>
      <c r="AY16" s="96">
        <v>0.5</v>
      </c>
      <c r="AZ16" s="96">
        <v>0.5</v>
      </c>
      <c r="BA16" s="124">
        <v>0.87854949393664006</v>
      </c>
      <c r="BB16" s="134">
        <v>0.12145050606335986</v>
      </c>
      <c r="BC16" s="124">
        <v>-1.5913815578441577</v>
      </c>
      <c r="BD16" s="125">
        <v>4.2053889150508734</v>
      </c>
      <c r="BE16" s="126">
        <v>-1.614007357206716</v>
      </c>
      <c r="BF16" s="96">
        <v>2.232487582839902</v>
      </c>
      <c r="BG16" s="96">
        <v>0</v>
      </c>
    </row>
    <row r="17" spans="1:59" x14ac:dyDescent="0.25">
      <c r="A17" s="105">
        <v>31101</v>
      </c>
      <c r="B17" s="97">
        <v>1</v>
      </c>
      <c r="C17" s="89">
        <v>15</v>
      </c>
      <c r="D17" s="90">
        <v>1</v>
      </c>
      <c r="E17" s="91">
        <v>11.5</v>
      </c>
      <c r="F17" s="91">
        <v>11.12</v>
      </c>
      <c r="G17" s="90">
        <v>184139.99999999997</v>
      </c>
      <c r="H17" s="92">
        <v>0.66300000000000003</v>
      </c>
      <c r="I17" s="92">
        <v>0.25963999999999998</v>
      </c>
      <c r="J17" s="93">
        <v>2.6499999999999999E-2</v>
      </c>
      <c r="K17" s="94">
        <v>0.4</v>
      </c>
      <c r="L17" s="92">
        <v>0</v>
      </c>
      <c r="M17" s="92">
        <v>0.114</v>
      </c>
      <c r="N17" s="92">
        <v>0.02</v>
      </c>
      <c r="O17" s="95">
        <v>100</v>
      </c>
      <c r="P17" s="124">
        <v>1.954259644345242</v>
      </c>
      <c r="Q17" s="125">
        <v>-3.65021190476192E-2</v>
      </c>
      <c r="R17" s="125">
        <v>3.5616666666666826E-4</v>
      </c>
      <c r="S17" s="125">
        <v>6.2696442857142834E-3</v>
      </c>
      <c r="T17" s="125">
        <v>-4.1441964285714149E-5</v>
      </c>
      <c r="U17" s="126">
        <v>-5.1697142857143171E-5</v>
      </c>
      <c r="V17" s="124">
        <v>0.24556646130952031</v>
      </c>
      <c r="W17" s="125">
        <v>9.0507452380952577E-2</v>
      </c>
      <c r="X17" s="125">
        <v>-1.1888333333333358E-3</v>
      </c>
      <c r="Y17" s="125">
        <v>-1.026310571428574E-2</v>
      </c>
      <c r="Z17" s="125">
        <v>-4.2723214285714462E-5</v>
      </c>
      <c r="AA17" s="126">
        <v>2.1801714285714377E-4</v>
      </c>
      <c r="AB17" s="124">
        <v>0.13022528124998622</v>
      </c>
      <c r="AC17" s="125">
        <v>3.6993119047619476E-2</v>
      </c>
      <c r="AD17" s="125">
        <v>-2.778333333333368E-4</v>
      </c>
      <c r="AE17" s="125">
        <v>-2.0131978571428556E-2</v>
      </c>
      <c r="AF17" s="125">
        <v>2.1539732142857127E-4</v>
      </c>
      <c r="AG17" s="126">
        <v>-6.174285714285705E-5</v>
      </c>
      <c r="AH17" s="124">
        <v>57.034218414861726</v>
      </c>
      <c r="AI17" s="125">
        <v>-1.7700911226458396</v>
      </c>
      <c r="AJ17" s="125">
        <v>1.4453376246705504E-2</v>
      </c>
      <c r="AK17" s="125">
        <v>1.3433392483068681E-2</v>
      </c>
      <c r="AL17" s="125">
        <v>2.9803146969426144E-4</v>
      </c>
      <c r="AM17" s="126">
        <v>-9.8746668797073311E-4</v>
      </c>
      <c r="AN17" s="124">
        <v>1.8440000000000002E-2</v>
      </c>
      <c r="AO17" s="125">
        <v>1.1476200000000001</v>
      </c>
      <c r="AP17" s="125">
        <v>-0.20832999999999999</v>
      </c>
      <c r="AQ17" s="126">
        <v>4.2270000000000002E-2</v>
      </c>
      <c r="AR17" s="124">
        <v>0.88227999999999995</v>
      </c>
      <c r="AS17" s="125">
        <v>0.21052999999999999</v>
      </c>
      <c r="AT17" s="125">
        <v>-4.3889999999999998E-2</v>
      </c>
      <c r="AU17" s="126">
        <v>9.7999999999999997E-3</v>
      </c>
      <c r="AV17" s="138">
        <v>0.83230000000000004</v>
      </c>
      <c r="AW17" s="138">
        <v>1.1087</v>
      </c>
      <c r="AX17" s="95">
        <v>2</v>
      </c>
      <c r="AY17" s="96">
        <v>0.5</v>
      </c>
      <c r="AZ17" s="96">
        <v>0.5</v>
      </c>
      <c r="BA17" s="124">
        <v>0.87854949393664006</v>
      </c>
      <c r="BB17" s="134">
        <v>0.12145050606335986</v>
      </c>
      <c r="BC17" s="124">
        <v>-1.5913815578441577</v>
      </c>
      <c r="BD17" s="125">
        <v>4.2053889150508734</v>
      </c>
      <c r="BE17" s="126">
        <v>-1.614007357206716</v>
      </c>
      <c r="BF17" s="96">
        <v>2.232487582839902</v>
      </c>
      <c r="BG17" s="96">
        <v>0</v>
      </c>
    </row>
    <row r="18" spans="1:59" x14ac:dyDescent="0.25">
      <c r="A18" s="105">
        <v>31201</v>
      </c>
      <c r="B18" s="97">
        <v>2</v>
      </c>
      <c r="C18" s="89">
        <v>15</v>
      </c>
      <c r="D18" s="90">
        <v>1</v>
      </c>
      <c r="E18" s="91">
        <v>12</v>
      </c>
      <c r="F18" s="91">
        <v>11.61</v>
      </c>
      <c r="G18" s="90">
        <v>184139.99999999997</v>
      </c>
      <c r="H18" s="92">
        <v>0.66300000000000003</v>
      </c>
      <c r="I18" s="92">
        <v>0.24715999999999999</v>
      </c>
      <c r="J18" s="93">
        <v>2.6499999999999999E-2</v>
      </c>
      <c r="K18" s="94">
        <v>0.4</v>
      </c>
      <c r="L18" s="92">
        <v>0</v>
      </c>
      <c r="M18" s="92">
        <v>0.114</v>
      </c>
      <c r="N18" s="92">
        <v>0.02</v>
      </c>
      <c r="O18" s="95">
        <v>100</v>
      </c>
      <c r="P18" s="124">
        <v>1.954259644345242</v>
      </c>
      <c r="Q18" s="125">
        <v>-3.65021190476192E-2</v>
      </c>
      <c r="R18" s="125">
        <v>3.5616666666666826E-4</v>
      </c>
      <c r="S18" s="125">
        <v>6.2696442857142834E-3</v>
      </c>
      <c r="T18" s="125">
        <v>-4.1441964285714149E-5</v>
      </c>
      <c r="U18" s="126">
        <v>-5.1697142857143171E-5</v>
      </c>
      <c r="V18" s="124">
        <v>0.24556646130952031</v>
      </c>
      <c r="W18" s="125">
        <v>9.0507452380952577E-2</v>
      </c>
      <c r="X18" s="125">
        <v>-1.1888333333333358E-3</v>
      </c>
      <c r="Y18" s="125">
        <v>-1.026310571428574E-2</v>
      </c>
      <c r="Z18" s="125">
        <v>-4.2723214285714462E-5</v>
      </c>
      <c r="AA18" s="126">
        <v>2.1801714285714377E-4</v>
      </c>
      <c r="AB18" s="124">
        <v>0.13022528124998622</v>
      </c>
      <c r="AC18" s="125">
        <v>3.6993119047619476E-2</v>
      </c>
      <c r="AD18" s="125">
        <v>-2.778333333333368E-4</v>
      </c>
      <c r="AE18" s="125">
        <v>-2.0131978571428556E-2</v>
      </c>
      <c r="AF18" s="125">
        <v>2.1539732142857127E-4</v>
      </c>
      <c r="AG18" s="126">
        <v>-6.174285714285705E-5</v>
      </c>
      <c r="AH18" s="124">
        <v>57.034218414861726</v>
      </c>
      <c r="AI18" s="125">
        <v>-1.7700911226458396</v>
      </c>
      <c r="AJ18" s="125">
        <v>1.4453376246705504E-2</v>
      </c>
      <c r="AK18" s="125">
        <v>1.3433392483068681E-2</v>
      </c>
      <c r="AL18" s="125">
        <v>2.9803146969426144E-4</v>
      </c>
      <c r="AM18" s="126">
        <v>-9.8746668797073311E-4</v>
      </c>
      <c r="AN18" s="124">
        <v>1.8440000000000002E-2</v>
      </c>
      <c r="AO18" s="125">
        <v>1.1476200000000001</v>
      </c>
      <c r="AP18" s="125">
        <v>-0.20832999999999999</v>
      </c>
      <c r="AQ18" s="126">
        <v>4.2270000000000002E-2</v>
      </c>
      <c r="AR18" s="124">
        <v>0.88227999999999995</v>
      </c>
      <c r="AS18" s="125">
        <v>0.21052999999999999</v>
      </c>
      <c r="AT18" s="125">
        <v>-4.3889999999999998E-2</v>
      </c>
      <c r="AU18" s="126">
        <v>9.7999999999999997E-3</v>
      </c>
      <c r="AV18" s="137">
        <v>0.83230000000000004</v>
      </c>
      <c r="AW18" s="138">
        <v>1.1087</v>
      </c>
      <c r="AX18" s="95">
        <v>2</v>
      </c>
      <c r="AY18" s="96">
        <v>0.5</v>
      </c>
      <c r="AZ18" s="98">
        <v>0.5</v>
      </c>
      <c r="BA18" s="124">
        <v>0.87854949393664006</v>
      </c>
      <c r="BB18" s="134">
        <v>0.12145050606335986</v>
      </c>
      <c r="BC18" s="124">
        <v>-1.5913815578441577</v>
      </c>
      <c r="BD18" s="125">
        <v>4.2053889150508734</v>
      </c>
      <c r="BE18" s="126">
        <v>-1.614007357206716</v>
      </c>
      <c r="BF18" s="99">
        <v>2.232487582839902</v>
      </c>
      <c r="BG18" s="99">
        <v>0</v>
      </c>
    </row>
    <row r="19" spans="1:59" x14ac:dyDescent="0.25">
      <c r="A19" s="105">
        <v>31301</v>
      </c>
      <c r="B19" s="97">
        <v>3</v>
      </c>
      <c r="C19" s="89">
        <v>15</v>
      </c>
      <c r="D19" s="90">
        <v>1</v>
      </c>
      <c r="E19" s="91">
        <v>13</v>
      </c>
      <c r="F19" s="91">
        <v>12.57</v>
      </c>
      <c r="G19" s="90">
        <v>184139.99999999997</v>
      </c>
      <c r="H19" s="92">
        <v>0.66300000000000003</v>
      </c>
      <c r="I19" s="92">
        <v>0.22552</v>
      </c>
      <c r="J19" s="93">
        <v>2.6499999999999999E-2</v>
      </c>
      <c r="K19" s="94">
        <v>0.4</v>
      </c>
      <c r="L19" s="92">
        <v>0</v>
      </c>
      <c r="M19" s="92">
        <v>0.114</v>
      </c>
      <c r="N19" s="92">
        <v>0.02</v>
      </c>
      <c r="O19" s="95">
        <v>100</v>
      </c>
      <c r="P19" s="124">
        <v>1.954259644345242</v>
      </c>
      <c r="Q19" s="125">
        <v>-3.65021190476192E-2</v>
      </c>
      <c r="R19" s="125">
        <v>3.5616666666666826E-4</v>
      </c>
      <c r="S19" s="125">
        <v>6.2696442857142834E-3</v>
      </c>
      <c r="T19" s="125">
        <v>-4.1441964285714149E-5</v>
      </c>
      <c r="U19" s="126">
        <v>-5.1697142857143171E-5</v>
      </c>
      <c r="V19" s="124">
        <v>0.24556646130952031</v>
      </c>
      <c r="W19" s="125">
        <v>9.0507452380952577E-2</v>
      </c>
      <c r="X19" s="125">
        <v>-1.1888333333333358E-3</v>
      </c>
      <c r="Y19" s="125">
        <v>-1.026310571428574E-2</v>
      </c>
      <c r="Z19" s="125">
        <v>-4.2723214285714462E-5</v>
      </c>
      <c r="AA19" s="126">
        <v>2.1801714285714377E-4</v>
      </c>
      <c r="AB19" s="124">
        <v>0.13022528124998622</v>
      </c>
      <c r="AC19" s="125">
        <v>3.6993119047619476E-2</v>
      </c>
      <c r="AD19" s="125">
        <v>-2.778333333333368E-4</v>
      </c>
      <c r="AE19" s="125">
        <v>-2.0131978571428556E-2</v>
      </c>
      <c r="AF19" s="125">
        <v>2.1539732142857127E-4</v>
      </c>
      <c r="AG19" s="126">
        <v>-6.174285714285705E-5</v>
      </c>
      <c r="AH19" s="124">
        <v>57.034218414861726</v>
      </c>
      <c r="AI19" s="125">
        <v>-1.7700911226458396</v>
      </c>
      <c r="AJ19" s="125">
        <v>1.4453376246705504E-2</v>
      </c>
      <c r="AK19" s="125">
        <v>1.3433392483068681E-2</v>
      </c>
      <c r="AL19" s="125">
        <v>2.9803146969426144E-4</v>
      </c>
      <c r="AM19" s="126">
        <v>-9.8746668797073311E-4</v>
      </c>
      <c r="AN19" s="124">
        <v>1.8440000000000002E-2</v>
      </c>
      <c r="AO19" s="125">
        <v>1.1476200000000001</v>
      </c>
      <c r="AP19" s="125">
        <v>-0.20832999999999999</v>
      </c>
      <c r="AQ19" s="126">
        <v>4.2270000000000002E-2</v>
      </c>
      <c r="AR19" s="124">
        <v>0.88227999999999995</v>
      </c>
      <c r="AS19" s="125">
        <v>0.21052999999999999</v>
      </c>
      <c r="AT19" s="125">
        <v>-4.3889999999999998E-2</v>
      </c>
      <c r="AU19" s="126">
        <v>9.7999999999999997E-3</v>
      </c>
      <c r="AV19" s="137">
        <v>0.83230000000000004</v>
      </c>
      <c r="AW19" s="138">
        <v>1.1087</v>
      </c>
      <c r="AX19" s="95">
        <v>2</v>
      </c>
      <c r="AY19" s="96">
        <v>0.5</v>
      </c>
      <c r="AZ19" s="98">
        <v>0.5</v>
      </c>
      <c r="BA19" s="124">
        <v>0.87854949393664006</v>
      </c>
      <c r="BB19" s="134">
        <v>0.12145050606335986</v>
      </c>
      <c r="BC19" s="124">
        <v>-1.5913815578441577</v>
      </c>
      <c r="BD19" s="125">
        <v>4.2053889150508734</v>
      </c>
      <c r="BE19" s="126">
        <v>-1.614007357206716</v>
      </c>
      <c r="BF19" s="99">
        <v>2.232487582839902</v>
      </c>
      <c r="BG19" s="99">
        <v>0</v>
      </c>
    </row>
    <row r="20" spans="1:59" x14ac:dyDescent="0.25">
      <c r="A20" s="105" t="s">
        <v>346</v>
      </c>
      <c r="B20" s="97"/>
      <c r="C20" s="106"/>
      <c r="D20" s="107"/>
      <c r="E20" s="108"/>
      <c r="F20" s="108"/>
      <c r="G20" s="109"/>
      <c r="H20" s="110"/>
      <c r="I20" s="110"/>
      <c r="J20" s="111"/>
      <c r="K20" s="112"/>
      <c r="L20" s="110"/>
      <c r="M20" s="110"/>
      <c r="N20" s="110"/>
      <c r="O20" s="107"/>
      <c r="P20" s="128"/>
      <c r="Q20" s="129"/>
      <c r="R20" s="129"/>
      <c r="S20" s="129"/>
      <c r="T20" s="129"/>
      <c r="U20" s="130"/>
      <c r="V20" s="128"/>
      <c r="W20" s="129"/>
      <c r="X20" s="129"/>
      <c r="Y20" s="129"/>
      <c r="Z20" s="129"/>
      <c r="AA20" s="130"/>
      <c r="AB20" s="128"/>
      <c r="AC20" s="129"/>
      <c r="AD20" s="129"/>
      <c r="AE20" s="129"/>
      <c r="AF20" s="129"/>
      <c r="AG20" s="130"/>
      <c r="AH20" s="128"/>
      <c r="AI20" s="129"/>
      <c r="AJ20" s="129"/>
      <c r="AK20" s="129"/>
      <c r="AL20" s="129"/>
      <c r="AM20" s="130"/>
      <c r="AN20" s="128"/>
      <c r="AO20" s="129"/>
      <c r="AP20" s="129"/>
      <c r="AQ20" s="130"/>
      <c r="AR20" s="128"/>
      <c r="AS20" s="129"/>
      <c r="AT20" s="129"/>
      <c r="AU20" s="130"/>
      <c r="AV20" s="140"/>
      <c r="AW20" s="141"/>
      <c r="AX20" s="107"/>
      <c r="AY20" s="113"/>
      <c r="AZ20" s="114"/>
      <c r="BA20" s="128"/>
      <c r="BB20" s="135"/>
      <c r="BC20" s="128"/>
      <c r="BD20" s="129"/>
      <c r="BE20" s="130"/>
      <c r="BF20" s="115"/>
      <c r="BG20" s="115"/>
    </row>
    <row r="21" spans="1:59" x14ac:dyDescent="0.25">
      <c r="A21" s="105">
        <v>32001</v>
      </c>
      <c r="B21" s="97">
        <v>0</v>
      </c>
      <c r="C21" s="89">
        <v>15</v>
      </c>
      <c r="D21" s="90">
        <v>1</v>
      </c>
      <c r="E21" s="91">
        <v>11</v>
      </c>
      <c r="F21" s="91">
        <v>10.64</v>
      </c>
      <c r="G21" s="90">
        <v>184139.99999999997</v>
      </c>
      <c r="H21" s="92">
        <v>0.66300000000000003</v>
      </c>
      <c r="I21" s="92">
        <v>0.27299000000000001</v>
      </c>
      <c r="J21" s="93">
        <v>2.6499999999999999E-2</v>
      </c>
      <c r="K21" s="94">
        <v>0.4</v>
      </c>
      <c r="L21" s="92">
        <v>0</v>
      </c>
      <c r="M21" s="92">
        <v>0.114</v>
      </c>
      <c r="N21" s="92">
        <v>0.02</v>
      </c>
      <c r="O21" s="95">
        <v>100</v>
      </c>
      <c r="P21" s="124">
        <v>1.954259644345242</v>
      </c>
      <c r="Q21" s="125">
        <v>-3.65021190476192E-2</v>
      </c>
      <c r="R21" s="125">
        <v>3.5616666666666826E-4</v>
      </c>
      <c r="S21" s="125">
        <v>6.2696442857142834E-3</v>
      </c>
      <c r="T21" s="125">
        <v>-4.1441964285714149E-5</v>
      </c>
      <c r="U21" s="126">
        <v>-5.1697142857143171E-5</v>
      </c>
      <c r="V21" s="124">
        <v>0.24556646130952031</v>
      </c>
      <c r="W21" s="125">
        <v>9.0507452380952577E-2</v>
      </c>
      <c r="X21" s="125">
        <v>-1.1888333333333358E-3</v>
      </c>
      <c r="Y21" s="125">
        <v>-1.026310571428574E-2</v>
      </c>
      <c r="Z21" s="125">
        <v>-4.2723214285714462E-5</v>
      </c>
      <c r="AA21" s="126">
        <v>2.1801714285714377E-4</v>
      </c>
      <c r="AB21" s="124">
        <v>0.13022528124998622</v>
      </c>
      <c r="AC21" s="125">
        <v>3.6993119047619476E-2</v>
      </c>
      <c r="AD21" s="125">
        <v>-2.778333333333368E-4</v>
      </c>
      <c r="AE21" s="125">
        <v>-2.0131978571428556E-2</v>
      </c>
      <c r="AF21" s="125">
        <v>2.1539732142857127E-4</v>
      </c>
      <c r="AG21" s="126">
        <v>-6.174285714285705E-5</v>
      </c>
      <c r="AH21" s="124">
        <v>57.034218414861726</v>
      </c>
      <c r="AI21" s="125">
        <v>-1.7700911226458396</v>
      </c>
      <c r="AJ21" s="125">
        <v>1.4453376246705504E-2</v>
      </c>
      <c r="AK21" s="125">
        <v>1.3433392483068681E-2</v>
      </c>
      <c r="AL21" s="125">
        <v>2.9803146969426144E-4</v>
      </c>
      <c r="AM21" s="126">
        <v>-9.8746668797073311E-4</v>
      </c>
      <c r="AN21" s="124">
        <v>1.8440000000000002E-2</v>
      </c>
      <c r="AO21" s="125">
        <v>1.1476200000000001</v>
      </c>
      <c r="AP21" s="125">
        <v>-0.20832999999999999</v>
      </c>
      <c r="AQ21" s="126">
        <v>4.2270000000000002E-2</v>
      </c>
      <c r="AR21" s="124">
        <v>0.88227999999999995</v>
      </c>
      <c r="AS21" s="125">
        <v>0.21052999999999999</v>
      </c>
      <c r="AT21" s="125">
        <v>-4.3889999999999998E-2</v>
      </c>
      <c r="AU21" s="126">
        <v>9.7999999999999997E-3</v>
      </c>
      <c r="AV21" s="137">
        <v>0.83230000000000004</v>
      </c>
      <c r="AW21" s="138">
        <v>1.1087</v>
      </c>
      <c r="AX21" s="95">
        <v>2</v>
      </c>
      <c r="AY21" s="96">
        <v>0.5</v>
      </c>
      <c r="AZ21" s="96">
        <v>0.5</v>
      </c>
      <c r="BA21" s="124">
        <v>0.87854949393664006</v>
      </c>
      <c r="BB21" s="134">
        <v>0.12145050606335986</v>
      </c>
      <c r="BC21" s="124">
        <v>-1.5913815578441577</v>
      </c>
      <c r="BD21" s="125">
        <v>4.2053889150508734</v>
      </c>
      <c r="BE21" s="126">
        <v>-1.614007357206716</v>
      </c>
      <c r="BF21" s="96">
        <v>2.232487582839902</v>
      </c>
      <c r="BG21" s="96">
        <v>0</v>
      </c>
    </row>
    <row r="22" spans="1:59" x14ac:dyDescent="0.25">
      <c r="A22" s="105">
        <v>32101</v>
      </c>
      <c r="B22" s="97">
        <v>1</v>
      </c>
      <c r="C22" s="89">
        <v>15</v>
      </c>
      <c r="D22" s="90">
        <v>1</v>
      </c>
      <c r="E22" s="91">
        <v>11.5</v>
      </c>
      <c r="F22" s="91">
        <v>11.12</v>
      </c>
      <c r="G22" s="90">
        <v>184139.99999999997</v>
      </c>
      <c r="H22" s="92">
        <v>0.66300000000000003</v>
      </c>
      <c r="I22" s="92">
        <v>0.25963999999999998</v>
      </c>
      <c r="J22" s="93">
        <v>2.6499999999999999E-2</v>
      </c>
      <c r="K22" s="94">
        <v>0.4</v>
      </c>
      <c r="L22" s="92">
        <v>0</v>
      </c>
      <c r="M22" s="92">
        <v>0.114</v>
      </c>
      <c r="N22" s="92">
        <v>0.02</v>
      </c>
      <c r="O22" s="95">
        <v>100</v>
      </c>
      <c r="P22" s="124">
        <v>1.954259644345242</v>
      </c>
      <c r="Q22" s="125">
        <v>-3.65021190476192E-2</v>
      </c>
      <c r="R22" s="125">
        <v>3.5616666666666826E-4</v>
      </c>
      <c r="S22" s="125">
        <v>6.2696442857142834E-3</v>
      </c>
      <c r="T22" s="125">
        <v>-4.1441964285714149E-5</v>
      </c>
      <c r="U22" s="126">
        <v>-5.1697142857143171E-5</v>
      </c>
      <c r="V22" s="124">
        <v>0.24556646130952031</v>
      </c>
      <c r="W22" s="125">
        <v>9.0507452380952577E-2</v>
      </c>
      <c r="X22" s="125">
        <v>-1.1888333333333358E-3</v>
      </c>
      <c r="Y22" s="125">
        <v>-1.026310571428574E-2</v>
      </c>
      <c r="Z22" s="125">
        <v>-4.2723214285714462E-5</v>
      </c>
      <c r="AA22" s="126">
        <v>2.1801714285714377E-4</v>
      </c>
      <c r="AB22" s="124">
        <v>0.13022528124998622</v>
      </c>
      <c r="AC22" s="125">
        <v>3.6993119047619476E-2</v>
      </c>
      <c r="AD22" s="125">
        <v>-2.778333333333368E-4</v>
      </c>
      <c r="AE22" s="125">
        <v>-2.0131978571428556E-2</v>
      </c>
      <c r="AF22" s="125">
        <v>2.1539732142857127E-4</v>
      </c>
      <c r="AG22" s="126">
        <v>-6.174285714285705E-5</v>
      </c>
      <c r="AH22" s="124">
        <v>57.034218414861726</v>
      </c>
      <c r="AI22" s="125">
        <v>-1.7700911226458396</v>
      </c>
      <c r="AJ22" s="125">
        <v>1.4453376246705504E-2</v>
      </c>
      <c r="AK22" s="125">
        <v>1.3433392483068681E-2</v>
      </c>
      <c r="AL22" s="125">
        <v>2.9803146969426144E-4</v>
      </c>
      <c r="AM22" s="126">
        <v>-9.8746668797073311E-4</v>
      </c>
      <c r="AN22" s="124">
        <v>1.8440000000000002E-2</v>
      </c>
      <c r="AO22" s="125">
        <v>1.1476200000000001</v>
      </c>
      <c r="AP22" s="125">
        <v>-0.20832999999999999</v>
      </c>
      <c r="AQ22" s="126">
        <v>4.2270000000000002E-2</v>
      </c>
      <c r="AR22" s="124">
        <v>0.88227999999999995</v>
      </c>
      <c r="AS22" s="125">
        <v>0.21052999999999999</v>
      </c>
      <c r="AT22" s="125">
        <v>-4.3889999999999998E-2</v>
      </c>
      <c r="AU22" s="126">
        <v>9.7999999999999997E-3</v>
      </c>
      <c r="AV22" s="138">
        <v>0.83230000000000004</v>
      </c>
      <c r="AW22" s="138">
        <v>1.1087</v>
      </c>
      <c r="AX22" s="95">
        <v>2</v>
      </c>
      <c r="AY22" s="96">
        <v>0.5</v>
      </c>
      <c r="AZ22" s="96">
        <v>0.5</v>
      </c>
      <c r="BA22" s="124">
        <v>0.87854949393664006</v>
      </c>
      <c r="BB22" s="134">
        <v>0.12145050606335986</v>
      </c>
      <c r="BC22" s="124">
        <v>-1.5913815578441577</v>
      </c>
      <c r="BD22" s="125">
        <v>4.2053889150508734</v>
      </c>
      <c r="BE22" s="126">
        <v>-1.614007357206716</v>
      </c>
      <c r="BF22" s="96">
        <v>2.232487582839902</v>
      </c>
      <c r="BG22" s="96">
        <v>0</v>
      </c>
    </row>
    <row r="23" spans="1:59" x14ac:dyDescent="0.25">
      <c r="A23" s="105">
        <v>32201</v>
      </c>
      <c r="B23" s="97">
        <v>2</v>
      </c>
      <c r="C23" s="89">
        <v>15</v>
      </c>
      <c r="D23" s="90">
        <v>1</v>
      </c>
      <c r="E23" s="91">
        <v>12</v>
      </c>
      <c r="F23" s="91">
        <v>11.61</v>
      </c>
      <c r="G23" s="90">
        <v>184139.99999999997</v>
      </c>
      <c r="H23" s="92">
        <v>0.66300000000000003</v>
      </c>
      <c r="I23" s="92">
        <v>0.24715999999999999</v>
      </c>
      <c r="J23" s="93">
        <v>2.6499999999999999E-2</v>
      </c>
      <c r="K23" s="94">
        <v>0.4</v>
      </c>
      <c r="L23" s="92">
        <v>0</v>
      </c>
      <c r="M23" s="92">
        <v>0.114</v>
      </c>
      <c r="N23" s="92">
        <v>0.02</v>
      </c>
      <c r="O23" s="95">
        <v>100</v>
      </c>
      <c r="P23" s="124">
        <v>1.954259644345242</v>
      </c>
      <c r="Q23" s="125">
        <v>-3.65021190476192E-2</v>
      </c>
      <c r="R23" s="125">
        <v>3.5616666666666826E-4</v>
      </c>
      <c r="S23" s="125">
        <v>6.2696442857142834E-3</v>
      </c>
      <c r="T23" s="125">
        <v>-4.1441964285714149E-5</v>
      </c>
      <c r="U23" s="126">
        <v>-5.1697142857143171E-5</v>
      </c>
      <c r="V23" s="124">
        <v>0.24556646130952031</v>
      </c>
      <c r="W23" s="125">
        <v>9.0507452380952577E-2</v>
      </c>
      <c r="X23" s="125">
        <v>-1.1888333333333358E-3</v>
      </c>
      <c r="Y23" s="125">
        <v>-1.026310571428574E-2</v>
      </c>
      <c r="Z23" s="125">
        <v>-4.2723214285714462E-5</v>
      </c>
      <c r="AA23" s="126">
        <v>2.1801714285714377E-4</v>
      </c>
      <c r="AB23" s="124">
        <v>0.13022528124998622</v>
      </c>
      <c r="AC23" s="125">
        <v>3.6993119047619476E-2</v>
      </c>
      <c r="AD23" s="125">
        <v>-2.778333333333368E-4</v>
      </c>
      <c r="AE23" s="125">
        <v>-2.0131978571428556E-2</v>
      </c>
      <c r="AF23" s="125">
        <v>2.1539732142857127E-4</v>
      </c>
      <c r="AG23" s="126">
        <v>-6.174285714285705E-5</v>
      </c>
      <c r="AH23" s="124">
        <v>57.034218414861726</v>
      </c>
      <c r="AI23" s="125">
        <v>-1.7700911226458396</v>
      </c>
      <c r="AJ23" s="125">
        <v>1.4453376246705504E-2</v>
      </c>
      <c r="AK23" s="125">
        <v>1.3433392483068681E-2</v>
      </c>
      <c r="AL23" s="125">
        <v>2.9803146969426144E-4</v>
      </c>
      <c r="AM23" s="126">
        <v>-9.8746668797073311E-4</v>
      </c>
      <c r="AN23" s="124">
        <v>1.8440000000000002E-2</v>
      </c>
      <c r="AO23" s="125">
        <v>1.1476200000000001</v>
      </c>
      <c r="AP23" s="125">
        <v>-0.20832999999999999</v>
      </c>
      <c r="AQ23" s="126">
        <v>4.2270000000000002E-2</v>
      </c>
      <c r="AR23" s="124">
        <v>0.88227999999999995</v>
      </c>
      <c r="AS23" s="125">
        <v>0.21052999999999999</v>
      </c>
      <c r="AT23" s="125">
        <v>-4.3889999999999998E-2</v>
      </c>
      <c r="AU23" s="126">
        <v>9.7999999999999997E-3</v>
      </c>
      <c r="AV23" s="137">
        <v>0.83230000000000004</v>
      </c>
      <c r="AW23" s="138">
        <v>1.1087</v>
      </c>
      <c r="AX23" s="95">
        <v>2</v>
      </c>
      <c r="AY23" s="96">
        <v>0.5</v>
      </c>
      <c r="AZ23" s="98">
        <v>0.5</v>
      </c>
      <c r="BA23" s="124">
        <v>0.87854949393664006</v>
      </c>
      <c r="BB23" s="134">
        <v>0.12145050606335986</v>
      </c>
      <c r="BC23" s="124">
        <v>-1.5913815578441577</v>
      </c>
      <c r="BD23" s="125">
        <v>4.2053889150508734</v>
      </c>
      <c r="BE23" s="126">
        <v>-1.614007357206716</v>
      </c>
      <c r="BF23" s="99">
        <v>2.232487582839902</v>
      </c>
      <c r="BG23" s="99">
        <v>0</v>
      </c>
    </row>
    <row r="24" spans="1:59" x14ac:dyDescent="0.25">
      <c r="A24" s="105">
        <v>32301</v>
      </c>
      <c r="B24" s="97">
        <v>3</v>
      </c>
      <c r="C24" s="89">
        <v>15</v>
      </c>
      <c r="D24" s="90">
        <v>1</v>
      </c>
      <c r="E24" s="91">
        <v>12.5</v>
      </c>
      <c r="F24" s="91">
        <v>12.09</v>
      </c>
      <c r="G24" s="90">
        <v>184139.99999999997</v>
      </c>
      <c r="H24" s="92">
        <v>0.66300000000000003</v>
      </c>
      <c r="I24" s="92">
        <v>0.23591000000000001</v>
      </c>
      <c r="J24" s="93">
        <v>2.6499999999999999E-2</v>
      </c>
      <c r="K24" s="94">
        <v>0.4</v>
      </c>
      <c r="L24" s="92">
        <v>0</v>
      </c>
      <c r="M24" s="92">
        <v>0.114</v>
      </c>
      <c r="N24" s="92">
        <v>0.02</v>
      </c>
      <c r="O24" s="95">
        <v>100</v>
      </c>
      <c r="P24" s="124">
        <v>1.954259644345242</v>
      </c>
      <c r="Q24" s="125">
        <v>-3.65021190476192E-2</v>
      </c>
      <c r="R24" s="125">
        <v>3.5616666666666826E-4</v>
      </c>
      <c r="S24" s="125">
        <v>6.2696442857142834E-3</v>
      </c>
      <c r="T24" s="125">
        <v>-4.1441964285714149E-5</v>
      </c>
      <c r="U24" s="126">
        <v>-5.1697142857143171E-5</v>
      </c>
      <c r="V24" s="124">
        <v>0.24556646130952031</v>
      </c>
      <c r="W24" s="125">
        <v>9.0507452380952577E-2</v>
      </c>
      <c r="X24" s="125">
        <v>-1.1888333333333358E-3</v>
      </c>
      <c r="Y24" s="125">
        <v>-1.026310571428574E-2</v>
      </c>
      <c r="Z24" s="125">
        <v>-4.2723214285714462E-5</v>
      </c>
      <c r="AA24" s="126">
        <v>2.1801714285714377E-4</v>
      </c>
      <c r="AB24" s="124">
        <v>0.13022528124998622</v>
      </c>
      <c r="AC24" s="125">
        <v>3.6993119047619476E-2</v>
      </c>
      <c r="AD24" s="125">
        <v>-2.778333333333368E-4</v>
      </c>
      <c r="AE24" s="125">
        <v>-2.0131978571428556E-2</v>
      </c>
      <c r="AF24" s="125">
        <v>2.1539732142857127E-4</v>
      </c>
      <c r="AG24" s="126">
        <v>-6.174285714285705E-5</v>
      </c>
      <c r="AH24" s="124">
        <v>57.034218414861726</v>
      </c>
      <c r="AI24" s="125">
        <v>-1.7700911226458396</v>
      </c>
      <c r="AJ24" s="125">
        <v>1.4453376246705504E-2</v>
      </c>
      <c r="AK24" s="125">
        <v>1.3433392483068681E-2</v>
      </c>
      <c r="AL24" s="125">
        <v>2.9803146969426144E-4</v>
      </c>
      <c r="AM24" s="126">
        <v>-9.8746668797073311E-4</v>
      </c>
      <c r="AN24" s="124">
        <v>1.8440000000000002E-2</v>
      </c>
      <c r="AO24" s="125">
        <v>1.1476200000000001</v>
      </c>
      <c r="AP24" s="125">
        <v>-0.20832999999999999</v>
      </c>
      <c r="AQ24" s="126">
        <v>4.2270000000000002E-2</v>
      </c>
      <c r="AR24" s="124">
        <v>0.88227999999999995</v>
      </c>
      <c r="AS24" s="125">
        <v>0.21052999999999999</v>
      </c>
      <c r="AT24" s="125">
        <v>-4.3889999999999998E-2</v>
      </c>
      <c r="AU24" s="126">
        <v>9.7999999999999997E-3</v>
      </c>
      <c r="AV24" s="137">
        <v>0.83230000000000004</v>
      </c>
      <c r="AW24" s="138">
        <v>1.1087</v>
      </c>
      <c r="AX24" s="95">
        <v>2</v>
      </c>
      <c r="AY24" s="96">
        <v>0.5</v>
      </c>
      <c r="AZ24" s="98">
        <v>0.5</v>
      </c>
      <c r="BA24" s="124">
        <v>0.87854949393664006</v>
      </c>
      <c r="BB24" s="134">
        <v>0.12145050606335986</v>
      </c>
      <c r="BC24" s="124">
        <v>-1.5913815578441577</v>
      </c>
      <c r="BD24" s="125">
        <v>4.2053889150508734</v>
      </c>
      <c r="BE24" s="126">
        <v>-1.614007357206716</v>
      </c>
      <c r="BF24" s="99">
        <v>2.232487582839902</v>
      </c>
      <c r="BG24" s="99">
        <v>0</v>
      </c>
    </row>
    <row r="25" spans="1:59" x14ac:dyDescent="0.25">
      <c r="A25" s="105" t="s">
        <v>347</v>
      </c>
      <c r="B25" s="97"/>
      <c r="C25" s="106"/>
      <c r="D25" s="107"/>
      <c r="E25" s="106"/>
      <c r="F25" s="108"/>
      <c r="G25" s="109"/>
      <c r="H25" s="115"/>
      <c r="I25" s="110"/>
      <c r="J25" s="107"/>
      <c r="K25" s="110"/>
      <c r="L25" s="110"/>
      <c r="M25" s="110"/>
      <c r="N25" s="110"/>
      <c r="O25" s="107"/>
      <c r="P25" s="128"/>
      <c r="Q25" s="129"/>
      <c r="R25" s="129"/>
      <c r="S25" s="129"/>
      <c r="T25" s="129"/>
      <c r="U25" s="130"/>
      <c r="V25" s="128"/>
      <c r="W25" s="129"/>
      <c r="X25" s="129"/>
      <c r="Y25" s="129"/>
      <c r="Z25" s="129"/>
      <c r="AA25" s="130"/>
      <c r="AB25" s="128"/>
      <c r="AC25" s="129"/>
      <c r="AD25" s="129"/>
      <c r="AE25" s="129"/>
      <c r="AF25" s="129"/>
      <c r="AG25" s="130"/>
      <c r="AH25" s="128"/>
      <c r="AI25" s="129"/>
      <c r="AJ25" s="129"/>
      <c r="AK25" s="129"/>
      <c r="AL25" s="129"/>
      <c r="AM25" s="130"/>
      <c r="AN25" s="128"/>
      <c r="AO25" s="129"/>
      <c r="AP25" s="129"/>
      <c r="AQ25" s="130"/>
      <c r="AR25" s="128"/>
      <c r="AS25" s="129"/>
      <c r="AT25" s="129"/>
      <c r="AU25" s="130"/>
      <c r="AV25" s="140"/>
      <c r="AW25" s="141"/>
      <c r="AX25" s="107"/>
      <c r="AY25" s="113"/>
      <c r="AZ25" s="114"/>
      <c r="BA25" s="128"/>
      <c r="BB25" s="135"/>
      <c r="BC25" s="128"/>
      <c r="BD25" s="129"/>
      <c r="BE25" s="130"/>
      <c r="BF25" s="115"/>
      <c r="BG25" s="115"/>
    </row>
    <row r="26" spans="1:59" x14ac:dyDescent="0.25">
      <c r="A26" s="105">
        <v>33001</v>
      </c>
      <c r="B26" s="97">
        <v>0</v>
      </c>
      <c r="C26" s="89">
        <v>15</v>
      </c>
      <c r="D26" s="90">
        <v>1</v>
      </c>
      <c r="E26" s="91">
        <v>10.8</v>
      </c>
      <c r="F26" s="91">
        <v>10.53</v>
      </c>
      <c r="G26" s="90">
        <v>179280</v>
      </c>
      <c r="H26" s="92">
        <v>0.69599999999999995</v>
      </c>
      <c r="I26" s="92">
        <v>0.27372000000000002</v>
      </c>
      <c r="J26" s="93">
        <v>2.7199999999999998E-2</v>
      </c>
      <c r="K26" s="94">
        <v>0.41</v>
      </c>
      <c r="L26" s="92">
        <v>0</v>
      </c>
      <c r="M26" s="92">
        <v>9.9000000000000005E-2</v>
      </c>
      <c r="N26" s="92">
        <v>0.02</v>
      </c>
      <c r="O26" s="95">
        <v>100</v>
      </c>
      <c r="P26" s="124">
        <v>3.5045994672619085</v>
      </c>
      <c r="Q26" s="125">
        <v>-8.081942857142882E-2</v>
      </c>
      <c r="R26" s="125">
        <v>8.0266666666666962E-4</v>
      </c>
      <c r="S26" s="125">
        <v>3.6514571428575152E-4</v>
      </c>
      <c r="T26" s="125">
        <v>8.2232142857143871E-6</v>
      </c>
      <c r="U26" s="126">
        <v>-1.2596571428571515E-4</v>
      </c>
      <c r="V26" s="124">
        <v>-4.8753735029762026</v>
      </c>
      <c r="W26" s="125">
        <v>0.25179402380952443</v>
      </c>
      <c r="X26" s="125">
        <v>-2.3868333333333415E-3</v>
      </c>
      <c r="Y26" s="125">
        <v>-1.7725722857142908E-2</v>
      </c>
      <c r="Z26" s="125">
        <v>-1.2758928571429239E-5</v>
      </c>
      <c r="AA26" s="126">
        <v>2.3861142857143128E-4</v>
      </c>
      <c r="AB26" s="124">
        <v>-2.0067378437500141</v>
      </c>
      <c r="AC26" s="125">
        <v>8.4378500000000481E-2</v>
      </c>
      <c r="AD26" s="125">
        <v>-6.6750000000000446E-4</v>
      </c>
      <c r="AE26" s="125">
        <v>-3.2537042857142874E-3</v>
      </c>
      <c r="AF26" s="125">
        <v>1.2652232142857118E-4</v>
      </c>
      <c r="AG26" s="126">
        <v>-7.5879999999999348E-5</v>
      </c>
      <c r="AH26" s="124">
        <v>172.18451260006844</v>
      </c>
      <c r="AI26" s="125">
        <v>-5.5221207424365302</v>
      </c>
      <c r="AJ26" s="125">
        <v>4.5802729236576099E-2</v>
      </c>
      <c r="AK26" s="125">
        <v>0.14324402288029661</v>
      </c>
      <c r="AL26" s="125">
        <v>6.5847194330188202E-4</v>
      </c>
      <c r="AM26" s="126">
        <v>-4.1416757049078899E-3</v>
      </c>
      <c r="AN26" s="124">
        <v>1.8429999999999998E-2</v>
      </c>
      <c r="AO26" s="125">
        <v>1.1476200000000001</v>
      </c>
      <c r="AP26" s="125">
        <v>-0.20832999999999999</v>
      </c>
      <c r="AQ26" s="126">
        <v>4.2270000000000002E-2</v>
      </c>
      <c r="AR26" s="124">
        <v>0.85236000000000001</v>
      </c>
      <c r="AS26" s="125">
        <v>0.20333000000000001</v>
      </c>
      <c r="AT26" s="125">
        <v>-4.2259999999999999E-2</v>
      </c>
      <c r="AU26" s="126">
        <v>9.3799999999999994E-3</v>
      </c>
      <c r="AV26" s="137">
        <v>0.8024</v>
      </c>
      <c r="AW26" s="138">
        <v>1.0728</v>
      </c>
      <c r="AX26" s="95">
        <v>2</v>
      </c>
      <c r="AY26" s="96">
        <v>0.5</v>
      </c>
      <c r="AZ26" s="96">
        <v>0.5</v>
      </c>
      <c r="BA26" s="124">
        <v>0.84615384615384603</v>
      </c>
      <c r="BB26" s="134">
        <v>0.15384615384615397</v>
      </c>
      <c r="BC26" s="124">
        <v>0.19661222020568508</v>
      </c>
      <c r="BD26" s="125">
        <v>1.1131276467029674</v>
      </c>
      <c r="BE26" s="126">
        <v>-0.30973986690865235</v>
      </c>
      <c r="BF26" s="96">
        <v>2.9094241605024971</v>
      </c>
      <c r="BG26" s="96">
        <v>0</v>
      </c>
    </row>
    <row r="27" spans="1:59" x14ac:dyDescent="0.25">
      <c r="A27" s="105">
        <v>33101</v>
      </c>
      <c r="B27" s="97">
        <v>1</v>
      </c>
      <c r="C27" s="89">
        <v>15</v>
      </c>
      <c r="D27" s="90">
        <v>1</v>
      </c>
      <c r="E27" s="91">
        <v>11.5</v>
      </c>
      <c r="F27" s="91">
        <v>11.21</v>
      </c>
      <c r="G27" s="90">
        <v>179280</v>
      </c>
      <c r="H27" s="92">
        <v>0.69599999999999995</v>
      </c>
      <c r="I27" s="92">
        <v>0.25480999999999998</v>
      </c>
      <c r="J27" s="93">
        <v>2.7199999999999998E-2</v>
      </c>
      <c r="K27" s="94">
        <v>0.41</v>
      </c>
      <c r="L27" s="92">
        <v>0</v>
      </c>
      <c r="M27" s="92">
        <v>9.9000000000000005E-2</v>
      </c>
      <c r="N27" s="92">
        <v>0.02</v>
      </c>
      <c r="O27" s="95">
        <v>100</v>
      </c>
      <c r="P27" s="124">
        <v>3.5045994672619085</v>
      </c>
      <c r="Q27" s="125">
        <v>-8.081942857142882E-2</v>
      </c>
      <c r="R27" s="125">
        <v>8.0266666666666962E-4</v>
      </c>
      <c r="S27" s="125">
        <v>3.6514571428575152E-4</v>
      </c>
      <c r="T27" s="125">
        <v>8.2232142857143871E-6</v>
      </c>
      <c r="U27" s="126">
        <v>-1.2596571428571515E-4</v>
      </c>
      <c r="V27" s="124">
        <v>-4.8753735029762026</v>
      </c>
      <c r="W27" s="125">
        <v>0.25179402380952443</v>
      </c>
      <c r="X27" s="125">
        <v>-2.3868333333333415E-3</v>
      </c>
      <c r="Y27" s="125">
        <v>-1.7725722857142908E-2</v>
      </c>
      <c r="Z27" s="125">
        <v>-1.2758928571429239E-5</v>
      </c>
      <c r="AA27" s="126">
        <v>2.3861142857143128E-4</v>
      </c>
      <c r="AB27" s="124">
        <v>-2.0067378437500141</v>
      </c>
      <c r="AC27" s="125">
        <v>8.4378500000000481E-2</v>
      </c>
      <c r="AD27" s="125">
        <v>-6.6750000000000446E-4</v>
      </c>
      <c r="AE27" s="125">
        <v>-3.2537042857142874E-3</v>
      </c>
      <c r="AF27" s="125">
        <v>1.2652232142857118E-4</v>
      </c>
      <c r="AG27" s="126">
        <v>-7.5879999999999348E-5</v>
      </c>
      <c r="AH27" s="124">
        <v>172.18451260006844</v>
      </c>
      <c r="AI27" s="125">
        <v>-5.5221207424365302</v>
      </c>
      <c r="AJ27" s="125">
        <v>4.5802729236576099E-2</v>
      </c>
      <c r="AK27" s="125">
        <v>0.14324402288029661</v>
      </c>
      <c r="AL27" s="125">
        <v>6.5847194330188202E-4</v>
      </c>
      <c r="AM27" s="126">
        <v>-4.1416757049078899E-3</v>
      </c>
      <c r="AN27" s="124">
        <v>1.8429999999999998E-2</v>
      </c>
      <c r="AO27" s="125">
        <v>1.1476200000000001</v>
      </c>
      <c r="AP27" s="125">
        <v>-0.20832999999999999</v>
      </c>
      <c r="AQ27" s="126">
        <v>4.2270000000000002E-2</v>
      </c>
      <c r="AR27" s="124">
        <v>0.85236000000000001</v>
      </c>
      <c r="AS27" s="125">
        <v>0.20333000000000001</v>
      </c>
      <c r="AT27" s="125">
        <v>-4.2259999999999999E-2</v>
      </c>
      <c r="AU27" s="126">
        <v>9.3799999999999994E-3</v>
      </c>
      <c r="AV27" s="138">
        <v>0.8024</v>
      </c>
      <c r="AW27" s="138">
        <v>1.0728</v>
      </c>
      <c r="AX27" s="95">
        <v>2</v>
      </c>
      <c r="AY27" s="96">
        <v>0.5</v>
      </c>
      <c r="AZ27" s="96">
        <v>0.5</v>
      </c>
      <c r="BA27" s="124">
        <v>0.84615384615384603</v>
      </c>
      <c r="BB27" s="134">
        <v>0.15384615384615397</v>
      </c>
      <c r="BC27" s="124">
        <v>0.19661222020568508</v>
      </c>
      <c r="BD27" s="125">
        <v>1.1131276467029674</v>
      </c>
      <c r="BE27" s="126">
        <v>-0.30973986690865235</v>
      </c>
      <c r="BF27" s="96">
        <v>2.9094241605024971</v>
      </c>
      <c r="BG27" s="96">
        <v>0</v>
      </c>
    </row>
    <row r="28" spans="1:59" x14ac:dyDescent="0.25">
      <c r="A28" s="105">
        <v>33201</v>
      </c>
      <c r="B28" s="97">
        <v>2</v>
      </c>
      <c r="C28" s="89">
        <v>15</v>
      </c>
      <c r="D28" s="90">
        <v>1</v>
      </c>
      <c r="E28" s="91">
        <v>12</v>
      </c>
      <c r="F28" s="91">
        <v>11.69</v>
      </c>
      <c r="G28" s="90">
        <v>179280</v>
      </c>
      <c r="H28" s="92">
        <v>0.69599999999999995</v>
      </c>
      <c r="I28" s="92">
        <v>0.24278</v>
      </c>
      <c r="J28" s="93">
        <v>2.7199999999999998E-2</v>
      </c>
      <c r="K28" s="94">
        <v>0.41</v>
      </c>
      <c r="L28" s="92">
        <v>0</v>
      </c>
      <c r="M28" s="92">
        <v>9.9000000000000005E-2</v>
      </c>
      <c r="N28" s="92">
        <v>0.02</v>
      </c>
      <c r="O28" s="95">
        <v>100</v>
      </c>
      <c r="P28" s="124">
        <v>3.5045994672619085</v>
      </c>
      <c r="Q28" s="125">
        <v>-8.081942857142882E-2</v>
      </c>
      <c r="R28" s="125">
        <v>8.0266666666666962E-4</v>
      </c>
      <c r="S28" s="125">
        <v>3.6514571428575152E-4</v>
      </c>
      <c r="T28" s="125">
        <v>8.2232142857143871E-6</v>
      </c>
      <c r="U28" s="126">
        <v>-1.2596571428571515E-4</v>
      </c>
      <c r="V28" s="124">
        <v>-4.8753735029762026</v>
      </c>
      <c r="W28" s="125">
        <v>0.25179402380952443</v>
      </c>
      <c r="X28" s="125">
        <v>-2.3868333333333415E-3</v>
      </c>
      <c r="Y28" s="125">
        <v>-1.7725722857142908E-2</v>
      </c>
      <c r="Z28" s="125">
        <v>-1.2758928571429239E-5</v>
      </c>
      <c r="AA28" s="126">
        <v>2.3861142857143128E-4</v>
      </c>
      <c r="AB28" s="124">
        <v>-2.0067378437500141</v>
      </c>
      <c r="AC28" s="125">
        <v>8.4378500000000481E-2</v>
      </c>
      <c r="AD28" s="125">
        <v>-6.6750000000000446E-4</v>
      </c>
      <c r="AE28" s="125">
        <v>-3.2537042857142874E-3</v>
      </c>
      <c r="AF28" s="125">
        <v>1.2652232142857118E-4</v>
      </c>
      <c r="AG28" s="126">
        <v>-7.5879999999999348E-5</v>
      </c>
      <c r="AH28" s="124">
        <v>172.18451260006844</v>
      </c>
      <c r="AI28" s="125">
        <v>-5.5221207424365302</v>
      </c>
      <c r="AJ28" s="125">
        <v>4.5802729236576099E-2</v>
      </c>
      <c r="AK28" s="125">
        <v>0.14324402288029661</v>
      </c>
      <c r="AL28" s="125">
        <v>6.5847194330188202E-4</v>
      </c>
      <c r="AM28" s="126">
        <v>-4.1416757049078899E-3</v>
      </c>
      <c r="AN28" s="124">
        <v>1.8429999999999998E-2</v>
      </c>
      <c r="AO28" s="125">
        <v>1.1476200000000001</v>
      </c>
      <c r="AP28" s="125">
        <v>-0.20832999999999999</v>
      </c>
      <c r="AQ28" s="126">
        <v>4.2270000000000002E-2</v>
      </c>
      <c r="AR28" s="124">
        <v>0.85236000000000001</v>
      </c>
      <c r="AS28" s="125">
        <v>0.20333000000000001</v>
      </c>
      <c r="AT28" s="125">
        <v>-4.2259999999999999E-2</v>
      </c>
      <c r="AU28" s="126">
        <v>9.3799999999999994E-3</v>
      </c>
      <c r="AV28" s="137">
        <v>0.8024</v>
      </c>
      <c r="AW28" s="138">
        <v>1.0728</v>
      </c>
      <c r="AX28" s="95">
        <v>2</v>
      </c>
      <c r="AY28" s="96">
        <v>0.5</v>
      </c>
      <c r="AZ28" s="98">
        <v>0.5</v>
      </c>
      <c r="BA28" s="124">
        <v>0.84615384615384603</v>
      </c>
      <c r="BB28" s="134">
        <v>0.15384615384615397</v>
      </c>
      <c r="BC28" s="124">
        <v>0.19661222020568508</v>
      </c>
      <c r="BD28" s="125">
        <v>1.1131276467029674</v>
      </c>
      <c r="BE28" s="126">
        <v>-0.30973986690865235</v>
      </c>
      <c r="BF28" s="99">
        <v>2.9094241605024971</v>
      </c>
      <c r="BG28" s="99">
        <v>0</v>
      </c>
    </row>
    <row r="29" spans="1:59" x14ac:dyDescent="0.25">
      <c r="A29" s="105">
        <v>33301</v>
      </c>
      <c r="B29" s="97">
        <v>3</v>
      </c>
      <c r="C29" s="89">
        <v>15</v>
      </c>
      <c r="D29" s="90">
        <v>1</v>
      </c>
      <c r="E29" s="91">
        <v>12.5</v>
      </c>
      <c r="F29" s="91">
        <v>12.18</v>
      </c>
      <c r="G29" s="90">
        <v>179280</v>
      </c>
      <c r="H29" s="92">
        <v>0.69599999999999995</v>
      </c>
      <c r="I29" s="92">
        <v>0.23149</v>
      </c>
      <c r="J29" s="93">
        <v>2.7199999999999998E-2</v>
      </c>
      <c r="K29" s="94">
        <v>0.41</v>
      </c>
      <c r="L29" s="92">
        <v>0</v>
      </c>
      <c r="M29" s="92">
        <v>9.9000000000000005E-2</v>
      </c>
      <c r="N29" s="92">
        <v>0.02</v>
      </c>
      <c r="O29" s="95">
        <v>100</v>
      </c>
      <c r="P29" s="124">
        <v>3.5045994672619085</v>
      </c>
      <c r="Q29" s="125">
        <v>-8.081942857142882E-2</v>
      </c>
      <c r="R29" s="125">
        <v>8.0266666666666962E-4</v>
      </c>
      <c r="S29" s="125">
        <v>3.6514571428575152E-4</v>
      </c>
      <c r="T29" s="125">
        <v>8.2232142857143871E-6</v>
      </c>
      <c r="U29" s="126">
        <v>-1.2596571428571515E-4</v>
      </c>
      <c r="V29" s="124">
        <v>-4.8753735029762026</v>
      </c>
      <c r="W29" s="125">
        <v>0.25179402380952443</v>
      </c>
      <c r="X29" s="125">
        <v>-2.3868333333333415E-3</v>
      </c>
      <c r="Y29" s="125">
        <v>-1.7725722857142908E-2</v>
      </c>
      <c r="Z29" s="125">
        <v>-1.2758928571429239E-5</v>
      </c>
      <c r="AA29" s="126">
        <v>2.3861142857143128E-4</v>
      </c>
      <c r="AB29" s="124">
        <v>-2.0067378437500141</v>
      </c>
      <c r="AC29" s="125">
        <v>8.4378500000000481E-2</v>
      </c>
      <c r="AD29" s="125">
        <v>-6.6750000000000446E-4</v>
      </c>
      <c r="AE29" s="125">
        <v>-3.2537042857142874E-3</v>
      </c>
      <c r="AF29" s="125">
        <v>1.2652232142857118E-4</v>
      </c>
      <c r="AG29" s="126">
        <v>-7.5879999999999348E-5</v>
      </c>
      <c r="AH29" s="124">
        <v>172.18451260006844</v>
      </c>
      <c r="AI29" s="125">
        <v>-5.5221207424365302</v>
      </c>
      <c r="AJ29" s="125">
        <v>4.5802729236576099E-2</v>
      </c>
      <c r="AK29" s="125">
        <v>0.14324402288029661</v>
      </c>
      <c r="AL29" s="125">
        <v>6.5847194330188202E-4</v>
      </c>
      <c r="AM29" s="126">
        <v>-4.1416757049078899E-3</v>
      </c>
      <c r="AN29" s="124">
        <v>1.8429999999999998E-2</v>
      </c>
      <c r="AO29" s="125">
        <v>1.1476200000000001</v>
      </c>
      <c r="AP29" s="125">
        <v>-0.20832999999999999</v>
      </c>
      <c r="AQ29" s="126">
        <v>4.2270000000000002E-2</v>
      </c>
      <c r="AR29" s="124">
        <v>0.85236000000000001</v>
      </c>
      <c r="AS29" s="125">
        <v>0.20333000000000001</v>
      </c>
      <c r="AT29" s="125">
        <v>-4.2259999999999999E-2</v>
      </c>
      <c r="AU29" s="126">
        <v>9.3799999999999994E-3</v>
      </c>
      <c r="AV29" s="137">
        <v>0.8024</v>
      </c>
      <c r="AW29" s="138">
        <v>1.0728</v>
      </c>
      <c r="AX29" s="95">
        <v>2</v>
      </c>
      <c r="AY29" s="96">
        <v>0.5</v>
      </c>
      <c r="AZ29" s="98">
        <v>0.5</v>
      </c>
      <c r="BA29" s="124">
        <v>0.84615384615384603</v>
      </c>
      <c r="BB29" s="134">
        <v>0.15384615384615397</v>
      </c>
      <c r="BC29" s="124">
        <v>0.19661222020568508</v>
      </c>
      <c r="BD29" s="125">
        <v>1.1131276467029674</v>
      </c>
      <c r="BE29" s="126">
        <v>-0.30973986690865235</v>
      </c>
      <c r="BF29" s="99">
        <v>2.9094241605024971</v>
      </c>
      <c r="BG29" s="99">
        <v>0</v>
      </c>
    </row>
    <row r="30" spans="1:59" x14ac:dyDescent="0.25">
      <c r="A30" s="105" t="s">
        <v>348</v>
      </c>
      <c r="B30" s="97"/>
      <c r="C30" s="106"/>
      <c r="D30" s="117"/>
      <c r="E30" s="118"/>
      <c r="F30" s="119"/>
      <c r="G30" s="120"/>
      <c r="H30" s="121"/>
      <c r="I30" s="122"/>
      <c r="J30" s="123"/>
      <c r="K30" s="121"/>
      <c r="L30" s="110"/>
      <c r="M30" s="122"/>
      <c r="N30" s="122"/>
      <c r="O30" s="117"/>
      <c r="P30" s="131"/>
      <c r="Q30" s="132"/>
      <c r="R30" s="132"/>
      <c r="S30" s="132"/>
      <c r="T30" s="132"/>
      <c r="U30" s="133"/>
      <c r="V30" s="131"/>
      <c r="W30" s="132"/>
      <c r="X30" s="132"/>
      <c r="Y30" s="132"/>
      <c r="Z30" s="132"/>
      <c r="AA30" s="133"/>
      <c r="AB30" s="131"/>
      <c r="AC30" s="132"/>
      <c r="AD30" s="132"/>
      <c r="AE30" s="132"/>
      <c r="AF30" s="132"/>
      <c r="AG30" s="133"/>
      <c r="AH30" s="131"/>
      <c r="AI30" s="132"/>
      <c r="AJ30" s="132"/>
      <c r="AK30" s="132"/>
      <c r="AL30" s="132"/>
      <c r="AM30" s="133"/>
      <c r="AN30" s="131"/>
      <c r="AO30" s="132"/>
      <c r="AP30" s="132"/>
      <c r="AQ30" s="133"/>
      <c r="AR30" s="131"/>
      <c r="AS30" s="132"/>
      <c r="AT30" s="132"/>
      <c r="AU30" s="133"/>
      <c r="AV30" s="140"/>
      <c r="AW30" s="141"/>
      <c r="AX30" s="117"/>
      <c r="AY30" s="113"/>
      <c r="AZ30" s="114"/>
      <c r="BA30" s="131"/>
      <c r="BB30" s="136"/>
      <c r="BC30" s="131"/>
      <c r="BD30" s="132"/>
      <c r="BE30" s="133"/>
      <c r="BF30" s="115"/>
      <c r="BG30" s="115"/>
    </row>
    <row r="31" spans="1:59" x14ac:dyDescent="0.25">
      <c r="A31" s="105">
        <v>34001</v>
      </c>
      <c r="B31" s="97">
        <v>0</v>
      </c>
      <c r="C31" s="89">
        <v>40</v>
      </c>
      <c r="D31" s="90">
        <v>1</v>
      </c>
      <c r="E31" s="91">
        <v>10</v>
      </c>
      <c r="F31" s="91">
        <v>9.17</v>
      </c>
      <c r="G31" s="90">
        <v>485760</v>
      </c>
      <c r="H31" s="92">
        <v>0.70799999999999996</v>
      </c>
      <c r="I31" s="92">
        <v>0.28182000000000001</v>
      </c>
      <c r="J31" s="93">
        <v>2.6800000000000001E-2</v>
      </c>
      <c r="K31" s="94">
        <v>0.72</v>
      </c>
      <c r="L31" s="92">
        <v>0</v>
      </c>
      <c r="M31" s="92">
        <v>0.125</v>
      </c>
      <c r="N31" s="92">
        <v>0.01</v>
      </c>
      <c r="O31" s="95">
        <v>100</v>
      </c>
      <c r="P31" s="124">
        <v>1.4770536607142892</v>
      </c>
      <c r="Q31" s="125">
        <v>-2.873590000000013E-2</v>
      </c>
      <c r="R31" s="125">
        <v>3.8020000000000133E-4</v>
      </c>
      <c r="S31" s="125">
        <v>2.2055071428571556E-3</v>
      </c>
      <c r="T31" s="125">
        <v>-1.3982142857142781E-5</v>
      </c>
      <c r="U31" s="126">
        <v>-5.3700000000000411E-5</v>
      </c>
      <c r="V31" s="124">
        <v>1.5063283607142854</v>
      </c>
      <c r="W31" s="125">
        <v>4.3130100000000102E-2</v>
      </c>
      <c r="X31" s="125">
        <v>-7.2060000000000158E-4</v>
      </c>
      <c r="Y31" s="125">
        <v>-1.2657872857142911E-2</v>
      </c>
      <c r="Z31" s="125">
        <v>-9.9821428571428907E-6</v>
      </c>
      <c r="AA31" s="126">
        <v>1.7774000000000094E-4</v>
      </c>
      <c r="AB31" s="124">
        <v>-0.5558687500000028</v>
      </c>
      <c r="AC31" s="125">
        <v>3.2990600000000064E-2</v>
      </c>
      <c r="AD31" s="125">
        <v>-1.4780000000000056E-4</v>
      </c>
      <c r="AE31" s="125">
        <v>5.9216400000000136E-3</v>
      </c>
      <c r="AF31" s="125">
        <v>1.6174999999999987E-4</v>
      </c>
      <c r="AG31" s="126">
        <v>-3.1631999999999987E-4</v>
      </c>
      <c r="AH31" s="124">
        <v>36.560511954602745</v>
      </c>
      <c r="AI31" s="125">
        <v>-1.3552886069646848</v>
      </c>
      <c r="AJ31" s="125">
        <v>1.0827356642104694E-2</v>
      </c>
      <c r="AK31" s="125">
        <v>0.1936042720528921</v>
      </c>
      <c r="AL31" s="125">
        <v>-6.8253111231949073E-4</v>
      </c>
      <c r="AM31" s="126">
        <v>-8.7867114072555819E-4</v>
      </c>
      <c r="AN31" s="124">
        <v>0.12411999999999999</v>
      </c>
      <c r="AO31" s="125">
        <v>0.37624000000000002</v>
      </c>
      <c r="AP31" s="125">
        <v>1.2934600000000001</v>
      </c>
      <c r="AQ31" s="126">
        <v>-0.79381999999999997</v>
      </c>
      <c r="AR31" s="124">
        <v>0</v>
      </c>
      <c r="AS31" s="125">
        <v>1</v>
      </c>
      <c r="AT31" s="125">
        <v>0</v>
      </c>
      <c r="AU31" s="126">
        <v>0</v>
      </c>
      <c r="AV31" s="137">
        <v>0.1</v>
      </c>
      <c r="AW31" s="138">
        <v>1</v>
      </c>
      <c r="AX31" s="95">
        <v>1</v>
      </c>
      <c r="AY31" s="96">
        <v>0.17</v>
      </c>
      <c r="AZ31" s="96">
        <v>0.24</v>
      </c>
      <c r="BA31" s="124">
        <v>0.78305785123966942</v>
      </c>
      <c r="BB31" s="134">
        <v>0.21694214876033058</v>
      </c>
      <c r="BC31" s="124">
        <v>0.42236024844720538</v>
      </c>
      <c r="BD31" s="125">
        <v>0.68944099378881907</v>
      </c>
      <c r="BE31" s="126">
        <v>-0.1118012422360245</v>
      </c>
      <c r="BF31" s="96">
        <v>2.4182010533682834</v>
      </c>
      <c r="BG31" s="96">
        <v>0</v>
      </c>
    </row>
    <row r="32" spans="1:59" x14ac:dyDescent="0.25">
      <c r="A32" s="105">
        <v>34101</v>
      </c>
      <c r="B32" s="97">
        <v>1</v>
      </c>
      <c r="C32" s="89">
        <v>40</v>
      </c>
      <c r="D32" s="90">
        <v>1</v>
      </c>
      <c r="E32" s="91">
        <v>10.8</v>
      </c>
      <c r="F32" s="91">
        <v>9.9</v>
      </c>
      <c r="G32" s="90">
        <v>485760</v>
      </c>
      <c r="H32" s="92">
        <v>0.70799999999999996</v>
      </c>
      <c r="I32" s="92">
        <v>0.25618999999999997</v>
      </c>
      <c r="J32" s="93">
        <v>2.6800000000000001E-2</v>
      </c>
      <c r="K32" s="94">
        <v>0.72</v>
      </c>
      <c r="L32" s="92">
        <v>0</v>
      </c>
      <c r="M32" s="92">
        <v>0.125</v>
      </c>
      <c r="N32" s="92">
        <v>0.01</v>
      </c>
      <c r="O32" s="95">
        <v>100</v>
      </c>
      <c r="P32" s="124">
        <v>1.4770536607142892</v>
      </c>
      <c r="Q32" s="125">
        <v>-2.873590000000013E-2</v>
      </c>
      <c r="R32" s="125">
        <v>3.8020000000000133E-4</v>
      </c>
      <c r="S32" s="125">
        <v>2.2055071428571556E-3</v>
      </c>
      <c r="T32" s="125">
        <v>-1.3982142857142781E-5</v>
      </c>
      <c r="U32" s="126">
        <v>-5.3700000000000411E-5</v>
      </c>
      <c r="V32" s="124">
        <v>1.5063283607142854</v>
      </c>
      <c r="W32" s="125">
        <v>4.3130100000000102E-2</v>
      </c>
      <c r="X32" s="125">
        <v>-7.2060000000000158E-4</v>
      </c>
      <c r="Y32" s="125">
        <v>-1.2657872857142911E-2</v>
      </c>
      <c r="Z32" s="125">
        <v>-9.9821428571428907E-6</v>
      </c>
      <c r="AA32" s="126">
        <v>1.7774000000000094E-4</v>
      </c>
      <c r="AB32" s="124">
        <v>-0.5558687500000028</v>
      </c>
      <c r="AC32" s="125">
        <v>3.2990600000000064E-2</v>
      </c>
      <c r="AD32" s="125">
        <v>-1.4780000000000056E-4</v>
      </c>
      <c r="AE32" s="125">
        <v>5.9216400000000136E-3</v>
      </c>
      <c r="AF32" s="125">
        <v>1.6174999999999987E-4</v>
      </c>
      <c r="AG32" s="126">
        <v>-3.1631999999999987E-4</v>
      </c>
      <c r="AH32" s="124">
        <v>36.560511954602745</v>
      </c>
      <c r="AI32" s="125">
        <v>-1.3552886069646848</v>
      </c>
      <c r="AJ32" s="125">
        <v>1.0827356642104694E-2</v>
      </c>
      <c r="AK32" s="125">
        <v>0.1936042720528921</v>
      </c>
      <c r="AL32" s="125">
        <v>-6.8253111231949073E-4</v>
      </c>
      <c r="AM32" s="126">
        <v>-8.7867114072555819E-4</v>
      </c>
      <c r="AN32" s="124">
        <v>0.12411999999999999</v>
      </c>
      <c r="AO32" s="125">
        <v>0.37624000000000002</v>
      </c>
      <c r="AP32" s="125">
        <v>1.2934600000000001</v>
      </c>
      <c r="AQ32" s="126">
        <v>-0.79381999999999997</v>
      </c>
      <c r="AR32" s="124">
        <v>0</v>
      </c>
      <c r="AS32" s="125">
        <v>1</v>
      </c>
      <c r="AT32" s="125">
        <v>0</v>
      </c>
      <c r="AU32" s="126">
        <v>0</v>
      </c>
      <c r="AV32" s="138">
        <v>0.1</v>
      </c>
      <c r="AW32" s="138">
        <v>1</v>
      </c>
      <c r="AX32" s="95">
        <v>1</v>
      </c>
      <c r="AY32" s="96">
        <v>0.17</v>
      </c>
      <c r="AZ32" s="96">
        <v>0.24</v>
      </c>
      <c r="BA32" s="124">
        <v>0.78305785123966942</v>
      </c>
      <c r="BB32" s="134">
        <v>0.21694214876033058</v>
      </c>
      <c r="BC32" s="124">
        <v>0.42236024844720538</v>
      </c>
      <c r="BD32" s="125">
        <v>0.68944099378881907</v>
      </c>
      <c r="BE32" s="126">
        <v>-0.1118012422360245</v>
      </c>
      <c r="BF32" s="96">
        <v>2.4182010533682834</v>
      </c>
      <c r="BG32" s="96">
        <v>0</v>
      </c>
    </row>
    <row r="33" spans="1:59" x14ac:dyDescent="0.25">
      <c r="A33" s="105">
        <v>34201</v>
      </c>
      <c r="B33" s="97">
        <v>2</v>
      </c>
      <c r="C33" s="89">
        <v>40</v>
      </c>
      <c r="D33" s="90">
        <v>1</v>
      </c>
      <c r="E33" s="91">
        <v>11.5</v>
      </c>
      <c r="F33" s="91">
        <v>10.54</v>
      </c>
      <c r="G33" s="90">
        <v>485760</v>
      </c>
      <c r="H33" s="92">
        <v>0.70799999999999996</v>
      </c>
      <c r="I33" s="92">
        <v>0.23663000000000001</v>
      </c>
      <c r="J33" s="93">
        <v>2.6800000000000001E-2</v>
      </c>
      <c r="K33" s="94">
        <v>0.72</v>
      </c>
      <c r="L33" s="92">
        <v>0</v>
      </c>
      <c r="M33" s="92">
        <v>0.125</v>
      </c>
      <c r="N33" s="92">
        <v>0.01</v>
      </c>
      <c r="O33" s="95">
        <v>100</v>
      </c>
      <c r="P33" s="124">
        <v>1.4770536607142892</v>
      </c>
      <c r="Q33" s="125">
        <v>-2.873590000000013E-2</v>
      </c>
      <c r="R33" s="125">
        <v>3.8020000000000133E-4</v>
      </c>
      <c r="S33" s="125">
        <v>2.2055071428571556E-3</v>
      </c>
      <c r="T33" s="125">
        <v>-1.3982142857142781E-5</v>
      </c>
      <c r="U33" s="126">
        <v>-5.3700000000000411E-5</v>
      </c>
      <c r="V33" s="124">
        <v>1.5063283607142854</v>
      </c>
      <c r="W33" s="125">
        <v>4.3130100000000102E-2</v>
      </c>
      <c r="X33" s="125">
        <v>-7.2060000000000158E-4</v>
      </c>
      <c r="Y33" s="125">
        <v>-1.2657872857142911E-2</v>
      </c>
      <c r="Z33" s="125">
        <v>-9.9821428571428907E-6</v>
      </c>
      <c r="AA33" s="126">
        <v>1.7774000000000094E-4</v>
      </c>
      <c r="AB33" s="124">
        <v>-0.5558687500000028</v>
      </c>
      <c r="AC33" s="125">
        <v>3.2990600000000064E-2</v>
      </c>
      <c r="AD33" s="125">
        <v>-1.4780000000000056E-4</v>
      </c>
      <c r="AE33" s="125">
        <v>5.9216400000000136E-3</v>
      </c>
      <c r="AF33" s="125">
        <v>1.6174999999999987E-4</v>
      </c>
      <c r="AG33" s="126">
        <v>-3.1631999999999987E-4</v>
      </c>
      <c r="AH33" s="124">
        <v>36.560511954602745</v>
      </c>
      <c r="AI33" s="125">
        <v>-1.3552886069646848</v>
      </c>
      <c r="AJ33" s="125">
        <v>1.0827356642104694E-2</v>
      </c>
      <c r="AK33" s="125">
        <v>0.1936042720528921</v>
      </c>
      <c r="AL33" s="125">
        <v>-6.8253111231949073E-4</v>
      </c>
      <c r="AM33" s="126">
        <v>-8.7867114072555819E-4</v>
      </c>
      <c r="AN33" s="124">
        <v>0.12411999999999999</v>
      </c>
      <c r="AO33" s="125">
        <v>0.37624000000000002</v>
      </c>
      <c r="AP33" s="125">
        <v>1.2934600000000001</v>
      </c>
      <c r="AQ33" s="126">
        <v>-0.79381999999999997</v>
      </c>
      <c r="AR33" s="124">
        <v>0</v>
      </c>
      <c r="AS33" s="125">
        <v>1</v>
      </c>
      <c r="AT33" s="125">
        <v>0</v>
      </c>
      <c r="AU33" s="126">
        <v>0</v>
      </c>
      <c r="AV33" s="137">
        <v>0.1</v>
      </c>
      <c r="AW33" s="138">
        <v>1</v>
      </c>
      <c r="AX33" s="95">
        <v>1</v>
      </c>
      <c r="AY33" s="96">
        <v>0.17</v>
      </c>
      <c r="AZ33" s="98">
        <v>0.24</v>
      </c>
      <c r="BA33" s="124">
        <v>0.78305785123966942</v>
      </c>
      <c r="BB33" s="134">
        <v>0.21694214876033058</v>
      </c>
      <c r="BC33" s="124">
        <v>0.42236024844720538</v>
      </c>
      <c r="BD33" s="125">
        <v>0.68944099378881907</v>
      </c>
      <c r="BE33" s="126">
        <v>-0.1118012422360245</v>
      </c>
      <c r="BF33" s="99">
        <v>2.4182010533682834</v>
      </c>
      <c r="BG33" s="99">
        <v>0</v>
      </c>
    </row>
    <row r="34" spans="1:59" x14ac:dyDescent="0.25">
      <c r="A34" s="105">
        <v>34301</v>
      </c>
      <c r="B34" s="97">
        <v>3</v>
      </c>
      <c r="C34" s="89">
        <v>40</v>
      </c>
      <c r="D34" s="90">
        <v>1</v>
      </c>
      <c r="E34" s="91">
        <v>12.5</v>
      </c>
      <c r="F34" s="91">
        <v>11.46</v>
      </c>
      <c r="G34" s="90">
        <v>485760</v>
      </c>
      <c r="H34" s="92">
        <v>0.70799999999999996</v>
      </c>
      <c r="I34" s="92">
        <v>0.21235000000000001</v>
      </c>
      <c r="J34" s="93">
        <v>2.6800000000000001E-2</v>
      </c>
      <c r="K34" s="94">
        <v>0.72</v>
      </c>
      <c r="L34" s="92">
        <v>0</v>
      </c>
      <c r="M34" s="92">
        <v>0.125</v>
      </c>
      <c r="N34" s="92">
        <v>0.01</v>
      </c>
      <c r="O34" s="95">
        <v>100</v>
      </c>
      <c r="P34" s="124">
        <v>1.4770536607142892</v>
      </c>
      <c r="Q34" s="125">
        <v>-2.873590000000013E-2</v>
      </c>
      <c r="R34" s="125">
        <v>3.8020000000000133E-4</v>
      </c>
      <c r="S34" s="125">
        <v>2.2055071428571556E-3</v>
      </c>
      <c r="T34" s="125">
        <v>-1.3982142857142781E-5</v>
      </c>
      <c r="U34" s="126">
        <v>-5.3700000000000411E-5</v>
      </c>
      <c r="V34" s="124">
        <v>1.5063283607142854</v>
      </c>
      <c r="W34" s="125">
        <v>4.3130100000000102E-2</v>
      </c>
      <c r="X34" s="125">
        <v>-7.2060000000000158E-4</v>
      </c>
      <c r="Y34" s="125">
        <v>-1.2657872857142911E-2</v>
      </c>
      <c r="Z34" s="125">
        <v>-9.9821428571428907E-6</v>
      </c>
      <c r="AA34" s="126">
        <v>1.7774000000000094E-4</v>
      </c>
      <c r="AB34" s="124">
        <v>-0.5558687500000028</v>
      </c>
      <c r="AC34" s="125">
        <v>3.2990600000000064E-2</v>
      </c>
      <c r="AD34" s="125">
        <v>-1.4780000000000056E-4</v>
      </c>
      <c r="AE34" s="125">
        <v>5.9216400000000136E-3</v>
      </c>
      <c r="AF34" s="125">
        <v>1.6174999999999987E-4</v>
      </c>
      <c r="AG34" s="126">
        <v>-3.1631999999999987E-4</v>
      </c>
      <c r="AH34" s="124">
        <v>36.560511954602745</v>
      </c>
      <c r="AI34" s="125">
        <v>-1.3552886069646848</v>
      </c>
      <c r="AJ34" s="125">
        <v>1.0827356642104694E-2</v>
      </c>
      <c r="AK34" s="125">
        <v>0.1936042720528921</v>
      </c>
      <c r="AL34" s="125">
        <v>-6.8253111231949073E-4</v>
      </c>
      <c r="AM34" s="126">
        <v>-8.7867114072555819E-4</v>
      </c>
      <c r="AN34" s="124">
        <v>0.12411999999999999</v>
      </c>
      <c r="AO34" s="125">
        <v>0.37624000000000002</v>
      </c>
      <c r="AP34" s="125">
        <v>1.2934600000000001</v>
      </c>
      <c r="AQ34" s="126">
        <v>-0.79381999999999997</v>
      </c>
      <c r="AR34" s="124">
        <v>0</v>
      </c>
      <c r="AS34" s="125">
        <v>1</v>
      </c>
      <c r="AT34" s="125">
        <v>0</v>
      </c>
      <c r="AU34" s="126">
        <v>0</v>
      </c>
      <c r="AV34" s="137">
        <v>0.1</v>
      </c>
      <c r="AW34" s="138">
        <v>1</v>
      </c>
      <c r="AX34" s="95">
        <v>1</v>
      </c>
      <c r="AY34" s="96">
        <v>0.17</v>
      </c>
      <c r="AZ34" s="98">
        <v>0.24</v>
      </c>
      <c r="BA34" s="124">
        <v>0.78305785123966942</v>
      </c>
      <c r="BB34" s="134">
        <v>0.21694214876033058</v>
      </c>
      <c r="BC34" s="124">
        <v>0.42236024844720538</v>
      </c>
      <c r="BD34" s="125">
        <v>0.68944099378881907</v>
      </c>
      <c r="BE34" s="126">
        <v>-0.1118012422360245</v>
      </c>
      <c r="BF34" s="99">
        <v>2.4182010533682834</v>
      </c>
      <c r="BG34" s="99">
        <v>0</v>
      </c>
    </row>
    <row r="35" spans="1:59" x14ac:dyDescent="0.25">
      <c r="A35" s="105" t="s">
        <v>349</v>
      </c>
      <c r="B35" s="97"/>
      <c r="C35" s="106"/>
      <c r="D35" s="107"/>
      <c r="E35" s="116"/>
      <c r="F35" s="108"/>
      <c r="G35" s="109"/>
      <c r="H35" s="112"/>
      <c r="I35" s="110"/>
      <c r="J35" s="111"/>
      <c r="K35" s="112"/>
      <c r="L35" s="110"/>
      <c r="M35" s="110"/>
      <c r="N35" s="110"/>
      <c r="O35" s="107"/>
      <c r="P35" s="128"/>
      <c r="Q35" s="129"/>
      <c r="R35" s="129"/>
      <c r="S35" s="129"/>
      <c r="T35" s="129"/>
      <c r="U35" s="130"/>
      <c r="V35" s="128"/>
      <c r="W35" s="129"/>
      <c r="X35" s="129"/>
      <c r="Y35" s="129"/>
      <c r="Z35" s="129"/>
      <c r="AA35" s="130"/>
      <c r="AB35" s="128"/>
      <c r="AC35" s="129"/>
      <c r="AD35" s="129"/>
      <c r="AE35" s="129"/>
      <c r="AF35" s="129"/>
      <c r="AG35" s="130"/>
      <c r="AH35" s="128"/>
      <c r="AI35" s="129"/>
      <c r="AJ35" s="129"/>
      <c r="AK35" s="129"/>
      <c r="AL35" s="129"/>
      <c r="AM35" s="130"/>
      <c r="AN35" s="128"/>
      <c r="AO35" s="129"/>
      <c r="AP35" s="129"/>
      <c r="AQ35" s="130"/>
      <c r="AR35" s="128"/>
      <c r="AS35" s="129"/>
      <c r="AT35" s="129"/>
      <c r="AU35" s="130"/>
      <c r="AV35" s="140"/>
      <c r="AW35" s="141"/>
      <c r="AX35" s="107"/>
      <c r="AY35" s="113"/>
      <c r="AZ35" s="114"/>
      <c r="BA35" s="128"/>
      <c r="BB35" s="135"/>
      <c r="BC35" s="128"/>
      <c r="BD35" s="129"/>
      <c r="BE35" s="130"/>
      <c r="BF35" s="115"/>
      <c r="BG35" s="115"/>
    </row>
    <row r="36" spans="1:59" x14ac:dyDescent="0.25">
      <c r="A36" s="105">
        <v>35001</v>
      </c>
      <c r="B36" s="97">
        <v>0</v>
      </c>
      <c r="C36" s="89">
        <v>65</v>
      </c>
      <c r="D36" s="90">
        <v>1</v>
      </c>
      <c r="E36" s="91">
        <v>9.6999999999999993</v>
      </c>
      <c r="F36" s="91">
        <v>8.89</v>
      </c>
      <c r="G36" s="90">
        <v>789360</v>
      </c>
      <c r="H36" s="92">
        <v>0.70799999999999996</v>
      </c>
      <c r="I36" s="92">
        <v>0.29276999999999997</v>
      </c>
      <c r="J36" s="93">
        <v>2.6800000000000001E-2</v>
      </c>
      <c r="K36" s="94">
        <v>0.72</v>
      </c>
      <c r="L36" s="92">
        <v>0</v>
      </c>
      <c r="M36" s="92">
        <v>0.125</v>
      </c>
      <c r="N36" s="92">
        <v>0.01</v>
      </c>
      <c r="O36" s="95">
        <v>100</v>
      </c>
      <c r="P36" s="124">
        <v>1.4770536607142892</v>
      </c>
      <c r="Q36" s="125">
        <v>-2.873590000000013E-2</v>
      </c>
      <c r="R36" s="125">
        <v>3.8020000000000133E-4</v>
      </c>
      <c r="S36" s="125">
        <v>2.2055071428571556E-3</v>
      </c>
      <c r="T36" s="125">
        <v>-1.3982142857142781E-5</v>
      </c>
      <c r="U36" s="126">
        <v>-5.3700000000000411E-5</v>
      </c>
      <c r="V36" s="124">
        <v>1.5063283607142854</v>
      </c>
      <c r="W36" s="125">
        <v>4.3130100000000102E-2</v>
      </c>
      <c r="X36" s="125">
        <v>-7.2060000000000158E-4</v>
      </c>
      <c r="Y36" s="125">
        <v>-1.2657872857142911E-2</v>
      </c>
      <c r="Z36" s="125">
        <v>-9.9821428571428907E-6</v>
      </c>
      <c r="AA36" s="126">
        <v>1.7774000000000094E-4</v>
      </c>
      <c r="AB36" s="124">
        <v>-0.5558687500000028</v>
      </c>
      <c r="AC36" s="125">
        <v>3.2990600000000064E-2</v>
      </c>
      <c r="AD36" s="125">
        <v>-1.4780000000000056E-4</v>
      </c>
      <c r="AE36" s="125">
        <v>5.9216400000000136E-3</v>
      </c>
      <c r="AF36" s="125">
        <v>1.6174999999999987E-4</v>
      </c>
      <c r="AG36" s="126">
        <v>-3.1631999999999987E-4</v>
      </c>
      <c r="AH36" s="124">
        <v>36.560511954602745</v>
      </c>
      <c r="AI36" s="125">
        <v>-1.3552886069646848</v>
      </c>
      <c r="AJ36" s="125">
        <v>1.0827356642104694E-2</v>
      </c>
      <c r="AK36" s="125">
        <v>0.1936042720528921</v>
      </c>
      <c r="AL36" s="125">
        <v>-6.8253111231949073E-4</v>
      </c>
      <c r="AM36" s="126">
        <v>-8.7867114072555819E-4</v>
      </c>
      <c r="AN36" s="124">
        <v>0.12411999999999999</v>
      </c>
      <c r="AO36" s="125">
        <v>0.37624000000000002</v>
      </c>
      <c r="AP36" s="125">
        <v>1.2934600000000001</v>
      </c>
      <c r="AQ36" s="126">
        <v>-0.79381999999999997</v>
      </c>
      <c r="AR36" s="124">
        <v>0</v>
      </c>
      <c r="AS36" s="125">
        <v>1</v>
      </c>
      <c r="AT36" s="125">
        <v>0</v>
      </c>
      <c r="AU36" s="126">
        <v>0</v>
      </c>
      <c r="AV36" s="137">
        <v>0.1</v>
      </c>
      <c r="AW36" s="138">
        <v>1</v>
      </c>
      <c r="AX36" s="95">
        <v>1</v>
      </c>
      <c r="AY36" s="96">
        <v>0.17</v>
      </c>
      <c r="AZ36" s="96">
        <v>0.24</v>
      </c>
      <c r="BA36" s="124">
        <v>0.78305785123966942</v>
      </c>
      <c r="BB36" s="134">
        <v>0.21694214876033058</v>
      </c>
      <c r="BC36" s="124">
        <v>0.42236024844720538</v>
      </c>
      <c r="BD36" s="125">
        <v>0.68944099378881907</v>
      </c>
      <c r="BE36" s="126">
        <v>-0.1118012422360245</v>
      </c>
      <c r="BF36" s="96">
        <v>2.4182010533682834</v>
      </c>
      <c r="BG36" s="96">
        <v>0</v>
      </c>
    </row>
    <row r="37" spans="1:59" x14ac:dyDescent="0.25">
      <c r="A37" s="105">
        <v>35101</v>
      </c>
      <c r="B37" s="97">
        <v>1</v>
      </c>
      <c r="C37" s="89">
        <v>65</v>
      </c>
      <c r="D37" s="90">
        <v>1</v>
      </c>
      <c r="E37" s="91">
        <v>10.199999999999999</v>
      </c>
      <c r="F37" s="91">
        <v>9.35</v>
      </c>
      <c r="G37" s="90">
        <v>789360</v>
      </c>
      <c r="H37" s="92">
        <v>0.70799999999999996</v>
      </c>
      <c r="I37" s="92">
        <v>0.27512999999999999</v>
      </c>
      <c r="J37" s="93">
        <v>2.6800000000000001E-2</v>
      </c>
      <c r="K37" s="94">
        <v>0.72</v>
      </c>
      <c r="L37" s="92">
        <v>0</v>
      </c>
      <c r="M37" s="92">
        <v>0.125</v>
      </c>
      <c r="N37" s="92">
        <v>0.01</v>
      </c>
      <c r="O37" s="95">
        <v>100</v>
      </c>
      <c r="P37" s="124">
        <v>1.4770536607142892</v>
      </c>
      <c r="Q37" s="125">
        <v>-2.873590000000013E-2</v>
      </c>
      <c r="R37" s="125">
        <v>3.8020000000000133E-4</v>
      </c>
      <c r="S37" s="125">
        <v>2.2055071428571556E-3</v>
      </c>
      <c r="T37" s="125">
        <v>-1.3982142857142781E-5</v>
      </c>
      <c r="U37" s="126">
        <v>-5.3700000000000411E-5</v>
      </c>
      <c r="V37" s="124">
        <v>1.5063283607142854</v>
      </c>
      <c r="W37" s="125">
        <v>4.3130100000000102E-2</v>
      </c>
      <c r="X37" s="125">
        <v>-7.2060000000000158E-4</v>
      </c>
      <c r="Y37" s="125">
        <v>-1.2657872857142911E-2</v>
      </c>
      <c r="Z37" s="125">
        <v>-9.9821428571428907E-6</v>
      </c>
      <c r="AA37" s="126">
        <v>1.7774000000000094E-4</v>
      </c>
      <c r="AB37" s="124">
        <v>-0.5558687500000028</v>
      </c>
      <c r="AC37" s="125">
        <v>3.2990600000000064E-2</v>
      </c>
      <c r="AD37" s="125">
        <v>-1.4780000000000056E-4</v>
      </c>
      <c r="AE37" s="125">
        <v>5.9216400000000136E-3</v>
      </c>
      <c r="AF37" s="125">
        <v>1.6174999999999987E-4</v>
      </c>
      <c r="AG37" s="126">
        <v>-3.1631999999999987E-4</v>
      </c>
      <c r="AH37" s="124">
        <v>36.560511954602745</v>
      </c>
      <c r="AI37" s="125">
        <v>-1.3552886069646848</v>
      </c>
      <c r="AJ37" s="125">
        <v>1.0827356642104694E-2</v>
      </c>
      <c r="AK37" s="125">
        <v>0.1936042720528921</v>
      </c>
      <c r="AL37" s="125">
        <v>-6.8253111231949073E-4</v>
      </c>
      <c r="AM37" s="126">
        <v>-8.7867114072555819E-4</v>
      </c>
      <c r="AN37" s="124">
        <v>0.12411999999999999</v>
      </c>
      <c r="AO37" s="125">
        <v>0.37624000000000002</v>
      </c>
      <c r="AP37" s="125">
        <v>1.2934600000000001</v>
      </c>
      <c r="AQ37" s="126">
        <v>-0.79381999999999997</v>
      </c>
      <c r="AR37" s="124">
        <v>0</v>
      </c>
      <c r="AS37" s="125">
        <v>1</v>
      </c>
      <c r="AT37" s="125">
        <v>0</v>
      </c>
      <c r="AU37" s="126">
        <v>0</v>
      </c>
      <c r="AV37" s="138">
        <v>0.1</v>
      </c>
      <c r="AW37" s="138">
        <v>1</v>
      </c>
      <c r="AX37" s="95">
        <v>1</v>
      </c>
      <c r="AY37" s="96">
        <v>0.17</v>
      </c>
      <c r="AZ37" s="96">
        <v>0.24</v>
      </c>
      <c r="BA37" s="124">
        <v>0.78305785123966942</v>
      </c>
      <c r="BB37" s="134">
        <v>0.21694214876033058</v>
      </c>
      <c r="BC37" s="124">
        <v>0.42236024844720538</v>
      </c>
      <c r="BD37" s="125">
        <v>0.68944099378881907</v>
      </c>
      <c r="BE37" s="126">
        <v>-0.1118012422360245</v>
      </c>
      <c r="BF37" s="96">
        <v>2.4182010533682834</v>
      </c>
      <c r="BG37" s="96">
        <v>0</v>
      </c>
    </row>
    <row r="38" spans="1:59" x14ac:dyDescent="0.25">
      <c r="A38" s="105">
        <v>35201</v>
      </c>
      <c r="B38" s="97">
        <v>2</v>
      </c>
      <c r="C38" s="89">
        <v>65</v>
      </c>
      <c r="D38" s="90">
        <v>1</v>
      </c>
      <c r="E38" s="91">
        <v>11</v>
      </c>
      <c r="F38" s="91">
        <v>10.08</v>
      </c>
      <c r="G38" s="90">
        <v>789360</v>
      </c>
      <c r="H38" s="92">
        <v>0.70799999999999996</v>
      </c>
      <c r="I38" s="92">
        <v>0.25044</v>
      </c>
      <c r="J38" s="93">
        <v>2.6800000000000001E-2</v>
      </c>
      <c r="K38" s="94">
        <v>0.72</v>
      </c>
      <c r="L38" s="92">
        <v>0</v>
      </c>
      <c r="M38" s="92">
        <v>0.125</v>
      </c>
      <c r="N38" s="92">
        <v>0.01</v>
      </c>
      <c r="O38" s="95">
        <v>100</v>
      </c>
      <c r="P38" s="124">
        <v>1.4770536607142892</v>
      </c>
      <c r="Q38" s="125">
        <v>-2.873590000000013E-2</v>
      </c>
      <c r="R38" s="125">
        <v>3.8020000000000133E-4</v>
      </c>
      <c r="S38" s="125">
        <v>2.2055071428571556E-3</v>
      </c>
      <c r="T38" s="125">
        <v>-1.3982142857142781E-5</v>
      </c>
      <c r="U38" s="126">
        <v>-5.3700000000000411E-5</v>
      </c>
      <c r="V38" s="124">
        <v>1.5063283607142854</v>
      </c>
      <c r="W38" s="125">
        <v>4.3130100000000102E-2</v>
      </c>
      <c r="X38" s="125">
        <v>-7.2060000000000158E-4</v>
      </c>
      <c r="Y38" s="125">
        <v>-1.2657872857142911E-2</v>
      </c>
      <c r="Z38" s="125">
        <v>-9.9821428571428907E-6</v>
      </c>
      <c r="AA38" s="126">
        <v>1.7774000000000094E-4</v>
      </c>
      <c r="AB38" s="124">
        <v>-0.5558687500000028</v>
      </c>
      <c r="AC38" s="125">
        <v>3.2990600000000064E-2</v>
      </c>
      <c r="AD38" s="125">
        <v>-1.4780000000000056E-4</v>
      </c>
      <c r="AE38" s="125">
        <v>5.9216400000000136E-3</v>
      </c>
      <c r="AF38" s="125">
        <v>1.6174999999999987E-4</v>
      </c>
      <c r="AG38" s="126">
        <v>-3.1631999999999987E-4</v>
      </c>
      <c r="AH38" s="124">
        <v>36.560511954602745</v>
      </c>
      <c r="AI38" s="125">
        <v>-1.3552886069646848</v>
      </c>
      <c r="AJ38" s="125">
        <v>1.0827356642104694E-2</v>
      </c>
      <c r="AK38" s="125">
        <v>0.1936042720528921</v>
      </c>
      <c r="AL38" s="125">
        <v>-6.8253111231949073E-4</v>
      </c>
      <c r="AM38" s="126">
        <v>-8.7867114072555819E-4</v>
      </c>
      <c r="AN38" s="124">
        <v>0.12411999999999999</v>
      </c>
      <c r="AO38" s="125">
        <v>0.37624000000000002</v>
      </c>
      <c r="AP38" s="125">
        <v>1.2934600000000001</v>
      </c>
      <c r="AQ38" s="126">
        <v>-0.79381999999999997</v>
      </c>
      <c r="AR38" s="124">
        <v>0</v>
      </c>
      <c r="AS38" s="125">
        <v>1</v>
      </c>
      <c r="AT38" s="125">
        <v>0</v>
      </c>
      <c r="AU38" s="126">
        <v>0</v>
      </c>
      <c r="AV38" s="137">
        <v>0.1</v>
      </c>
      <c r="AW38" s="138">
        <v>1</v>
      </c>
      <c r="AX38" s="95">
        <v>1</v>
      </c>
      <c r="AY38" s="96">
        <v>0.17</v>
      </c>
      <c r="AZ38" s="98">
        <v>0.24</v>
      </c>
      <c r="BA38" s="124">
        <v>0.78305785123966942</v>
      </c>
      <c r="BB38" s="134">
        <v>0.21694214876033058</v>
      </c>
      <c r="BC38" s="124">
        <v>0.42236024844720538</v>
      </c>
      <c r="BD38" s="125">
        <v>0.68944099378881907</v>
      </c>
      <c r="BE38" s="126">
        <v>-0.1118012422360245</v>
      </c>
      <c r="BF38" s="99">
        <v>2.4182010533682834</v>
      </c>
      <c r="BG38" s="99">
        <v>0</v>
      </c>
    </row>
    <row r="39" spans="1:59" x14ac:dyDescent="0.25">
      <c r="A39" s="105">
        <v>35301</v>
      </c>
      <c r="B39" s="97">
        <v>3</v>
      </c>
      <c r="C39" s="89">
        <v>65</v>
      </c>
      <c r="D39" s="90">
        <v>1</v>
      </c>
      <c r="E39" s="91">
        <v>12</v>
      </c>
      <c r="F39" s="91">
        <v>11</v>
      </c>
      <c r="G39" s="90">
        <v>789360</v>
      </c>
      <c r="H39" s="92">
        <v>0.70799999999999996</v>
      </c>
      <c r="I39" s="92">
        <v>0.22398000000000001</v>
      </c>
      <c r="J39" s="93">
        <v>2.6800000000000001E-2</v>
      </c>
      <c r="K39" s="94">
        <v>0.72</v>
      </c>
      <c r="L39" s="92">
        <v>0</v>
      </c>
      <c r="M39" s="92">
        <v>0.125</v>
      </c>
      <c r="N39" s="92">
        <v>0.01</v>
      </c>
      <c r="O39" s="95">
        <v>100</v>
      </c>
      <c r="P39" s="124">
        <v>1.4770536607142892</v>
      </c>
      <c r="Q39" s="125">
        <v>-2.873590000000013E-2</v>
      </c>
      <c r="R39" s="125">
        <v>3.8020000000000133E-4</v>
      </c>
      <c r="S39" s="125">
        <v>2.2055071428571556E-3</v>
      </c>
      <c r="T39" s="125">
        <v>-1.3982142857142781E-5</v>
      </c>
      <c r="U39" s="126">
        <v>-5.3700000000000411E-5</v>
      </c>
      <c r="V39" s="124">
        <v>1.5063283607142854</v>
      </c>
      <c r="W39" s="125">
        <v>4.3130100000000102E-2</v>
      </c>
      <c r="X39" s="125">
        <v>-7.2060000000000158E-4</v>
      </c>
      <c r="Y39" s="125">
        <v>-1.2657872857142911E-2</v>
      </c>
      <c r="Z39" s="125">
        <v>-9.9821428571428907E-6</v>
      </c>
      <c r="AA39" s="126">
        <v>1.7774000000000094E-4</v>
      </c>
      <c r="AB39" s="124">
        <v>-0.5558687500000028</v>
      </c>
      <c r="AC39" s="125">
        <v>3.2990600000000064E-2</v>
      </c>
      <c r="AD39" s="125">
        <v>-1.4780000000000056E-4</v>
      </c>
      <c r="AE39" s="125">
        <v>5.9216400000000136E-3</v>
      </c>
      <c r="AF39" s="125">
        <v>1.6174999999999987E-4</v>
      </c>
      <c r="AG39" s="126">
        <v>-3.1631999999999987E-4</v>
      </c>
      <c r="AH39" s="124">
        <v>36.560511954602745</v>
      </c>
      <c r="AI39" s="125">
        <v>-1.3552886069646848</v>
      </c>
      <c r="AJ39" s="125">
        <v>1.0827356642104694E-2</v>
      </c>
      <c r="AK39" s="125">
        <v>0.1936042720528921</v>
      </c>
      <c r="AL39" s="125">
        <v>-6.8253111231949073E-4</v>
      </c>
      <c r="AM39" s="126">
        <v>-8.7867114072555819E-4</v>
      </c>
      <c r="AN39" s="124">
        <v>0.12411999999999999</v>
      </c>
      <c r="AO39" s="125">
        <v>0.37624000000000002</v>
      </c>
      <c r="AP39" s="125">
        <v>1.2934600000000001</v>
      </c>
      <c r="AQ39" s="126">
        <v>-0.79381999999999997</v>
      </c>
      <c r="AR39" s="124">
        <v>0</v>
      </c>
      <c r="AS39" s="125">
        <v>1</v>
      </c>
      <c r="AT39" s="125">
        <v>0</v>
      </c>
      <c r="AU39" s="126">
        <v>0</v>
      </c>
      <c r="AV39" s="137">
        <v>0.1</v>
      </c>
      <c r="AW39" s="138">
        <v>1</v>
      </c>
      <c r="AX39" s="95">
        <v>1</v>
      </c>
      <c r="AY39" s="96">
        <v>0.17</v>
      </c>
      <c r="AZ39" s="98">
        <v>0.24</v>
      </c>
      <c r="BA39" s="124">
        <v>0.78305785123966942</v>
      </c>
      <c r="BB39" s="134">
        <v>0.21694214876033058</v>
      </c>
      <c r="BC39" s="124">
        <v>0.42236024844720538</v>
      </c>
      <c r="BD39" s="125">
        <v>0.68944099378881907</v>
      </c>
      <c r="BE39" s="126">
        <v>-0.1118012422360245</v>
      </c>
      <c r="BF39" s="99">
        <v>2.4182010533682834</v>
      </c>
      <c r="BG39" s="99">
        <v>0</v>
      </c>
    </row>
    <row r="40" spans="1:59" x14ac:dyDescent="0.25">
      <c r="A40" s="105" t="s">
        <v>350</v>
      </c>
      <c r="B40" s="97"/>
      <c r="C40" s="106"/>
      <c r="D40" s="117"/>
      <c r="E40" s="118"/>
      <c r="F40" s="119"/>
      <c r="G40" s="120"/>
      <c r="H40" s="121"/>
      <c r="I40" s="122"/>
      <c r="J40" s="123"/>
      <c r="K40" s="121"/>
      <c r="L40" s="110"/>
      <c r="M40" s="122"/>
      <c r="N40" s="122"/>
      <c r="O40" s="117"/>
      <c r="P40" s="131"/>
      <c r="Q40" s="132"/>
      <c r="R40" s="132"/>
      <c r="S40" s="132"/>
      <c r="T40" s="132"/>
      <c r="U40" s="133"/>
      <c r="V40" s="131"/>
      <c r="W40" s="132"/>
      <c r="X40" s="132"/>
      <c r="Y40" s="132"/>
      <c r="Z40" s="132"/>
      <c r="AA40" s="133"/>
      <c r="AB40" s="131"/>
      <c r="AC40" s="132"/>
      <c r="AD40" s="132"/>
      <c r="AE40" s="132"/>
      <c r="AF40" s="132"/>
      <c r="AG40" s="133"/>
      <c r="AH40" s="131"/>
      <c r="AI40" s="132"/>
      <c r="AJ40" s="132"/>
      <c r="AK40" s="132"/>
      <c r="AL40" s="132"/>
      <c r="AM40" s="133"/>
      <c r="AN40" s="131"/>
      <c r="AO40" s="132"/>
      <c r="AP40" s="132"/>
      <c r="AQ40" s="133"/>
      <c r="AR40" s="131"/>
      <c r="AS40" s="132"/>
      <c r="AT40" s="132"/>
      <c r="AU40" s="133"/>
      <c r="AV40" s="140"/>
      <c r="AW40" s="141"/>
      <c r="AX40" s="117"/>
      <c r="AY40" s="113"/>
      <c r="AZ40" s="114"/>
      <c r="BA40" s="131"/>
      <c r="BB40" s="136"/>
      <c r="BC40" s="131"/>
      <c r="BD40" s="132"/>
      <c r="BE40" s="133"/>
      <c r="BF40" s="115"/>
      <c r="BG40" s="115"/>
    </row>
    <row r="41" spans="1:59" x14ac:dyDescent="0.25">
      <c r="A41" s="105">
        <v>34002</v>
      </c>
      <c r="B41" s="97">
        <v>0</v>
      </c>
      <c r="C41" s="89">
        <v>40</v>
      </c>
      <c r="D41" s="90">
        <v>1</v>
      </c>
      <c r="E41" s="91">
        <v>9.8000000000000007</v>
      </c>
      <c r="F41" s="91">
        <v>9.43</v>
      </c>
      <c r="G41" s="90">
        <v>487199.99999999994</v>
      </c>
      <c r="H41" s="92">
        <v>0.70499999999999996</v>
      </c>
      <c r="I41" s="92">
        <v>0.28621999999999997</v>
      </c>
      <c r="J41" s="93">
        <v>2.6700000000000002E-2</v>
      </c>
      <c r="K41" s="94">
        <v>0.61</v>
      </c>
      <c r="L41" s="92">
        <v>0</v>
      </c>
      <c r="M41" s="92">
        <v>0.123</v>
      </c>
      <c r="N41" s="92">
        <v>0.01</v>
      </c>
      <c r="O41" s="95">
        <v>100</v>
      </c>
      <c r="P41" s="124">
        <v>2.2459203645833408</v>
      </c>
      <c r="Q41" s="125">
        <v>-4.5907812500000152E-2</v>
      </c>
      <c r="R41" s="125">
        <v>5.1640625000000091E-4</v>
      </c>
      <c r="S41" s="125">
        <v>2.6468749999999396E-3</v>
      </c>
      <c r="T41" s="125">
        <v>-9.5833333333331591E-6</v>
      </c>
      <c r="U41" s="126">
        <v>-1.0262499999999962E-4</v>
      </c>
      <c r="V41" s="124">
        <v>3.8400342708333355</v>
      </c>
      <c r="W41" s="125">
        <v>-2.7140625000000064E-2</v>
      </c>
      <c r="X41" s="125">
        <v>-1.4531249999999955E-4</v>
      </c>
      <c r="Y41" s="125">
        <v>-7.6465833333333299E-3</v>
      </c>
      <c r="Z41" s="125">
        <v>-8.9166666666667027E-6</v>
      </c>
      <c r="AA41" s="126">
        <v>6.8750000000000031E-5</v>
      </c>
      <c r="AB41" s="124">
        <v>-0.79627296875001274</v>
      </c>
      <c r="AC41" s="125">
        <v>5.694843750000033E-2</v>
      </c>
      <c r="AD41" s="125">
        <v>-3.5859375000000247E-4</v>
      </c>
      <c r="AE41" s="125">
        <v>-9.8866249999999545E-3</v>
      </c>
      <c r="AF41" s="125">
        <v>2.0899999999999977E-4</v>
      </c>
      <c r="AG41" s="126">
        <v>-2.1312500000000007E-4</v>
      </c>
      <c r="AH41" s="124">
        <v>58.139560581037848</v>
      </c>
      <c r="AI41" s="125">
        <v>-1.7384915366910325</v>
      </c>
      <c r="AJ41" s="125">
        <v>1.2699642283120554E-2</v>
      </c>
      <c r="AK41" s="125">
        <v>6.528414025764321E-3</v>
      </c>
      <c r="AL41" s="125">
        <v>8.6135949603246935E-5</v>
      </c>
      <c r="AM41" s="126">
        <v>1.4659888306618361E-4</v>
      </c>
      <c r="AN41" s="124">
        <v>2.6305800000000001</v>
      </c>
      <c r="AO41" s="125">
        <v>-9.4999900000000004</v>
      </c>
      <c r="AP41" s="125">
        <v>14.27181</v>
      </c>
      <c r="AQ41" s="126">
        <v>-6.4024000000000001</v>
      </c>
      <c r="AR41" s="124">
        <v>0.96409</v>
      </c>
      <c r="AS41" s="125">
        <v>0.28948000000000002</v>
      </c>
      <c r="AT41" s="125">
        <v>0.18251999999999999</v>
      </c>
      <c r="AU41" s="126">
        <v>-0.13119</v>
      </c>
      <c r="AV41" s="137">
        <v>0.96</v>
      </c>
      <c r="AW41" s="138">
        <v>1.3</v>
      </c>
      <c r="AX41" s="95">
        <v>2</v>
      </c>
      <c r="AY41" s="96">
        <v>0.5</v>
      </c>
      <c r="AZ41" s="96">
        <v>0.66</v>
      </c>
      <c r="BA41" s="124">
        <v>0.84170758064378903</v>
      </c>
      <c r="BB41" s="134">
        <v>0.15829241935621105</v>
      </c>
      <c r="BC41" s="124">
        <v>2.8821760638243377E-2</v>
      </c>
      <c r="BD41" s="125">
        <v>1.3010898258381356</v>
      </c>
      <c r="BE41" s="126">
        <v>-0.32991158647637892</v>
      </c>
      <c r="BF41" s="96">
        <v>2.6080792186047175</v>
      </c>
      <c r="BG41" s="96">
        <v>0</v>
      </c>
    </row>
    <row r="42" spans="1:59" x14ac:dyDescent="0.25">
      <c r="A42" s="105">
        <v>34102</v>
      </c>
      <c r="B42" s="97">
        <v>1</v>
      </c>
      <c r="C42" s="89">
        <v>40</v>
      </c>
      <c r="D42" s="90">
        <v>1</v>
      </c>
      <c r="E42" s="91">
        <v>10.8</v>
      </c>
      <c r="F42" s="91">
        <v>10.39</v>
      </c>
      <c r="G42" s="90">
        <v>487199.99999999994</v>
      </c>
      <c r="H42" s="92">
        <v>0.70499999999999996</v>
      </c>
      <c r="I42" s="92">
        <v>0.25463999999999998</v>
      </c>
      <c r="J42" s="93">
        <v>2.6700000000000002E-2</v>
      </c>
      <c r="K42" s="94">
        <v>0.61</v>
      </c>
      <c r="L42" s="92">
        <v>0</v>
      </c>
      <c r="M42" s="92">
        <v>0.123</v>
      </c>
      <c r="N42" s="92">
        <v>0.01</v>
      </c>
      <c r="O42" s="95">
        <v>100</v>
      </c>
      <c r="P42" s="124">
        <v>2.2459203645833408</v>
      </c>
      <c r="Q42" s="125">
        <v>-4.5907812500000152E-2</v>
      </c>
      <c r="R42" s="125">
        <v>5.1640625000000091E-4</v>
      </c>
      <c r="S42" s="125">
        <v>2.6468749999999396E-3</v>
      </c>
      <c r="T42" s="125">
        <v>-9.5833333333331591E-6</v>
      </c>
      <c r="U42" s="126">
        <v>-1.0262499999999962E-4</v>
      </c>
      <c r="V42" s="124">
        <v>3.8400342708333355</v>
      </c>
      <c r="W42" s="125">
        <v>-2.7140625000000064E-2</v>
      </c>
      <c r="X42" s="125">
        <v>-1.4531249999999955E-4</v>
      </c>
      <c r="Y42" s="125">
        <v>-7.6465833333333299E-3</v>
      </c>
      <c r="Z42" s="125">
        <v>-8.9166666666667027E-6</v>
      </c>
      <c r="AA42" s="126">
        <v>6.8750000000000031E-5</v>
      </c>
      <c r="AB42" s="124">
        <v>-0.79627296875001274</v>
      </c>
      <c r="AC42" s="125">
        <v>5.694843750000033E-2</v>
      </c>
      <c r="AD42" s="125">
        <v>-3.5859375000000247E-4</v>
      </c>
      <c r="AE42" s="125">
        <v>-9.8866249999999545E-3</v>
      </c>
      <c r="AF42" s="125">
        <v>2.0899999999999977E-4</v>
      </c>
      <c r="AG42" s="126">
        <v>-2.1312500000000007E-4</v>
      </c>
      <c r="AH42" s="124">
        <v>58.139560581037848</v>
      </c>
      <c r="AI42" s="125">
        <v>-1.7384915366910325</v>
      </c>
      <c r="AJ42" s="125">
        <v>1.2699642283120554E-2</v>
      </c>
      <c r="AK42" s="125">
        <v>6.528414025764321E-3</v>
      </c>
      <c r="AL42" s="125">
        <v>8.6135949603246935E-5</v>
      </c>
      <c r="AM42" s="126">
        <v>1.4659888306618361E-4</v>
      </c>
      <c r="AN42" s="124">
        <v>2.6305800000000001</v>
      </c>
      <c r="AO42" s="125">
        <v>-9.4999900000000004</v>
      </c>
      <c r="AP42" s="125">
        <v>14.27181</v>
      </c>
      <c r="AQ42" s="126">
        <v>-6.4024000000000001</v>
      </c>
      <c r="AR42" s="124">
        <v>0.96409</v>
      </c>
      <c r="AS42" s="125">
        <v>0.28948000000000002</v>
      </c>
      <c r="AT42" s="125">
        <v>0.18251999999999999</v>
      </c>
      <c r="AU42" s="126">
        <v>-0.13119</v>
      </c>
      <c r="AV42" s="138">
        <v>0.96</v>
      </c>
      <c r="AW42" s="138">
        <v>1.3</v>
      </c>
      <c r="AX42" s="95">
        <v>2</v>
      </c>
      <c r="AY42" s="96">
        <v>0.5</v>
      </c>
      <c r="AZ42" s="96">
        <v>0.66</v>
      </c>
      <c r="BA42" s="124">
        <v>0.84170758064378903</v>
      </c>
      <c r="BB42" s="134">
        <v>0.15829241935621105</v>
      </c>
      <c r="BC42" s="124">
        <v>2.8821760638243377E-2</v>
      </c>
      <c r="BD42" s="125">
        <v>1.3010898258381356</v>
      </c>
      <c r="BE42" s="126">
        <v>-0.32991158647637892</v>
      </c>
      <c r="BF42" s="96">
        <v>2.6080792186047175</v>
      </c>
      <c r="BG42" s="96">
        <v>0</v>
      </c>
    </row>
    <row r="43" spans="1:59" x14ac:dyDescent="0.25">
      <c r="A43" s="105">
        <v>34202</v>
      </c>
      <c r="B43" s="97">
        <v>2</v>
      </c>
      <c r="C43" s="89">
        <v>40</v>
      </c>
      <c r="D43" s="90">
        <v>1</v>
      </c>
      <c r="E43" s="91">
        <v>11.5</v>
      </c>
      <c r="F43" s="91">
        <v>11.06</v>
      </c>
      <c r="G43" s="90">
        <v>487199.99999999994</v>
      </c>
      <c r="H43" s="92">
        <v>0.70499999999999996</v>
      </c>
      <c r="I43" s="92">
        <v>0.23585</v>
      </c>
      <c r="J43" s="93">
        <v>2.6700000000000002E-2</v>
      </c>
      <c r="K43" s="94">
        <v>0.61</v>
      </c>
      <c r="L43" s="92">
        <v>0</v>
      </c>
      <c r="M43" s="92">
        <v>0.123</v>
      </c>
      <c r="N43" s="92">
        <v>0.01</v>
      </c>
      <c r="O43" s="95">
        <v>100</v>
      </c>
      <c r="P43" s="124">
        <v>2.2459203645833408</v>
      </c>
      <c r="Q43" s="125">
        <v>-4.5907812500000152E-2</v>
      </c>
      <c r="R43" s="125">
        <v>5.1640625000000091E-4</v>
      </c>
      <c r="S43" s="125">
        <v>2.6468749999999396E-3</v>
      </c>
      <c r="T43" s="125">
        <v>-9.5833333333331591E-6</v>
      </c>
      <c r="U43" s="126">
        <v>-1.0262499999999962E-4</v>
      </c>
      <c r="V43" s="124">
        <v>3.8400342708333355</v>
      </c>
      <c r="W43" s="125">
        <v>-2.7140625000000064E-2</v>
      </c>
      <c r="X43" s="125">
        <v>-1.4531249999999955E-4</v>
      </c>
      <c r="Y43" s="125">
        <v>-7.6465833333333299E-3</v>
      </c>
      <c r="Z43" s="125">
        <v>-8.9166666666667027E-6</v>
      </c>
      <c r="AA43" s="126">
        <v>6.8750000000000031E-5</v>
      </c>
      <c r="AB43" s="124">
        <v>-0.79627296875001274</v>
      </c>
      <c r="AC43" s="125">
        <v>5.694843750000033E-2</v>
      </c>
      <c r="AD43" s="125">
        <v>-3.5859375000000247E-4</v>
      </c>
      <c r="AE43" s="125">
        <v>-9.8866249999999545E-3</v>
      </c>
      <c r="AF43" s="125">
        <v>2.0899999999999977E-4</v>
      </c>
      <c r="AG43" s="126">
        <v>-2.1312500000000007E-4</v>
      </c>
      <c r="AH43" s="124">
        <v>58.139560581037848</v>
      </c>
      <c r="AI43" s="125">
        <v>-1.7384915366910325</v>
      </c>
      <c r="AJ43" s="125">
        <v>1.2699642283120554E-2</v>
      </c>
      <c r="AK43" s="125">
        <v>6.528414025764321E-3</v>
      </c>
      <c r="AL43" s="125">
        <v>8.6135949603246935E-5</v>
      </c>
      <c r="AM43" s="126">
        <v>1.4659888306618361E-4</v>
      </c>
      <c r="AN43" s="124">
        <v>2.6305800000000001</v>
      </c>
      <c r="AO43" s="125">
        <v>-9.4999900000000004</v>
      </c>
      <c r="AP43" s="125">
        <v>14.27181</v>
      </c>
      <c r="AQ43" s="126">
        <v>-6.4024000000000001</v>
      </c>
      <c r="AR43" s="124">
        <v>0.96409</v>
      </c>
      <c r="AS43" s="125">
        <v>0.28948000000000002</v>
      </c>
      <c r="AT43" s="125">
        <v>0.18251999999999999</v>
      </c>
      <c r="AU43" s="126">
        <v>-0.13119</v>
      </c>
      <c r="AV43" s="137">
        <v>0.96</v>
      </c>
      <c r="AW43" s="138">
        <v>1.3</v>
      </c>
      <c r="AX43" s="95">
        <v>2</v>
      </c>
      <c r="AY43" s="96">
        <v>0.5</v>
      </c>
      <c r="AZ43" s="98">
        <v>0.66</v>
      </c>
      <c r="BA43" s="124">
        <v>0.84170758064378903</v>
      </c>
      <c r="BB43" s="134">
        <v>0.15829241935621105</v>
      </c>
      <c r="BC43" s="124">
        <v>2.8821760638243377E-2</v>
      </c>
      <c r="BD43" s="125">
        <v>1.3010898258381356</v>
      </c>
      <c r="BE43" s="126">
        <v>-0.32991158647637892</v>
      </c>
      <c r="BF43" s="99">
        <v>2.6080792186047175</v>
      </c>
      <c r="BG43" s="99">
        <v>0</v>
      </c>
    </row>
    <row r="44" spans="1:59" x14ac:dyDescent="0.25">
      <c r="A44" s="105">
        <v>34302</v>
      </c>
      <c r="B44" s="97">
        <v>3</v>
      </c>
      <c r="C44" s="89">
        <v>40</v>
      </c>
      <c r="D44" s="90">
        <v>1</v>
      </c>
      <c r="E44" s="91">
        <v>12.5</v>
      </c>
      <c r="F44" s="91">
        <v>12.02</v>
      </c>
      <c r="G44" s="90">
        <v>487199.99999999994</v>
      </c>
      <c r="H44" s="92">
        <v>0.70499999999999996</v>
      </c>
      <c r="I44" s="92">
        <v>0.21257000000000001</v>
      </c>
      <c r="J44" s="93">
        <v>2.6700000000000002E-2</v>
      </c>
      <c r="K44" s="94">
        <v>0.61</v>
      </c>
      <c r="L44" s="92">
        <v>0</v>
      </c>
      <c r="M44" s="92">
        <v>0.123</v>
      </c>
      <c r="N44" s="92">
        <v>0.01</v>
      </c>
      <c r="O44" s="95">
        <v>100</v>
      </c>
      <c r="P44" s="124">
        <v>2.2459203645833408</v>
      </c>
      <c r="Q44" s="125">
        <v>-4.5907812500000152E-2</v>
      </c>
      <c r="R44" s="125">
        <v>5.1640625000000091E-4</v>
      </c>
      <c r="S44" s="125">
        <v>2.6468749999999396E-3</v>
      </c>
      <c r="T44" s="125">
        <v>-9.5833333333331591E-6</v>
      </c>
      <c r="U44" s="126">
        <v>-1.0262499999999962E-4</v>
      </c>
      <c r="V44" s="124">
        <v>3.8400342708333355</v>
      </c>
      <c r="W44" s="125">
        <v>-2.7140625000000064E-2</v>
      </c>
      <c r="X44" s="125">
        <v>-1.4531249999999955E-4</v>
      </c>
      <c r="Y44" s="125">
        <v>-7.6465833333333299E-3</v>
      </c>
      <c r="Z44" s="125">
        <v>-8.9166666666667027E-6</v>
      </c>
      <c r="AA44" s="126">
        <v>6.8750000000000031E-5</v>
      </c>
      <c r="AB44" s="124">
        <v>-0.79627296875001274</v>
      </c>
      <c r="AC44" s="125">
        <v>5.694843750000033E-2</v>
      </c>
      <c r="AD44" s="125">
        <v>-3.5859375000000247E-4</v>
      </c>
      <c r="AE44" s="125">
        <v>-9.8866249999999545E-3</v>
      </c>
      <c r="AF44" s="125">
        <v>2.0899999999999977E-4</v>
      </c>
      <c r="AG44" s="126">
        <v>-2.1312500000000007E-4</v>
      </c>
      <c r="AH44" s="124">
        <v>58.139560581037848</v>
      </c>
      <c r="AI44" s="125">
        <v>-1.7384915366910325</v>
      </c>
      <c r="AJ44" s="125">
        <v>1.2699642283120554E-2</v>
      </c>
      <c r="AK44" s="125">
        <v>6.528414025764321E-3</v>
      </c>
      <c r="AL44" s="125">
        <v>8.6135949603246935E-5</v>
      </c>
      <c r="AM44" s="126">
        <v>1.4659888306618361E-4</v>
      </c>
      <c r="AN44" s="124">
        <v>2.6305800000000001</v>
      </c>
      <c r="AO44" s="125">
        <v>-9.4999900000000004</v>
      </c>
      <c r="AP44" s="125">
        <v>14.27181</v>
      </c>
      <c r="AQ44" s="126">
        <v>-6.4024000000000001</v>
      </c>
      <c r="AR44" s="124">
        <v>0.96409</v>
      </c>
      <c r="AS44" s="125">
        <v>0.28948000000000002</v>
      </c>
      <c r="AT44" s="125">
        <v>0.18251999999999999</v>
      </c>
      <c r="AU44" s="126">
        <v>-0.13119</v>
      </c>
      <c r="AV44" s="137">
        <v>0.96</v>
      </c>
      <c r="AW44" s="138">
        <v>1.3</v>
      </c>
      <c r="AX44" s="95">
        <v>2</v>
      </c>
      <c r="AY44" s="96">
        <v>0.5</v>
      </c>
      <c r="AZ44" s="98">
        <v>0.66</v>
      </c>
      <c r="BA44" s="124">
        <v>0.84170758064378903</v>
      </c>
      <c r="BB44" s="134">
        <v>0.15829241935621105</v>
      </c>
      <c r="BC44" s="124">
        <v>2.8821760638243377E-2</v>
      </c>
      <c r="BD44" s="125">
        <v>1.3010898258381356</v>
      </c>
      <c r="BE44" s="126">
        <v>-0.32991158647637892</v>
      </c>
      <c r="BF44" s="99">
        <v>2.6080792186047175</v>
      </c>
      <c r="BG44" s="99">
        <v>0</v>
      </c>
    </row>
    <row r="45" spans="1:59" x14ac:dyDescent="0.25">
      <c r="A45" s="105" t="s">
        <v>351</v>
      </c>
      <c r="B45" s="97"/>
      <c r="C45" s="106"/>
      <c r="D45" s="107"/>
      <c r="E45" s="116"/>
      <c r="F45" s="108"/>
      <c r="G45" s="109"/>
      <c r="H45" s="112"/>
      <c r="I45" s="110"/>
      <c r="J45" s="111"/>
      <c r="K45" s="112"/>
      <c r="L45" s="110"/>
      <c r="M45" s="110"/>
      <c r="N45" s="110"/>
      <c r="O45" s="107"/>
      <c r="P45" s="128"/>
      <c r="Q45" s="129"/>
      <c r="R45" s="129"/>
      <c r="S45" s="129"/>
      <c r="T45" s="129"/>
      <c r="U45" s="130"/>
      <c r="V45" s="128"/>
      <c r="W45" s="129"/>
      <c r="X45" s="129"/>
      <c r="Y45" s="129"/>
      <c r="Z45" s="129"/>
      <c r="AA45" s="130"/>
      <c r="AB45" s="128"/>
      <c r="AC45" s="129"/>
      <c r="AD45" s="129"/>
      <c r="AE45" s="129"/>
      <c r="AF45" s="129"/>
      <c r="AG45" s="130"/>
      <c r="AH45" s="128"/>
      <c r="AI45" s="129"/>
      <c r="AJ45" s="129"/>
      <c r="AK45" s="129"/>
      <c r="AL45" s="129"/>
      <c r="AM45" s="130"/>
      <c r="AN45" s="128"/>
      <c r="AO45" s="129"/>
      <c r="AP45" s="129"/>
      <c r="AQ45" s="130"/>
      <c r="AR45" s="128"/>
      <c r="AS45" s="129"/>
      <c r="AT45" s="129"/>
      <c r="AU45" s="130"/>
      <c r="AV45" s="140"/>
      <c r="AW45" s="141"/>
      <c r="AX45" s="107"/>
      <c r="AY45" s="113"/>
      <c r="AZ45" s="114"/>
      <c r="BA45" s="128"/>
      <c r="BB45" s="135"/>
      <c r="BC45" s="128"/>
      <c r="BD45" s="129"/>
      <c r="BE45" s="130"/>
      <c r="BF45" s="115"/>
      <c r="BG45" s="115"/>
    </row>
    <row r="46" spans="1:59" x14ac:dyDescent="0.25">
      <c r="A46" s="105">
        <v>35002</v>
      </c>
      <c r="B46" s="97">
        <v>0</v>
      </c>
      <c r="C46" s="89">
        <v>65</v>
      </c>
      <c r="D46" s="90">
        <v>1</v>
      </c>
      <c r="E46" s="91">
        <v>9.5</v>
      </c>
      <c r="F46" s="91">
        <v>9.14</v>
      </c>
      <c r="G46" s="90">
        <v>791699.99999999988</v>
      </c>
      <c r="H46" s="92">
        <v>0.70499999999999996</v>
      </c>
      <c r="I46" s="92">
        <v>0.29707</v>
      </c>
      <c r="J46" s="93">
        <v>2.6700000000000002E-2</v>
      </c>
      <c r="K46" s="94">
        <v>0.61</v>
      </c>
      <c r="L46" s="92">
        <v>0</v>
      </c>
      <c r="M46" s="92">
        <v>0.123</v>
      </c>
      <c r="N46" s="92">
        <v>0.01</v>
      </c>
      <c r="O46" s="95">
        <v>100</v>
      </c>
      <c r="P46" s="124">
        <v>2.2459203645833408</v>
      </c>
      <c r="Q46" s="125">
        <v>-4.5907812500000152E-2</v>
      </c>
      <c r="R46" s="125">
        <v>5.1640625000000091E-4</v>
      </c>
      <c r="S46" s="125">
        <v>2.6468749999999396E-3</v>
      </c>
      <c r="T46" s="125">
        <v>-9.5833333333331591E-6</v>
      </c>
      <c r="U46" s="126">
        <v>-1.0262499999999962E-4</v>
      </c>
      <c r="V46" s="124">
        <v>3.8400342708333355</v>
      </c>
      <c r="W46" s="125">
        <v>-2.7140625000000064E-2</v>
      </c>
      <c r="X46" s="125">
        <v>-1.4531249999999955E-4</v>
      </c>
      <c r="Y46" s="125">
        <v>-7.6465833333333299E-3</v>
      </c>
      <c r="Z46" s="125">
        <v>-8.9166666666667027E-6</v>
      </c>
      <c r="AA46" s="126">
        <v>6.8750000000000031E-5</v>
      </c>
      <c r="AB46" s="124">
        <v>-0.79627296875001274</v>
      </c>
      <c r="AC46" s="125">
        <v>5.694843750000033E-2</v>
      </c>
      <c r="AD46" s="125">
        <v>-3.5859375000000247E-4</v>
      </c>
      <c r="AE46" s="125">
        <v>-9.8866249999999545E-3</v>
      </c>
      <c r="AF46" s="125">
        <v>2.0899999999999977E-4</v>
      </c>
      <c r="AG46" s="126">
        <v>-2.1312500000000007E-4</v>
      </c>
      <c r="AH46" s="124">
        <v>58.139560581037848</v>
      </c>
      <c r="AI46" s="125">
        <v>-1.7384915366910325</v>
      </c>
      <c r="AJ46" s="125">
        <v>1.2699642283120554E-2</v>
      </c>
      <c r="AK46" s="125">
        <v>6.528414025764321E-3</v>
      </c>
      <c r="AL46" s="125">
        <v>8.6135949603246935E-5</v>
      </c>
      <c r="AM46" s="126">
        <v>1.4659888306618361E-4</v>
      </c>
      <c r="AN46" s="124">
        <v>2.6305800000000001</v>
      </c>
      <c r="AO46" s="125">
        <v>-9.4999900000000004</v>
      </c>
      <c r="AP46" s="125">
        <v>14.27181</v>
      </c>
      <c r="AQ46" s="126">
        <v>-6.4024000000000001</v>
      </c>
      <c r="AR46" s="124">
        <v>0.96409</v>
      </c>
      <c r="AS46" s="125">
        <v>0.28948000000000002</v>
      </c>
      <c r="AT46" s="125">
        <v>0.18251999999999999</v>
      </c>
      <c r="AU46" s="126">
        <v>-0.13119</v>
      </c>
      <c r="AV46" s="137">
        <v>0.96</v>
      </c>
      <c r="AW46" s="138">
        <v>1.3</v>
      </c>
      <c r="AX46" s="95">
        <v>2</v>
      </c>
      <c r="AY46" s="96">
        <v>0.5</v>
      </c>
      <c r="AZ46" s="96">
        <v>0.66</v>
      </c>
      <c r="BA46" s="124">
        <v>0.84170758064378903</v>
      </c>
      <c r="BB46" s="134">
        <v>0.15829241935621105</v>
      </c>
      <c r="BC46" s="124">
        <v>2.8821760638243377E-2</v>
      </c>
      <c r="BD46" s="125">
        <v>1.3010898258381356</v>
      </c>
      <c r="BE46" s="126">
        <v>-0.32991158647637892</v>
      </c>
      <c r="BF46" s="96">
        <v>2.6080792186047175</v>
      </c>
      <c r="BG46" s="96">
        <v>0</v>
      </c>
    </row>
    <row r="47" spans="1:59" x14ac:dyDescent="0.25">
      <c r="A47" s="105">
        <v>35102</v>
      </c>
      <c r="B47" s="97">
        <v>1</v>
      </c>
      <c r="C47" s="89">
        <v>65</v>
      </c>
      <c r="D47" s="90">
        <v>1</v>
      </c>
      <c r="E47" s="91">
        <v>10.199999999999999</v>
      </c>
      <c r="F47" s="91">
        <v>9.81</v>
      </c>
      <c r="G47" s="90">
        <v>791699.99999999988</v>
      </c>
      <c r="H47" s="92">
        <v>0.70499999999999996</v>
      </c>
      <c r="I47" s="92">
        <v>0.27298</v>
      </c>
      <c r="J47" s="93">
        <v>2.6700000000000002E-2</v>
      </c>
      <c r="K47" s="94">
        <v>0.61</v>
      </c>
      <c r="L47" s="92">
        <v>0</v>
      </c>
      <c r="M47" s="92">
        <v>0.123</v>
      </c>
      <c r="N47" s="92">
        <v>0.01</v>
      </c>
      <c r="O47" s="95">
        <v>100</v>
      </c>
      <c r="P47" s="124">
        <v>2.2459203645833408</v>
      </c>
      <c r="Q47" s="125">
        <v>-4.5907812500000152E-2</v>
      </c>
      <c r="R47" s="125">
        <v>5.1640625000000091E-4</v>
      </c>
      <c r="S47" s="125">
        <v>2.6468749999999396E-3</v>
      </c>
      <c r="T47" s="125">
        <v>-9.5833333333331591E-6</v>
      </c>
      <c r="U47" s="126">
        <v>-1.0262499999999962E-4</v>
      </c>
      <c r="V47" s="124">
        <v>3.8400342708333355</v>
      </c>
      <c r="W47" s="125">
        <v>-2.7140625000000064E-2</v>
      </c>
      <c r="X47" s="125">
        <v>-1.4531249999999955E-4</v>
      </c>
      <c r="Y47" s="125">
        <v>-7.6465833333333299E-3</v>
      </c>
      <c r="Z47" s="125">
        <v>-8.9166666666667027E-6</v>
      </c>
      <c r="AA47" s="126">
        <v>6.8750000000000031E-5</v>
      </c>
      <c r="AB47" s="124">
        <v>-0.79627296875001274</v>
      </c>
      <c r="AC47" s="125">
        <v>5.694843750000033E-2</v>
      </c>
      <c r="AD47" s="125">
        <v>-3.5859375000000247E-4</v>
      </c>
      <c r="AE47" s="125">
        <v>-9.8866249999999545E-3</v>
      </c>
      <c r="AF47" s="125">
        <v>2.0899999999999977E-4</v>
      </c>
      <c r="AG47" s="126">
        <v>-2.1312500000000007E-4</v>
      </c>
      <c r="AH47" s="124">
        <v>58.139560581037848</v>
      </c>
      <c r="AI47" s="125">
        <v>-1.7384915366910325</v>
      </c>
      <c r="AJ47" s="125">
        <v>1.2699642283120554E-2</v>
      </c>
      <c r="AK47" s="125">
        <v>6.528414025764321E-3</v>
      </c>
      <c r="AL47" s="125">
        <v>8.6135949603246935E-5</v>
      </c>
      <c r="AM47" s="126">
        <v>1.4659888306618361E-4</v>
      </c>
      <c r="AN47" s="124">
        <v>2.6305800000000001</v>
      </c>
      <c r="AO47" s="125">
        <v>-9.4999900000000004</v>
      </c>
      <c r="AP47" s="125">
        <v>14.27181</v>
      </c>
      <c r="AQ47" s="126">
        <v>-6.4024000000000001</v>
      </c>
      <c r="AR47" s="124">
        <v>0.96409</v>
      </c>
      <c r="AS47" s="125">
        <v>0.28948000000000002</v>
      </c>
      <c r="AT47" s="125">
        <v>0.18251999999999999</v>
      </c>
      <c r="AU47" s="126">
        <v>-0.13119</v>
      </c>
      <c r="AV47" s="138">
        <v>0.96</v>
      </c>
      <c r="AW47" s="138">
        <v>1.3</v>
      </c>
      <c r="AX47" s="95">
        <v>2</v>
      </c>
      <c r="AY47" s="96">
        <v>0.5</v>
      </c>
      <c r="AZ47" s="96">
        <v>0.66</v>
      </c>
      <c r="BA47" s="124">
        <v>0.84170758064378903</v>
      </c>
      <c r="BB47" s="134">
        <v>0.15829241935621105</v>
      </c>
      <c r="BC47" s="124">
        <v>2.8821760638243377E-2</v>
      </c>
      <c r="BD47" s="125">
        <v>1.3010898258381356</v>
      </c>
      <c r="BE47" s="126">
        <v>-0.32991158647637892</v>
      </c>
      <c r="BF47" s="96">
        <v>2.6080792186047175</v>
      </c>
      <c r="BG47" s="96">
        <v>0</v>
      </c>
    </row>
    <row r="48" spans="1:59" x14ac:dyDescent="0.25">
      <c r="A48" s="105">
        <v>35202</v>
      </c>
      <c r="B48" s="97">
        <v>2</v>
      </c>
      <c r="C48" s="89">
        <v>65</v>
      </c>
      <c r="D48" s="90">
        <v>1</v>
      </c>
      <c r="E48" s="91">
        <v>11</v>
      </c>
      <c r="F48" s="91">
        <v>10.58</v>
      </c>
      <c r="G48" s="90">
        <v>791699.99999999988</v>
      </c>
      <c r="H48" s="92">
        <v>0.70499999999999996</v>
      </c>
      <c r="I48" s="92">
        <v>0.24907000000000001</v>
      </c>
      <c r="J48" s="93">
        <v>2.6700000000000002E-2</v>
      </c>
      <c r="K48" s="94">
        <v>0.61</v>
      </c>
      <c r="L48" s="92">
        <v>0</v>
      </c>
      <c r="M48" s="92">
        <v>0.123</v>
      </c>
      <c r="N48" s="92">
        <v>0.01</v>
      </c>
      <c r="O48" s="95">
        <v>100</v>
      </c>
      <c r="P48" s="124">
        <v>2.2459203645833408</v>
      </c>
      <c r="Q48" s="125">
        <v>-4.5907812500000152E-2</v>
      </c>
      <c r="R48" s="125">
        <v>5.1640625000000091E-4</v>
      </c>
      <c r="S48" s="125">
        <v>2.6468749999999396E-3</v>
      </c>
      <c r="T48" s="125">
        <v>-9.5833333333331591E-6</v>
      </c>
      <c r="U48" s="126">
        <v>-1.0262499999999962E-4</v>
      </c>
      <c r="V48" s="124">
        <v>3.8400342708333355</v>
      </c>
      <c r="W48" s="125">
        <v>-2.7140625000000064E-2</v>
      </c>
      <c r="X48" s="125">
        <v>-1.4531249999999955E-4</v>
      </c>
      <c r="Y48" s="125">
        <v>-7.6465833333333299E-3</v>
      </c>
      <c r="Z48" s="125">
        <v>-8.9166666666667027E-6</v>
      </c>
      <c r="AA48" s="126">
        <v>6.8750000000000031E-5</v>
      </c>
      <c r="AB48" s="124">
        <v>-0.79627296875001274</v>
      </c>
      <c r="AC48" s="125">
        <v>5.694843750000033E-2</v>
      </c>
      <c r="AD48" s="125">
        <v>-3.5859375000000247E-4</v>
      </c>
      <c r="AE48" s="125">
        <v>-9.8866249999999545E-3</v>
      </c>
      <c r="AF48" s="125">
        <v>2.0899999999999977E-4</v>
      </c>
      <c r="AG48" s="126">
        <v>-2.1312500000000007E-4</v>
      </c>
      <c r="AH48" s="124">
        <v>58.139560581037848</v>
      </c>
      <c r="AI48" s="125">
        <v>-1.7384915366910325</v>
      </c>
      <c r="AJ48" s="125">
        <v>1.2699642283120554E-2</v>
      </c>
      <c r="AK48" s="125">
        <v>6.528414025764321E-3</v>
      </c>
      <c r="AL48" s="125">
        <v>8.6135949603246935E-5</v>
      </c>
      <c r="AM48" s="126">
        <v>1.4659888306618361E-4</v>
      </c>
      <c r="AN48" s="124">
        <v>2.6305800000000001</v>
      </c>
      <c r="AO48" s="125">
        <v>-9.4999900000000004</v>
      </c>
      <c r="AP48" s="125">
        <v>14.27181</v>
      </c>
      <c r="AQ48" s="126">
        <v>-6.4024000000000001</v>
      </c>
      <c r="AR48" s="124">
        <v>0.96409</v>
      </c>
      <c r="AS48" s="125">
        <v>0.28948000000000002</v>
      </c>
      <c r="AT48" s="125">
        <v>0.18251999999999999</v>
      </c>
      <c r="AU48" s="126">
        <v>-0.13119</v>
      </c>
      <c r="AV48" s="137">
        <v>0.96</v>
      </c>
      <c r="AW48" s="138">
        <v>1.3</v>
      </c>
      <c r="AX48" s="95">
        <v>2</v>
      </c>
      <c r="AY48" s="96">
        <v>0.5</v>
      </c>
      <c r="AZ48" s="98">
        <v>0.66</v>
      </c>
      <c r="BA48" s="124">
        <v>0.84170758064378903</v>
      </c>
      <c r="BB48" s="134">
        <v>0.15829241935621105</v>
      </c>
      <c r="BC48" s="124">
        <v>2.8821760638243377E-2</v>
      </c>
      <c r="BD48" s="125">
        <v>1.3010898258381356</v>
      </c>
      <c r="BE48" s="126">
        <v>-0.32991158647637892</v>
      </c>
      <c r="BF48" s="99">
        <v>2.6080792186047175</v>
      </c>
      <c r="BG48" s="99">
        <v>0</v>
      </c>
    </row>
    <row r="49" spans="1:59" x14ac:dyDescent="0.25">
      <c r="A49" s="105">
        <v>35302</v>
      </c>
      <c r="B49" s="97">
        <v>3</v>
      </c>
      <c r="C49" s="89">
        <v>65</v>
      </c>
      <c r="D49" s="90">
        <v>1</v>
      </c>
      <c r="E49" s="91">
        <v>12</v>
      </c>
      <c r="F49" s="91">
        <v>11.54</v>
      </c>
      <c r="G49" s="90">
        <v>791699.99999999988</v>
      </c>
      <c r="H49" s="92">
        <v>0.70499999999999996</v>
      </c>
      <c r="I49" s="92">
        <v>0.22373000000000001</v>
      </c>
      <c r="J49" s="93">
        <v>2.6700000000000002E-2</v>
      </c>
      <c r="K49" s="94">
        <v>0.61</v>
      </c>
      <c r="L49" s="92">
        <v>0</v>
      </c>
      <c r="M49" s="92">
        <v>0.123</v>
      </c>
      <c r="N49" s="92">
        <v>0.01</v>
      </c>
      <c r="O49" s="95">
        <v>100</v>
      </c>
      <c r="P49" s="124">
        <v>2.2459203645833408</v>
      </c>
      <c r="Q49" s="125">
        <v>-4.5907812500000152E-2</v>
      </c>
      <c r="R49" s="125">
        <v>5.1640625000000091E-4</v>
      </c>
      <c r="S49" s="125">
        <v>2.6468749999999396E-3</v>
      </c>
      <c r="T49" s="125">
        <v>-9.5833333333331591E-6</v>
      </c>
      <c r="U49" s="126">
        <v>-1.0262499999999962E-4</v>
      </c>
      <c r="V49" s="124">
        <v>3.8400342708333355</v>
      </c>
      <c r="W49" s="125">
        <v>-2.7140625000000064E-2</v>
      </c>
      <c r="X49" s="125">
        <v>-1.4531249999999955E-4</v>
      </c>
      <c r="Y49" s="125">
        <v>-7.6465833333333299E-3</v>
      </c>
      <c r="Z49" s="125">
        <v>-8.9166666666667027E-6</v>
      </c>
      <c r="AA49" s="126">
        <v>6.8750000000000031E-5</v>
      </c>
      <c r="AB49" s="124">
        <v>-0.79627296875001274</v>
      </c>
      <c r="AC49" s="125">
        <v>5.694843750000033E-2</v>
      </c>
      <c r="AD49" s="125">
        <v>-3.5859375000000247E-4</v>
      </c>
      <c r="AE49" s="125">
        <v>-9.8866249999999545E-3</v>
      </c>
      <c r="AF49" s="125">
        <v>2.0899999999999977E-4</v>
      </c>
      <c r="AG49" s="126">
        <v>-2.1312500000000007E-4</v>
      </c>
      <c r="AH49" s="124">
        <v>58.139560581037848</v>
      </c>
      <c r="AI49" s="125">
        <v>-1.7384915366910325</v>
      </c>
      <c r="AJ49" s="125">
        <v>1.2699642283120554E-2</v>
      </c>
      <c r="AK49" s="125">
        <v>6.528414025764321E-3</v>
      </c>
      <c r="AL49" s="125">
        <v>8.6135949603246935E-5</v>
      </c>
      <c r="AM49" s="126">
        <v>1.4659888306618361E-4</v>
      </c>
      <c r="AN49" s="124">
        <v>2.6305800000000001</v>
      </c>
      <c r="AO49" s="125">
        <v>-9.4999900000000004</v>
      </c>
      <c r="AP49" s="125">
        <v>14.27181</v>
      </c>
      <c r="AQ49" s="126">
        <v>-6.4024000000000001</v>
      </c>
      <c r="AR49" s="124">
        <v>0.96409</v>
      </c>
      <c r="AS49" s="125">
        <v>0.28948000000000002</v>
      </c>
      <c r="AT49" s="125">
        <v>0.18251999999999999</v>
      </c>
      <c r="AU49" s="126">
        <v>-0.13119</v>
      </c>
      <c r="AV49" s="137">
        <v>0.96</v>
      </c>
      <c r="AW49" s="138">
        <v>1.3</v>
      </c>
      <c r="AX49" s="95">
        <v>2</v>
      </c>
      <c r="AY49" s="96">
        <v>0.5</v>
      </c>
      <c r="AZ49" s="98">
        <v>0.66</v>
      </c>
      <c r="BA49" s="124">
        <v>0.84170758064378903</v>
      </c>
      <c r="BB49" s="134">
        <v>0.15829241935621105</v>
      </c>
      <c r="BC49" s="124">
        <v>2.8821760638243377E-2</v>
      </c>
      <c r="BD49" s="125">
        <v>1.3010898258381356</v>
      </c>
      <c r="BE49" s="126">
        <v>-0.32991158647637892</v>
      </c>
      <c r="BF49" s="99">
        <v>2.6080792186047175</v>
      </c>
      <c r="BG49" s="99">
        <v>0</v>
      </c>
    </row>
    <row r="55" spans="1:59" x14ac:dyDescent="0.25">
      <c r="A55" t="s">
        <v>252</v>
      </c>
    </row>
    <row r="56" spans="1:59" x14ac:dyDescent="0.25">
      <c r="A56" s="183" t="s">
        <v>638</v>
      </c>
      <c r="L56" t="s">
        <v>353</v>
      </c>
    </row>
    <row r="57" spans="1:59" x14ac:dyDescent="0.25">
      <c r="A57" s="50" t="s">
        <v>354</v>
      </c>
      <c r="B57" t="s">
        <v>254</v>
      </c>
      <c r="L57" t="s">
        <v>50</v>
      </c>
      <c r="M57">
        <v>0</v>
      </c>
    </row>
    <row r="58" spans="1:59" x14ac:dyDescent="0.25">
      <c r="A58" s="183">
        <v>2</v>
      </c>
      <c r="B58" t="s">
        <v>355</v>
      </c>
      <c r="L58" t="s">
        <v>356</v>
      </c>
      <c r="M58">
        <v>1</v>
      </c>
    </row>
    <row r="59" spans="1:59" x14ac:dyDescent="0.25">
      <c r="A59" s="183">
        <v>3</v>
      </c>
      <c r="B59" t="s">
        <v>357</v>
      </c>
      <c r="L59" t="s">
        <v>358</v>
      </c>
      <c r="M59">
        <v>2</v>
      </c>
    </row>
    <row r="60" spans="1:59" x14ac:dyDescent="0.25">
      <c r="A60" s="183">
        <v>4</v>
      </c>
      <c r="B60" t="s">
        <v>359</v>
      </c>
    </row>
    <row r="61" spans="1:59" x14ac:dyDescent="0.25">
      <c r="A61" s="183">
        <v>5</v>
      </c>
      <c r="B61" t="s">
        <v>360</v>
      </c>
    </row>
    <row r="62" spans="1:59" x14ac:dyDescent="0.25">
      <c r="A62" s="183">
        <v>6</v>
      </c>
      <c r="B62" t="s">
        <v>361</v>
      </c>
    </row>
    <row r="63" spans="1:59" x14ac:dyDescent="0.25">
      <c r="A63" s="183" t="s">
        <v>362</v>
      </c>
    </row>
    <row r="64" spans="1:59" x14ac:dyDescent="0.25">
      <c r="A64" s="183">
        <v>7</v>
      </c>
      <c r="B64" t="s">
        <v>258</v>
      </c>
    </row>
    <row r="65" spans="1:8" x14ac:dyDescent="0.25">
      <c r="A65" s="183"/>
      <c r="B65" t="s">
        <v>259</v>
      </c>
    </row>
    <row r="66" spans="1:8" x14ac:dyDescent="0.25">
      <c r="A66" s="183">
        <v>8</v>
      </c>
      <c r="B66" t="s">
        <v>260</v>
      </c>
    </row>
    <row r="67" spans="1:8" x14ac:dyDescent="0.25">
      <c r="A67" s="183">
        <v>9</v>
      </c>
      <c r="B67" t="s">
        <v>262</v>
      </c>
    </row>
    <row r="68" spans="1:8" x14ac:dyDescent="0.25">
      <c r="A68" s="183">
        <v>10</v>
      </c>
      <c r="B68" t="s">
        <v>263</v>
      </c>
    </row>
    <row r="69" spans="1:8" x14ac:dyDescent="0.25">
      <c r="A69" s="183">
        <v>11</v>
      </c>
      <c r="B69" t="s">
        <v>363</v>
      </c>
    </row>
    <row r="70" spans="1:8" x14ac:dyDescent="0.25">
      <c r="A70" s="183">
        <v>12</v>
      </c>
      <c r="B70" t="s">
        <v>266</v>
      </c>
    </row>
    <row r="71" spans="1:8" x14ac:dyDescent="0.25">
      <c r="A71" s="183">
        <v>13</v>
      </c>
      <c r="B71" t="s">
        <v>364</v>
      </c>
    </row>
    <row r="72" spans="1:8" x14ac:dyDescent="0.25">
      <c r="A72" s="183">
        <v>14</v>
      </c>
      <c r="B72" t="s">
        <v>268</v>
      </c>
    </row>
    <row r="73" spans="1:8" x14ac:dyDescent="0.25">
      <c r="A73" s="183" t="s">
        <v>365</v>
      </c>
      <c r="B73" t="s">
        <v>270</v>
      </c>
    </row>
    <row r="74" spans="1:8" x14ac:dyDescent="0.25">
      <c r="A74" s="183" t="s">
        <v>366</v>
      </c>
      <c r="B74" t="s">
        <v>272</v>
      </c>
    </row>
    <row r="75" spans="1:8" x14ac:dyDescent="0.25">
      <c r="A75" s="183" t="s">
        <v>367</v>
      </c>
      <c r="B75" t="s">
        <v>274</v>
      </c>
    </row>
    <row r="76" spans="1:8" x14ac:dyDescent="0.25">
      <c r="A76" s="183" t="s">
        <v>368</v>
      </c>
      <c r="B76" t="s">
        <v>276</v>
      </c>
    </row>
    <row r="77" spans="1:8" x14ac:dyDescent="0.25">
      <c r="A77" s="183" t="s">
        <v>279</v>
      </c>
      <c r="B77" t="s">
        <v>369</v>
      </c>
    </row>
    <row r="78" spans="1:8" x14ac:dyDescent="0.25">
      <c r="A78" s="183" t="s">
        <v>281</v>
      </c>
      <c r="B78" t="s">
        <v>370</v>
      </c>
    </row>
    <row r="79" spans="1:8" x14ac:dyDescent="0.25">
      <c r="A79" s="183">
        <v>47</v>
      </c>
      <c r="B79" t="s">
        <v>372</v>
      </c>
      <c r="H79" t="s">
        <v>371</v>
      </c>
    </row>
    <row r="80" spans="1:8" x14ac:dyDescent="0.25">
      <c r="A80" s="183">
        <v>48</v>
      </c>
      <c r="B80" t="s">
        <v>373</v>
      </c>
    </row>
    <row r="81" spans="1:11" x14ac:dyDescent="0.25">
      <c r="A81" s="183">
        <v>49</v>
      </c>
      <c r="B81" t="s">
        <v>374</v>
      </c>
    </row>
    <row r="82" spans="1:11" x14ac:dyDescent="0.25">
      <c r="A82" s="183">
        <v>50</v>
      </c>
      <c r="B82" t="s">
        <v>290</v>
      </c>
    </row>
    <row r="83" spans="1:11" x14ac:dyDescent="0.25">
      <c r="A83" s="183">
        <v>51</v>
      </c>
      <c r="B83" t="s">
        <v>291</v>
      </c>
    </row>
    <row r="84" spans="1:11" x14ac:dyDescent="0.25">
      <c r="A84" s="183" t="s">
        <v>375</v>
      </c>
      <c r="B84" t="s">
        <v>376</v>
      </c>
    </row>
    <row r="85" spans="1:11" x14ac:dyDescent="0.25">
      <c r="A85" s="183"/>
      <c r="B85" t="s">
        <v>378</v>
      </c>
    </row>
    <row r="86" spans="1:11" x14ac:dyDescent="0.25">
      <c r="A86" s="183" t="s">
        <v>379</v>
      </c>
      <c r="B86" t="s">
        <v>380</v>
      </c>
    </row>
    <row r="87" spans="1:11" x14ac:dyDescent="0.25">
      <c r="A87" s="183">
        <v>57</v>
      </c>
      <c r="B87" t="s">
        <v>381</v>
      </c>
    </row>
    <row r="88" spans="1:11" x14ac:dyDescent="0.25">
      <c r="A88" s="183"/>
      <c r="B88" t="s">
        <v>382</v>
      </c>
    </row>
    <row r="89" spans="1:11" x14ac:dyDescent="0.25">
      <c r="A89" s="183">
        <v>58</v>
      </c>
      <c r="B89" t="s">
        <v>383</v>
      </c>
    </row>
    <row r="93" spans="1:11" x14ac:dyDescent="0.25">
      <c r="K93" t="s">
        <v>377</v>
      </c>
    </row>
  </sheetData>
  <pageMargins left="0.7" right="0.7" top="0.75" bottom="0.75" header="0.3" footer="0.3"/>
  <pageSetup orientation="portrait" horizontalDpi="0" verticalDpi="0" r:id="rId1"/>
  <headerFooter>
    <oddFooter>&amp;L&amp;Z&amp;F &amp;A&amp;C&amp;P&amp;R&amp;D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2:O149"/>
  <sheetViews>
    <sheetView workbookViewId="0"/>
  </sheetViews>
  <sheetFormatPr defaultRowHeight="15" x14ac:dyDescent="0.25"/>
  <cols>
    <col min="3" max="3" width="10.28515625" customWidth="1"/>
    <col min="4" max="4" width="11.140625" customWidth="1"/>
    <col min="5" max="5" width="10.28515625" customWidth="1"/>
    <col min="7" max="7" width="14.42578125" customWidth="1"/>
    <col min="8" max="9" width="11.42578125" bestFit="1" customWidth="1"/>
    <col min="10" max="15" width="10.5703125" bestFit="1" customWidth="1"/>
    <col min="16" max="16" width="8.7109375" customWidth="1"/>
    <col min="19" max="19" width="48.7109375" bestFit="1" customWidth="1"/>
    <col min="20" max="20" width="40.7109375" bestFit="1" customWidth="1"/>
  </cols>
  <sheetData>
    <row r="2" spans="2:9" ht="20.25" thickBot="1" x14ac:dyDescent="0.35">
      <c r="B2" s="1" t="s">
        <v>726</v>
      </c>
      <c r="C2" s="1"/>
      <c r="D2" s="1"/>
      <c r="E2" s="1"/>
      <c r="F2" s="1"/>
      <c r="G2" s="1"/>
      <c r="H2" s="1"/>
      <c r="I2" s="1"/>
    </row>
    <row r="3" spans="2:9" ht="15.75" thickTop="1" x14ac:dyDescent="0.25">
      <c r="B3" s="156"/>
    </row>
    <row r="5" spans="2:9" x14ac:dyDescent="0.25">
      <c r="B5" s="3" t="s">
        <v>776</v>
      </c>
    </row>
    <row r="6" spans="2:9" x14ac:dyDescent="0.25">
      <c r="C6" t="s">
        <v>775</v>
      </c>
    </row>
    <row r="7" spans="2:9" x14ac:dyDescent="0.25">
      <c r="C7" t="s">
        <v>777</v>
      </c>
    </row>
    <row r="9" spans="2:9" x14ac:dyDescent="0.25">
      <c r="B9" s="3" t="s">
        <v>807</v>
      </c>
    </row>
    <row r="10" spans="2:9" x14ac:dyDescent="0.25">
      <c r="C10" t="s">
        <v>820</v>
      </c>
    </row>
    <row r="11" spans="2:9" x14ac:dyDescent="0.25">
      <c r="C11" t="s">
        <v>810</v>
      </c>
    </row>
    <row r="12" spans="2:9" x14ac:dyDescent="0.25">
      <c r="D12" t="s">
        <v>808</v>
      </c>
    </row>
    <row r="13" spans="2:9" x14ac:dyDescent="0.25">
      <c r="D13" t="s">
        <v>811</v>
      </c>
    </row>
    <row r="14" spans="2:9" x14ac:dyDescent="0.25">
      <c r="C14" t="s">
        <v>809</v>
      </c>
    </row>
    <row r="15" spans="2:9" x14ac:dyDescent="0.25">
      <c r="D15" t="s">
        <v>813</v>
      </c>
    </row>
    <row r="16" spans="2:9" x14ac:dyDescent="0.25">
      <c r="D16" t="s">
        <v>812</v>
      </c>
    </row>
    <row r="18" spans="2:4" x14ac:dyDescent="0.25">
      <c r="B18" s="3" t="s">
        <v>778</v>
      </c>
    </row>
    <row r="19" spans="2:4" x14ac:dyDescent="0.25">
      <c r="B19" s="3"/>
      <c r="C19" t="s">
        <v>814</v>
      </c>
    </row>
    <row r="20" spans="2:4" x14ac:dyDescent="0.25">
      <c r="C20" t="s">
        <v>815</v>
      </c>
    </row>
    <row r="21" spans="2:4" x14ac:dyDescent="0.25">
      <c r="D21" t="s">
        <v>805</v>
      </c>
    </row>
    <row r="22" spans="2:4" x14ac:dyDescent="0.25">
      <c r="C22" t="s">
        <v>816</v>
      </c>
    </row>
    <row r="23" spans="2:4" x14ac:dyDescent="0.25">
      <c r="D23" t="s">
        <v>806</v>
      </c>
    </row>
    <row r="24" spans="2:4" x14ac:dyDescent="0.25">
      <c r="C24" t="s">
        <v>817</v>
      </c>
    </row>
    <row r="25" spans="2:4" x14ac:dyDescent="0.25">
      <c r="D25" t="s">
        <v>806</v>
      </c>
    </row>
    <row r="26" spans="2:4" x14ac:dyDescent="0.25">
      <c r="C26" t="s">
        <v>779</v>
      </c>
    </row>
    <row r="27" spans="2:4" x14ac:dyDescent="0.25">
      <c r="D27" t="s">
        <v>818</v>
      </c>
    </row>
    <row r="28" spans="2:4" x14ac:dyDescent="0.25">
      <c r="C28" t="s">
        <v>833</v>
      </c>
    </row>
    <row r="30" spans="2:4" x14ac:dyDescent="0.25">
      <c r="B30" s="3" t="s">
        <v>863</v>
      </c>
    </row>
    <row r="31" spans="2:4" x14ac:dyDescent="0.25">
      <c r="B31" s="3"/>
      <c r="C31" t="s">
        <v>878</v>
      </c>
    </row>
    <row r="32" spans="2:4" x14ac:dyDescent="0.25">
      <c r="B32" s="3"/>
      <c r="C32" t="s">
        <v>861</v>
      </c>
    </row>
    <row r="33" spans="2:6" x14ac:dyDescent="0.25">
      <c r="B33" s="3"/>
      <c r="D33" t="s">
        <v>864</v>
      </c>
    </row>
    <row r="34" spans="2:6" x14ac:dyDescent="0.25">
      <c r="B34" s="3"/>
      <c r="D34" t="s">
        <v>865</v>
      </c>
    </row>
    <row r="35" spans="2:6" x14ac:dyDescent="0.25">
      <c r="B35" s="3"/>
      <c r="D35" t="s">
        <v>866</v>
      </c>
    </row>
    <row r="36" spans="2:6" x14ac:dyDescent="0.25">
      <c r="B36" s="3"/>
      <c r="C36" t="s">
        <v>862</v>
      </c>
    </row>
    <row r="37" spans="2:6" x14ac:dyDescent="0.25">
      <c r="B37" s="3"/>
      <c r="D37" t="s">
        <v>867</v>
      </c>
    </row>
    <row r="38" spans="2:6" x14ac:dyDescent="0.25">
      <c r="B38" s="3"/>
      <c r="D38" t="s">
        <v>868</v>
      </c>
    </row>
    <row r="39" spans="2:6" x14ac:dyDescent="0.25">
      <c r="B39" s="3"/>
    </row>
    <row r="40" spans="2:6" x14ac:dyDescent="0.25">
      <c r="B40" s="3" t="s">
        <v>819</v>
      </c>
    </row>
    <row r="41" spans="2:6" x14ac:dyDescent="0.25">
      <c r="C41" t="s">
        <v>836</v>
      </c>
    </row>
    <row r="42" spans="2:6" x14ac:dyDescent="0.25">
      <c r="C42" t="s">
        <v>869</v>
      </c>
    </row>
    <row r="43" spans="2:6" x14ac:dyDescent="0.25">
      <c r="C43" t="s">
        <v>870</v>
      </c>
    </row>
    <row r="44" spans="2:6" x14ac:dyDescent="0.25">
      <c r="C44" t="s">
        <v>871</v>
      </c>
    </row>
    <row r="45" spans="2:6" x14ac:dyDescent="0.25">
      <c r="C45" t="s">
        <v>837</v>
      </c>
    </row>
    <row r="47" spans="2:6" x14ac:dyDescent="0.25">
      <c r="C47" s="460" t="s">
        <v>804</v>
      </c>
      <c r="D47" s="460"/>
      <c r="E47" s="460"/>
      <c r="F47" s="460"/>
    </row>
    <row r="48" spans="2:6" x14ac:dyDescent="0.25">
      <c r="C48" s="293"/>
      <c r="D48" s="296" t="s">
        <v>755</v>
      </c>
      <c r="E48" s="456" t="s">
        <v>450</v>
      </c>
      <c r="F48" s="457"/>
    </row>
    <row r="49" spans="3:7" ht="15.75" thickBot="1" x14ac:dyDescent="0.3">
      <c r="C49" s="292" t="s">
        <v>780</v>
      </c>
      <c r="D49" s="294" t="s">
        <v>466</v>
      </c>
      <c r="E49" s="458" t="s">
        <v>466</v>
      </c>
      <c r="F49" s="459"/>
    </row>
    <row r="50" spans="3:7" x14ac:dyDescent="0.25">
      <c r="C50" s="290" t="s">
        <v>781</v>
      </c>
      <c r="D50" s="295" t="s">
        <v>467</v>
      </c>
      <c r="E50" s="44" t="s">
        <v>467</v>
      </c>
      <c r="F50" s="291"/>
    </row>
    <row r="51" spans="3:7" x14ac:dyDescent="0.25">
      <c r="C51" s="290" t="s">
        <v>424</v>
      </c>
      <c r="D51" s="295" t="s">
        <v>803</v>
      </c>
      <c r="E51" s="44" t="s">
        <v>467</v>
      </c>
      <c r="F51" s="291" t="s">
        <v>782</v>
      </c>
    </row>
    <row r="52" spans="3:7" x14ac:dyDescent="0.25">
      <c r="C52" s="290" t="s">
        <v>783</v>
      </c>
      <c r="D52" s="295" t="s">
        <v>782</v>
      </c>
      <c r="E52" s="44" t="s">
        <v>467</v>
      </c>
      <c r="F52" s="291" t="s">
        <v>782</v>
      </c>
      <c r="G52" s="297"/>
    </row>
    <row r="53" spans="3:7" x14ac:dyDescent="0.25">
      <c r="C53" s="290" t="s">
        <v>784</v>
      </c>
      <c r="D53" s="295" t="s">
        <v>467</v>
      </c>
      <c r="E53" s="44" t="s">
        <v>467</v>
      </c>
      <c r="F53" s="291"/>
    </row>
    <row r="54" spans="3:7" x14ac:dyDescent="0.25">
      <c r="C54" s="290" t="s">
        <v>785</v>
      </c>
      <c r="D54" s="295" t="s">
        <v>782</v>
      </c>
      <c r="E54" s="44" t="s">
        <v>467</v>
      </c>
      <c r="F54" s="291" t="s">
        <v>782</v>
      </c>
      <c r="G54" s="297"/>
    </row>
    <row r="55" spans="3:7" x14ac:dyDescent="0.25">
      <c r="C55" s="290" t="s">
        <v>786</v>
      </c>
      <c r="D55" s="295" t="s">
        <v>782</v>
      </c>
      <c r="E55" s="44" t="s">
        <v>467</v>
      </c>
      <c r="F55" s="291" t="s">
        <v>782</v>
      </c>
      <c r="G55" s="297"/>
    </row>
    <row r="56" spans="3:7" x14ac:dyDescent="0.25">
      <c r="C56" s="302" t="s">
        <v>801</v>
      </c>
      <c r="D56" s="303" t="s">
        <v>467</v>
      </c>
      <c r="E56" s="44"/>
      <c r="F56" s="291"/>
    </row>
    <row r="57" spans="3:7" x14ac:dyDescent="0.25">
      <c r="C57" s="290" t="s">
        <v>787</v>
      </c>
      <c r="D57" s="295" t="s">
        <v>467</v>
      </c>
      <c r="E57" s="44" t="s">
        <v>467</v>
      </c>
      <c r="F57" s="291"/>
    </row>
    <row r="58" spans="3:7" x14ac:dyDescent="0.25">
      <c r="C58" s="290" t="s">
        <v>788</v>
      </c>
      <c r="D58" s="295" t="s">
        <v>782</v>
      </c>
      <c r="E58" s="44" t="s">
        <v>467</v>
      </c>
      <c r="F58" s="291" t="s">
        <v>782</v>
      </c>
      <c r="G58" s="297"/>
    </row>
    <row r="59" spans="3:7" x14ac:dyDescent="0.25">
      <c r="C59" s="290" t="s">
        <v>789</v>
      </c>
      <c r="D59" s="295" t="s">
        <v>782</v>
      </c>
      <c r="E59" s="44" t="s">
        <v>467</v>
      </c>
      <c r="F59" s="291" t="s">
        <v>782</v>
      </c>
      <c r="G59" s="297"/>
    </row>
    <row r="60" spans="3:7" x14ac:dyDescent="0.25">
      <c r="C60" s="290" t="s">
        <v>790</v>
      </c>
      <c r="D60" s="295" t="s">
        <v>467</v>
      </c>
      <c r="E60" s="44" t="s">
        <v>467</v>
      </c>
      <c r="F60" s="291" t="s">
        <v>782</v>
      </c>
    </row>
    <row r="61" spans="3:7" x14ac:dyDescent="0.25">
      <c r="C61" s="290" t="s">
        <v>791</v>
      </c>
      <c r="D61" s="295" t="s">
        <v>467</v>
      </c>
      <c r="E61" s="44" t="s">
        <v>467</v>
      </c>
      <c r="F61" s="291"/>
      <c r="G61" s="297"/>
    </row>
    <row r="62" spans="3:7" x14ac:dyDescent="0.25">
      <c r="C62" s="290" t="s">
        <v>792</v>
      </c>
      <c r="D62" s="295" t="s">
        <v>782</v>
      </c>
      <c r="E62" s="44" t="s">
        <v>467</v>
      </c>
      <c r="F62" s="291" t="s">
        <v>782</v>
      </c>
      <c r="G62" s="297"/>
    </row>
    <row r="63" spans="3:7" x14ac:dyDescent="0.25">
      <c r="C63" s="290" t="s">
        <v>793</v>
      </c>
      <c r="D63" s="295" t="s">
        <v>782</v>
      </c>
      <c r="E63" s="44" t="s">
        <v>467</v>
      </c>
      <c r="F63" s="291" t="s">
        <v>782</v>
      </c>
      <c r="G63" s="297"/>
    </row>
    <row r="64" spans="3:7" x14ac:dyDescent="0.25">
      <c r="C64" s="290" t="s">
        <v>794</v>
      </c>
      <c r="D64" s="295" t="s">
        <v>467</v>
      </c>
      <c r="E64" s="44" t="s">
        <v>467</v>
      </c>
      <c r="F64" s="291" t="s">
        <v>782</v>
      </c>
    </row>
    <row r="65" spans="2:7" x14ac:dyDescent="0.25">
      <c r="C65" s="290" t="s">
        <v>795</v>
      </c>
      <c r="D65" s="295" t="s">
        <v>467</v>
      </c>
      <c r="E65" s="44" t="s">
        <v>467</v>
      </c>
      <c r="F65" s="291"/>
    </row>
    <row r="66" spans="2:7" x14ac:dyDescent="0.25">
      <c r="C66" s="290" t="s">
        <v>796</v>
      </c>
      <c r="D66" s="295" t="s">
        <v>467</v>
      </c>
      <c r="E66" s="44" t="s">
        <v>467</v>
      </c>
      <c r="F66" s="291"/>
    </row>
    <row r="67" spans="2:7" x14ac:dyDescent="0.25">
      <c r="C67" s="290" t="s">
        <v>797</v>
      </c>
      <c r="D67" s="295" t="s">
        <v>467</v>
      </c>
      <c r="E67" s="44" t="s">
        <v>467</v>
      </c>
      <c r="F67" s="291" t="s">
        <v>782</v>
      </c>
    </row>
    <row r="68" spans="2:7" x14ac:dyDescent="0.25">
      <c r="C68" s="290" t="s">
        <v>798</v>
      </c>
      <c r="D68" s="295" t="s">
        <v>467</v>
      </c>
      <c r="E68" s="44" t="s">
        <v>467</v>
      </c>
      <c r="F68" s="291"/>
    </row>
    <row r="69" spans="2:7" x14ac:dyDescent="0.25">
      <c r="C69" s="290" t="s">
        <v>799</v>
      </c>
      <c r="D69" s="295" t="s">
        <v>467</v>
      </c>
      <c r="E69" s="44" t="s">
        <v>467</v>
      </c>
      <c r="F69" s="291"/>
    </row>
    <row r="70" spans="2:7" x14ac:dyDescent="0.25">
      <c r="C70" s="290" t="s">
        <v>800</v>
      </c>
      <c r="D70" s="295" t="s">
        <v>467</v>
      </c>
      <c r="E70" s="44" t="s">
        <v>467</v>
      </c>
      <c r="F70" s="291"/>
    </row>
    <row r="71" spans="2:7" x14ac:dyDescent="0.25">
      <c r="C71" s="298" t="s">
        <v>802</v>
      </c>
      <c r="D71" s="299" t="s">
        <v>467</v>
      </c>
      <c r="E71" s="300"/>
      <c r="F71" s="301"/>
    </row>
    <row r="72" spans="2:7" x14ac:dyDescent="0.25">
      <c r="C72" s="304" t="s">
        <v>840</v>
      </c>
      <c r="D72" s="305" t="s">
        <v>872</v>
      </c>
      <c r="E72" s="44"/>
      <c r="F72" s="44"/>
      <c r="G72" s="44"/>
    </row>
    <row r="73" spans="2:7" x14ac:dyDescent="0.25">
      <c r="C73" s="44"/>
      <c r="D73" s="305" t="s">
        <v>841</v>
      </c>
      <c r="E73" s="44"/>
      <c r="F73" s="44"/>
      <c r="G73" s="44"/>
    </row>
    <row r="74" spans="2:7" x14ac:dyDescent="0.25">
      <c r="C74" s="44"/>
      <c r="D74" s="44"/>
      <c r="E74" s="44"/>
      <c r="F74" s="44"/>
      <c r="G74" s="44"/>
    </row>
    <row r="75" spans="2:7" x14ac:dyDescent="0.25">
      <c r="C75" s="44"/>
      <c r="D75" s="44"/>
      <c r="E75" s="44"/>
      <c r="F75" s="44"/>
      <c r="G75" s="44"/>
    </row>
    <row r="76" spans="2:7" x14ac:dyDescent="0.25">
      <c r="B76" s="3" t="s">
        <v>727</v>
      </c>
    </row>
    <row r="77" spans="2:7" x14ac:dyDescent="0.25">
      <c r="B77" s="3"/>
      <c r="C77" t="s">
        <v>882</v>
      </c>
    </row>
    <row r="78" spans="2:7" x14ac:dyDescent="0.25">
      <c r="B78" s="3"/>
      <c r="C78" t="s">
        <v>879</v>
      </c>
    </row>
    <row r="79" spans="2:7" x14ac:dyDescent="0.25">
      <c r="B79" s="3"/>
      <c r="C79" t="s">
        <v>880</v>
      </c>
    </row>
    <row r="80" spans="2:7" x14ac:dyDescent="0.25">
      <c r="B80" s="3"/>
      <c r="C80" t="s">
        <v>881</v>
      </c>
    </row>
    <row r="81" spans="2:15" x14ac:dyDescent="0.25">
      <c r="B81" s="3"/>
      <c r="C81" t="s">
        <v>883</v>
      </c>
    </row>
    <row r="82" spans="2:15" x14ac:dyDescent="0.25">
      <c r="C82" t="s">
        <v>884</v>
      </c>
    </row>
    <row r="85" spans="2:15" x14ac:dyDescent="0.25">
      <c r="B85" s="3" t="s">
        <v>719</v>
      </c>
    </row>
    <row r="86" spans="2:15" x14ac:dyDescent="0.25">
      <c r="B86" s="449" t="s">
        <v>977</v>
      </c>
    </row>
    <row r="87" spans="2:15" x14ac:dyDescent="0.25">
      <c r="B87" s="449" t="s">
        <v>978</v>
      </c>
    </row>
    <row r="88" spans="2:15" x14ac:dyDescent="0.25">
      <c r="B88" s="449"/>
    </row>
    <row r="89" spans="2:15" x14ac:dyDescent="0.25">
      <c r="B89" s="3"/>
      <c r="C89" t="s">
        <v>908</v>
      </c>
    </row>
    <row r="90" spans="2:15" x14ac:dyDescent="0.25">
      <c r="B90" s="3"/>
      <c r="I90" s="455" t="s">
        <v>902</v>
      </c>
      <c r="J90" s="455"/>
      <c r="K90" s="455"/>
      <c r="L90" s="455"/>
      <c r="M90" s="455"/>
      <c r="N90" s="455"/>
      <c r="O90" s="455"/>
    </row>
    <row r="91" spans="2:15" x14ac:dyDescent="0.25">
      <c r="C91" s="6" t="s">
        <v>907</v>
      </c>
      <c r="D91" s="5"/>
      <c r="E91" s="5"/>
      <c r="F91" s="5"/>
      <c r="G91" s="5"/>
      <c r="H91" s="212"/>
      <c r="I91" s="5" t="s">
        <v>891</v>
      </c>
      <c r="J91" s="5" t="s">
        <v>892</v>
      </c>
      <c r="K91" s="5" t="s">
        <v>893</v>
      </c>
      <c r="L91" s="5" t="s">
        <v>894</v>
      </c>
      <c r="M91" s="5" t="s">
        <v>525</v>
      </c>
      <c r="N91" s="5" t="s">
        <v>526</v>
      </c>
      <c r="O91" s="5" t="s">
        <v>527</v>
      </c>
    </row>
    <row r="92" spans="2:15" x14ac:dyDescent="0.25">
      <c r="B92" s="3"/>
      <c r="G92" t="s">
        <v>755</v>
      </c>
      <c r="H92" t="s">
        <v>896</v>
      </c>
      <c r="I92" s="215">
        <v>10</v>
      </c>
      <c r="J92" s="215">
        <v>10</v>
      </c>
      <c r="K92" s="215">
        <v>10</v>
      </c>
      <c r="L92" s="215">
        <v>10</v>
      </c>
      <c r="M92" s="215">
        <v>13</v>
      </c>
      <c r="N92" s="215">
        <v>13</v>
      </c>
      <c r="O92" s="215">
        <v>13</v>
      </c>
    </row>
    <row r="93" spans="2:15" x14ac:dyDescent="0.25">
      <c r="C93" s="361" t="s">
        <v>769</v>
      </c>
      <c r="G93" t="s">
        <v>450</v>
      </c>
      <c r="H93" t="s">
        <v>896</v>
      </c>
      <c r="I93" s="215">
        <v>10</v>
      </c>
      <c r="J93" s="215">
        <v>10</v>
      </c>
      <c r="K93" s="215">
        <v>10</v>
      </c>
      <c r="L93" s="215">
        <v>10</v>
      </c>
      <c r="M93" s="215">
        <v>13</v>
      </c>
      <c r="N93" s="215">
        <v>13</v>
      </c>
      <c r="O93" s="215">
        <v>13</v>
      </c>
    </row>
    <row r="94" spans="2:15" x14ac:dyDescent="0.25">
      <c r="C94" s="361" t="s">
        <v>770</v>
      </c>
      <c r="I94" t="s">
        <v>898</v>
      </c>
      <c r="J94" t="s">
        <v>899</v>
      </c>
      <c r="K94" t="s">
        <v>900</v>
      </c>
      <c r="L94" t="s">
        <v>901</v>
      </c>
    </row>
    <row r="95" spans="2:15" x14ac:dyDescent="0.25">
      <c r="C95" s="361" t="s">
        <v>895</v>
      </c>
      <c r="G95" t="s">
        <v>755</v>
      </c>
      <c r="H95" t="s">
        <v>897</v>
      </c>
      <c r="I95">
        <v>6.5</v>
      </c>
      <c r="J95">
        <v>6.5</v>
      </c>
      <c r="K95" s="215">
        <v>10</v>
      </c>
      <c r="L95" s="215">
        <v>13</v>
      </c>
    </row>
    <row r="96" spans="2:15" x14ac:dyDescent="0.25">
      <c r="G96" t="s">
        <v>450</v>
      </c>
      <c r="H96" t="s">
        <v>897</v>
      </c>
      <c r="I96">
        <v>10</v>
      </c>
      <c r="J96">
        <v>10</v>
      </c>
      <c r="K96" s="215">
        <v>10</v>
      </c>
      <c r="L96" s="215">
        <v>13</v>
      </c>
    </row>
    <row r="98" spans="3:15" x14ac:dyDescent="0.25">
      <c r="C98" s="183" t="s">
        <v>909</v>
      </c>
    </row>
    <row r="99" spans="3:15" x14ac:dyDescent="0.25">
      <c r="I99" s="455" t="s">
        <v>902</v>
      </c>
      <c r="J99" s="455"/>
      <c r="K99" s="455"/>
      <c r="L99" s="455"/>
      <c r="M99" s="455"/>
      <c r="N99" s="455"/>
      <c r="O99" s="455"/>
    </row>
    <row r="100" spans="3:15" x14ac:dyDescent="0.25">
      <c r="C100" s="362" t="s">
        <v>905</v>
      </c>
      <c r="D100" s="5"/>
      <c r="E100" s="5"/>
      <c r="F100" s="5"/>
      <c r="G100" s="5"/>
      <c r="H100" s="5"/>
      <c r="I100" s="5" t="s">
        <v>891</v>
      </c>
      <c r="J100" s="5" t="s">
        <v>892</v>
      </c>
      <c r="K100" s="5" t="s">
        <v>893</v>
      </c>
      <c r="L100" s="5" t="s">
        <v>894</v>
      </c>
      <c r="M100" s="5" t="s">
        <v>525</v>
      </c>
      <c r="N100" s="5" t="s">
        <v>526</v>
      </c>
      <c r="O100" s="5" t="s">
        <v>527</v>
      </c>
    </row>
    <row r="101" spans="3:15" x14ac:dyDescent="0.25">
      <c r="C101" t="s">
        <v>961</v>
      </c>
      <c r="G101" t="s">
        <v>755</v>
      </c>
      <c r="I101">
        <v>8.5</v>
      </c>
      <c r="J101">
        <v>9.5</v>
      </c>
      <c r="K101" s="215">
        <v>10</v>
      </c>
      <c r="L101" s="215">
        <v>10</v>
      </c>
      <c r="M101" s="215">
        <v>13</v>
      </c>
      <c r="N101" s="215">
        <v>13</v>
      </c>
      <c r="O101" s="215">
        <v>13</v>
      </c>
    </row>
    <row r="102" spans="3:15" x14ac:dyDescent="0.25">
      <c r="C102" s="5"/>
      <c r="D102" s="5"/>
      <c r="E102" s="5"/>
      <c r="F102" s="5"/>
      <c r="G102" s="5" t="s">
        <v>450</v>
      </c>
      <c r="H102" s="5"/>
      <c r="I102" s="5">
        <v>10</v>
      </c>
      <c r="J102" s="5">
        <v>10</v>
      </c>
      <c r="K102" s="364">
        <v>10</v>
      </c>
      <c r="L102" s="364">
        <v>10</v>
      </c>
      <c r="M102" s="364">
        <v>13</v>
      </c>
      <c r="N102" s="364">
        <v>13</v>
      </c>
      <c r="O102" s="364">
        <v>13</v>
      </c>
    </row>
    <row r="103" spans="3:15" x14ac:dyDescent="0.25">
      <c r="C103" t="s">
        <v>962</v>
      </c>
      <c r="G103" t="s">
        <v>755</v>
      </c>
      <c r="I103" s="363">
        <v>8.3000000000000007</v>
      </c>
      <c r="J103" s="363">
        <v>9.3000000000000007</v>
      </c>
      <c r="K103" s="215">
        <v>9.6999999999999993</v>
      </c>
      <c r="L103" s="215">
        <v>9.6999999999999993</v>
      </c>
      <c r="M103" s="215">
        <v>13</v>
      </c>
      <c r="N103" s="215">
        <v>13</v>
      </c>
      <c r="O103" s="215">
        <v>13</v>
      </c>
    </row>
    <row r="104" spans="3:15" x14ac:dyDescent="0.25">
      <c r="C104" s="5"/>
      <c r="D104" s="5"/>
      <c r="E104" s="5"/>
      <c r="F104" s="5"/>
      <c r="G104" s="5" t="s">
        <v>450</v>
      </c>
      <c r="H104" s="5"/>
      <c r="I104" s="5">
        <v>9.6999999999999993</v>
      </c>
      <c r="J104" s="5">
        <v>9.6999999999999993</v>
      </c>
      <c r="K104" s="364">
        <v>9.6999999999999993</v>
      </c>
      <c r="L104" s="364">
        <v>9.6999999999999993</v>
      </c>
      <c r="M104" s="364">
        <v>13</v>
      </c>
      <c r="N104" s="364">
        <v>13</v>
      </c>
      <c r="O104" s="364">
        <v>13</v>
      </c>
    </row>
    <row r="105" spans="3:15" x14ac:dyDescent="0.25">
      <c r="C105" s="146"/>
      <c r="D105" s="146"/>
      <c r="E105" s="146"/>
      <c r="F105" s="146"/>
      <c r="G105" s="146"/>
      <c r="H105" s="146"/>
      <c r="I105" s="146"/>
      <c r="J105" s="146"/>
      <c r="K105" s="367"/>
      <c r="L105" s="367"/>
      <c r="M105" s="367"/>
      <c r="N105" s="367"/>
      <c r="O105" s="367"/>
    </row>
    <row r="106" spans="3:15" x14ac:dyDescent="0.25">
      <c r="C106" s="146" t="s">
        <v>910</v>
      </c>
      <c r="D106" s="146"/>
      <c r="E106" s="146"/>
      <c r="F106" s="146"/>
      <c r="G106" s="146"/>
      <c r="H106" s="146"/>
      <c r="I106" s="146"/>
      <c r="J106" s="146"/>
      <c r="K106" s="367"/>
      <c r="L106" s="367"/>
      <c r="M106" s="367"/>
      <c r="N106" s="367"/>
      <c r="O106" s="367"/>
    </row>
    <row r="107" spans="3:15" x14ac:dyDescent="0.25">
      <c r="C107" s="372" t="s">
        <v>911</v>
      </c>
      <c r="D107" s="146"/>
      <c r="E107" s="146"/>
      <c r="F107" s="146"/>
      <c r="G107" s="146"/>
      <c r="H107" s="146"/>
      <c r="I107" s="146"/>
      <c r="J107" s="146"/>
      <c r="K107" s="367"/>
      <c r="L107" s="367"/>
      <c r="M107" s="367"/>
      <c r="N107" s="367"/>
      <c r="O107" s="367"/>
    </row>
    <row r="108" spans="3:15" x14ac:dyDescent="0.25">
      <c r="C108" s="146"/>
      <c r="D108" s="146"/>
      <c r="E108" s="146"/>
      <c r="F108" s="146"/>
      <c r="G108" s="146"/>
      <c r="H108" s="146"/>
      <c r="I108" s="455" t="s">
        <v>902</v>
      </c>
      <c r="J108" s="455"/>
      <c r="K108" s="455"/>
      <c r="L108" s="455"/>
      <c r="M108" s="455"/>
      <c r="N108" s="455"/>
      <c r="O108" s="455"/>
    </row>
    <row r="109" spans="3:15" x14ac:dyDescent="0.25">
      <c r="C109" s="6" t="s">
        <v>906</v>
      </c>
      <c r="D109" s="5"/>
      <c r="E109" s="5"/>
      <c r="F109" s="5"/>
      <c r="G109" s="5"/>
      <c r="H109" s="5"/>
      <c r="I109" s="5" t="s">
        <v>891</v>
      </c>
      <c r="J109" s="5" t="s">
        <v>892</v>
      </c>
      <c r="K109" s="5" t="s">
        <v>893</v>
      </c>
      <c r="L109" s="5" t="s">
        <v>894</v>
      </c>
      <c r="M109" s="5" t="s">
        <v>525</v>
      </c>
      <c r="N109" s="5" t="s">
        <v>526</v>
      </c>
      <c r="O109" s="5" t="s">
        <v>527</v>
      </c>
    </row>
    <row r="110" spans="3:15" x14ac:dyDescent="0.25">
      <c r="D110" t="s">
        <v>888</v>
      </c>
      <c r="G110" t="s">
        <v>755</v>
      </c>
      <c r="I110">
        <v>7.7</v>
      </c>
      <c r="J110">
        <v>8.9</v>
      </c>
      <c r="K110">
        <v>8.9</v>
      </c>
      <c r="L110" s="215">
        <v>10.1</v>
      </c>
      <c r="M110" s="215">
        <v>10.1</v>
      </c>
      <c r="N110" s="215">
        <v>11</v>
      </c>
      <c r="O110" s="215">
        <v>10.8</v>
      </c>
    </row>
    <row r="111" spans="3:15" x14ac:dyDescent="0.25">
      <c r="D111" s="5"/>
      <c r="E111" s="5"/>
      <c r="F111" s="5"/>
      <c r="G111" s="5" t="s">
        <v>450</v>
      </c>
      <c r="H111" s="5"/>
      <c r="I111" s="5">
        <v>10.1</v>
      </c>
      <c r="J111" s="5">
        <v>10.1</v>
      </c>
      <c r="K111" s="5">
        <v>10.1</v>
      </c>
      <c r="L111" s="364">
        <v>10.1</v>
      </c>
      <c r="M111" s="364">
        <v>10.1</v>
      </c>
      <c r="N111" s="364">
        <v>11</v>
      </c>
      <c r="O111" s="364">
        <v>11</v>
      </c>
    </row>
    <row r="112" spans="3:15" x14ac:dyDescent="0.25">
      <c r="D112" t="s">
        <v>887</v>
      </c>
      <c r="G112" t="s">
        <v>755</v>
      </c>
      <c r="I112">
        <v>7.7</v>
      </c>
      <c r="J112">
        <v>8.9</v>
      </c>
      <c r="K112">
        <v>8.9</v>
      </c>
      <c r="L112" s="215">
        <v>10.1</v>
      </c>
      <c r="M112" s="215">
        <v>10.1</v>
      </c>
      <c r="N112" s="215">
        <v>11</v>
      </c>
      <c r="O112" s="215">
        <v>10.8</v>
      </c>
    </row>
    <row r="113" spans="4:15" x14ac:dyDescent="0.25">
      <c r="D113" s="5"/>
      <c r="E113" s="5"/>
      <c r="F113" s="5"/>
      <c r="G113" s="5" t="s">
        <v>450</v>
      </c>
      <c r="H113" s="5"/>
      <c r="I113" s="5">
        <v>10.1</v>
      </c>
      <c r="J113" s="5">
        <v>10.1</v>
      </c>
      <c r="K113" s="5">
        <v>10.1</v>
      </c>
      <c r="L113" s="364">
        <v>10.1</v>
      </c>
      <c r="M113" s="364">
        <v>10.1</v>
      </c>
      <c r="N113" s="364">
        <v>11</v>
      </c>
      <c r="O113" s="364">
        <v>11</v>
      </c>
    </row>
    <row r="114" spans="4:15" x14ac:dyDescent="0.25">
      <c r="D114" t="s">
        <v>886</v>
      </c>
      <c r="G114" t="s">
        <v>755</v>
      </c>
      <c r="I114">
        <v>7.7</v>
      </c>
      <c r="J114">
        <v>8.3000000000000007</v>
      </c>
      <c r="K114">
        <v>8.3000000000000007</v>
      </c>
      <c r="L114" s="215">
        <v>9.5</v>
      </c>
      <c r="M114" s="215">
        <v>9.5</v>
      </c>
      <c r="N114" s="215">
        <v>10.8</v>
      </c>
      <c r="O114" s="215">
        <v>10.8</v>
      </c>
    </row>
    <row r="115" spans="4:15" x14ac:dyDescent="0.25">
      <c r="D115" s="5"/>
      <c r="E115" s="5"/>
      <c r="F115" s="5"/>
      <c r="G115" s="5" t="s">
        <v>450</v>
      </c>
      <c r="H115" s="5"/>
      <c r="I115" s="5">
        <v>9.5</v>
      </c>
      <c r="J115" s="5">
        <v>9.5</v>
      </c>
      <c r="K115" s="5">
        <v>9.5</v>
      </c>
      <c r="L115" s="364">
        <v>9.5</v>
      </c>
      <c r="M115" s="364">
        <v>9.5</v>
      </c>
      <c r="N115" s="364">
        <v>10.8</v>
      </c>
      <c r="O115" s="364">
        <v>10.8</v>
      </c>
    </row>
    <row r="116" spans="4:15" x14ac:dyDescent="0.25">
      <c r="D116" t="s">
        <v>889</v>
      </c>
      <c r="G116" s="365" t="s">
        <v>755</v>
      </c>
      <c r="H116" s="461" t="s">
        <v>903</v>
      </c>
      <c r="I116" s="365">
        <v>7.7</v>
      </c>
      <c r="J116" s="365">
        <v>8.3000000000000007</v>
      </c>
      <c r="K116" s="365">
        <v>8.3000000000000007</v>
      </c>
      <c r="L116" s="366">
        <v>9.3000000000000007</v>
      </c>
      <c r="M116" s="366">
        <v>9.3000000000000007</v>
      </c>
      <c r="N116" s="366">
        <v>9.8000000000000007</v>
      </c>
      <c r="O116" s="366">
        <v>9.8000000000000007</v>
      </c>
    </row>
    <row r="117" spans="4:15" x14ac:dyDescent="0.25">
      <c r="G117" s="5" t="s">
        <v>450</v>
      </c>
      <c r="H117" s="462"/>
      <c r="I117" s="5">
        <v>9.3000000000000007</v>
      </c>
      <c r="J117" s="5">
        <v>9.3000000000000007</v>
      </c>
      <c r="K117" s="5">
        <v>9.3000000000000007</v>
      </c>
      <c r="L117" s="364">
        <v>9.3000000000000007</v>
      </c>
      <c r="M117" s="364">
        <v>9.3000000000000007</v>
      </c>
      <c r="N117" s="364">
        <v>9.8000000000000007</v>
      </c>
      <c r="O117" s="364">
        <v>9.8000000000000007</v>
      </c>
    </row>
    <row r="118" spans="4:15" x14ac:dyDescent="0.25">
      <c r="D118" s="146"/>
      <c r="E118" s="146"/>
      <c r="F118" s="146"/>
      <c r="G118" s="146" t="s">
        <v>755</v>
      </c>
      <c r="H118" s="453" t="s">
        <v>904</v>
      </c>
      <c r="I118" s="146">
        <v>7.7</v>
      </c>
      <c r="J118" s="146">
        <v>8.5</v>
      </c>
      <c r="K118" s="146">
        <v>8.5</v>
      </c>
      <c r="L118" s="367">
        <v>9.5</v>
      </c>
      <c r="M118" s="367">
        <v>9.5</v>
      </c>
      <c r="N118" s="367">
        <v>10</v>
      </c>
      <c r="O118" s="367">
        <v>10</v>
      </c>
    </row>
    <row r="119" spans="4:15" x14ac:dyDescent="0.25">
      <c r="D119" s="5"/>
      <c r="E119" s="5"/>
      <c r="F119" s="5"/>
      <c r="G119" s="5" t="s">
        <v>450</v>
      </c>
      <c r="H119" s="454"/>
      <c r="I119" s="5">
        <v>9.5</v>
      </c>
      <c r="J119" s="5">
        <v>9.5</v>
      </c>
      <c r="K119" s="5">
        <v>9.5</v>
      </c>
      <c r="L119" s="364">
        <v>9.5</v>
      </c>
      <c r="M119" s="364">
        <v>9.5</v>
      </c>
      <c r="N119" s="364">
        <v>10</v>
      </c>
      <c r="O119" s="364">
        <v>10</v>
      </c>
    </row>
    <row r="120" spans="4:15" x14ac:dyDescent="0.25">
      <c r="D120" t="s">
        <v>890</v>
      </c>
      <c r="G120" s="365" t="s">
        <v>755</v>
      </c>
      <c r="H120" s="461" t="s">
        <v>903</v>
      </c>
      <c r="I120" s="368">
        <v>7.7</v>
      </c>
      <c r="J120" s="368">
        <v>8</v>
      </c>
      <c r="K120" s="368">
        <v>8</v>
      </c>
      <c r="L120" s="369">
        <v>9</v>
      </c>
      <c r="M120" s="369">
        <v>9</v>
      </c>
      <c r="N120" s="366">
        <v>9.5</v>
      </c>
      <c r="O120" s="366">
        <v>9.5</v>
      </c>
    </row>
    <row r="121" spans="4:15" x14ac:dyDescent="0.25">
      <c r="G121" s="5" t="s">
        <v>450</v>
      </c>
      <c r="H121" s="462"/>
      <c r="I121" s="370">
        <v>9</v>
      </c>
      <c r="J121" s="370">
        <v>9</v>
      </c>
      <c r="K121" s="370">
        <v>9</v>
      </c>
      <c r="L121" s="371">
        <v>9</v>
      </c>
      <c r="M121" s="371">
        <v>9</v>
      </c>
      <c r="N121" s="364">
        <v>9.5</v>
      </c>
      <c r="O121" s="364">
        <v>9.5</v>
      </c>
    </row>
    <row r="122" spans="4:15" x14ac:dyDescent="0.25">
      <c r="D122" s="146"/>
      <c r="E122" s="146"/>
      <c r="F122" s="146"/>
      <c r="G122" s="146" t="s">
        <v>755</v>
      </c>
      <c r="H122" s="453" t="s">
        <v>904</v>
      </c>
      <c r="I122" s="146">
        <v>7.7</v>
      </c>
      <c r="J122" s="146">
        <v>8.1999999999999993</v>
      </c>
      <c r="K122" s="146">
        <v>8.1999999999999993</v>
      </c>
      <c r="L122" s="367">
        <v>9.1999999999999993</v>
      </c>
      <c r="M122" s="367">
        <v>9.1999999999999993</v>
      </c>
      <c r="N122" s="367">
        <v>9.6999999999999993</v>
      </c>
      <c r="O122" s="367">
        <v>9.6999999999999993</v>
      </c>
    </row>
    <row r="123" spans="4:15" x14ac:dyDescent="0.25">
      <c r="D123" s="5"/>
      <c r="E123" s="5"/>
      <c r="F123" s="5"/>
      <c r="G123" s="5" t="s">
        <v>450</v>
      </c>
      <c r="H123" s="454"/>
      <c r="I123" s="5">
        <v>9.1999999999999993</v>
      </c>
      <c r="J123" s="5">
        <v>9.1999999999999993</v>
      </c>
      <c r="K123" s="5">
        <v>9.1999999999999993</v>
      </c>
      <c r="L123" s="364">
        <v>9.1999999999999993</v>
      </c>
      <c r="M123" s="364">
        <v>9.1999999999999993</v>
      </c>
      <c r="N123" s="364">
        <v>9.6999999999999993</v>
      </c>
      <c r="O123" s="364">
        <v>9.6999999999999993</v>
      </c>
    </row>
    <row r="149" spans="2:2" x14ac:dyDescent="0.25">
      <c r="B149" s="3"/>
    </row>
  </sheetData>
  <sortState ref="M19:O42">
    <sortCondition ref="M19:M42"/>
  </sortState>
  <mergeCells count="10">
    <mergeCell ref="C47:F47"/>
    <mergeCell ref="I90:O90"/>
    <mergeCell ref="H118:H119"/>
    <mergeCell ref="H116:H117"/>
    <mergeCell ref="H120:H121"/>
    <mergeCell ref="H122:H123"/>
    <mergeCell ref="I99:O99"/>
    <mergeCell ref="I108:O108"/>
    <mergeCell ref="E48:F48"/>
    <mergeCell ref="E49:F4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2:F84"/>
  <sheetViews>
    <sheetView workbookViewId="0"/>
  </sheetViews>
  <sheetFormatPr defaultRowHeight="15" x14ac:dyDescent="0.25"/>
  <cols>
    <col min="2" max="3" width="35.140625" customWidth="1"/>
    <col min="5" max="5" width="51.42578125" customWidth="1"/>
    <col min="6" max="6" width="59.7109375" bestFit="1" customWidth="1"/>
  </cols>
  <sheetData>
    <row r="2" spans="2:6" ht="20.25" thickBot="1" x14ac:dyDescent="0.35">
      <c r="B2" s="1" t="s">
        <v>768</v>
      </c>
    </row>
    <row r="3" spans="2:6" ht="15.75" thickTop="1" x14ac:dyDescent="0.25">
      <c r="B3" t="s">
        <v>772</v>
      </c>
    </row>
    <row r="4" spans="2:6" x14ac:dyDescent="0.25">
      <c r="B4" t="s">
        <v>773</v>
      </c>
    </row>
    <row r="5" spans="2:6" x14ac:dyDescent="0.25">
      <c r="B5" t="s">
        <v>774</v>
      </c>
    </row>
    <row r="6" spans="2:6" ht="15.75" thickBot="1" x14ac:dyDescent="0.3"/>
    <row r="7" spans="2:6" ht="15.75" x14ac:dyDescent="0.25">
      <c r="B7" s="465" t="s">
        <v>766</v>
      </c>
      <c r="C7" s="466"/>
      <c r="E7" s="469" t="s">
        <v>767</v>
      </c>
      <c r="F7" s="470"/>
    </row>
    <row r="8" spans="2:6" ht="15.75" thickBot="1" x14ac:dyDescent="0.3">
      <c r="B8" s="326" t="s">
        <v>755</v>
      </c>
      <c r="C8" s="327" t="s">
        <v>450</v>
      </c>
      <c r="E8" s="324" t="s">
        <v>755</v>
      </c>
      <c r="F8" s="325" t="s">
        <v>450</v>
      </c>
    </row>
    <row r="9" spans="2:6" x14ac:dyDescent="0.25">
      <c r="B9" s="467" t="s">
        <v>769</v>
      </c>
      <c r="C9" s="468"/>
      <c r="E9" s="463" t="s">
        <v>758</v>
      </c>
      <c r="F9" s="464"/>
    </row>
    <row r="10" spans="2:6" x14ac:dyDescent="0.25">
      <c r="B10" s="43" t="s">
        <v>740</v>
      </c>
      <c r="C10" s="45" t="s">
        <v>551</v>
      </c>
      <c r="E10" s="43" t="s">
        <v>751</v>
      </c>
      <c r="F10" s="45" t="s">
        <v>574</v>
      </c>
    </row>
    <row r="11" spans="2:6" x14ac:dyDescent="0.25">
      <c r="B11" s="43" t="s">
        <v>741</v>
      </c>
      <c r="C11" s="45" t="s">
        <v>552</v>
      </c>
      <c r="E11" s="43" t="s">
        <v>752</v>
      </c>
      <c r="F11" s="45" t="s">
        <v>575</v>
      </c>
    </row>
    <row r="12" spans="2:6" x14ac:dyDescent="0.25">
      <c r="B12" s="43" t="s">
        <v>742</v>
      </c>
      <c r="C12" s="45" t="s">
        <v>553</v>
      </c>
      <c r="E12" s="43"/>
      <c r="F12" s="45" t="s">
        <v>576</v>
      </c>
    </row>
    <row r="13" spans="2:6" x14ac:dyDescent="0.25">
      <c r="B13" s="43" t="s">
        <v>743</v>
      </c>
      <c r="C13" s="45" t="s">
        <v>554</v>
      </c>
      <c r="E13" s="43"/>
      <c r="F13" s="45" t="s">
        <v>577</v>
      </c>
    </row>
    <row r="14" spans="2:6" x14ac:dyDescent="0.25">
      <c r="B14" s="43" t="s">
        <v>744</v>
      </c>
      <c r="C14" s="45" t="s">
        <v>555</v>
      </c>
      <c r="E14" s="43" t="s">
        <v>825</v>
      </c>
      <c r="F14" s="45" t="s">
        <v>826</v>
      </c>
    </row>
    <row r="15" spans="2:6" x14ac:dyDescent="0.25">
      <c r="B15" s="43" t="s">
        <v>745</v>
      </c>
      <c r="C15" s="45" t="s">
        <v>556</v>
      </c>
      <c r="E15" s="43" t="s">
        <v>827</v>
      </c>
      <c r="F15" s="45" t="s">
        <v>828</v>
      </c>
    </row>
    <row r="16" spans="2:6" x14ac:dyDescent="0.25">
      <c r="B16" s="43" t="s">
        <v>746</v>
      </c>
      <c r="C16" s="45" t="s">
        <v>557</v>
      </c>
      <c r="E16" s="43"/>
      <c r="F16" s="45" t="s">
        <v>829</v>
      </c>
    </row>
    <row r="17" spans="2:6" x14ac:dyDescent="0.25">
      <c r="B17" s="43" t="s">
        <v>747</v>
      </c>
      <c r="C17" s="45" t="s">
        <v>558</v>
      </c>
      <c r="E17" s="43"/>
      <c r="F17" s="45" t="s">
        <v>830</v>
      </c>
    </row>
    <row r="18" spans="2:6" x14ac:dyDescent="0.25">
      <c r="B18" s="43" t="s">
        <v>748</v>
      </c>
      <c r="C18" s="45" t="s">
        <v>559</v>
      </c>
      <c r="E18" s="43"/>
      <c r="F18" s="45" t="s">
        <v>854</v>
      </c>
    </row>
    <row r="19" spans="2:6" x14ac:dyDescent="0.25">
      <c r="B19" s="43"/>
      <c r="C19" s="45" t="s">
        <v>560</v>
      </c>
      <c r="E19" s="43"/>
      <c r="F19" s="45" t="s">
        <v>855</v>
      </c>
    </row>
    <row r="20" spans="2:6" x14ac:dyDescent="0.25">
      <c r="B20" s="43"/>
      <c r="C20" s="45" t="s">
        <v>561</v>
      </c>
      <c r="E20" s="43"/>
      <c r="F20" s="45" t="s">
        <v>856</v>
      </c>
    </row>
    <row r="21" spans="2:6" x14ac:dyDescent="0.25">
      <c r="B21" s="43"/>
      <c r="C21" s="45" t="s">
        <v>562</v>
      </c>
      <c r="E21" s="43"/>
      <c r="F21" s="45" t="s">
        <v>857</v>
      </c>
    </row>
    <row r="22" spans="2:6" x14ac:dyDescent="0.25">
      <c r="B22" s="43"/>
      <c r="C22" s="45" t="s">
        <v>563</v>
      </c>
      <c r="E22" s="463" t="s">
        <v>759</v>
      </c>
      <c r="F22" s="464"/>
    </row>
    <row r="23" spans="2:6" x14ac:dyDescent="0.25">
      <c r="B23" s="43"/>
      <c r="C23" s="45" t="s">
        <v>564</v>
      </c>
      <c r="E23" s="43" t="s">
        <v>753</v>
      </c>
      <c r="F23" s="45" t="s">
        <v>537</v>
      </c>
    </row>
    <row r="24" spans="2:6" x14ac:dyDescent="0.25">
      <c r="B24" s="463" t="s">
        <v>770</v>
      </c>
      <c r="C24" s="464"/>
      <c r="E24" s="43" t="s">
        <v>754</v>
      </c>
      <c r="F24" s="45" t="s">
        <v>539</v>
      </c>
    </row>
    <row r="25" spans="2:6" x14ac:dyDescent="0.25">
      <c r="B25" s="43" t="s">
        <v>750</v>
      </c>
      <c r="C25" s="45" t="s">
        <v>532</v>
      </c>
      <c r="E25" s="43"/>
      <c r="F25" s="45" t="s">
        <v>538</v>
      </c>
    </row>
    <row r="26" spans="2:6" x14ac:dyDescent="0.25">
      <c r="B26" s="43" t="s">
        <v>432</v>
      </c>
      <c r="C26" s="45" t="s">
        <v>533</v>
      </c>
      <c r="E26" s="43"/>
      <c r="F26" s="45" t="s">
        <v>540</v>
      </c>
    </row>
    <row r="27" spans="2:6" x14ac:dyDescent="0.25">
      <c r="B27" s="43" t="s">
        <v>433</v>
      </c>
      <c r="C27" s="45" t="s">
        <v>534</v>
      </c>
      <c r="E27" s="43"/>
      <c r="F27" s="45" t="s">
        <v>541</v>
      </c>
    </row>
    <row r="28" spans="2:6" x14ac:dyDescent="0.25">
      <c r="B28" s="43" t="s">
        <v>434</v>
      </c>
      <c r="C28" s="45" t="s">
        <v>535</v>
      </c>
      <c r="E28" s="43"/>
      <c r="F28" s="45" t="s">
        <v>542</v>
      </c>
    </row>
    <row r="29" spans="2:6" x14ac:dyDescent="0.25">
      <c r="B29" s="463" t="s">
        <v>771</v>
      </c>
      <c r="C29" s="464"/>
      <c r="E29" s="43"/>
      <c r="F29" s="45" t="s">
        <v>543</v>
      </c>
    </row>
    <row r="30" spans="2:6" x14ac:dyDescent="0.25">
      <c r="B30" s="43" t="s">
        <v>749</v>
      </c>
      <c r="C30" s="45" t="s">
        <v>756</v>
      </c>
      <c r="E30" s="43"/>
      <c r="F30" s="45" t="s">
        <v>544</v>
      </c>
    </row>
    <row r="31" spans="2:6" ht="15.75" thickBot="1" x14ac:dyDescent="0.3">
      <c r="B31" s="46"/>
      <c r="C31" s="48" t="s">
        <v>757</v>
      </c>
      <c r="E31" s="43" t="s">
        <v>831</v>
      </c>
      <c r="F31" s="45" t="s">
        <v>545</v>
      </c>
    </row>
    <row r="32" spans="2:6" x14ac:dyDescent="0.25">
      <c r="E32" s="43" t="s">
        <v>832</v>
      </c>
      <c r="F32" s="45" t="s">
        <v>546</v>
      </c>
    </row>
    <row r="33" spans="2:6" x14ac:dyDescent="0.25">
      <c r="B33" s="238">
        <f>COUNTA(B10:B23,B25:B28,B30:B31)</f>
        <v>14</v>
      </c>
      <c r="C33" s="238">
        <f>COUNTA(C10:C23,C25:C28,C30:C31)</f>
        <v>20</v>
      </c>
      <c r="E33" s="43"/>
      <c r="F33" s="45" t="s">
        <v>547</v>
      </c>
    </row>
    <row r="34" spans="2:6" x14ac:dyDescent="0.25">
      <c r="E34" s="43"/>
      <c r="F34" s="45" t="s">
        <v>548</v>
      </c>
    </row>
    <row r="35" spans="2:6" x14ac:dyDescent="0.25">
      <c r="E35" s="43"/>
      <c r="F35" s="45" t="s">
        <v>850</v>
      </c>
    </row>
    <row r="36" spans="2:6" x14ac:dyDescent="0.25">
      <c r="E36" s="43"/>
      <c r="F36" s="45" t="s">
        <v>851</v>
      </c>
    </row>
    <row r="37" spans="2:6" x14ac:dyDescent="0.25">
      <c r="E37" s="43"/>
      <c r="F37" s="45" t="s">
        <v>852</v>
      </c>
    </row>
    <row r="38" spans="2:6" x14ac:dyDescent="0.25">
      <c r="E38" s="43"/>
      <c r="F38" s="45" t="s">
        <v>853</v>
      </c>
    </row>
    <row r="39" spans="2:6" x14ac:dyDescent="0.25">
      <c r="E39" s="463" t="s">
        <v>765</v>
      </c>
      <c r="F39" s="464"/>
    </row>
    <row r="40" spans="2:6" x14ac:dyDescent="0.25">
      <c r="E40" s="43" t="s">
        <v>438</v>
      </c>
      <c r="F40" s="45" t="s">
        <v>439</v>
      </c>
    </row>
    <row r="41" spans="2:6" x14ac:dyDescent="0.25">
      <c r="E41" s="43" t="s">
        <v>439</v>
      </c>
      <c r="F41" s="45" t="s">
        <v>440</v>
      </c>
    </row>
    <row r="42" spans="2:6" x14ac:dyDescent="0.25">
      <c r="E42" s="43" t="s">
        <v>440</v>
      </c>
      <c r="F42" s="45" t="s">
        <v>510</v>
      </c>
    </row>
    <row r="43" spans="2:6" x14ac:dyDescent="0.25">
      <c r="E43" s="43"/>
      <c r="F43" s="45" t="s">
        <v>858</v>
      </c>
    </row>
    <row r="44" spans="2:6" x14ac:dyDescent="0.25">
      <c r="E44" s="43"/>
      <c r="F44" s="45" t="s">
        <v>859</v>
      </c>
    </row>
    <row r="45" spans="2:6" x14ac:dyDescent="0.25">
      <c r="E45" s="43"/>
      <c r="F45" s="45" t="s">
        <v>860</v>
      </c>
    </row>
    <row r="46" spans="2:6" x14ac:dyDescent="0.25">
      <c r="E46" s="43" t="s">
        <v>441</v>
      </c>
      <c r="F46" s="45" t="s">
        <v>442</v>
      </c>
    </row>
    <row r="47" spans="2:6" x14ac:dyDescent="0.25">
      <c r="E47" s="43" t="s">
        <v>442</v>
      </c>
      <c r="F47" s="45" t="s">
        <v>443</v>
      </c>
    </row>
    <row r="48" spans="2:6" x14ac:dyDescent="0.25">
      <c r="E48" s="43" t="s">
        <v>443</v>
      </c>
      <c r="F48" s="45" t="s">
        <v>517</v>
      </c>
    </row>
    <row r="49" spans="5:6" x14ac:dyDescent="0.25">
      <c r="E49" s="43" t="s">
        <v>444</v>
      </c>
      <c r="F49" s="45" t="s">
        <v>445</v>
      </c>
    </row>
    <row r="50" spans="5:6" x14ac:dyDescent="0.25">
      <c r="E50" s="43" t="s">
        <v>445</v>
      </c>
      <c r="F50" s="45" t="s">
        <v>446</v>
      </c>
    </row>
    <row r="51" spans="5:6" x14ac:dyDescent="0.25">
      <c r="E51" s="43" t="s">
        <v>446</v>
      </c>
      <c r="F51" s="45" t="s">
        <v>511</v>
      </c>
    </row>
    <row r="52" spans="5:6" x14ac:dyDescent="0.25">
      <c r="E52" s="43" t="s">
        <v>761</v>
      </c>
      <c r="F52" s="45" t="s">
        <v>447</v>
      </c>
    </row>
    <row r="53" spans="5:6" x14ac:dyDescent="0.25">
      <c r="E53" s="43" t="s">
        <v>760</v>
      </c>
      <c r="F53" s="45" t="s">
        <v>512</v>
      </c>
    </row>
    <row r="54" spans="5:6" x14ac:dyDescent="0.25">
      <c r="E54" s="43" t="s">
        <v>447</v>
      </c>
      <c r="F54" s="45" t="s">
        <v>513</v>
      </c>
    </row>
    <row r="55" spans="5:6" x14ac:dyDescent="0.25">
      <c r="E55" s="43" t="s">
        <v>762</v>
      </c>
      <c r="F55" s="45" t="s">
        <v>448</v>
      </c>
    </row>
    <row r="56" spans="5:6" x14ac:dyDescent="0.25">
      <c r="E56" s="43" t="s">
        <v>763</v>
      </c>
      <c r="F56" s="45" t="s">
        <v>516</v>
      </c>
    </row>
    <row r="57" spans="5:6" x14ac:dyDescent="0.25">
      <c r="E57" s="43" t="s">
        <v>448</v>
      </c>
      <c r="F57" s="45" t="s">
        <v>518</v>
      </c>
    </row>
    <row r="58" spans="5:6" x14ac:dyDescent="0.25">
      <c r="E58" s="43" t="s">
        <v>764</v>
      </c>
      <c r="F58" s="45"/>
    </row>
    <row r="59" spans="5:6" x14ac:dyDescent="0.25">
      <c r="E59" s="463" t="s">
        <v>942</v>
      </c>
      <c r="F59" s="464"/>
    </row>
    <row r="60" spans="5:6" x14ac:dyDescent="0.25">
      <c r="E60" s="375"/>
      <c r="F60" s="376" t="s">
        <v>963</v>
      </c>
    </row>
    <row r="61" spans="5:6" x14ac:dyDescent="0.25">
      <c r="E61" s="375" t="s">
        <v>912</v>
      </c>
      <c r="F61" s="376" t="s">
        <v>964</v>
      </c>
    </row>
    <row r="62" spans="5:6" x14ac:dyDescent="0.25">
      <c r="E62" s="375" t="s">
        <v>913</v>
      </c>
      <c r="F62" s="376" t="s">
        <v>965</v>
      </c>
    </row>
    <row r="63" spans="5:6" x14ac:dyDescent="0.25">
      <c r="E63" s="375" t="s">
        <v>914</v>
      </c>
      <c r="F63" s="376" t="s">
        <v>933</v>
      </c>
    </row>
    <row r="64" spans="5:6" x14ac:dyDescent="0.25">
      <c r="E64" s="375"/>
      <c r="F64" s="376" t="s">
        <v>934</v>
      </c>
    </row>
    <row r="65" spans="5:6" x14ac:dyDescent="0.25">
      <c r="E65" s="375" t="s">
        <v>915</v>
      </c>
      <c r="F65" s="45" t="s">
        <v>935</v>
      </c>
    </row>
    <row r="66" spans="5:6" x14ac:dyDescent="0.25">
      <c r="E66" s="375" t="s">
        <v>916</v>
      </c>
      <c r="F66" s="376" t="s">
        <v>966</v>
      </c>
    </row>
    <row r="67" spans="5:6" x14ac:dyDescent="0.25">
      <c r="E67" s="375" t="s">
        <v>917</v>
      </c>
      <c r="F67" s="376" t="s">
        <v>967</v>
      </c>
    </row>
    <row r="68" spans="5:6" x14ac:dyDescent="0.25">
      <c r="E68" s="375"/>
      <c r="F68" s="376" t="s">
        <v>968</v>
      </c>
    </row>
    <row r="69" spans="5:6" x14ac:dyDescent="0.25">
      <c r="E69" s="463" t="s">
        <v>943</v>
      </c>
      <c r="F69" s="464"/>
    </row>
    <row r="70" spans="5:6" x14ac:dyDescent="0.25">
      <c r="E70" s="375" t="s">
        <v>918</v>
      </c>
      <c r="F70" s="45" t="s">
        <v>969</v>
      </c>
    </row>
    <row r="71" spans="5:6" x14ac:dyDescent="0.25">
      <c r="E71" s="375" t="s">
        <v>919</v>
      </c>
      <c r="F71" s="45" t="s">
        <v>970</v>
      </c>
    </row>
    <row r="72" spans="5:6" x14ac:dyDescent="0.25">
      <c r="E72" s="375" t="s">
        <v>920</v>
      </c>
      <c r="F72" s="45" t="s">
        <v>971</v>
      </c>
    </row>
    <row r="73" spans="5:6" x14ac:dyDescent="0.25">
      <c r="E73" s="375"/>
      <c r="F73" s="45" t="s">
        <v>972</v>
      </c>
    </row>
    <row r="74" spans="5:6" x14ac:dyDescent="0.25">
      <c r="E74" s="375" t="s">
        <v>921</v>
      </c>
      <c r="F74" s="45" t="s">
        <v>930</v>
      </c>
    </row>
    <row r="75" spans="5:6" x14ac:dyDescent="0.25">
      <c r="E75" s="375" t="s">
        <v>922</v>
      </c>
      <c r="F75" s="376" t="s">
        <v>931</v>
      </c>
    </row>
    <row r="76" spans="5:6" x14ac:dyDescent="0.25">
      <c r="E76" s="375" t="s">
        <v>923</v>
      </c>
      <c r="F76" s="376" t="s">
        <v>932</v>
      </c>
    </row>
    <row r="77" spans="5:6" x14ac:dyDescent="0.25">
      <c r="E77" s="375"/>
      <c r="F77" s="376" t="s">
        <v>937</v>
      </c>
    </row>
    <row r="78" spans="5:6" x14ac:dyDescent="0.25">
      <c r="E78" s="375"/>
      <c r="F78" s="376" t="s">
        <v>973</v>
      </c>
    </row>
    <row r="79" spans="5:6" x14ac:dyDescent="0.25">
      <c r="E79" s="375"/>
      <c r="F79" s="376" t="s">
        <v>974</v>
      </c>
    </row>
    <row r="80" spans="5:6" x14ac:dyDescent="0.25">
      <c r="E80" s="375"/>
      <c r="F80" s="376" t="s">
        <v>975</v>
      </c>
    </row>
    <row r="81" spans="5:6" ht="15.75" thickBot="1" x14ac:dyDescent="0.3">
      <c r="E81" s="377"/>
      <c r="F81" s="48" t="s">
        <v>976</v>
      </c>
    </row>
    <row r="83" spans="5:6" x14ac:dyDescent="0.25">
      <c r="E83" s="238">
        <f>COUNTA(E10:E21,E23:E38,E60:E68,E70:E81)</f>
        <v>20</v>
      </c>
      <c r="F83" s="238">
        <f>COUNTA(F10:F21,F23:F38,F60:F68,F70:F81)</f>
        <v>49</v>
      </c>
    </row>
    <row r="84" spans="5:6" x14ac:dyDescent="0.25">
      <c r="E84" s="238">
        <f>COUNTA(E40:E58)</f>
        <v>16</v>
      </c>
      <c r="F84" s="238">
        <f>COUNTA(F40:F58)</f>
        <v>18</v>
      </c>
    </row>
  </sheetData>
  <mergeCells count="10">
    <mergeCell ref="E59:F59"/>
    <mergeCell ref="E69:F69"/>
    <mergeCell ref="E39:F39"/>
    <mergeCell ref="B7:C7"/>
    <mergeCell ref="B9:C9"/>
    <mergeCell ref="B24:C24"/>
    <mergeCell ref="B29:C29"/>
    <mergeCell ref="E9:F9"/>
    <mergeCell ref="E22:F22"/>
    <mergeCell ref="E7:F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2:D23"/>
  <sheetViews>
    <sheetView workbookViewId="0"/>
  </sheetViews>
  <sheetFormatPr defaultRowHeight="15" x14ac:dyDescent="0.25"/>
  <cols>
    <col min="2" max="2" width="41.140625" customWidth="1"/>
    <col min="3" max="3" width="39.42578125" customWidth="1"/>
    <col min="4" max="4" width="41.140625" customWidth="1"/>
  </cols>
  <sheetData>
    <row r="2" spans="2:4" ht="20.25" thickBot="1" x14ac:dyDescent="0.35">
      <c r="B2" s="1" t="s">
        <v>593</v>
      </c>
      <c r="C2" s="1"/>
    </row>
    <row r="3" spans="2:4" ht="15.75" thickTop="1" x14ac:dyDescent="0.25">
      <c r="B3" s="156" t="s">
        <v>403</v>
      </c>
    </row>
    <row r="5" spans="2:4" x14ac:dyDescent="0.25">
      <c r="B5" s="22" t="s">
        <v>70</v>
      </c>
    </row>
    <row r="6" spans="2:4" ht="28.5" customHeight="1" x14ac:dyDescent="0.25">
      <c r="B6" s="475" t="s">
        <v>71</v>
      </c>
      <c r="C6" s="475"/>
      <c r="D6" s="475"/>
    </row>
    <row r="7" spans="2:4" ht="15.75" thickBot="1" x14ac:dyDescent="0.3"/>
    <row r="8" spans="2:4" x14ac:dyDescent="0.25">
      <c r="B8" s="471" t="s">
        <v>72</v>
      </c>
      <c r="C8" s="473" t="s">
        <v>73</v>
      </c>
      <c r="D8" s="160" t="s">
        <v>74</v>
      </c>
    </row>
    <row r="9" spans="2:4" ht="15.75" thickBot="1" x14ac:dyDescent="0.3">
      <c r="B9" s="472"/>
      <c r="C9" s="474"/>
      <c r="D9" s="166" t="s">
        <v>75</v>
      </c>
    </row>
    <row r="10" spans="2:4" ht="16.5" x14ac:dyDescent="0.25">
      <c r="B10" s="167" t="s">
        <v>76</v>
      </c>
      <c r="C10" s="168" t="s">
        <v>207</v>
      </c>
      <c r="D10" s="169"/>
    </row>
    <row r="11" spans="2:4" x14ac:dyDescent="0.25">
      <c r="B11" s="162" t="s">
        <v>77</v>
      </c>
      <c r="C11" s="161">
        <v>14</v>
      </c>
      <c r="D11" s="163">
        <v>8.1999999999999993</v>
      </c>
    </row>
    <row r="12" spans="2:4" x14ac:dyDescent="0.25">
      <c r="B12" s="162" t="s">
        <v>78</v>
      </c>
      <c r="C12" s="161">
        <v>14</v>
      </c>
      <c r="D12" s="163"/>
    </row>
    <row r="13" spans="2:4" ht="15.75" thickBot="1" x14ac:dyDescent="0.3">
      <c r="B13" s="164" t="s">
        <v>79</v>
      </c>
      <c r="C13" s="170">
        <v>14</v>
      </c>
      <c r="D13" s="165">
        <v>8</v>
      </c>
    </row>
    <row r="16" spans="2:4" ht="51" customHeight="1" x14ac:dyDescent="0.25">
      <c r="B16" s="476" t="s">
        <v>84</v>
      </c>
      <c r="C16" s="476"/>
      <c r="D16" s="476"/>
    </row>
    <row r="17" spans="2:4" x14ac:dyDescent="0.25">
      <c r="B17" s="21"/>
    </row>
    <row r="18" spans="2:4" x14ac:dyDescent="0.25">
      <c r="B18" s="21"/>
    </row>
    <row r="19" spans="2:4" ht="15.75" thickBot="1" x14ac:dyDescent="0.3">
      <c r="C19" s="146"/>
    </row>
    <row r="20" spans="2:4" x14ac:dyDescent="0.25">
      <c r="B20" s="380" t="s">
        <v>72</v>
      </c>
      <c r="C20" s="379" t="s">
        <v>80</v>
      </c>
      <c r="D20" s="146"/>
    </row>
    <row r="21" spans="2:4" ht="28.5" x14ac:dyDescent="0.25">
      <c r="B21" s="162" t="s">
        <v>81</v>
      </c>
      <c r="C21" s="163">
        <v>12.2</v>
      </c>
    </row>
    <row r="22" spans="2:4" ht="29.25" thickBot="1" x14ac:dyDescent="0.3">
      <c r="B22" s="164" t="s">
        <v>82</v>
      </c>
      <c r="C22" s="165">
        <v>11.7</v>
      </c>
    </row>
    <row r="23" spans="2:4" x14ac:dyDescent="0.25">
      <c r="B23" s="382" t="s">
        <v>83</v>
      </c>
      <c r="C23" s="381">
        <v>11</v>
      </c>
    </row>
  </sheetData>
  <mergeCells count="4">
    <mergeCell ref="B8:B9"/>
    <mergeCell ref="C8:C9"/>
    <mergeCell ref="B6:D6"/>
    <mergeCell ref="B16:D16"/>
  </mergeCells>
  <pageMargins left="0.7" right="0.7" top="0.75" bottom="0.75" header="0.3" footer="0.3"/>
  <pageSetup orientation="portrait" horizontalDpi="0" verticalDpi="0" r:id="rId1"/>
  <headerFooter>
    <oddFooter>&amp;L&amp;Z&amp;F &amp;A&amp;C&amp;P&amp;R&amp;D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S188"/>
  <sheetViews>
    <sheetView workbookViewId="0"/>
  </sheetViews>
  <sheetFormatPr defaultRowHeight="15" x14ac:dyDescent="0.25"/>
  <cols>
    <col min="2" max="2" width="18.7109375" customWidth="1"/>
    <col min="3" max="3" width="11.140625" customWidth="1"/>
    <col min="6" max="6" width="10.7109375" customWidth="1"/>
    <col min="7" max="7" width="19.42578125" bestFit="1" customWidth="1"/>
    <col min="8" max="8" width="12.7109375" customWidth="1"/>
    <col min="9" max="9" width="14.42578125" customWidth="1"/>
    <col min="10" max="10" width="47.7109375" hidden="1" customWidth="1"/>
    <col min="11" max="11" width="59" bestFit="1" customWidth="1"/>
    <col min="13" max="13" width="9.140625" hidden="1" customWidth="1"/>
    <col min="14" max="19" width="0" hidden="1" customWidth="1"/>
  </cols>
  <sheetData>
    <row r="2" spans="2:19" ht="20.25" thickBot="1" x14ac:dyDescent="0.35">
      <c r="B2" s="1" t="s">
        <v>549</v>
      </c>
      <c r="C2" s="1"/>
      <c r="D2" s="1"/>
      <c r="E2" s="1"/>
      <c r="F2" s="1"/>
      <c r="G2" s="1"/>
      <c r="H2" s="1"/>
      <c r="I2" s="1"/>
    </row>
    <row r="3" spans="2:19" ht="15.75" thickTop="1" x14ac:dyDescent="0.25">
      <c r="B3" t="s">
        <v>569</v>
      </c>
    </row>
    <row r="4" spans="2:19" x14ac:dyDescent="0.25">
      <c r="B4" s="181" t="s">
        <v>416</v>
      </c>
      <c r="C4" s="181"/>
      <c r="D4" s="181"/>
      <c r="E4" s="181"/>
      <c r="F4" s="181"/>
      <c r="G4" s="181"/>
    </row>
    <row r="5" spans="2:19" x14ac:dyDescent="0.25">
      <c r="B5" t="s">
        <v>643</v>
      </c>
    </row>
    <row r="6" spans="2:19" x14ac:dyDescent="0.25">
      <c r="M6" s="361" t="s">
        <v>955</v>
      </c>
    </row>
    <row r="7" spans="2:19" ht="15.75" thickBot="1" x14ac:dyDescent="0.3">
      <c r="B7" s="323" t="s">
        <v>876</v>
      </c>
      <c r="C7" s="323"/>
      <c r="D7" s="323"/>
      <c r="E7" s="323"/>
      <c r="F7" s="323"/>
      <c r="G7" s="323"/>
      <c r="H7" s="323"/>
      <c r="I7" s="323"/>
      <c r="N7" s="238">
        <v>2</v>
      </c>
      <c r="O7" s="238">
        <v>3</v>
      </c>
      <c r="P7" s="238">
        <v>8</v>
      </c>
      <c r="Q7" s="238">
        <v>57</v>
      </c>
      <c r="R7" s="238">
        <v>60</v>
      </c>
      <c r="S7" s="238">
        <v>61</v>
      </c>
    </row>
    <row r="8" spans="2:19" ht="30.75" thickBot="1" x14ac:dyDescent="0.3">
      <c r="B8" s="216" t="s">
        <v>407</v>
      </c>
      <c r="C8" s="217" t="s">
        <v>52</v>
      </c>
      <c r="D8" s="217" t="s">
        <v>86</v>
      </c>
      <c r="E8" s="217" t="s">
        <v>114</v>
      </c>
      <c r="F8" s="217" t="s">
        <v>53</v>
      </c>
      <c r="G8" s="217" t="s">
        <v>59</v>
      </c>
      <c r="H8" s="217" t="s">
        <v>62</v>
      </c>
      <c r="I8" s="217" t="s">
        <v>873</v>
      </c>
      <c r="J8" s="340" t="s">
        <v>536</v>
      </c>
      <c r="K8" s="329" t="s">
        <v>530</v>
      </c>
      <c r="M8" s="212" t="s">
        <v>951</v>
      </c>
      <c r="N8" s="212" t="s">
        <v>91</v>
      </c>
      <c r="O8" s="212" t="s">
        <v>114</v>
      </c>
      <c r="P8" s="212" t="s">
        <v>952</v>
      </c>
      <c r="Q8" s="213" t="s">
        <v>953</v>
      </c>
    </row>
    <row r="9" spans="2:19" ht="15.75" customHeight="1" x14ac:dyDescent="0.25">
      <c r="B9" s="477" t="s">
        <v>459</v>
      </c>
      <c r="C9" s="360" t="s">
        <v>520</v>
      </c>
      <c r="D9" s="360">
        <v>14</v>
      </c>
      <c r="E9" s="393">
        <f>+O9</f>
        <v>12.165517241379311</v>
      </c>
      <c r="F9" s="398">
        <f>+P9</f>
        <v>0.29399999999999998</v>
      </c>
      <c r="G9" s="360" t="s">
        <v>60</v>
      </c>
      <c r="H9" s="360" t="s">
        <v>55</v>
      </c>
      <c r="I9" s="187"/>
      <c r="J9" s="480" t="s">
        <v>594</v>
      </c>
      <c r="K9" s="330"/>
      <c r="M9">
        <v>11402</v>
      </c>
      <c r="N9">
        <f>VLOOKUP($M9,'Split DX Selected Perf Maps'!$A$10:$CA$50,N$7,FALSE)</f>
        <v>14</v>
      </c>
      <c r="O9" s="278">
        <f>VLOOKUP($M9,'Split DX Selected Perf Maps'!$A$10:$CA$50,O$7,FALSE)</f>
        <v>12.165517241379311</v>
      </c>
      <c r="P9">
        <f>VLOOKUP($M9,'Split DX Selected Perf Maps'!$A$10:$CA$50,P$7,FALSE)</f>
        <v>0.29399999999999998</v>
      </c>
      <c r="Q9">
        <f>VLOOKUP($M9,'Split DX Selected Perf Maps'!$A$10:$CA$50,Q$7,FALSE)</f>
        <v>1</v>
      </c>
    </row>
    <row r="10" spans="2:19" x14ac:dyDescent="0.25">
      <c r="B10" s="478"/>
      <c r="C10" s="332">
        <v>1</v>
      </c>
      <c r="D10" s="332">
        <v>15</v>
      </c>
      <c r="E10" s="333">
        <f t="shared" ref="E10:E27" si="0">+O10</f>
        <v>12.781690140845072</v>
      </c>
      <c r="F10" s="399">
        <f t="shared" ref="F10:F27" si="1">+P10</f>
        <v>0.251</v>
      </c>
      <c r="G10" s="332" t="s">
        <v>60</v>
      </c>
      <c r="H10" s="332" t="s">
        <v>55</v>
      </c>
      <c r="I10" s="174" t="s">
        <v>55</v>
      </c>
      <c r="J10" s="481"/>
      <c r="K10" s="285" t="s">
        <v>537</v>
      </c>
      <c r="M10">
        <v>11501</v>
      </c>
      <c r="N10">
        <f>VLOOKUP($M10,'Split DX Selected Perf Maps'!$A$10:$CA$50,N$7,FALSE)</f>
        <v>15</v>
      </c>
      <c r="O10" s="278">
        <f>VLOOKUP($M10,'Split DX Selected Perf Maps'!$A$10:$CA$50,O$7,FALSE)</f>
        <v>12.781690140845072</v>
      </c>
      <c r="P10">
        <f>VLOOKUP($M10,'Split DX Selected Perf Maps'!$A$10:$CA$50,P$7,FALSE)</f>
        <v>0.251</v>
      </c>
      <c r="Q10">
        <f>VLOOKUP($M10,'Split DX Selected Perf Maps'!$A$10:$CA$50,Q$7,FALSE)</f>
        <v>1</v>
      </c>
    </row>
    <row r="11" spans="2:19" x14ac:dyDescent="0.25">
      <c r="B11" s="478"/>
      <c r="C11" s="334">
        <v>2</v>
      </c>
      <c r="D11" s="334">
        <v>16</v>
      </c>
      <c r="E11" s="383">
        <f t="shared" si="0"/>
        <v>12.48</v>
      </c>
      <c r="F11" s="400">
        <f t="shared" si="1"/>
        <v>0.27100000000000002</v>
      </c>
      <c r="G11" s="334" t="s">
        <v>61</v>
      </c>
      <c r="H11" s="334" t="s">
        <v>55</v>
      </c>
      <c r="I11" s="172" t="s">
        <v>55</v>
      </c>
      <c r="J11" s="481"/>
      <c r="K11" s="285" t="s">
        <v>539</v>
      </c>
      <c r="M11">
        <v>11604</v>
      </c>
      <c r="N11">
        <f>VLOOKUP($M11,'Split DX Selected Perf Maps'!$A$10:$CA$50,N$7,FALSE)</f>
        <v>16</v>
      </c>
      <c r="O11" s="278">
        <f>VLOOKUP($M11,'Split DX Selected Perf Maps'!$A$10:$CA$50,O$7,FALSE)</f>
        <v>12.48</v>
      </c>
      <c r="P11">
        <f>VLOOKUP($M11,'Split DX Selected Perf Maps'!$A$10:$CA$50,P$7,FALSE)</f>
        <v>0.27100000000000002</v>
      </c>
      <c r="Q11">
        <f>VLOOKUP($M11,'Split DX Selected Perf Maps'!$A$10:$CA$50,Q$7,FALSE)</f>
        <v>2</v>
      </c>
    </row>
    <row r="12" spans="2:19" x14ac:dyDescent="0.25">
      <c r="B12" s="478"/>
      <c r="C12" s="334">
        <v>3</v>
      </c>
      <c r="D12" s="334">
        <v>17</v>
      </c>
      <c r="E12" s="383">
        <f t="shared" si="0"/>
        <v>13.260000000000002</v>
      </c>
      <c r="F12" s="400">
        <f t="shared" si="1"/>
        <v>0.27100000000000002</v>
      </c>
      <c r="G12" s="334" t="s">
        <v>61</v>
      </c>
      <c r="H12" s="334" t="s">
        <v>55</v>
      </c>
      <c r="I12" s="172" t="s">
        <v>55</v>
      </c>
      <c r="J12" s="481"/>
      <c r="K12" s="285" t="s">
        <v>538</v>
      </c>
      <c r="M12">
        <v>11704</v>
      </c>
      <c r="N12">
        <f>VLOOKUP($M12,'Split DX Selected Perf Maps'!$A$10:$CA$50,N$7,FALSE)</f>
        <v>17</v>
      </c>
      <c r="O12" s="278">
        <f>VLOOKUP($M12,'Split DX Selected Perf Maps'!$A$10:$CA$50,O$7,FALSE)</f>
        <v>13.260000000000002</v>
      </c>
      <c r="P12">
        <f>VLOOKUP($M12,'Split DX Selected Perf Maps'!$A$10:$CA$50,P$7,FALSE)</f>
        <v>0.27100000000000002</v>
      </c>
      <c r="Q12">
        <f>VLOOKUP($M12,'Split DX Selected Perf Maps'!$A$10:$CA$50,Q$7,FALSE)</f>
        <v>2</v>
      </c>
    </row>
    <row r="13" spans="2:19" ht="15.75" thickBot="1" x14ac:dyDescent="0.3">
      <c r="B13" s="479"/>
      <c r="C13" s="335">
        <v>4</v>
      </c>
      <c r="D13" s="335">
        <v>18</v>
      </c>
      <c r="E13" s="394">
        <f t="shared" si="0"/>
        <v>14.040000000000001</v>
      </c>
      <c r="F13" s="401">
        <f t="shared" si="1"/>
        <v>0.27100000000000002</v>
      </c>
      <c r="G13" s="335" t="s">
        <v>61</v>
      </c>
      <c r="H13" s="335" t="s">
        <v>55</v>
      </c>
      <c r="I13" s="173" t="s">
        <v>55</v>
      </c>
      <c r="J13" s="481"/>
      <c r="K13" s="286" t="s">
        <v>540</v>
      </c>
      <c r="M13">
        <v>11802</v>
      </c>
      <c r="N13">
        <f>VLOOKUP($M13,'Split DX Selected Perf Maps'!$A$10:$CA$50,N$7,FALSE)</f>
        <v>18</v>
      </c>
      <c r="O13" s="278">
        <f>VLOOKUP($M13,'Split DX Selected Perf Maps'!$A$10:$CA$50,O$7,FALSE)</f>
        <v>14.040000000000001</v>
      </c>
      <c r="P13">
        <f>VLOOKUP($M13,'Split DX Selected Perf Maps'!$A$10:$CA$50,P$7,FALSE)</f>
        <v>0.27100000000000002</v>
      </c>
      <c r="Q13">
        <f>VLOOKUP($M13,'Split DX Selected Perf Maps'!$A$10:$CA$50,Q$7,FALSE)</f>
        <v>2</v>
      </c>
    </row>
    <row r="14" spans="2:19" ht="15" customHeight="1" x14ac:dyDescent="0.25">
      <c r="B14" s="477" t="s">
        <v>460</v>
      </c>
      <c r="C14" s="360" t="s">
        <v>520</v>
      </c>
      <c r="D14" s="360">
        <v>14</v>
      </c>
      <c r="E14" s="393">
        <f t="shared" si="0"/>
        <v>11.81793103448276</v>
      </c>
      <c r="F14" s="398">
        <f t="shared" si="1"/>
        <v>0.29399999999999998</v>
      </c>
      <c r="G14" s="360" t="s">
        <v>60</v>
      </c>
      <c r="H14" s="360" t="s">
        <v>55</v>
      </c>
      <c r="I14" s="187"/>
      <c r="J14" s="481"/>
      <c r="K14" s="330"/>
      <c r="M14">
        <v>11403</v>
      </c>
      <c r="N14">
        <f>VLOOKUP($M14,'Split DX Selected Perf Maps'!$A$10:$CA$50,N$7,FALSE)</f>
        <v>14</v>
      </c>
      <c r="O14" s="278">
        <f>VLOOKUP($M14,'Split DX Selected Perf Maps'!$A$10:$CA$50,O$7,FALSE)</f>
        <v>11.81793103448276</v>
      </c>
      <c r="P14">
        <f>VLOOKUP($M14,'Split DX Selected Perf Maps'!$A$10:$CA$50,P$7,FALSE)</f>
        <v>0.29399999999999998</v>
      </c>
      <c r="Q14">
        <f>VLOOKUP($M14,'Split DX Selected Perf Maps'!$A$10:$CA$50,Q$7,FALSE)</f>
        <v>1</v>
      </c>
    </row>
    <row r="15" spans="2:19" x14ac:dyDescent="0.25">
      <c r="B15" s="478"/>
      <c r="C15" s="332">
        <v>1</v>
      </c>
      <c r="D15" s="332">
        <v>15</v>
      </c>
      <c r="E15" s="333">
        <f t="shared" si="0"/>
        <v>12.781690140845072</v>
      </c>
      <c r="F15" s="399">
        <f t="shared" si="1"/>
        <v>0.251</v>
      </c>
      <c r="G15" s="332" t="s">
        <v>60</v>
      </c>
      <c r="H15" s="332" t="s">
        <v>55</v>
      </c>
      <c r="I15" s="174" t="s">
        <v>55</v>
      </c>
      <c r="J15" s="481"/>
      <c r="K15" s="285" t="s">
        <v>541</v>
      </c>
      <c r="M15">
        <f>+M10</f>
        <v>11501</v>
      </c>
      <c r="N15">
        <f>VLOOKUP($M15,'Split DX Selected Perf Maps'!$A$10:$CA$50,N$7,FALSE)</f>
        <v>15</v>
      </c>
      <c r="O15" s="278">
        <f>VLOOKUP($M15,'Split DX Selected Perf Maps'!$A$10:$CA$50,O$7,FALSE)</f>
        <v>12.781690140845072</v>
      </c>
      <c r="P15">
        <f>VLOOKUP($M15,'Split DX Selected Perf Maps'!$A$10:$CA$50,P$7,FALSE)</f>
        <v>0.251</v>
      </c>
      <c r="Q15">
        <f>VLOOKUP($M15,'Split DX Selected Perf Maps'!$A$10:$CA$50,Q$7,FALSE)</f>
        <v>1</v>
      </c>
    </row>
    <row r="16" spans="2:19" x14ac:dyDescent="0.25">
      <c r="B16" s="478"/>
      <c r="C16" s="334">
        <v>2</v>
      </c>
      <c r="D16" s="334">
        <v>16</v>
      </c>
      <c r="E16" s="383">
        <f t="shared" si="0"/>
        <v>12.48</v>
      </c>
      <c r="F16" s="400">
        <f t="shared" si="1"/>
        <v>0.27100000000000002</v>
      </c>
      <c r="G16" s="334" t="s">
        <v>61</v>
      </c>
      <c r="H16" s="334" t="s">
        <v>55</v>
      </c>
      <c r="I16" s="172" t="s">
        <v>55</v>
      </c>
      <c r="J16" s="481"/>
      <c r="K16" s="285" t="s">
        <v>542</v>
      </c>
      <c r="M16">
        <f>+M11</f>
        <v>11604</v>
      </c>
      <c r="N16">
        <f>VLOOKUP($M16,'Split DX Selected Perf Maps'!$A$10:$CA$50,N$7,FALSE)</f>
        <v>16</v>
      </c>
      <c r="O16" s="278">
        <f>VLOOKUP($M16,'Split DX Selected Perf Maps'!$A$10:$CA$50,O$7,FALSE)</f>
        <v>12.48</v>
      </c>
      <c r="P16">
        <f>VLOOKUP($M16,'Split DX Selected Perf Maps'!$A$10:$CA$50,P$7,FALSE)</f>
        <v>0.27100000000000002</v>
      </c>
      <c r="Q16">
        <f>VLOOKUP($M16,'Split DX Selected Perf Maps'!$A$10:$CA$50,Q$7,FALSE)</f>
        <v>2</v>
      </c>
    </row>
    <row r="17" spans="2:19" x14ac:dyDescent="0.25">
      <c r="B17" s="478"/>
      <c r="C17" s="334">
        <v>3</v>
      </c>
      <c r="D17" s="334">
        <v>17</v>
      </c>
      <c r="E17" s="383">
        <f t="shared" si="0"/>
        <v>13.260000000000002</v>
      </c>
      <c r="F17" s="400">
        <f t="shared" si="1"/>
        <v>0.27100000000000002</v>
      </c>
      <c r="G17" s="334" t="s">
        <v>61</v>
      </c>
      <c r="H17" s="334" t="s">
        <v>55</v>
      </c>
      <c r="I17" s="172" t="s">
        <v>55</v>
      </c>
      <c r="J17" s="481"/>
      <c r="K17" s="285" t="s">
        <v>543</v>
      </c>
      <c r="M17">
        <f t="shared" ref="M17:M18" si="2">+M12</f>
        <v>11704</v>
      </c>
      <c r="N17">
        <f>VLOOKUP($M17,'Split DX Selected Perf Maps'!$A$10:$CA$50,N$7,FALSE)</f>
        <v>17</v>
      </c>
      <c r="O17" s="278">
        <f>VLOOKUP($M17,'Split DX Selected Perf Maps'!$A$10:$CA$50,O$7,FALSE)</f>
        <v>13.260000000000002</v>
      </c>
      <c r="P17">
        <f>VLOOKUP($M17,'Split DX Selected Perf Maps'!$A$10:$CA$50,P$7,FALSE)</f>
        <v>0.27100000000000002</v>
      </c>
      <c r="Q17">
        <f>VLOOKUP($M17,'Split DX Selected Perf Maps'!$A$10:$CA$50,Q$7,FALSE)</f>
        <v>2</v>
      </c>
    </row>
    <row r="18" spans="2:19" ht="15.75" thickBot="1" x14ac:dyDescent="0.3">
      <c r="B18" s="479"/>
      <c r="C18" s="335">
        <v>4</v>
      </c>
      <c r="D18" s="335">
        <v>18</v>
      </c>
      <c r="E18" s="394">
        <f t="shared" si="0"/>
        <v>14.040000000000001</v>
      </c>
      <c r="F18" s="401">
        <f t="shared" si="1"/>
        <v>0.27100000000000002</v>
      </c>
      <c r="G18" s="335" t="s">
        <v>61</v>
      </c>
      <c r="H18" s="335" t="s">
        <v>55</v>
      </c>
      <c r="I18" s="173" t="s">
        <v>55</v>
      </c>
      <c r="J18" s="482"/>
      <c r="K18" s="287" t="s">
        <v>544</v>
      </c>
      <c r="M18">
        <f t="shared" si="2"/>
        <v>11802</v>
      </c>
      <c r="N18">
        <f>VLOOKUP($M18,'Split DX Selected Perf Maps'!$A$10:$CA$50,N$7,FALSE)</f>
        <v>18</v>
      </c>
      <c r="O18" s="278">
        <f>VLOOKUP($M18,'Split DX Selected Perf Maps'!$A$10:$CA$50,O$7,FALSE)</f>
        <v>14.040000000000001</v>
      </c>
      <c r="P18">
        <f>VLOOKUP($M18,'Split DX Selected Perf Maps'!$A$10:$CA$50,P$7,FALSE)</f>
        <v>0.27100000000000002</v>
      </c>
      <c r="Q18">
        <f>VLOOKUP($M18,'Split DX Selected Perf Maps'!$A$10:$CA$50,Q$7,FALSE)</f>
        <v>2</v>
      </c>
    </row>
    <row r="19" spans="2:19" ht="15" customHeight="1" x14ac:dyDescent="0.25">
      <c r="B19" s="483" t="s">
        <v>463</v>
      </c>
      <c r="C19" s="360" t="s">
        <v>520</v>
      </c>
      <c r="D19" s="360">
        <v>14</v>
      </c>
      <c r="E19" s="393">
        <f t="shared" si="0"/>
        <v>11.112499999999999</v>
      </c>
      <c r="F19" s="398">
        <f t="shared" si="1"/>
        <v>0.29399999999999998</v>
      </c>
      <c r="G19" s="360" t="s">
        <v>61</v>
      </c>
      <c r="H19" s="360" t="s">
        <v>56</v>
      </c>
      <c r="I19" s="319"/>
      <c r="J19" s="481" t="s">
        <v>595</v>
      </c>
      <c r="K19" s="330"/>
      <c r="M19">
        <v>11405</v>
      </c>
      <c r="N19">
        <f>VLOOKUP($M19,'Split DX Selected Perf Maps'!$A$10:$CA$50,N$7,FALSE)</f>
        <v>14</v>
      </c>
      <c r="O19" s="278">
        <f>VLOOKUP($M19,'Split DX Selected Perf Maps'!$A$10:$CA$50,O$7,FALSE)</f>
        <v>11.112499999999999</v>
      </c>
      <c r="P19">
        <f>VLOOKUP($M19,'Split DX Selected Perf Maps'!$A$10:$CA$50,P$7,FALSE)</f>
        <v>0.29399999999999998</v>
      </c>
      <c r="Q19">
        <f>VLOOKUP($M19,'Split DX Selected Perf Maps'!$A$10:$CA$50,Q$7,FALSE)</f>
        <v>2</v>
      </c>
    </row>
    <row r="20" spans="2:19" x14ac:dyDescent="0.25">
      <c r="B20" s="484"/>
      <c r="C20" s="174">
        <v>1</v>
      </c>
      <c r="D20" s="174">
        <v>15</v>
      </c>
      <c r="E20" s="197">
        <f t="shared" si="0"/>
        <v>11.90625</v>
      </c>
      <c r="F20" s="402">
        <f t="shared" si="1"/>
        <v>0.251</v>
      </c>
      <c r="G20" s="174" t="s">
        <v>61</v>
      </c>
      <c r="H20" s="174" t="s">
        <v>56</v>
      </c>
      <c r="I20" s="174" t="s">
        <v>55</v>
      </c>
      <c r="J20" s="481"/>
      <c r="K20" s="285" t="s">
        <v>545</v>
      </c>
      <c r="M20">
        <v>11505</v>
      </c>
      <c r="N20">
        <f>VLOOKUP($M20,'Split DX Selected Perf Maps'!$A$10:$CA$50,N$7,FALSE)</f>
        <v>15</v>
      </c>
      <c r="O20" s="278">
        <f>VLOOKUP($M20,'Split DX Selected Perf Maps'!$A$10:$CA$50,O$7,FALSE)</f>
        <v>11.90625</v>
      </c>
      <c r="P20">
        <f>VLOOKUP($M20,'Split DX Selected Perf Maps'!$A$10:$CA$50,P$7,FALSE)</f>
        <v>0.251</v>
      </c>
      <c r="Q20">
        <f>VLOOKUP($M20,'Split DX Selected Perf Maps'!$A$10:$CA$50,Q$7,FALSE)</f>
        <v>2</v>
      </c>
    </row>
    <row r="21" spans="2:19" x14ac:dyDescent="0.25">
      <c r="B21" s="484"/>
      <c r="C21" s="172">
        <v>2</v>
      </c>
      <c r="D21" s="172">
        <v>16</v>
      </c>
      <c r="E21" s="395">
        <f t="shared" si="0"/>
        <v>12.48</v>
      </c>
      <c r="F21" s="403">
        <f t="shared" si="1"/>
        <v>0.27100000000000002</v>
      </c>
      <c r="G21" s="172" t="s">
        <v>61</v>
      </c>
      <c r="H21" s="172" t="s">
        <v>56</v>
      </c>
      <c r="I21" s="172" t="s">
        <v>55</v>
      </c>
      <c r="J21" s="481"/>
      <c r="K21" s="285" t="s">
        <v>546</v>
      </c>
      <c r="M21">
        <v>11605</v>
      </c>
      <c r="N21">
        <f>VLOOKUP($M21,'Split DX Selected Perf Maps'!$A$10:$CA$50,N$7,FALSE)</f>
        <v>16</v>
      </c>
      <c r="O21" s="278">
        <f>VLOOKUP($M21,'Split DX Selected Perf Maps'!$A$10:$CA$50,O$7,FALSE)</f>
        <v>12.48</v>
      </c>
      <c r="P21">
        <f>VLOOKUP($M21,'Split DX Selected Perf Maps'!$A$10:$CA$50,P$7,FALSE)</f>
        <v>0.27100000000000002</v>
      </c>
      <c r="Q21">
        <f>VLOOKUP($M21,'Split DX Selected Perf Maps'!$A$10:$CA$50,Q$7,FALSE)</f>
        <v>2</v>
      </c>
    </row>
    <row r="22" spans="2:19" x14ac:dyDescent="0.25">
      <c r="B22" s="484"/>
      <c r="C22" s="172">
        <v>3</v>
      </c>
      <c r="D22" s="172">
        <v>17</v>
      </c>
      <c r="E22" s="395">
        <f t="shared" si="0"/>
        <v>13.260000000000002</v>
      </c>
      <c r="F22" s="403">
        <f t="shared" si="1"/>
        <v>0.27100000000000002</v>
      </c>
      <c r="G22" s="172" t="s">
        <v>61</v>
      </c>
      <c r="H22" s="172" t="s">
        <v>56</v>
      </c>
      <c r="I22" s="172" t="s">
        <v>55</v>
      </c>
      <c r="J22" s="481"/>
      <c r="K22" s="285" t="s">
        <v>547</v>
      </c>
      <c r="M22">
        <v>11705</v>
      </c>
      <c r="N22">
        <f>VLOOKUP($M22,'Split DX Selected Perf Maps'!$A$10:$CA$50,N$7,FALSE)</f>
        <v>17</v>
      </c>
      <c r="O22" s="278">
        <f>VLOOKUP($M22,'Split DX Selected Perf Maps'!$A$10:$CA$50,O$7,FALSE)</f>
        <v>13.260000000000002</v>
      </c>
      <c r="P22">
        <f>VLOOKUP($M22,'Split DX Selected Perf Maps'!$A$10:$CA$50,P$7,FALSE)</f>
        <v>0.27100000000000002</v>
      </c>
      <c r="Q22">
        <f>VLOOKUP($M22,'Split DX Selected Perf Maps'!$A$10:$CA$50,Q$7,FALSE)</f>
        <v>2</v>
      </c>
    </row>
    <row r="23" spans="2:19" x14ac:dyDescent="0.25">
      <c r="B23" s="484"/>
      <c r="C23" s="223">
        <v>4</v>
      </c>
      <c r="D23" s="223">
        <v>18</v>
      </c>
      <c r="E23" s="396">
        <f t="shared" si="0"/>
        <v>14.040000000000001</v>
      </c>
      <c r="F23" s="404">
        <f t="shared" si="1"/>
        <v>0.27100000000000002</v>
      </c>
      <c r="G23" s="223" t="s">
        <v>61</v>
      </c>
      <c r="H23" s="223" t="s">
        <v>56</v>
      </c>
      <c r="I23" s="223" t="s">
        <v>55</v>
      </c>
      <c r="J23" s="481"/>
      <c r="K23" s="286" t="s">
        <v>548</v>
      </c>
      <c r="M23">
        <v>11805</v>
      </c>
      <c r="N23">
        <f>VLOOKUP($M23,'Split DX Selected Perf Maps'!$A$10:$CA$50,N$7,FALSE)</f>
        <v>18</v>
      </c>
      <c r="O23" s="278">
        <f>VLOOKUP($M23,'Split DX Selected Perf Maps'!$A$10:$CA$50,O$7,FALSE)</f>
        <v>14.040000000000001</v>
      </c>
      <c r="P23">
        <f>VLOOKUP($M23,'Split DX Selected Perf Maps'!$A$10:$CA$50,P$7,FALSE)</f>
        <v>0.27100000000000002</v>
      </c>
      <c r="Q23">
        <f>VLOOKUP($M23,'Split DX Selected Perf Maps'!$A$10:$CA$50,Q$7,FALSE)</f>
        <v>2</v>
      </c>
    </row>
    <row r="24" spans="2:19" x14ac:dyDescent="0.25">
      <c r="B24" s="484"/>
      <c r="C24" s="172">
        <v>1</v>
      </c>
      <c r="D24" s="172">
        <v>15</v>
      </c>
      <c r="E24" s="320">
        <f t="shared" si="0"/>
        <v>11.90625</v>
      </c>
      <c r="F24" s="403">
        <f t="shared" si="1"/>
        <v>0.251</v>
      </c>
      <c r="G24" s="172" t="s">
        <v>61</v>
      </c>
      <c r="H24" s="172" t="s">
        <v>56</v>
      </c>
      <c r="I24" s="172" t="s">
        <v>56</v>
      </c>
      <c r="J24" s="481"/>
      <c r="K24" s="285" t="str">
        <f>K20&amp;"-wPreEcono"</f>
        <v>NE-HVAC-airAC-Split-55to65kBtuh-15p0seer-wPreEcono</v>
      </c>
      <c r="M24">
        <f>+M20</f>
        <v>11505</v>
      </c>
      <c r="N24">
        <f>VLOOKUP($M24,'Split DX Selected Perf Maps'!$A$10:$CA$50,N$7,FALSE)</f>
        <v>15</v>
      </c>
      <c r="O24" s="278">
        <f>VLOOKUP($M24,'Split DX Selected Perf Maps'!$A$10:$CA$50,O$7,FALSE)</f>
        <v>11.90625</v>
      </c>
      <c r="P24">
        <f>VLOOKUP($M24,'Split DX Selected Perf Maps'!$A$10:$CA$50,P$7,FALSE)</f>
        <v>0.251</v>
      </c>
      <c r="Q24">
        <f>VLOOKUP($M24,'Split DX Selected Perf Maps'!$A$10:$CA$50,Q$7,FALSE)</f>
        <v>2</v>
      </c>
    </row>
    <row r="25" spans="2:19" x14ac:dyDescent="0.25">
      <c r="B25" s="484"/>
      <c r="C25" s="172">
        <v>2</v>
      </c>
      <c r="D25" s="172">
        <v>16</v>
      </c>
      <c r="E25" s="395">
        <f t="shared" si="0"/>
        <v>12.48</v>
      </c>
      <c r="F25" s="403">
        <f t="shared" si="1"/>
        <v>0.27100000000000002</v>
      </c>
      <c r="G25" s="172" t="s">
        <v>61</v>
      </c>
      <c r="H25" s="172" t="s">
        <v>56</v>
      </c>
      <c r="I25" s="172" t="s">
        <v>56</v>
      </c>
      <c r="J25" s="481"/>
      <c r="K25" s="285" t="str">
        <f t="shared" ref="K25:K27" si="3">K21&amp;"-wPreEcono"</f>
        <v>NE-HVAC-airAC-Split-55to65kBtuh-16p0seer-wPreEcono</v>
      </c>
      <c r="M25">
        <f t="shared" ref="M25:M27" si="4">+M21</f>
        <v>11605</v>
      </c>
      <c r="N25">
        <f>VLOOKUP($M25,'Split DX Selected Perf Maps'!$A$10:$CA$50,N$7,FALSE)</f>
        <v>16</v>
      </c>
      <c r="O25" s="278">
        <f>VLOOKUP($M25,'Split DX Selected Perf Maps'!$A$10:$CA$50,O$7,FALSE)</f>
        <v>12.48</v>
      </c>
      <c r="P25">
        <f>VLOOKUP($M25,'Split DX Selected Perf Maps'!$A$10:$CA$50,P$7,FALSE)</f>
        <v>0.27100000000000002</v>
      </c>
      <c r="Q25">
        <f>VLOOKUP($M25,'Split DX Selected Perf Maps'!$A$10:$CA$50,Q$7,FALSE)</f>
        <v>2</v>
      </c>
    </row>
    <row r="26" spans="2:19" x14ac:dyDescent="0.25">
      <c r="B26" s="484"/>
      <c r="C26" s="172">
        <v>3</v>
      </c>
      <c r="D26" s="172">
        <v>17</v>
      </c>
      <c r="E26" s="395">
        <f t="shared" si="0"/>
        <v>13.260000000000002</v>
      </c>
      <c r="F26" s="403">
        <f t="shared" si="1"/>
        <v>0.27100000000000002</v>
      </c>
      <c r="G26" s="172" t="s">
        <v>61</v>
      </c>
      <c r="H26" s="172" t="s">
        <v>56</v>
      </c>
      <c r="I26" s="172" t="s">
        <v>56</v>
      </c>
      <c r="J26" s="481"/>
      <c r="K26" s="285" t="str">
        <f t="shared" si="3"/>
        <v>NE-HVAC-airAC-Split-55to65kBtuh-17p0seer-wPreEcono</v>
      </c>
      <c r="M26">
        <f t="shared" si="4"/>
        <v>11705</v>
      </c>
      <c r="N26">
        <f>VLOOKUP($M26,'Split DX Selected Perf Maps'!$A$10:$CA$50,N$7,FALSE)</f>
        <v>17</v>
      </c>
      <c r="O26" s="278">
        <f>VLOOKUP($M26,'Split DX Selected Perf Maps'!$A$10:$CA$50,O$7,FALSE)</f>
        <v>13.260000000000002</v>
      </c>
      <c r="P26">
        <f>VLOOKUP($M26,'Split DX Selected Perf Maps'!$A$10:$CA$50,P$7,FALSE)</f>
        <v>0.27100000000000002</v>
      </c>
      <c r="Q26">
        <f>VLOOKUP($M26,'Split DX Selected Perf Maps'!$A$10:$CA$50,Q$7,FALSE)</f>
        <v>2</v>
      </c>
    </row>
    <row r="27" spans="2:19" ht="15.75" thickBot="1" x14ac:dyDescent="0.3">
      <c r="B27" s="485"/>
      <c r="C27" s="173">
        <v>4</v>
      </c>
      <c r="D27" s="173">
        <v>18</v>
      </c>
      <c r="E27" s="397">
        <f t="shared" si="0"/>
        <v>14.040000000000001</v>
      </c>
      <c r="F27" s="405">
        <f t="shared" si="1"/>
        <v>0.27100000000000002</v>
      </c>
      <c r="G27" s="173" t="s">
        <v>61</v>
      </c>
      <c r="H27" s="173" t="s">
        <v>56</v>
      </c>
      <c r="I27" s="173" t="s">
        <v>56</v>
      </c>
      <c r="J27" s="482"/>
      <c r="K27" s="287" t="str">
        <f t="shared" si="3"/>
        <v>NE-HVAC-airAC-Split-55to65kBtuh-18p0seer-wPreEcono</v>
      </c>
      <c r="M27">
        <f t="shared" si="4"/>
        <v>11805</v>
      </c>
      <c r="N27">
        <f>VLOOKUP($M27,'Split DX Selected Perf Maps'!$A$10:$CA$50,N$7,FALSE)</f>
        <v>18</v>
      </c>
      <c r="O27" s="278">
        <f>VLOOKUP($M27,'Split DX Selected Perf Maps'!$A$10:$CA$50,O$7,FALSE)</f>
        <v>14.040000000000001</v>
      </c>
      <c r="P27">
        <f>VLOOKUP($M27,'Split DX Selected Perf Maps'!$A$10:$CA$50,P$7,FALSE)</f>
        <v>0.27100000000000002</v>
      </c>
      <c r="Q27">
        <f>VLOOKUP($M27,'Split DX Selected Perf Maps'!$A$10:$CA$50,Q$7,FALSE)</f>
        <v>2</v>
      </c>
    </row>
    <row r="28" spans="2:19" x14ac:dyDescent="0.25">
      <c r="B28" t="s">
        <v>585</v>
      </c>
      <c r="C28" s="225" t="s">
        <v>584</v>
      </c>
    </row>
    <row r="29" spans="2:19" x14ac:dyDescent="0.25">
      <c r="C29" s="225" t="s">
        <v>583</v>
      </c>
    </row>
    <row r="31" spans="2:19" ht="15.75" thickBot="1" x14ac:dyDescent="0.3">
      <c r="B31" s="323" t="s">
        <v>938</v>
      </c>
      <c r="C31" s="323"/>
      <c r="D31" s="323"/>
      <c r="E31" s="323"/>
      <c r="F31" s="323"/>
      <c r="G31" s="323"/>
      <c r="H31" s="323"/>
      <c r="I31" s="323"/>
    </row>
    <row r="32" spans="2:19" ht="30.75" thickBot="1" x14ac:dyDescent="0.3">
      <c r="B32" s="216" t="s">
        <v>407</v>
      </c>
      <c r="C32" s="217" t="s">
        <v>52</v>
      </c>
      <c r="D32" s="217" t="s">
        <v>86</v>
      </c>
      <c r="E32" s="217" t="s">
        <v>87</v>
      </c>
      <c r="F32" s="217" t="s">
        <v>53</v>
      </c>
      <c r="G32" s="217" t="s">
        <v>59</v>
      </c>
      <c r="H32" s="217" t="s">
        <v>62</v>
      </c>
      <c r="I32" s="217" t="s">
        <v>873</v>
      </c>
      <c r="J32" s="340" t="s">
        <v>536</v>
      </c>
      <c r="K32" s="329" t="s">
        <v>530</v>
      </c>
      <c r="M32" s="212" t="s">
        <v>951</v>
      </c>
      <c r="N32" s="212" t="s">
        <v>91</v>
      </c>
      <c r="O32" s="212" t="s">
        <v>114</v>
      </c>
      <c r="P32" s="212" t="s">
        <v>952</v>
      </c>
      <c r="Q32" s="213" t="s">
        <v>953</v>
      </c>
      <c r="R32" s="5" t="s">
        <v>85</v>
      </c>
      <c r="S32" s="5" t="s">
        <v>247</v>
      </c>
    </row>
    <row r="33" spans="2:19" x14ac:dyDescent="0.25">
      <c r="B33" s="477" t="s">
        <v>409</v>
      </c>
      <c r="C33" s="360" t="s">
        <v>520</v>
      </c>
      <c r="D33" s="360">
        <v>14</v>
      </c>
      <c r="E33" s="393">
        <f>+R33</f>
        <v>8.1999999999999993</v>
      </c>
      <c r="F33" s="407">
        <f t="shared" ref="F33" si="5">+P33</f>
        <v>0.29399999999999998</v>
      </c>
      <c r="G33" s="360" t="s">
        <v>60</v>
      </c>
      <c r="H33" s="360" t="s">
        <v>55</v>
      </c>
      <c r="I33" s="187"/>
      <c r="J33" s="480" t="s">
        <v>939</v>
      </c>
      <c r="K33" s="330"/>
      <c r="M33">
        <v>21406</v>
      </c>
      <c r="N33">
        <f>VLOOKUP($M33,'Split DX Selected Perf Maps'!$A$10:$CA$50,N$7,FALSE)</f>
        <v>14</v>
      </c>
      <c r="O33" s="278">
        <f>VLOOKUP($M33,'Split DX Selected Perf Maps'!$A$10:$CA$50,O$7,FALSE)</f>
        <v>11.929577464788734</v>
      </c>
      <c r="P33">
        <f>VLOOKUP($M33,'Split DX Selected Perf Maps'!$A$10:$CA$50,P$7,FALSE)</f>
        <v>0.29399999999999998</v>
      </c>
      <c r="Q33">
        <f>VLOOKUP($M33,'Split DX Selected Perf Maps'!$A$10:$CA$50,Q$7,FALSE)</f>
        <v>1</v>
      </c>
      <c r="R33">
        <f>VLOOKUP($M33,'Split DX Selected Perf Maps'!$A$10:$CA$50,R$7,FALSE)</f>
        <v>8.1999999999999993</v>
      </c>
      <c r="S33">
        <f>VLOOKUP($M33,'Split DX Selected Perf Maps'!$A$10:$CA$50,S$7,FALSE)</f>
        <v>3.48</v>
      </c>
    </row>
    <row r="34" spans="2:19" x14ac:dyDescent="0.25">
      <c r="B34" s="478"/>
      <c r="C34" s="332">
        <v>1</v>
      </c>
      <c r="D34" s="332">
        <v>15</v>
      </c>
      <c r="E34" s="333">
        <f t="shared" ref="E34:E46" si="6">+R34</f>
        <v>8.6999999999999993</v>
      </c>
      <c r="F34" s="408">
        <f t="shared" ref="F34:F46" si="7">+P34</f>
        <v>0.251</v>
      </c>
      <c r="G34" s="332" t="s">
        <v>60</v>
      </c>
      <c r="H34" s="332" t="s">
        <v>55</v>
      </c>
      <c r="I34" s="174" t="s">
        <v>55</v>
      </c>
      <c r="J34" s="481"/>
      <c r="K34" s="285" t="s">
        <v>930</v>
      </c>
      <c r="M34">
        <v>21506</v>
      </c>
      <c r="N34">
        <f>VLOOKUP($M34,'Split DX Selected Perf Maps'!$A$10:$CA$50,N$7,FALSE)</f>
        <v>15</v>
      </c>
      <c r="O34" s="278">
        <f>VLOOKUP($M34,'Split DX Selected Perf Maps'!$A$10:$CA$50,O$7,FALSE)</f>
        <v>12.781690140845072</v>
      </c>
      <c r="P34">
        <f>VLOOKUP($M34,'Split DX Selected Perf Maps'!$A$10:$CA$50,P$7,FALSE)</f>
        <v>0.251</v>
      </c>
      <c r="Q34">
        <f>VLOOKUP($M34,'Split DX Selected Perf Maps'!$A$10:$CA$50,Q$7,FALSE)</f>
        <v>1</v>
      </c>
      <c r="R34">
        <f>VLOOKUP($M34,'Split DX Selected Perf Maps'!$A$10:$CA$50,R$7,FALSE)</f>
        <v>8.6999999999999993</v>
      </c>
      <c r="S34">
        <f>VLOOKUP($M34,'Split DX Selected Perf Maps'!$A$10:$CA$50,S$7,FALSE)</f>
        <v>3.68</v>
      </c>
    </row>
    <row r="35" spans="2:19" x14ac:dyDescent="0.25">
      <c r="B35" s="478"/>
      <c r="C35" s="334">
        <v>2</v>
      </c>
      <c r="D35" s="334">
        <v>16</v>
      </c>
      <c r="E35" s="383">
        <f t="shared" si="6"/>
        <v>9</v>
      </c>
      <c r="F35" s="409">
        <f t="shared" si="7"/>
        <v>0.27100000000000002</v>
      </c>
      <c r="G35" s="334" t="s">
        <v>61</v>
      </c>
      <c r="H35" s="334" t="s">
        <v>55</v>
      </c>
      <c r="I35" s="172" t="s">
        <v>55</v>
      </c>
      <c r="J35" s="481"/>
      <c r="K35" s="285" t="s">
        <v>931</v>
      </c>
      <c r="M35">
        <v>21604</v>
      </c>
      <c r="N35">
        <f>VLOOKUP($M35,'Split DX Selected Perf Maps'!$A$10:$CA$50,N$7,FALSE)</f>
        <v>16</v>
      </c>
      <c r="O35" s="278">
        <f>VLOOKUP($M35,'Split DX Selected Perf Maps'!$A$10:$CA$50,O$7,FALSE)</f>
        <v>12.48</v>
      </c>
      <c r="P35">
        <f>VLOOKUP($M35,'Split DX Selected Perf Maps'!$A$10:$CA$50,P$7,FALSE)</f>
        <v>0.27100000000000002</v>
      </c>
      <c r="Q35">
        <f>VLOOKUP($M35,'Split DX Selected Perf Maps'!$A$10:$CA$50,Q$7,FALSE)</f>
        <v>2</v>
      </c>
      <c r="R35">
        <f>VLOOKUP($M35,'Split DX Selected Perf Maps'!$A$10:$CA$50,R$7,FALSE)</f>
        <v>9</v>
      </c>
      <c r="S35">
        <f>VLOOKUP($M35,'Split DX Selected Perf Maps'!$A$10:$CA$50,S$7,FALSE)</f>
        <v>3.57</v>
      </c>
    </row>
    <row r="36" spans="2:19" ht="15" customHeight="1" x14ac:dyDescent="0.25">
      <c r="B36" s="478"/>
      <c r="C36" s="334">
        <v>3</v>
      </c>
      <c r="D36" s="334">
        <v>17</v>
      </c>
      <c r="E36" s="383">
        <f t="shared" si="6"/>
        <v>9.4</v>
      </c>
      <c r="F36" s="409">
        <f t="shared" si="7"/>
        <v>0.27100000000000002</v>
      </c>
      <c r="G36" s="334" t="s">
        <v>61</v>
      </c>
      <c r="H36" s="334" t="s">
        <v>55</v>
      </c>
      <c r="I36" s="172" t="s">
        <v>55</v>
      </c>
      <c r="J36" s="481"/>
      <c r="K36" s="285" t="s">
        <v>932</v>
      </c>
      <c r="M36">
        <v>21704</v>
      </c>
      <c r="N36">
        <f>VLOOKUP($M36,'Split DX Selected Perf Maps'!$A$10:$CA$50,N$7,FALSE)</f>
        <v>17</v>
      </c>
      <c r="O36" s="278">
        <f>VLOOKUP($M36,'Split DX Selected Perf Maps'!$A$10:$CA$50,O$7,FALSE)</f>
        <v>13.260000000000002</v>
      </c>
      <c r="P36">
        <f>VLOOKUP($M36,'Split DX Selected Perf Maps'!$A$10:$CA$50,P$7,FALSE)</f>
        <v>0.27100000000000002</v>
      </c>
      <c r="Q36">
        <f>VLOOKUP($M36,'Split DX Selected Perf Maps'!$A$10:$CA$50,Q$7,FALSE)</f>
        <v>2</v>
      </c>
      <c r="R36">
        <f>VLOOKUP($M36,'Split DX Selected Perf Maps'!$A$10:$CA$50,R$7,FALSE)</f>
        <v>9.4</v>
      </c>
      <c r="S36">
        <f>VLOOKUP($M36,'Split DX Selected Perf Maps'!$A$10:$CA$50,S$7,FALSE)</f>
        <v>3.74</v>
      </c>
    </row>
    <row r="37" spans="2:19" ht="15.75" thickBot="1" x14ac:dyDescent="0.3">
      <c r="B37" s="479"/>
      <c r="C37" s="335">
        <v>4</v>
      </c>
      <c r="D37" s="335">
        <v>18</v>
      </c>
      <c r="E37" s="394">
        <f t="shared" si="6"/>
        <v>9.6999999999999993</v>
      </c>
      <c r="F37" s="410">
        <f t="shared" si="7"/>
        <v>0.27100000000000002</v>
      </c>
      <c r="G37" s="335" t="s">
        <v>61</v>
      </c>
      <c r="H37" s="335" t="s">
        <v>55</v>
      </c>
      <c r="I37" s="173" t="s">
        <v>55</v>
      </c>
      <c r="J37" s="481"/>
      <c r="K37" s="286" t="s">
        <v>937</v>
      </c>
      <c r="M37">
        <v>21802</v>
      </c>
      <c r="N37">
        <f>VLOOKUP($M37,'Split DX Selected Perf Maps'!$A$10:$CA$50,N$7,FALSE)</f>
        <v>18</v>
      </c>
      <c r="O37" s="278">
        <f>VLOOKUP($M37,'Split DX Selected Perf Maps'!$A$10:$CA$50,O$7,FALSE)</f>
        <v>14.040000000000001</v>
      </c>
      <c r="P37">
        <f>VLOOKUP($M37,'Split DX Selected Perf Maps'!$A$10:$CA$50,P$7,FALSE)</f>
        <v>0.27100000000000002</v>
      </c>
      <c r="Q37">
        <f>VLOOKUP($M37,'Split DX Selected Perf Maps'!$A$10:$CA$50,Q$7,FALSE)</f>
        <v>2</v>
      </c>
      <c r="R37">
        <f>VLOOKUP($M37,'Split DX Selected Perf Maps'!$A$10:$CA$50,R$7,FALSE)</f>
        <v>9.6999999999999993</v>
      </c>
      <c r="S37">
        <f>VLOOKUP($M37,'Split DX Selected Perf Maps'!$A$10:$CA$50,S$7,FALSE)</f>
        <v>3.86</v>
      </c>
    </row>
    <row r="38" spans="2:19" x14ac:dyDescent="0.25">
      <c r="B38" s="483" t="s">
        <v>463</v>
      </c>
      <c r="C38" s="360" t="s">
        <v>520</v>
      </c>
      <c r="D38" s="360">
        <v>14</v>
      </c>
      <c r="E38" s="393">
        <f t="shared" si="6"/>
        <v>8.1999999999999993</v>
      </c>
      <c r="F38" s="407">
        <f t="shared" si="7"/>
        <v>0.29399999999999998</v>
      </c>
      <c r="G38" s="360" t="s">
        <v>61</v>
      </c>
      <c r="H38" s="360" t="s">
        <v>56</v>
      </c>
      <c r="I38" s="319"/>
      <c r="J38" s="481" t="s">
        <v>940</v>
      </c>
      <c r="K38" s="330"/>
      <c r="M38">
        <v>21408</v>
      </c>
      <c r="N38">
        <f>VLOOKUP($M38,'Split DX Selected Perf Maps'!$A$10:$CA$50,N$7,FALSE)</f>
        <v>14</v>
      </c>
      <c r="O38" s="278">
        <f>VLOOKUP($M38,'Split DX Selected Perf Maps'!$A$10:$CA$50,O$7,FALSE)</f>
        <v>11.112499999999999</v>
      </c>
      <c r="P38">
        <f>VLOOKUP($M38,'Split DX Selected Perf Maps'!$A$10:$CA$50,P$7,FALSE)</f>
        <v>0.29399999999999998</v>
      </c>
      <c r="Q38">
        <f>VLOOKUP($M38,'Split DX Selected Perf Maps'!$A$10:$CA$50,Q$7,FALSE)</f>
        <v>2</v>
      </c>
      <c r="R38">
        <f>VLOOKUP($M38,'Split DX Selected Perf Maps'!$A$10:$CA$50,R$7,FALSE)</f>
        <v>8.1999999999999993</v>
      </c>
      <c r="S38">
        <f>VLOOKUP($M38,'Split DX Selected Perf Maps'!$A$10:$CA$50,S$7,FALSE)</f>
        <v>3.25</v>
      </c>
    </row>
    <row r="39" spans="2:19" x14ac:dyDescent="0.25">
      <c r="B39" s="484"/>
      <c r="C39" s="174">
        <v>1</v>
      </c>
      <c r="D39" s="174">
        <v>15</v>
      </c>
      <c r="E39" s="333">
        <f t="shared" si="6"/>
        <v>8.6999999999999993</v>
      </c>
      <c r="F39" s="411">
        <f t="shared" si="7"/>
        <v>0.251</v>
      </c>
      <c r="G39" s="174" t="s">
        <v>61</v>
      </c>
      <c r="H39" s="174" t="s">
        <v>56</v>
      </c>
      <c r="I39" s="174" t="s">
        <v>55</v>
      </c>
      <c r="J39" s="481"/>
      <c r="K39" s="285" t="s">
        <v>927</v>
      </c>
      <c r="M39">
        <v>21508</v>
      </c>
      <c r="N39">
        <f>VLOOKUP($M39,'Split DX Selected Perf Maps'!$A$10:$CA$50,N$7,FALSE)</f>
        <v>15</v>
      </c>
      <c r="O39" s="278">
        <f>VLOOKUP($M39,'Split DX Selected Perf Maps'!$A$10:$CA$50,O$7,FALSE)</f>
        <v>11.90625</v>
      </c>
      <c r="P39">
        <f>VLOOKUP($M39,'Split DX Selected Perf Maps'!$A$10:$CA$50,P$7,FALSE)</f>
        <v>0.251</v>
      </c>
      <c r="Q39">
        <f>VLOOKUP($M39,'Split DX Selected Perf Maps'!$A$10:$CA$50,Q$7,FALSE)</f>
        <v>2</v>
      </c>
      <c r="R39">
        <f>VLOOKUP($M39,'Split DX Selected Perf Maps'!$A$10:$CA$50,R$7,FALSE)</f>
        <v>8.6999999999999993</v>
      </c>
      <c r="S39">
        <f>VLOOKUP($M39,'Split DX Selected Perf Maps'!$A$10:$CA$50,S$7,FALSE)</f>
        <v>3.44</v>
      </c>
    </row>
    <row r="40" spans="2:19" x14ac:dyDescent="0.25">
      <c r="B40" s="484"/>
      <c r="C40" s="172">
        <v>2</v>
      </c>
      <c r="D40" s="172">
        <v>16</v>
      </c>
      <c r="E40" s="383">
        <f t="shared" si="6"/>
        <v>9</v>
      </c>
      <c r="F40" s="412">
        <f t="shared" si="7"/>
        <v>0.27100000000000002</v>
      </c>
      <c r="G40" s="172" t="s">
        <v>61</v>
      </c>
      <c r="H40" s="172" t="s">
        <v>56</v>
      </c>
      <c r="I40" s="172" t="s">
        <v>55</v>
      </c>
      <c r="J40" s="481"/>
      <c r="K40" s="285" t="s">
        <v>928</v>
      </c>
      <c r="M40">
        <v>21604</v>
      </c>
      <c r="N40">
        <f>VLOOKUP($M40,'Split DX Selected Perf Maps'!$A$10:$CA$50,N$7,FALSE)</f>
        <v>16</v>
      </c>
      <c r="O40" s="278">
        <f>VLOOKUP($M40,'Split DX Selected Perf Maps'!$A$10:$CA$50,O$7,FALSE)</f>
        <v>12.48</v>
      </c>
      <c r="P40">
        <f>VLOOKUP($M40,'Split DX Selected Perf Maps'!$A$10:$CA$50,P$7,FALSE)</f>
        <v>0.27100000000000002</v>
      </c>
      <c r="Q40">
        <f>VLOOKUP($M40,'Split DX Selected Perf Maps'!$A$10:$CA$50,Q$7,FALSE)</f>
        <v>2</v>
      </c>
      <c r="R40">
        <f>VLOOKUP($M40,'Split DX Selected Perf Maps'!$A$10:$CA$50,R$7,FALSE)</f>
        <v>9</v>
      </c>
      <c r="S40">
        <f>VLOOKUP($M40,'Split DX Selected Perf Maps'!$A$10:$CA$50,S$7,FALSE)</f>
        <v>3.57</v>
      </c>
    </row>
    <row r="41" spans="2:19" ht="15" customHeight="1" x14ac:dyDescent="0.25">
      <c r="B41" s="484"/>
      <c r="C41" s="172">
        <v>3</v>
      </c>
      <c r="D41" s="172">
        <v>17</v>
      </c>
      <c r="E41" s="383">
        <f t="shared" si="6"/>
        <v>9.4</v>
      </c>
      <c r="F41" s="412">
        <f t="shared" si="7"/>
        <v>0.27100000000000002</v>
      </c>
      <c r="G41" s="172" t="s">
        <v>61</v>
      </c>
      <c r="H41" s="172" t="s">
        <v>56</v>
      </c>
      <c r="I41" s="172" t="s">
        <v>55</v>
      </c>
      <c r="J41" s="481"/>
      <c r="K41" s="285" t="s">
        <v>929</v>
      </c>
      <c r="M41">
        <v>21704</v>
      </c>
      <c r="N41">
        <f>VLOOKUP($M41,'Split DX Selected Perf Maps'!$A$10:$CA$50,N$7,FALSE)</f>
        <v>17</v>
      </c>
      <c r="O41" s="278">
        <f>VLOOKUP($M41,'Split DX Selected Perf Maps'!$A$10:$CA$50,O$7,FALSE)</f>
        <v>13.260000000000002</v>
      </c>
      <c r="P41">
        <f>VLOOKUP($M41,'Split DX Selected Perf Maps'!$A$10:$CA$50,P$7,FALSE)</f>
        <v>0.27100000000000002</v>
      </c>
      <c r="Q41">
        <f>VLOOKUP($M41,'Split DX Selected Perf Maps'!$A$10:$CA$50,Q$7,FALSE)</f>
        <v>2</v>
      </c>
      <c r="R41">
        <f>VLOOKUP($M41,'Split DX Selected Perf Maps'!$A$10:$CA$50,R$7,FALSE)</f>
        <v>9.4</v>
      </c>
      <c r="S41">
        <f>VLOOKUP($M41,'Split DX Selected Perf Maps'!$A$10:$CA$50,S$7,FALSE)</f>
        <v>3.74</v>
      </c>
    </row>
    <row r="42" spans="2:19" x14ac:dyDescent="0.25">
      <c r="B42" s="484"/>
      <c r="C42" s="223">
        <v>4</v>
      </c>
      <c r="D42" s="223">
        <v>18</v>
      </c>
      <c r="E42" s="406">
        <f t="shared" si="6"/>
        <v>9.6999999999999993</v>
      </c>
      <c r="F42" s="413">
        <f t="shared" si="7"/>
        <v>0.27100000000000002</v>
      </c>
      <c r="G42" s="223" t="s">
        <v>61</v>
      </c>
      <c r="H42" s="223" t="s">
        <v>56</v>
      </c>
      <c r="I42" s="223" t="s">
        <v>55</v>
      </c>
      <c r="J42" s="481"/>
      <c r="K42" s="286" t="s">
        <v>936</v>
      </c>
      <c r="M42">
        <v>21802</v>
      </c>
      <c r="N42">
        <f>VLOOKUP($M42,'Split DX Selected Perf Maps'!$A$10:$CA$50,N$7,FALSE)</f>
        <v>18</v>
      </c>
      <c r="O42" s="278">
        <f>VLOOKUP($M42,'Split DX Selected Perf Maps'!$A$10:$CA$50,O$7,FALSE)</f>
        <v>14.040000000000001</v>
      </c>
      <c r="P42">
        <f>VLOOKUP($M42,'Split DX Selected Perf Maps'!$A$10:$CA$50,P$7,FALSE)</f>
        <v>0.27100000000000002</v>
      </c>
      <c r="Q42">
        <f>VLOOKUP($M42,'Split DX Selected Perf Maps'!$A$10:$CA$50,Q$7,FALSE)</f>
        <v>2</v>
      </c>
      <c r="R42">
        <f>VLOOKUP($M42,'Split DX Selected Perf Maps'!$A$10:$CA$50,R$7,FALSE)</f>
        <v>9.6999999999999993</v>
      </c>
      <c r="S42">
        <f>VLOOKUP($M42,'Split DX Selected Perf Maps'!$A$10:$CA$50,S$7,FALSE)</f>
        <v>3.86</v>
      </c>
    </row>
    <row r="43" spans="2:19" x14ac:dyDescent="0.25">
      <c r="B43" s="484"/>
      <c r="C43" s="172">
        <v>1</v>
      </c>
      <c r="D43" s="172">
        <v>15</v>
      </c>
      <c r="E43" s="320">
        <f t="shared" si="6"/>
        <v>8.6999999999999993</v>
      </c>
      <c r="F43" s="412">
        <f t="shared" si="7"/>
        <v>0.251</v>
      </c>
      <c r="G43" s="172" t="s">
        <v>61</v>
      </c>
      <c r="H43" s="172" t="s">
        <v>56</v>
      </c>
      <c r="I43" s="172" t="s">
        <v>56</v>
      </c>
      <c r="J43" s="481"/>
      <c r="K43" s="285" t="str">
        <f>K39&amp;"-wPreEcono"</f>
        <v>NE-HVAC-airHP-Split-55to64kBtuh-15p0seer-8p7hspf-wPreEcono</v>
      </c>
      <c r="M43">
        <v>21508</v>
      </c>
      <c r="N43">
        <f>VLOOKUP($M43,'Split DX Selected Perf Maps'!$A$10:$CA$50,N$7,FALSE)</f>
        <v>15</v>
      </c>
      <c r="O43" s="278">
        <f>VLOOKUP($M43,'Split DX Selected Perf Maps'!$A$10:$CA$50,O$7,FALSE)</f>
        <v>11.90625</v>
      </c>
      <c r="P43">
        <f>VLOOKUP($M43,'Split DX Selected Perf Maps'!$A$10:$CA$50,P$7,FALSE)</f>
        <v>0.251</v>
      </c>
      <c r="Q43">
        <f>VLOOKUP($M43,'Split DX Selected Perf Maps'!$A$10:$CA$50,Q$7,FALSE)</f>
        <v>2</v>
      </c>
      <c r="R43">
        <f>VLOOKUP($M43,'Split DX Selected Perf Maps'!$A$10:$CA$50,R$7,FALSE)</f>
        <v>8.6999999999999993</v>
      </c>
      <c r="S43">
        <f>VLOOKUP($M43,'Split DX Selected Perf Maps'!$A$10:$CA$50,S$7,FALSE)</f>
        <v>3.44</v>
      </c>
    </row>
    <row r="44" spans="2:19" x14ac:dyDescent="0.25">
      <c r="B44" s="484"/>
      <c r="C44" s="172">
        <v>2</v>
      </c>
      <c r="D44" s="172">
        <v>16</v>
      </c>
      <c r="E44" s="395">
        <f t="shared" si="6"/>
        <v>9</v>
      </c>
      <c r="F44" s="412">
        <f t="shared" si="7"/>
        <v>0.27100000000000002</v>
      </c>
      <c r="G44" s="172" t="s">
        <v>61</v>
      </c>
      <c r="H44" s="172" t="s">
        <v>56</v>
      </c>
      <c r="I44" s="172" t="s">
        <v>56</v>
      </c>
      <c r="J44" s="481"/>
      <c r="K44" s="285" t="str">
        <f t="shared" ref="K44:K46" si="8">K40&amp;"-wPreEcono"</f>
        <v>NE-HVAC-airHP-Split-55to64kBtuh-16p0seer-9p0hspf-wPreEcono</v>
      </c>
      <c r="M44">
        <v>21604</v>
      </c>
      <c r="N44">
        <f>VLOOKUP($M44,'Split DX Selected Perf Maps'!$A$10:$CA$50,N$7,FALSE)</f>
        <v>16</v>
      </c>
      <c r="O44" s="278">
        <f>VLOOKUP($M44,'Split DX Selected Perf Maps'!$A$10:$CA$50,O$7,FALSE)</f>
        <v>12.48</v>
      </c>
      <c r="P44">
        <f>VLOOKUP($M44,'Split DX Selected Perf Maps'!$A$10:$CA$50,P$7,FALSE)</f>
        <v>0.27100000000000002</v>
      </c>
      <c r="Q44">
        <f>VLOOKUP($M44,'Split DX Selected Perf Maps'!$A$10:$CA$50,Q$7,FALSE)</f>
        <v>2</v>
      </c>
      <c r="R44">
        <f>VLOOKUP($M44,'Split DX Selected Perf Maps'!$A$10:$CA$50,R$7,FALSE)</f>
        <v>9</v>
      </c>
      <c r="S44">
        <f>VLOOKUP($M44,'Split DX Selected Perf Maps'!$A$10:$CA$50,S$7,FALSE)</f>
        <v>3.57</v>
      </c>
    </row>
    <row r="45" spans="2:19" x14ac:dyDescent="0.25">
      <c r="B45" s="484"/>
      <c r="C45" s="172">
        <v>3</v>
      </c>
      <c r="D45" s="172">
        <v>17</v>
      </c>
      <c r="E45" s="395">
        <f t="shared" si="6"/>
        <v>9.4</v>
      </c>
      <c r="F45" s="412">
        <f t="shared" si="7"/>
        <v>0.27100000000000002</v>
      </c>
      <c r="G45" s="172" t="s">
        <v>61</v>
      </c>
      <c r="H45" s="172" t="s">
        <v>56</v>
      </c>
      <c r="I45" s="172" t="s">
        <v>56</v>
      </c>
      <c r="J45" s="481"/>
      <c r="K45" s="285" t="str">
        <f t="shared" si="8"/>
        <v>NE-HVAC-airHP-Split-55to64kBtuh-17p0seer-9p4hspf-wPreEcono</v>
      </c>
      <c r="M45">
        <v>21704</v>
      </c>
      <c r="N45">
        <f>VLOOKUP($M45,'Split DX Selected Perf Maps'!$A$10:$CA$50,N$7,FALSE)</f>
        <v>17</v>
      </c>
      <c r="O45" s="278">
        <f>VLOOKUP($M45,'Split DX Selected Perf Maps'!$A$10:$CA$50,O$7,FALSE)</f>
        <v>13.260000000000002</v>
      </c>
      <c r="P45">
        <f>VLOOKUP($M45,'Split DX Selected Perf Maps'!$A$10:$CA$50,P$7,FALSE)</f>
        <v>0.27100000000000002</v>
      </c>
      <c r="Q45">
        <f>VLOOKUP($M45,'Split DX Selected Perf Maps'!$A$10:$CA$50,Q$7,FALSE)</f>
        <v>2</v>
      </c>
      <c r="R45">
        <f>VLOOKUP($M45,'Split DX Selected Perf Maps'!$A$10:$CA$50,R$7,FALSE)</f>
        <v>9.4</v>
      </c>
      <c r="S45">
        <f>VLOOKUP($M45,'Split DX Selected Perf Maps'!$A$10:$CA$50,S$7,FALSE)</f>
        <v>3.74</v>
      </c>
    </row>
    <row r="46" spans="2:19" ht="15.75" thickBot="1" x14ac:dyDescent="0.3">
      <c r="B46" s="485"/>
      <c r="C46" s="173">
        <v>4</v>
      </c>
      <c r="D46" s="173">
        <v>18</v>
      </c>
      <c r="E46" s="397">
        <f t="shared" si="6"/>
        <v>9.6999999999999993</v>
      </c>
      <c r="F46" s="414">
        <f t="shared" si="7"/>
        <v>0.27100000000000002</v>
      </c>
      <c r="G46" s="173" t="s">
        <v>61</v>
      </c>
      <c r="H46" s="173" t="s">
        <v>56</v>
      </c>
      <c r="I46" s="173" t="s">
        <v>56</v>
      </c>
      <c r="J46" s="482"/>
      <c r="K46" s="287" t="str">
        <f t="shared" si="8"/>
        <v>NE-HVAC-airHP-Split-55to64kBtuh-18p0seer-9p7hspf-wPreEcono</v>
      </c>
      <c r="M46">
        <v>21802</v>
      </c>
      <c r="N46">
        <f>VLOOKUP($M46,'Split DX Selected Perf Maps'!$A$10:$CA$50,N$7,FALSE)</f>
        <v>18</v>
      </c>
      <c r="O46" s="278">
        <f>VLOOKUP($M46,'Split DX Selected Perf Maps'!$A$10:$CA$50,O$7,FALSE)</f>
        <v>14.040000000000001</v>
      </c>
      <c r="P46">
        <f>VLOOKUP($M46,'Split DX Selected Perf Maps'!$A$10:$CA$50,P$7,FALSE)</f>
        <v>0.27100000000000002</v>
      </c>
      <c r="Q46">
        <f>VLOOKUP($M46,'Split DX Selected Perf Maps'!$A$10:$CA$50,Q$7,FALSE)</f>
        <v>2</v>
      </c>
      <c r="R46">
        <f>VLOOKUP($M46,'Split DX Selected Perf Maps'!$A$10:$CA$50,R$7,FALSE)</f>
        <v>9.6999999999999993</v>
      </c>
      <c r="S46">
        <f>VLOOKUP($M46,'Split DX Selected Perf Maps'!$A$10:$CA$50,S$7,FALSE)</f>
        <v>3.86</v>
      </c>
    </row>
    <row r="47" spans="2:19" x14ac:dyDescent="0.25">
      <c r="B47" t="s">
        <v>585</v>
      </c>
      <c r="C47" s="225" t="s">
        <v>583</v>
      </c>
      <c r="M47" s="447"/>
      <c r="O47" s="278"/>
    </row>
    <row r="48" spans="2:19" x14ac:dyDescent="0.25">
      <c r="M48" s="447"/>
      <c r="O48" s="278"/>
    </row>
    <row r="49" spans="2:17" ht="15.75" thickBot="1" x14ac:dyDescent="0.3">
      <c r="B49" s="487" t="s">
        <v>565</v>
      </c>
      <c r="C49" s="487"/>
      <c r="D49" s="487"/>
      <c r="E49" s="487"/>
      <c r="F49" s="487"/>
      <c r="G49" s="487"/>
      <c r="H49" s="487"/>
      <c r="I49" s="487"/>
      <c r="J49" s="486" t="s">
        <v>582</v>
      </c>
      <c r="K49" s="486"/>
      <c r="N49" s="238">
        <v>5</v>
      </c>
      <c r="O49" s="238">
        <v>6</v>
      </c>
      <c r="P49" s="238">
        <v>11</v>
      </c>
      <c r="Q49" s="238">
        <v>50</v>
      </c>
    </row>
    <row r="50" spans="2:17" ht="30.75" thickBot="1" x14ac:dyDescent="0.3">
      <c r="B50" s="216" t="s">
        <v>407</v>
      </c>
      <c r="C50" s="217" t="s">
        <v>52</v>
      </c>
      <c r="D50" s="217" t="s">
        <v>86</v>
      </c>
      <c r="E50" s="217" t="s">
        <v>114</v>
      </c>
      <c r="F50" s="217" t="s">
        <v>53</v>
      </c>
      <c r="G50" s="217" t="s">
        <v>59</v>
      </c>
      <c r="H50" s="217" t="s">
        <v>62</v>
      </c>
      <c r="I50" s="217" t="s">
        <v>873</v>
      </c>
      <c r="J50" s="328" t="s">
        <v>536</v>
      </c>
      <c r="K50" s="329" t="s">
        <v>530</v>
      </c>
      <c r="M50" s="212" t="s">
        <v>951</v>
      </c>
      <c r="N50" s="212" t="s">
        <v>91</v>
      </c>
      <c r="O50" s="212" t="s">
        <v>114</v>
      </c>
      <c r="P50" s="212" t="s">
        <v>952</v>
      </c>
      <c r="Q50" s="213" t="s">
        <v>953</v>
      </c>
    </row>
    <row r="51" spans="2:17" x14ac:dyDescent="0.25">
      <c r="B51" s="477" t="s">
        <v>409</v>
      </c>
      <c r="C51" s="360" t="s">
        <v>520</v>
      </c>
      <c r="D51" s="360">
        <v>14</v>
      </c>
      <c r="E51" s="393">
        <f>+O51</f>
        <v>12.039051018308989</v>
      </c>
      <c r="F51" s="398">
        <f>+P51</f>
        <v>0.29399999999999998</v>
      </c>
      <c r="G51" s="360" t="s">
        <v>60</v>
      </c>
      <c r="H51" s="360" t="s">
        <v>55</v>
      </c>
      <c r="I51" s="331"/>
      <c r="J51" s="480" t="s">
        <v>596</v>
      </c>
      <c r="K51" s="330"/>
      <c r="M51" s="391">
        <v>30203</v>
      </c>
      <c r="N51">
        <f>VLOOKUP($M51,'Packaged AC Selected Perf Maps'!$A$10:$BG$50,N$49,FALSE)</f>
        <v>14</v>
      </c>
      <c r="O51" s="278">
        <f>VLOOKUP($M51,'Packaged AC Selected Perf Maps'!$A$10:$BG$50,O$49,FALSE)</f>
        <v>12.039051018308989</v>
      </c>
      <c r="P51">
        <v>0.29399999999999998</v>
      </c>
      <c r="Q51" s="440">
        <f>VLOOKUP($M51,'Packaged AC Selected Perf Maps'!$A$10:$BG$50,Q$49,FALSE)</f>
        <v>1</v>
      </c>
    </row>
    <row r="52" spans="2:17" x14ac:dyDescent="0.25">
      <c r="B52" s="478"/>
      <c r="C52" s="336">
        <v>1</v>
      </c>
      <c r="D52" s="336">
        <v>15</v>
      </c>
      <c r="E52" s="337">
        <f t="shared" ref="E52:E64" si="9">+O52</f>
        <v>12.9</v>
      </c>
      <c r="F52" s="415">
        <f t="shared" ref="F52:F64" si="10">+P52</f>
        <v>0.251</v>
      </c>
      <c r="G52" s="336" t="s">
        <v>60</v>
      </c>
      <c r="H52" s="336" t="s">
        <v>55</v>
      </c>
      <c r="I52" s="336" t="s">
        <v>55</v>
      </c>
      <c r="J52" s="488"/>
      <c r="K52" s="285" t="s">
        <v>574</v>
      </c>
      <c r="M52" s="391">
        <v>30301</v>
      </c>
      <c r="N52">
        <f>VLOOKUP($M52,'Packaged AC Selected Perf Maps'!$A$10:$BG$50,N$49,FALSE)</f>
        <v>15</v>
      </c>
      <c r="O52" s="278">
        <f>VLOOKUP($M52,'Packaged AC Selected Perf Maps'!$A$10:$BG$50,O$49,FALSE)</f>
        <v>12.9</v>
      </c>
      <c r="P52">
        <v>0.251</v>
      </c>
      <c r="Q52" s="440">
        <f>VLOOKUP($M52,'Packaged AC Selected Perf Maps'!$A$10:$BG$50,Q$49,FALSE)</f>
        <v>1</v>
      </c>
    </row>
    <row r="53" spans="2:17" x14ac:dyDescent="0.25">
      <c r="B53" s="478"/>
      <c r="C53" s="338">
        <v>2</v>
      </c>
      <c r="D53" s="338">
        <v>16</v>
      </c>
      <c r="E53" s="384">
        <f t="shared" si="9"/>
        <v>12.48</v>
      </c>
      <c r="F53" s="416">
        <f t="shared" si="10"/>
        <v>0.27100000000000002</v>
      </c>
      <c r="G53" s="338" t="s">
        <v>61</v>
      </c>
      <c r="H53" s="338" t="s">
        <v>55</v>
      </c>
      <c r="I53" s="338" t="s">
        <v>55</v>
      </c>
      <c r="J53" s="488"/>
      <c r="K53" s="285" t="s">
        <v>575</v>
      </c>
      <c r="M53">
        <v>11610</v>
      </c>
      <c r="N53">
        <f>VLOOKUP($M53,'Split DX Selected Perf Maps'!$A$10:$CA$50,N$7,FALSE)</f>
        <v>16</v>
      </c>
      <c r="O53" s="278">
        <f>VLOOKUP($M53,'Split DX Selected Perf Maps'!$A$10:$CA$50,O$7,FALSE)</f>
        <v>12.48</v>
      </c>
      <c r="P53">
        <f>VLOOKUP($M53,'Split DX Selected Perf Maps'!$A$10:$CA$50,P$7,FALSE)</f>
        <v>0.27100000000000002</v>
      </c>
      <c r="Q53">
        <f>VLOOKUP($M53,'Split DX Selected Perf Maps'!$A$10:$CA$50,Q$7,FALSE)</f>
        <v>2</v>
      </c>
    </row>
    <row r="54" spans="2:17" x14ac:dyDescent="0.25">
      <c r="B54" s="478"/>
      <c r="C54" s="338">
        <v>3</v>
      </c>
      <c r="D54" s="338">
        <v>17</v>
      </c>
      <c r="E54" s="384">
        <f t="shared" si="9"/>
        <v>13.260000000000002</v>
      </c>
      <c r="F54" s="416">
        <f t="shared" si="10"/>
        <v>0.27100000000000002</v>
      </c>
      <c r="G54" s="338" t="s">
        <v>61</v>
      </c>
      <c r="H54" s="338" t="s">
        <v>55</v>
      </c>
      <c r="I54" s="338" t="s">
        <v>55</v>
      </c>
      <c r="J54" s="488"/>
      <c r="K54" s="285" t="s">
        <v>576</v>
      </c>
      <c r="M54">
        <v>11710</v>
      </c>
      <c r="N54">
        <f>VLOOKUP($M54,'Split DX Selected Perf Maps'!$A$10:$CA$50,N$7,FALSE)</f>
        <v>17</v>
      </c>
      <c r="O54" s="278">
        <f>VLOOKUP($M54,'Split DX Selected Perf Maps'!$A$10:$CA$50,O$7,FALSE)</f>
        <v>13.260000000000002</v>
      </c>
      <c r="P54">
        <f>VLOOKUP($M54,'Split DX Selected Perf Maps'!$A$10:$CA$50,P$7,FALSE)</f>
        <v>0.27100000000000002</v>
      </c>
      <c r="Q54">
        <f>VLOOKUP($M54,'Split DX Selected Perf Maps'!$A$10:$CA$50,Q$7,FALSE)</f>
        <v>2</v>
      </c>
    </row>
    <row r="55" spans="2:17" ht="15.75" thickBot="1" x14ac:dyDescent="0.3">
      <c r="B55" s="479"/>
      <c r="C55" s="339">
        <v>4</v>
      </c>
      <c r="D55" s="339">
        <v>18</v>
      </c>
      <c r="E55" s="390">
        <f t="shared" si="9"/>
        <v>14.040000000000001</v>
      </c>
      <c r="F55" s="417">
        <f t="shared" si="10"/>
        <v>0.27100000000000002</v>
      </c>
      <c r="G55" s="339" t="s">
        <v>61</v>
      </c>
      <c r="H55" s="339" t="s">
        <v>55</v>
      </c>
      <c r="I55" s="339" t="s">
        <v>55</v>
      </c>
      <c r="J55" s="489"/>
      <c r="K55" s="287" t="s">
        <v>577</v>
      </c>
      <c r="M55">
        <v>11810</v>
      </c>
      <c r="N55">
        <f>VLOOKUP($M55,'Split DX Selected Perf Maps'!$A$10:$CA$50,N$7,FALSE)</f>
        <v>18</v>
      </c>
      <c r="O55" s="278">
        <f>VLOOKUP($M55,'Split DX Selected Perf Maps'!$A$10:$CA$50,O$7,FALSE)</f>
        <v>14.040000000000001</v>
      </c>
      <c r="P55">
        <f>VLOOKUP($M55,'Split DX Selected Perf Maps'!$A$10:$CA$50,P$7,FALSE)</f>
        <v>0.27100000000000002</v>
      </c>
      <c r="Q55">
        <f>VLOOKUP($M55,'Split DX Selected Perf Maps'!$A$10:$CA$50,Q$7,FALSE)</f>
        <v>2</v>
      </c>
    </row>
    <row r="56" spans="2:17" ht="15" customHeight="1" x14ac:dyDescent="0.25">
      <c r="B56" s="483" t="s">
        <v>410</v>
      </c>
      <c r="C56" s="360" t="s">
        <v>520</v>
      </c>
      <c r="D56" s="360">
        <v>14</v>
      </c>
      <c r="E56" s="393">
        <f t="shared" si="9"/>
        <v>11.112499999999999</v>
      </c>
      <c r="F56" s="398">
        <f t="shared" si="10"/>
        <v>0.29399999999999998</v>
      </c>
      <c r="G56" s="360" t="s">
        <v>61</v>
      </c>
      <c r="H56" s="360" t="s">
        <v>56</v>
      </c>
      <c r="I56" s="331"/>
      <c r="J56" s="481" t="s">
        <v>597</v>
      </c>
      <c r="K56" s="330"/>
      <c r="M56">
        <v>11405</v>
      </c>
      <c r="N56">
        <f>VLOOKUP($M56,'Split DX Selected Perf Maps'!$A$10:$CA$50,N$7,FALSE)</f>
        <v>14</v>
      </c>
      <c r="O56" s="278">
        <f>VLOOKUP($M56,'Split DX Selected Perf Maps'!$A$10:$CA$50,O$7,FALSE)</f>
        <v>11.112499999999999</v>
      </c>
      <c r="P56">
        <f>VLOOKUP($M56,'Split DX Selected Perf Maps'!$A$10:$CA$50,P$7,FALSE)</f>
        <v>0.29399999999999998</v>
      </c>
      <c r="Q56">
        <f>VLOOKUP($M56,'Split DX Selected Perf Maps'!$A$10:$CA$50,Q$7,FALSE)</f>
        <v>2</v>
      </c>
    </row>
    <row r="57" spans="2:17" x14ac:dyDescent="0.25">
      <c r="B57" s="484"/>
      <c r="C57" s="174">
        <v>1</v>
      </c>
      <c r="D57" s="174">
        <v>15</v>
      </c>
      <c r="E57" s="197">
        <f t="shared" si="9"/>
        <v>11.90625</v>
      </c>
      <c r="F57" s="402">
        <f t="shared" si="10"/>
        <v>0.251</v>
      </c>
      <c r="G57" s="174" t="s">
        <v>61</v>
      </c>
      <c r="H57" s="174" t="s">
        <v>56</v>
      </c>
      <c r="I57" s="174" t="s">
        <v>55</v>
      </c>
      <c r="J57" s="481"/>
      <c r="K57" s="285" t="s">
        <v>578</v>
      </c>
      <c r="M57">
        <v>11505</v>
      </c>
      <c r="N57">
        <f>VLOOKUP($M57,'Split DX Selected Perf Maps'!$A$10:$CA$50,N$7,FALSE)</f>
        <v>15</v>
      </c>
      <c r="O57" s="278">
        <f>VLOOKUP($M57,'Split DX Selected Perf Maps'!$A$10:$CA$50,O$7,FALSE)</f>
        <v>11.90625</v>
      </c>
      <c r="P57">
        <f>VLOOKUP($M57,'Split DX Selected Perf Maps'!$A$10:$CA$50,P$7,FALSE)</f>
        <v>0.251</v>
      </c>
      <c r="Q57">
        <f>VLOOKUP($M57,'Split DX Selected Perf Maps'!$A$10:$CA$50,Q$7,FALSE)</f>
        <v>2</v>
      </c>
    </row>
    <row r="58" spans="2:17" x14ac:dyDescent="0.25">
      <c r="B58" s="484"/>
      <c r="C58" s="172">
        <v>2</v>
      </c>
      <c r="D58" s="172">
        <v>16</v>
      </c>
      <c r="E58" s="395">
        <f t="shared" si="9"/>
        <v>12.48</v>
      </c>
      <c r="F58" s="403">
        <f t="shared" si="10"/>
        <v>0.27100000000000002</v>
      </c>
      <c r="G58" s="172" t="s">
        <v>61</v>
      </c>
      <c r="H58" s="172" t="s">
        <v>56</v>
      </c>
      <c r="I58" s="172" t="s">
        <v>55</v>
      </c>
      <c r="J58" s="481"/>
      <c r="K58" s="285" t="s">
        <v>579</v>
      </c>
      <c r="M58">
        <v>11610</v>
      </c>
      <c r="N58">
        <f>VLOOKUP($M58,'Split DX Selected Perf Maps'!$A$10:$CA$50,N$7,FALSE)</f>
        <v>16</v>
      </c>
      <c r="O58" s="278">
        <f>VLOOKUP($M58,'Split DX Selected Perf Maps'!$A$10:$CA$50,O$7,FALSE)</f>
        <v>12.48</v>
      </c>
      <c r="P58">
        <f>VLOOKUP($M58,'Split DX Selected Perf Maps'!$A$10:$CA$50,P$7,FALSE)</f>
        <v>0.27100000000000002</v>
      </c>
      <c r="Q58">
        <f>VLOOKUP($M58,'Split DX Selected Perf Maps'!$A$10:$CA$50,Q$7,FALSE)</f>
        <v>2</v>
      </c>
    </row>
    <row r="59" spans="2:17" x14ac:dyDescent="0.25">
      <c r="B59" s="484"/>
      <c r="C59" s="172">
        <v>3</v>
      </c>
      <c r="D59" s="172">
        <v>17</v>
      </c>
      <c r="E59" s="395">
        <f t="shared" si="9"/>
        <v>13.260000000000002</v>
      </c>
      <c r="F59" s="403">
        <f t="shared" si="10"/>
        <v>0.27100000000000002</v>
      </c>
      <c r="G59" s="172" t="s">
        <v>61</v>
      </c>
      <c r="H59" s="172" t="s">
        <v>56</v>
      </c>
      <c r="I59" s="172" t="s">
        <v>55</v>
      </c>
      <c r="J59" s="481"/>
      <c r="K59" s="285" t="s">
        <v>580</v>
      </c>
      <c r="M59">
        <v>11710</v>
      </c>
      <c r="N59">
        <f>VLOOKUP($M59,'Split DX Selected Perf Maps'!$A$10:$CA$50,N$7,FALSE)</f>
        <v>17</v>
      </c>
      <c r="O59" s="278">
        <f>VLOOKUP($M59,'Split DX Selected Perf Maps'!$A$10:$CA$50,O$7,FALSE)</f>
        <v>13.260000000000002</v>
      </c>
      <c r="P59">
        <f>VLOOKUP($M59,'Split DX Selected Perf Maps'!$A$10:$CA$50,P$7,FALSE)</f>
        <v>0.27100000000000002</v>
      </c>
      <c r="Q59">
        <f>VLOOKUP($M59,'Split DX Selected Perf Maps'!$A$10:$CA$50,Q$7,FALSE)</f>
        <v>2</v>
      </c>
    </row>
    <row r="60" spans="2:17" x14ac:dyDescent="0.25">
      <c r="B60" s="484"/>
      <c r="C60" s="223">
        <v>4</v>
      </c>
      <c r="D60" s="223">
        <v>18</v>
      </c>
      <c r="E60" s="396">
        <f t="shared" si="9"/>
        <v>14.040000000000001</v>
      </c>
      <c r="F60" s="404">
        <f t="shared" si="10"/>
        <v>0.27100000000000002</v>
      </c>
      <c r="G60" s="223" t="s">
        <v>61</v>
      </c>
      <c r="H60" s="223" t="s">
        <v>56</v>
      </c>
      <c r="I60" s="223" t="s">
        <v>55</v>
      </c>
      <c r="J60" s="481"/>
      <c r="K60" s="286" t="s">
        <v>581</v>
      </c>
      <c r="M60">
        <v>11810</v>
      </c>
      <c r="N60">
        <f>VLOOKUP($M60,'Split DX Selected Perf Maps'!$A$10:$CA$50,N$7,FALSE)</f>
        <v>18</v>
      </c>
      <c r="O60" s="278">
        <f>VLOOKUP($M60,'Split DX Selected Perf Maps'!$A$10:$CA$50,O$7,FALSE)</f>
        <v>14.040000000000001</v>
      </c>
      <c r="P60">
        <f>VLOOKUP($M60,'Split DX Selected Perf Maps'!$A$10:$CA$50,P$7,FALSE)</f>
        <v>0.27100000000000002</v>
      </c>
      <c r="Q60">
        <f>VLOOKUP($M60,'Split DX Selected Perf Maps'!$A$10:$CA$50,Q$7,FALSE)</f>
        <v>2</v>
      </c>
    </row>
    <row r="61" spans="2:17" x14ac:dyDescent="0.25">
      <c r="B61" s="484"/>
      <c r="C61" s="172">
        <v>1</v>
      </c>
      <c r="D61" s="172">
        <v>15</v>
      </c>
      <c r="E61" s="320">
        <f t="shared" si="9"/>
        <v>11.90625</v>
      </c>
      <c r="F61" s="403">
        <f t="shared" si="10"/>
        <v>0.251</v>
      </c>
      <c r="G61" s="172" t="s">
        <v>61</v>
      </c>
      <c r="H61" s="172" t="s">
        <v>56</v>
      </c>
      <c r="I61" s="172" t="s">
        <v>56</v>
      </c>
      <c r="J61" s="481"/>
      <c r="K61" s="285" t="str">
        <f>K57&amp;"wPreEcono"</f>
        <v>NE-HVAC-airAC-Pkg-55to64kBtuh-15p0seerwPreEcono</v>
      </c>
      <c r="M61">
        <v>11505</v>
      </c>
      <c r="N61">
        <f>VLOOKUP($M61,'Split DX Selected Perf Maps'!$A$10:$CA$50,N$7,FALSE)</f>
        <v>15</v>
      </c>
      <c r="O61" s="278">
        <f>VLOOKUP($M61,'Split DX Selected Perf Maps'!$A$10:$CA$50,O$7,FALSE)</f>
        <v>11.90625</v>
      </c>
      <c r="P61">
        <f>VLOOKUP($M61,'Split DX Selected Perf Maps'!$A$10:$CA$50,P$7,FALSE)</f>
        <v>0.251</v>
      </c>
      <c r="Q61">
        <f>VLOOKUP($M61,'Split DX Selected Perf Maps'!$A$10:$CA$50,Q$7,FALSE)</f>
        <v>2</v>
      </c>
    </row>
    <row r="62" spans="2:17" x14ac:dyDescent="0.25">
      <c r="B62" s="484"/>
      <c r="C62" s="172">
        <v>2</v>
      </c>
      <c r="D62" s="172">
        <v>16</v>
      </c>
      <c r="E62" s="395">
        <f t="shared" si="9"/>
        <v>12.48</v>
      </c>
      <c r="F62" s="403">
        <f t="shared" si="10"/>
        <v>0.27100000000000002</v>
      </c>
      <c r="G62" s="172" t="s">
        <v>61</v>
      </c>
      <c r="H62" s="172" t="s">
        <v>56</v>
      </c>
      <c r="I62" s="172" t="s">
        <v>56</v>
      </c>
      <c r="J62" s="481"/>
      <c r="K62" s="285" t="str">
        <f t="shared" ref="K62:K64" si="11">K58&amp;"wPreEcono"</f>
        <v>NE-HVAC-airAC-Pkg-55to64kBtuh-16p0seerwPreEcono</v>
      </c>
      <c r="M62">
        <v>11610</v>
      </c>
      <c r="N62">
        <f>VLOOKUP($M62,'Split DX Selected Perf Maps'!$A$10:$CA$50,N$7,FALSE)</f>
        <v>16</v>
      </c>
      <c r="O62" s="278">
        <f>VLOOKUP($M62,'Split DX Selected Perf Maps'!$A$10:$CA$50,O$7,FALSE)</f>
        <v>12.48</v>
      </c>
      <c r="P62">
        <f>VLOOKUP($M62,'Split DX Selected Perf Maps'!$A$10:$CA$50,P$7,FALSE)</f>
        <v>0.27100000000000002</v>
      </c>
      <c r="Q62">
        <f>VLOOKUP($M62,'Split DX Selected Perf Maps'!$A$10:$CA$50,Q$7,FALSE)</f>
        <v>2</v>
      </c>
    </row>
    <row r="63" spans="2:17" x14ac:dyDescent="0.25">
      <c r="B63" s="484"/>
      <c r="C63" s="172">
        <v>3</v>
      </c>
      <c r="D63" s="172">
        <v>17</v>
      </c>
      <c r="E63" s="395">
        <f t="shared" si="9"/>
        <v>13.260000000000002</v>
      </c>
      <c r="F63" s="403">
        <f t="shared" si="10"/>
        <v>0.27100000000000002</v>
      </c>
      <c r="G63" s="172" t="s">
        <v>61</v>
      </c>
      <c r="H63" s="172" t="s">
        <v>56</v>
      </c>
      <c r="I63" s="172" t="s">
        <v>56</v>
      </c>
      <c r="J63" s="481"/>
      <c r="K63" s="285" t="str">
        <f t="shared" si="11"/>
        <v>NE-HVAC-airAC-Pkg-55to64kBtuh-17p0seerwPreEcono</v>
      </c>
      <c r="M63">
        <v>11710</v>
      </c>
      <c r="N63">
        <f>VLOOKUP($M63,'Split DX Selected Perf Maps'!$A$10:$CA$50,N$7,FALSE)</f>
        <v>17</v>
      </c>
      <c r="O63" s="278">
        <f>VLOOKUP($M63,'Split DX Selected Perf Maps'!$A$10:$CA$50,O$7,FALSE)</f>
        <v>13.260000000000002</v>
      </c>
      <c r="P63">
        <f>VLOOKUP($M63,'Split DX Selected Perf Maps'!$A$10:$CA$50,P$7,FALSE)</f>
        <v>0.27100000000000002</v>
      </c>
      <c r="Q63">
        <f>VLOOKUP($M63,'Split DX Selected Perf Maps'!$A$10:$CA$50,Q$7,FALSE)</f>
        <v>2</v>
      </c>
    </row>
    <row r="64" spans="2:17" ht="15.75" thickBot="1" x14ac:dyDescent="0.3">
      <c r="B64" s="485"/>
      <c r="C64" s="173">
        <v>4</v>
      </c>
      <c r="D64" s="173">
        <v>18</v>
      </c>
      <c r="E64" s="397">
        <f t="shared" si="9"/>
        <v>14.040000000000001</v>
      </c>
      <c r="F64" s="405">
        <f t="shared" si="10"/>
        <v>0.27100000000000002</v>
      </c>
      <c r="G64" s="173" t="s">
        <v>61</v>
      </c>
      <c r="H64" s="173" t="s">
        <v>56</v>
      </c>
      <c r="I64" s="173" t="s">
        <v>56</v>
      </c>
      <c r="J64" s="482"/>
      <c r="K64" s="287" t="str">
        <f t="shared" si="11"/>
        <v>NE-HVAC-airAC-Pkg-55to64kBtuh-18p0seerwPreEcono</v>
      </c>
      <c r="M64">
        <v>11810</v>
      </c>
      <c r="N64">
        <f>VLOOKUP($M64,'Split DX Selected Perf Maps'!$A$10:$CA$50,N$7,FALSE)</f>
        <v>18</v>
      </c>
      <c r="O64" s="278">
        <f>VLOOKUP($M64,'Split DX Selected Perf Maps'!$A$10:$CA$50,O$7,FALSE)</f>
        <v>14.040000000000001</v>
      </c>
      <c r="P64">
        <f>VLOOKUP($M64,'Split DX Selected Perf Maps'!$A$10:$CA$50,P$7,FALSE)</f>
        <v>0.27100000000000002</v>
      </c>
      <c r="Q64">
        <f>VLOOKUP($M64,'Split DX Selected Perf Maps'!$A$10:$CA$50,Q$7,FALSE)</f>
        <v>2</v>
      </c>
    </row>
    <row r="65" spans="2:19" x14ac:dyDescent="0.25">
      <c r="B65" t="s">
        <v>585</v>
      </c>
      <c r="C65" s="225" t="s">
        <v>583</v>
      </c>
    </row>
    <row r="68" spans="2:19" ht="15.75" thickBot="1" x14ac:dyDescent="0.3">
      <c r="B68" s="487" t="s">
        <v>941</v>
      </c>
      <c r="C68" s="487"/>
      <c r="D68" s="487"/>
      <c r="E68" s="487"/>
      <c r="F68" s="487"/>
      <c r="G68" s="487"/>
      <c r="H68" s="487"/>
      <c r="I68" s="487"/>
      <c r="J68" s="486" t="s">
        <v>582</v>
      </c>
      <c r="K68" s="486"/>
    </row>
    <row r="69" spans="2:19" ht="30.75" thickBot="1" x14ac:dyDescent="0.3">
      <c r="B69" s="216" t="s">
        <v>407</v>
      </c>
      <c r="C69" s="217" t="s">
        <v>52</v>
      </c>
      <c r="D69" s="217" t="s">
        <v>86</v>
      </c>
      <c r="E69" s="217" t="s">
        <v>87</v>
      </c>
      <c r="F69" s="217" t="s">
        <v>53</v>
      </c>
      <c r="G69" s="217" t="s">
        <v>59</v>
      </c>
      <c r="H69" s="217" t="s">
        <v>62</v>
      </c>
      <c r="I69" s="217" t="s">
        <v>873</v>
      </c>
      <c r="J69" s="328" t="s">
        <v>536</v>
      </c>
      <c r="K69" s="329" t="s">
        <v>530</v>
      </c>
      <c r="M69" s="212" t="s">
        <v>951</v>
      </c>
      <c r="N69" s="212" t="s">
        <v>91</v>
      </c>
      <c r="O69" s="212" t="s">
        <v>114</v>
      </c>
      <c r="P69" s="212" t="s">
        <v>952</v>
      </c>
      <c r="Q69" s="213" t="s">
        <v>953</v>
      </c>
      <c r="R69" s="5" t="s">
        <v>85</v>
      </c>
      <c r="S69" s="5" t="s">
        <v>247</v>
      </c>
    </row>
    <row r="70" spans="2:19" ht="15" customHeight="1" x14ac:dyDescent="0.25">
      <c r="B70" s="477" t="s">
        <v>409</v>
      </c>
      <c r="C70" s="360" t="s">
        <v>520</v>
      </c>
      <c r="D70" s="360">
        <v>14</v>
      </c>
      <c r="E70" s="393">
        <f>+R70</f>
        <v>8</v>
      </c>
      <c r="F70" s="398">
        <f>+P70</f>
        <v>0.29399999999999998</v>
      </c>
      <c r="G70" s="360" t="s">
        <v>60</v>
      </c>
      <c r="H70" s="360" t="s">
        <v>55</v>
      </c>
      <c r="I70" s="331"/>
      <c r="J70" s="490" t="s">
        <v>945</v>
      </c>
      <c r="K70" s="385" t="s">
        <v>950</v>
      </c>
      <c r="M70">
        <v>21407</v>
      </c>
      <c r="N70">
        <f>VLOOKUP($M70,'Split DX Selected Perf Maps'!$A$10:$CA$50,N$7,FALSE)</f>
        <v>14</v>
      </c>
      <c r="O70" s="278">
        <f>VLOOKUP($M70,'Split DX Selected Perf Maps'!$A$10:$CA$50,O$7,FALSE)</f>
        <v>11.929577464788734</v>
      </c>
      <c r="P70">
        <f>VLOOKUP($M70,'Split DX Selected Perf Maps'!$A$10:$CA$50,P$7,FALSE)</f>
        <v>0.29399999999999998</v>
      </c>
      <c r="Q70">
        <f>VLOOKUP($M70,'Split DX Selected Perf Maps'!$A$10:$CA$50,Q$7,FALSE)</f>
        <v>1</v>
      </c>
      <c r="R70">
        <f>VLOOKUP($M70,'Split DX Selected Perf Maps'!$A$10:$CA$50,R$7,FALSE)</f>
        <v>8</v>
      </c>
      <c r="S70">
        <f>VLOOKUP($M70,'Split DX Selected Perf Maps'!$A$10:$CA$50,S$7,FALSE)</f>
        <v>3.39</v>
      </c>
    </row>
    <row r="71" spans="2:19" x14ac:dyDescent="0.25">
      <c r="B71" s="478"/>
      <c r="C71" s="336">
        <v>1</v>
      </c>
      <c r="D71" s="336">
        <v>15</v>
      </c>
      <c r="E71" s="337">
        <f t="shared" ref="E71:E80" si="12">+R71</f>
        <v>8.1999999999999993</v>
      </c>
      <c r="F71" s="415">
        <f t="shared" ref="F71" si="13">+P71</f>
        <v>0.29399999999999998</v>
      </c>
      <c r="G71" s="336" t="s">
        <v>60</v>
      </c>
      <c r="H71" s="336" t="s">
        <v>55</v>
      </c>
      <c r="I71" s="336" t="s">
        <v>55</v>
      </c>
      <c r="J71" s="491"/>
      <c r="K71" s="285" t="s">
        <v>933</v>
      </c>
      <c r="M71">
        <v>21507</v>
      </c>
      <c r="N71">
        <f>VLOOKUP($M71,'Split DX Selected Perf Maps'!$A$10:$CA$50,N$7,FALSE)</f>
        <v>15</v>
      </c>
      <c r="O71" s="278">
        <f>VLOOKUP($M71,'Split DX Selected Perf Maps'!$A$10:$CA$50,O$7,FALSE)</f>
        <v>12.781690140845072</v>
      </c>
      <c r="P71">
        <f>VLOOKUP($M71,'Split DX Selected Perf Maps'!$A$10:$CA$50,P$7,FALSE)</f>
        <v>0.29399999999999998</v>
      </c>
      <c r="Q71">
        <f>VLOOKUP($M71,'Split DX Selected Perf Maps'!$A$10:$CA$50,Q$7,FALSE)</f>
        <v>1</v>
      </c>
      <c r="R71">
        <f>VLOOKUP($M71,'Split DX Selected Perf Maps'!$A$10:$CA$50,R$7,FALSE)</f>
        <v>8.1999999999999993</v>
      </c>
      <c r="S71">
        <f>VLOOKUP($M71,'Split DX Selected Perf Maps'!$A$10:$CA$50,S$7,FALSE)</f>
        <v>3.48</v>
      </c>
    </row>
    <row r="72" spans="2:19" x14ac:dyDescent="0.25">
      <c r="B72" s="478"/>
      <c r="C72" s="338">
        <v>2</v>
      </c>
      <c r="D72" s="338">
        <v>16</v>
      </c>
      <c r="E72" s="384">
        <f t="shared" si="12"/>
        <v>8.5</v>
      </c>
      <c r="F72" s="416">
        <f t="shared" ref="F72:F80" si="14">+P72</f>
        <v>0.27100000000000002</v>
      </c>
      <c r="G72" s="338" t="s">
        <v>61</v>
      </c>
      <c r="H72" s="338" t="s">
        <v>55</v>
      </c>
      <c r="I72" s="338" t="s">
        <v>55</v>
      </c>
      <c r="J72" s="491"/>
      <c r="K72" s="285" t="s">
        <v>934</v>
      </c>
      <c r="M72">
        <v>21609</v>
      </c>
      <c r="N72">
        <f>VLOOKUP($M72,'Split DX Selected Perf Maps'!$A$10:$CA$50,N$7,FALSE)</f>
        <v>16</v>
      </c>
      <c r="O72" s="278">
        <f>VLOOKUP($M72,'Split DX Selected Perf Maps'!$A$10:$CA$50,O$7,FALSE)</f>
        <v>12.48</v>
      </c>
      <c r="P72">
        <f>VLOOKUP($M72,'Split DX Selected Perf Maps'!$A$10:$CA$50,P$7,FALSE)</f>
        <v>0.27100000000000002</v>
      </c>
      <c r="Q72">
        <f>VLOOKUP($M72,'Split DX Selected Perf Maps'!$A$10:$CA$50,Q$7,FALSE)</f>
        <v>2</v>
      </c>
      <c r="R72">
        <f>VLOOKUP($M72,'Split DX Selected Perf Maps'!$A$10:$CA$50,R$7,FALSE)</f>
        <v>8.5</v>
      </c>
      <c r="S72">
        <f>VLOOKUP($M72,'Split DX Selected Perf Maps'!$A$10:$CA$50,S$7,FALSE)</f>
        <v>3.37</v>
      </c>
    </row>
    <row r="73" spans="2:19" ht="15.75" thickBot="1" x14ac:dyDescent="0.3">
      <c r="B73" s="479"/>
      <c r="C73" s="339">
        <v>3</v>
      </c>
      <c r="D73" s="339">
        <v>17</v>
      </c>
      <c r="E73" s="390">
        <f t="shared" si="12"/>
        <v>9</v>
      </c>
      <c r="F73" s="417">
        <f t="shared" si="14"/>
        <v>0.27100000000000002</v>
      </c>
      <c r="G73" s="339" t="s">
        <v>61</v>
      </c>
      <c r="H73" s="339" t="s">
        <v>55</v>
      </c>
      <c r="I73" s="339" t="s">
        <v>55</v>
      </c>
      <c r="J73" s="492"/>
      <c r="K73" s="287" t="s">
        <v>935</v>
      </c>
      <c r="M73">
        <v>21709</v>
      </c>
      <c r="N73">
        <f>VLOOKUP($M73,'Split DX Selected Perf Maps'!$A$10:$CA$50,N$7,FALSE)</f>
        <v>17</v>
      </c>
      <c r="O73" s="278">
        <f>VLOOKUP($M73,'Split DX Selected Perf Maps'!$A$10:$CA$50,O$7,FALSE)</f>
        <v>13.260000000000002</v>
      </c>
      <c r="P73">
        <f>VLOOKUP($M73,'Split DX Selected Perf Maps'!$A$10:$CA$50,P$7,FALSE)</f>
        <v>0.27100000000000002</v>
      </c>
      <c r="Q73">
        <f>VLOOKUP($M73,'Split DX Selected Perf Maps'!$A$10:$CA$50,Q$7,FALSE)</f>
        <v>2</v>
      </c>
      <c r="R73">
        <f>VLOOKUP($M73,'Split DX Selected Perf Maps'!$A$10:$CA$50,R$7,FALSE)</f>
        <v>9</v>
      </c>
      <c r="S73">
        <f>VLOOKUP($M73,'Split DX Selected Perf Maps'!$A$10:$CA$50,S$7,FALSE)</f>
        <v>3.57</v>
      </c>
    </row>
    <row r="74" spans="2:19" ht="15" customHeight="1" x14ac:dyDescent="0.25">
      <c r="B74" s="483" t="s">
        <v>410</v>
      </c>
      <c r="C74" s="360" t="s">
        <v>520</v>
      </c>
      <c r="D74" s="360">
        <v>14</v>
      </c>
      <c r="E74" s="393">
        <f t="shared" si="12"/>
        <v>8</v>
      </c>
      <c r="F74" s="398">
        <f t="shared" si="14"/>
        <v>0.29399999999999998</v>
      </c>
      <c r="G74" s="360" t="s">
        <v>61</v>
      </c>
      <c r="H74" s="360" t="s">
        <v>56</v>
      </c>
      <c r="I74" s="331"/>
      <c r="J74" s="491" t="s">
        <v>944</v>
      </c>
      <c r="K74" s="330"/>
      <c r="M74">
        <v>21409</v>
      </c>
      <c r="N74">
        <f>VLOOKUP($M74,'Split DX Selected Perf Maps'!$A$10:$CA$50,N$7,FALSE)</f>
        <v>14</v>
      </c>
      <c r="O74" s="278">
        <f>VLOOKUP($M74,'Split DX Selected Perf Maps'!$A$10:$CA$50,O$7,FALSE)</f>
        <v>11.112499999999999</v>
      </c>
      <c r="P74">
        <f>VLOOKUP($M74,'Split DX Selected Perf Maps'!$A$10:$CA$50,P$7,FALSE)</f>
        <v>0.29399999999999998</v>
      </c>
      <c r="Q74">
        <f>VLOOKUP($M74,'Split DX Selected Perf Maps'!$A$10:$CA$50,Q$7,FALSE)</f>
        <v>2</v>
      </c>
      <c r="R74">
        <f>VLOOKUP($M74,'Split DX Selected Perf Maps'!$A$10:$CA$50,R$7,FALSE)</f>
        <v>8</v>
      </c>
      <c r="S74">
        <f>VLOOKUP($M74,'Split DX Selected Perf Maps'!$A$10:$CA$50,S$7,FALSE)</f>
        <v>3.17</v>
      </c>
    </row>
    <row r="75" spans="2:19" x14ac:dyDescent="0.25">
      <c r="B75" s="484"/>
      <c r="C75" s="174">
        <v>1</v>
      </c>
      <c r="D75" s="174">
        <v>15</v>
      </c>
      <c r="E75" s="197">
        <f t="shared" si="12"/>
        <v>8.1999999999999993</v>
      </c>
      <c r="F75" s="402">
        <f t="shared" si="14"/>
        <v>0.251</v>
      </c>
      <c r="G75" s="174" t="s">
        <v>61</v>
      </c>
      <c r="H75" s="174" t="s">
        <v>56</v>
      </c>
      <c r="I75" s="174" t="s">
        <v>55</v>
      </c>
      <c r="J75" s="491"/>
      <c r="K75" s="285" t="s">
        <v>924</v>
      </c>
      <c r="M75">
        <v>21509</v>
      </c>
      <c r="N75">
        <f>VLOOKUP($M75,'Split DX Selected Perf Maps'!$A$10:$CA$50,N$7,FALSE)</f>
        <v>15</v>
      </c>
      <c r="O75" s="278">
        <f>VLOOKUP($M75,'Split DX Selected Perf Maps'!$A$10:$CA$50,O$7,FALSE)</f>
        <v>11.90625</v>
      </c>
      <c r="P75">
        <f>VLOOKUP($M75,'Split DX Selected Perf Maps'!$A$10:$CA$50,P$7,FALSE)</f>
        <v>0.251</v>
      </c>
      <c r="Q75">
        <f>VLOOKUP($M75,'Split DX Selected Perf Maps'!$A$10:$CA$50,Q$7,FALSE)</f>
        <v>2</v>
      </c>
      <c r="R75">
        <f>VLOOKUP($M75,'Split DX Selected Perf Maps'!$A$10:$CA$50,R$7,FALSE)</f>
        <v>8.1999999999999993</v>
      </c>
      <c r="S75">
        <f>VLOOKUP($M75,'Split DX Selected Perf Maps'!$A$10:$CA$50,S$7,FALSE)</f>
        <v>3.24</v>
      </c>
    </row>
    <row r="76" spans="2:19" x14ac:dyDescent="0.25">
      <c r="B76" s="484"/>
      <c r="C76" s="172">
        <v>2</v>
      </c>
      <c r="D76" s="172">
        <v>16</v>
      </c>
      <c r="E76" s="395">
        <f t="shared" si="12"/>
        <v>8.5</v>
      </c>
      <c r="F76" s="403">
        <f t="shared" si="14"/>
        <v>0.27100000000000002</v>
      </c>
      <c r="G76" s="172" t="s">
        <v>61</v>
      </c>
      <c r="H76" s="172" t="s">
        <v>56</v>
      </c>
      <c r="I76" s="172" t="s">
        <v>55</v>
      </c>
      <c r="J76" s="491"/>
      <c r="K76" s="285" t="s">
        <v>925</v>
      </c>
      <c r="M76">
        <v>21609</v>
      </c>
      <c r="N76">
        <f>VLOOKUP($M76,'Split DX Selected Perf Maps'!$A$10:$CA$50,N$7,FALSE)</f>
        <v>16</v>
      </c>
      <c r="O76" s="278">
        <f>VLOOKUP($M76,'Split DX Selected Perf Maps'!$A$10:$CA$50,O$7,FALSE)</f>
        <v>12.48</v>
      </c>
      <c r="P76">
        <f>VLOOKUP($M76,'Split DX Selected Perf Maps'!$A$10:$CA$50,P$7,FALSE)</f>
        <v>0.27100000000000002</v>
      </c>
      <c r="Q76">
        <f>VLOOKUP($M76,'Split DX Selected Perf Maps'!$A$10:$CA$50,Q$7,FALSE)</f>
        <v>2</v>
      </c>
      <c r="R76">
        <f>VLOOKUP($M76,'Split DX Selected Perf Maps'!$A$10:$CA$50,R$7,FALSE)</f>
        <v>8.5</v>
      </c>
      <c r="S76">
        <f>VLOOKUP($M76,'Split DX Selected Perf Maps'!$A$10:$CA$50,S$7,FALSE)</f>
        <v>3.37</v>
      </c>
    </row>
    <row r="77" spans="2:19" x14ac:dyDescent="0.25">
      <c r="B77" s="484"/>
      <c r="C77" s="172">
        <v>3</v>
      </c>
      <c r="D77" s="172">
        <v>17</v>
      </c>
      <c r="E77" s="395">
        <f t="shared" si="12"/>
        <v>9</v>
      </c>
      <c r="F77" s="403">
        <f t="shared" si="14"/>
        <v>0.27100000000000002</v>
      </c>
      <c r="G77" s="172" t="s">
        <v>61</v>
      </c>
      <c r="H77" s="172" t="s">
        <v>56</v>
      </c>
      <c r="I77" s="172" t="s">
        <v>55</v>
      </c>
      <c r="J77" s="491"/>
      <c r="K77" s="285" t="s">
        <v>926</v>
      </c>
      <c r="M77">
        <v>21709</v>
      </c>
      <c r="N77">
        <f>VLOOKUP($M77,'Split DX Selected Perf Maps'!$A$10:$CA$50,N$7,FALSE)</f>
        <v>17</v>
      </c>
      <c r="O77" s="278">
        <f>VLOOKUP($M77,'Split DX Selected Perf Maps'!$A$10:$CA$50,O$7,FALSE)</f>
        <v>13.260000000000002</v>
      </c>
      <c r="P77">
        <f>VLOOKUP($M77,'Split DX Selected Perf Maps'!$A$10:$CA$50,P$7,FALSE)</f>
        <v>0.27100000000000002</v>
      </c>
      <c r="Q77">
        <f>VLOOKUP($M77,'Split DX Selected Perf Maps'!$A$10:$CA$50,Q$7,FALSE)</f>
        <v>2</v>
      </c>
      <c r="R77">
        <f>VLOOKUP($M77,'Split DX Selected Perf Maps'!$A$10:$CA$50,R$7,FALSE)</f>
        <v>9</v>
      </c>
      <c r="S77">
        <f>VLOOKUP($M77,'Split DX Selected Perf Maps'!$A$10:$CA$50,S$7,FALSE)</f>
        <v>3.57</v>
      </c>
    </row>
    <row r="78" spans="2:19" x14ac:dyDescent="0.25">
      <c r="B78" s="484"/>
      <c r="C78" s="172">
        <v>1</v>
      </c>
      <c r="D78" s="172">
        <v>15</v>
      </c>
      <c r="E78" s="320">
        <f t="shared" si="12"/>
        <v>8.1999999999999993</v>
      </c>
      <c r="F78" s="403">
        <f t="shared" si="14"/>
        <v>0.251</v>
      </c>
      <c r="G78" s="172" t="s">
        <v>61</v>
      </c>
      <c r="H78" s="172" t="s">
        <v>56</v>
      </c>
      <c r="I78" s="172" t="s">
        <v>56</v>
      </c>
      <c r="J78" s="491"/>
      <c r="K78" s="285" t="str">
        <f>K75&amp;"-wPreEcono"</f>
        <v>NE-HVAC-airHP-Pkg-55to64kBtuh-15p0seer-8p2hspf-wPreEcono</v>
      </c>
      <c r="M78">
        <v>21509</v>
      </c>
      <c r="N78">
        <f>VLOOKUP($M78,'Split DX Selected Perf Maps'!$A$10:$CA$50,N$7,FALSE)</f>
        <v>15</v>
      </c>
      <c r="O78" s="278">
        <f>VLOOKUP($M78,'Split DX Selected Perf Maps'!$A$10:$CA$50,O$7,FALSE)</f>
        <v>11.90625</v>
      </c>
      <c r="P78">
        <f>VLOOKUP($M78,'Split DX Selected Perf Maps'!$A$10:$CA$50,P$7,FALSE)</f>
        <v>0.251</v>
      </c>
      <c r="Q78">
        <f>VLOOKUP($M78,'Split DX Selected Perf Maps'!$A$10:$CA$50,Q$7,FALSE)</f>
        <v>2</v>
      </c>
      <c r="R78">
        <f>VLOOKUP($M78,'Split DX Selected Perf Maps'!$A$10:$CA$50,R$7,FALSE)</f>
        <v>8.1999999999999993</v>
      </c>
      <c r="S78">
        <f>VLOOKUP($M78,'Split DX Selected Perf Maps'!$A$10:$CA$50,S$7,FALSE)</f>
        <v>3.24</v>
      </c>
    </row>
    <row r="79" spans="2:19" x14ac:dyDescent="0.25">
      <c r="B79" s="484"/>
      <c r="C79" s="172">
        <v>2</v>
      </c>
      <c r="D79" s="172">
        <v>16</v>
      </c>
      <c r="E79" s="395">
        <f t="shared" si="12"/>
        <v>8.5</v>
      </c>
      <c r="F79" s="403">
        <f t="shared" si="14"/>
        <v>0.27100000000000002</v>
      </c>
      <c r="G79" s="172" t="s">
        <v>61</v>
      </c>
      <c r="H79" s="172" t="s">
        <v>56</v>
      </c>
      <c r="I79" s="172" t="s">
        <v>56</v>
      </c>
      <c r="J79" s="491"/>
      <c r="K79" s="285" t="str">
        <f>K76&amp;"-wPreEcono"</f>
        <v>NE-HVAC-airHP-Pkg-55to64kBtuh-16p0seer-8p5hspf-wPreEcono</v>
      </c>
      <c r="M79">
        <v>21609</v>
      </c>
      <c r="N79">
        <f>VLOOKUP($M79,'Split DX Selected Perf Maps'!$A$10:$CA$50,N$7,FALSE)</f>
        <v>16</v>
      </c>
      <c r="O79" s="278">
        <f>VLOOKUP($M79,'Split DX Selected Perf Maps'!$A$10:$CA$50,O$7,FALSE)</f>
        <v>12.48</v>
      </c>
      <c r="P79">
        <f>VLOOKUP($M79,'Split DX Selected Perf Maps'!$A$10:$CA$50,P$7,FALSE)</f>
        <v>0.27100000000000002</v>
      </c>
      <c r="Q79">
        <f>VLOOKUP($M79,'Split DX Selected Perf Maps'!$A$10:$CA$50,Q$7,FALSE)</f>
        <v>2</v>
      </c>
      <c r="R79">
        <f>VLOOKUP($M79,'Split DX Selected Perf Maps'!$A$10:$CA$50,R$7,FALSE)</f>
        <v>8.5</v>
      </c>
      <c r="S79">
        <f>VLOOKUP($M79,'Split DX Selected Perf Maps'!$A$10:$CA$50,S$7,FALSE)</f>
        <v>3.37</v>
      </c>
    </row>
    <row r="80" spans="2:19" ht="15.75" thickBot="1" x14ac:dyDescent="0.3">
      <c r="B80" s="485"/>
      <c r="C80" s="173">
        <v>3</v>
      </c>
      <c r="D80" s="173">
        <v>17</v>
      </c>
      <c r="E80" s="397">
        <f t="shared" si="12"/>
        <v>9</v>
      </c>
      <c r="F80" s="405">
        <f t="shared" si="14"/>
        <v>0.27100000000000002</v>
      </c>
      <c r="G80" s="173" t="s">
        <v>61</v>
      </c>
      <c r="H80" s="173" t="s">
        <v>56</v>
      </c>
      <c r="I80" s="173" t="s">
        <v>56</v>
      </c>
      <c r="J80" s="492"/>
      <c r="K80" s="287" t="str">
        <f>K77&amp;"-wPreEcono"</f>
        <v>NE-HVAC-airHP-Pkg-55to64kBtuh-17p0seer-9p0hspf-wPreEcono</v>
      </c>
      <c r="M80">
        <v>21709</v>
      </c>
      <c r="N80">
        <f>VLOOKUP($M80,'Split DX Selected Perf Maps'!$A$10:$CA$50,N$7,FALSE)</f>
        <v>17</v>
      </c>
      <c r="O80" s="278">
        <f>VLOOKUP($M80,'Split DX Selected Perf Maps'!$A$10:$CA$50,O$7,FALSE)</f>
        <v>13.260000000000002</v>
      </c>
      <c r="P80">
        <f>VLOOKUP($M80,'Split DX Selected Perf Maps'!$A$10:$CA$50,P$7,FALSE)</f>
        <v>0.27100000000000002</v>
      </c>
      <c r="Q80">
        <f>VLOOKUP($M80,'Split DX Selected Perf Maps'!$A$10:$CA$50,Q$7,FALSE)</f>
        <v>2</v>
      </c>
      <c r="R80">
        <f>VLOOKUP($M80,'Split DX Selected Perf Maps'!$A$10:$CA$50,R$7,FALSE)</f>
        <v>9</v>
      </c>
      <c r="S80">
        <f>VLOOKUP($M80,'Split DX Selected Perf Maps'!$A$10:$CA$50,S$7,FALSE)</f>
        <v>3.57</v>
      </c>
    </row>
    <row r="81" spans="2:19" x14ac:dyDescent="0.25">
      <c r="B81" t="s">
        <v>585</v>
      </c>
      <c r="C81" s="225" t="s">
        <v>583</v>
      </c>
      <c r="M81" s="447" t="s">
        <v>956</v>
      </c>
      <c r="N81">
        <v>10</v>
      </c>
      <c r="O81" s="278">
        <v>8.52112676056338</v>
      </c>
      <c r="P81">
        <v>0.36499999999999999</v>
      </c>
      <c r="Q81">
        <v>1</v>
      </c>
      <c r="R81">
        <v>7.1</v>
      </c>
      <c r="S81">
        <v>3.01</v>
      </c>
    </row>
    <row r="82" spans="2:19" x14ac:dyDescent="0.25">
      <c r="M82" s="447" t="s">
        <v>957</v>
      </c>
      <c r="N82">
        <v>13</v>
      </c>
      <c r="O82" s="278">
        <v>11.077464788732394</v>
      </c>
      <c r="P82">
        <v>0.34799999999999998</v>
      </c>
      <c r="Q82">
        <v>1</v>
      </c>
      <c r="R82">
        <v>8.1999999999999993</v>
      </c>
      <c r="S82">
        <v>3.49</v>
      </c>
    </row>
    <row r="85" spans="2:19" ht="15.75" thickBot="1" x14ac:dyDescent="0.3">
      <c r="B85" s="487" t="s">
        <v>566</v>
      </c>
      <c r="C85" s="487"/>
      <c r="D85" s="487"/>
      <c r="E85" s="487"/>
      <c r="F85" s="487"/>
      <c r="G85" s="487"/>
      <c r="H85" s="487"/>
      <c r="I85" s="487"/>
      <c r="J85" s="486" t="s">
        <v>582</v>
      </c>
      <c r="K85" s="486"/>
    </row>
    <row r="86" spans="2:19" ht="30.75" thickBot="1" x14ac:dyDescent="0.3">
      <c r="B86" s="216" t="s">
        <v>407</v>
      </c>
      <c r="C86" s="217" t="s">
        <v>52</v>
      </c>
      <c r="D86" s="217" t="s">
        <v>54</v>
      </c>
      <c r="E86" s="217" t="s">
        <v>405</v>
      </c>
      <c r="F86" s="217" t="s">
        <v>53</v>
      </c>
      <c r="G86" s="217" t="s">
        <v>88</v>
      </c>
      <c r="H86" s="217" t="s">
        <v>62</v>
      </c>
      <c r="I86" s="217" t="s">
        <v>873</v>
      </c>
      <c r="J86" s="328" t="s">
        <v>531</v>
      </c>
      <c r="K86" s="329" t="s">
        <v>530</v>
      </c>
      <c r="M86" s="212" t="s">
        <v>951</v>
      </c>
      <c r="N86" s="212" t="s">
        <v>114</v>
      </c>
      <c r="O86" s="212" t="s">
        <v>952</v>
      </c>
      <c r="P86" s="392"/>
    </row>
    <row r="87" spans="2:19" ht="15" customHeight="1" x14ac:dyDescent="0.25">
      <c r="B87" s="477" t="s">
        <v>411</v>
      </c>
      <c r="C87" s="354" t="s">
        <v>520</v>
      </c>
      <c r="D87" s="354">
        <v>11</v>
      </c>
      <c r="E87" s="355">
        <v>13.4</v>
      </c>
      <c r="F87" s="356">
        <v>0.4</v>
      </c>
      <c r="G87" s="354" t="s">
        <v>408</v>
      </c>
      <c r="H87" s="354" t="s">
        <v>56</v>
      </c>
      <c r="I87" s="342"/>
      <c r="J87" s="480" t="s">
        <v>874</v>
      </c>
      <c r="K87" s="330"/>
      <c r="M87">
        <v>31001</v>
      </c>
      <c r="N87">
        <v>11</v>
      </c>
      <c r="O87">
        <v>0.4</v>
      </c>
    </row>
    <row r="88" spans="2:19" x14ac:dyDescent="0.25">
      <c r="B88" s="478"/>
      <c r="C88" s="11">
        <v>1</v>
      </c>
      <c r="D88" s="11">
        <v>11.5</v>
      </c>
      <c r="E88" s="11">
        <v>14.1</v>
      </c>
      <c r="F88" s="12">
        <v>0.4</v>
      </c>
      <c r="G88" s="11" t="s">
        <v>408</v>
      </c>
      <c r="H88" s="11" t="s">
        <v>56</v>
      </c>
      <c r="I88" s="11" t="s">
        <v>55</v>
      </c>
      <c r="J88" s="481"/>
      <c r="K88" s="45" t="s">
        <v>439</v>
      </c>
      <c r="M88">
        <v>31101</v>
      </c>
      <c r="N88">
        <v>11.5</v>
      </c>
      <c r="O88">
        <v>0.4</v>
      </c>
    </row>
    <row r="89" spans="2:19" x14ac:dyDescent="0.25">
      <c r="B89" s="478"/>
      <c r="C89" s="11">
        <v>2</v>
      </c>
      <c r="D89" s="11">
        <v>12</v>
      </c>
      <c r="E89" s="11">
        <v>14.8</v>
      </c>
      <c r="F89" s="12">
        <v>0.4</v>
      </c>
      <c r="G89" s="11" t="s">
        <v>408</v>
      </c>
      <c r="H89" s="11" t="s">
        <v>56</v>
      </c>
      <c r="I89" s="11" t="s">
        <v>55</v>
      </c>
      <c r="J89" s="481"/>
      <c r="K89" s="280" t="s">
        <v>440</v>
      </c>
      <c r="M89">
        <v>31201</v>
      </c>
      <c r="N89">
        <v>12</v>
      </c>
      <c r="O89">
        <v>0.4</v>
      </c>
    </row>
    <row r="90" spans="2:19" x14ac:dyDescent="0.25">
      <c r="B90" s="478"/>
      <c r="C90" s="321">
        <v>3</v>
      </c>
      <c r="D90" s="321">
        <v>13</v>
      </c>
      <c r="E90" s="321">
        <v>16.3</v>
      </c>
      <c r="F90" s="322">
        <v>0.4</v>
      </c>
      <c r="G90" s="321" t="s">
        <v>408</v>
      </c>
      <c r="H90" s="321" t="s">
        <v>56</v>
      </c>
      <c r="I90" s="321" t="s">
        <v>55</v>
      </c>
      <c r="J90" s="481"/>
      <c r="K90" s="286" t="s">
        <v>510</v>
      </c>
      <c r="M90">
        <v>31301</v>
      </c>
      <c r="N90">
        <v>13</v>
      </c>
      <c r="O90">
        <v>0.4</v>
      </c>
    </row>
    <row r="91" spans="2:19" x14ac:dyDescent="0.25">
      <c r="B91" s="478"/>
      <c r="C91" s="172">
        <v>1</v>
      </c>
      <c r="D91" s="172">
        <v>11.5</v>
      </c>
      <c r="E91" s="172">
        <v>14.1</v>
      </c>
      <c r="F91" s="176">
        <v>0.4</v>
      </c>
      <c r="G91" s="172" t="s">
        <v>408</v>
      </c>
      <c r="H91" s="172" t="s">
        <v>56</v>
      </c>
      <c r="I91" s="172" t="s">
        <v>56</v>
      </c>
      <c r="J91" s="481"/>
      <c r="K91" s="285" t="str">
        <f>K88&amp;"wPreEcono"</f>
        <v>NE-HVAC-airAC-SpltPkg-65to109kBtuh-11p5eerwPreEcono</v>
      </c>
      <c r="M91">
        <f>+M88</f>
        <v>31101</v>
      </c>
      <c r="N91">
        <v>11.5</v>
      </c>
      <c r="O91">
        <v>0.4</v>
      </c>
    </row>
    <row r="92" spans="2:19" x14ac:dyDescent="0.25">
      <c r="B92" s="497"/>
      <c r="C92" s="353">
        <v>2</v>
      </c>
      <c r="D92" s="172">
        <v>12</v>
      </c>
      <c r="E92" s="205">
        <v>14.8</v>
      </c>
      <c r="F92" s="176">
        <v>0.4</v>
      </c>
      <c r="G92" s="172" t="s">
        <v>408</v>
      </c>
      <c r="H92" s="172" t="s">
        <v>56</v>
      </c>
      <c r="I92" s="205" t="s">
        <v>56</v>
      </c>
      <c r="J92" s="481"/>
      <c r="K92" s="285" t="str">
        <f>K89&amp;"wPreEcono"</f>
        <v>NE-HVAC-airAC-SpltPkg-65to109kBtuh-12p0eerwPreEcono</v>
      </c>
      <c r="M92">
        <f>+M89</f>
        <v>31201</v>
      </c>
      <c r="N92">
        <v>12</v>
      </c>
      <c r="O92">
        <v>0.4</v>
      </c>
    </row>
    <row r="93" spans="2:19" ht="15.75" thickBot="1" x14ac:dyDescent="0.3">
      <c r="B93" s="479"/>
      <c r="C93" s="173">
        <v>3</v>
      </c>
      <c r="D93" s="173">
        <v>13</v>
      </c>
      <c r="E93" s="173">
        <v>16.3</v>
      </c>
      <c r="F93" s="177">
        <v>0.4</v>
      </c>
      <c r="G93" s="173" t="s">
        <v>408</v>
      </c>
      <c r="H93" s="173" t="s">
        <v>56</v>
      </c>
      <c r="I93" s="173" t="s">
        <v>56</v>
      </c>
      <c r="J93" s="482"/>
      <c r="K93" s="287" t="str">
        <f>K90&amp;"wPreEcono"</f>
        <v>NE-HVAC-airAC-SpltPkg-65to109kBtuh-13p0eerwPreEcono</v>
      </c>
      <c r="M93">
        <f t="shared" ref="M93" si="15">+M90</f>
        <v>31301</v>
      </c>
      <c r="N93">
        <v>13</v>
      </c>
      <c r="O93">
        <v>0.4</v>
      </c>
    </row>
    <row r="94" spans="2:19" ht="15" customHeight="1" x14ac:dyDescent="0.25">
      <c r="B94" s="477" t="s">
        <v>412</v>
      </c>
      <c r="C94" s="354" t="s">
        <v>520</v>
      </c>
      <c r="D94" s="354">
        <v>11</v>
      </c>
      <c r="E94" s="355">
        <v>13.3</v>
      </c>
      <c r="F94" s="356">
        <v>0.4</v>
      </c>
      <c r="G94" s="354" t="s">
        <v>408</v>
      </c>
      <c r="H94" s="354" t="s">
        <v>56</v>
      </c>
      <c r="I94" s="354" t="s">
        <v>56</v>
      </c>
      <c r="J94" s="291" t="s">
        <v>441</v>
      </c>
      <c r="K94" s="330"/>
      <c r="M94">
        <v>32001</v>
      </c>
      <c r="N94">
        <v>11</v>
      </c>
      <c r="O94">
        <v>0.4</v>
      </c>
    </row>
    <row r="95" spans="2:19" x14ac:dyDescent="0.25">
      <c r="B95" s="493"/>
      <c r="C95" s="11">
        <v>1</v>
      </c>
      <c r="D95" s="11">
        <v>11.5</v>
      </c>
      <c r="E95" s="11">
        <v>14.3</v>
      </c>
      <c r="F95" s="12">
        <v>0.4</v>
      </c>
      <c r="G95" s="11" t="s">
        <v>408</v>
      </c>
      <c r="H95" s="11" t="s">
        <v>56</v>
      </c>
      <c r="I95" s="11" t="s">
        <v>56</v>
      </c>
      <c r="J95" s="291" t="s">
        <v>442</v>
      </c>
      <c r="K95" s="45" t="s">
        <v>442</v>
      </c>
      <c r="M95">
        <v>32101</v>
      </c>
      <c r="N95">
        <v>11.5</v>
      </c>
      <c r="O95">
        <v>0.4</v>
      </c>
    </row>
    <row r="96" spans="2:19" x14ac:dyDescent="0.25">
      <c r="B96" s="493"/>
      <c r="C96" s="11">
        <v>2</v>
      </c>
      <c r="D96" s="11">
        <v>12</v>
      </c>
      <c r="E96" s="11">
        <v>15.4</v>
      </c>
      <c r="F96" s="12">
        <v>0.4</v>
      </c>
      <c r="G96" s="11" t="s">
        <v>408</v>
      </c>
      <c r="H96" s="11" t="s">
        <v>56</v>
      </c>
      <c r="I96" s="11" t="s">
        <v>56</v>
      </c>
      <c r="J96" s="291" t="s">
        <v>443</v>
      </c>
      <c r="K96" s="280" t="s">
        <v>443</v>
      </c>
      <c r="M96">
        <v>32201</v>
      </c>
      <c r="N96">
        <v>12</v>
      </c>
      <c r="O96">
        <v>0.4</v>
      </c>
    </row>
    <row r="97" spans="2:15" ht="15.75" thickBot="1" x14ac:dyDescent="0.3">
      <c r="B97" s="494"/>
      <c r="C97" s="175">
        <v>3</v>
      </c>
      <c r="D97" s="175">
        <v>12.5</v>
      </c>
      <c r="E97" s="175">
        <v>16.5</v>
      </c>
      <c r="F97" s="180">
        <v>0.4</v>
      </c>
      <c r="G97" s="175" t="s">
        <v>408</v>
      </c>
      <c r="H97" s="175" t="s">
        <v>56</v>
      </c>
      <c r="I97" s="175" t="s">
        <v>56</v>
      </c>
      <c r="J97" s="341"/>
      <c r="K97" s="286" t="s">
        <v>517</v>
      </c>
      <c r="M97">
        <v>32301</v>
      </c>
      <c r="N97">
        <v>12.5</v>
      </c>
      <c r="O97">
        <v>0.4</v>
      </c>
    </row>
    <row r="98" spans="2:15" ht="15" customHeight="1" x14ac:dyDescent="0.25">
      <c r="B98" s="477" t="s">
        <v>413</v>
      </c>
      <c r="C98" s="354" t="s">
        <v>520</v>
      </c>
      <c r="D98" s="354">
        <v>10.8</v>
      </c>
      <c r="E98" s="355">
        <v>12.8</v>
      </c>
      <c r="F98" s="356">
        <v>0.41</v>
      </c>
      <c r="G98" s="354" t="s">
        <v>408</v>
      </c>
      <c r="H98" s="354" t="s">
        <v>56</v>
      </c>
      <c r="I98" s="354" t="s">
        <v>56</v>
      </c>
      <c r="J98" s="291" t="s">
        <v>444</v>
      </c>
      <c r="K98" s="330"/>
      <c r="M98">
        <v>33001</v>
      </c>
      <c r="N98">
        <v>10.8</v>
      </c>
      <c r="O98">
        <v>0.41</v>
      </c>
    </row>
    <row r="99" spans="2:15" x14ac:dyDescent="0.25">
      <c r="B99" s="493"/>
      <c r="C99" s="11">
        <v>1</v>
      </c>
      <c r="D99" s="11">
        <v>11.5</v>
      </c>
      <c r="E99" s="11">
        <v>14.3</v>
      </c>
      <c r="F99" s="12">
        <v>0.41</v>
      </c>
      <c r="G99" s="11" t="s">
        <v>408</v>
      </c>
      <c r="H99" s="11" t="s">
        <v>56</v>
      </c>
      <c r="I99" s="11" t="s">
        <v>56</v>
      </c>
      <c r="J99" s="291" t="s">
        <v>445</v>
      </c>
      <c r="K99" s="45" t="s">
        <v>445</v>
      </c>
      <c r="M99">
        <v>33101</v>
      </c>
      <c r="N99">
        <v>11.5</v>
      </c>
      <c r="O99">
        <v>0.41</v>
      </c>
    </row>
    <row r="100" spans="2:15" x14ac:dyDescent="0.25">
      <c r="B100" s="493"/>
      <c r="C100" s="11">
        <v>2</v>
      </c>
      <c r="D100" s="11">
        <v>12</v>
      </c>
      <c r="E100" s="11">
        <v>15.4</v>
      </c>
      <c r="F100" s="12">
        <v>0.41</v>
      </c>
      <c r="G100" s="11" t="s">
        <v>408</v>
      </c>
      <c r="H100" s="11" t="s">
        <v>56</v>
      </c>
      <c r="I100" s="11" t="s">
        <v>56</v>
      </c>
      <c r="J100" s="291" t="s">
        <v>446</v>
      </c>
      <c r="K100" s="280" t="s">
        <v>446</v>
      </c>
      <c r="M100">
        <v>33201</v>
      </c>
      <c r="N100">
        <v>12</v>
      </c>
      <c r="O100">
        <v>0.41</v>
      </c>
    </row>
    <row r="101" spans="2:15" ht="15.75" thickBot="1" x14ac:dyDescent="0.3">
      <c r="B101" s="494"/>
      <c r="C101" s="175">
        <v>3</v>
      </c>
      <c r="D101" s="175">
        <v>12.5</v>
      </c>
      <c r="E101" s="175">
        <v>16.5</v>
      </c>
      <c r="F101" s="180">
        <v>0.41</v>
      </c>
      <c r="G101" s="175" t="s">
        <v>408</v>
      </c>
      <c r="H101" s="175" t="s">
        <v>56</v>
      </c>
      <c r="I101" s="175" t="s">
        <v>56</v>
      </c>
      <c r="J101" s="341"/>
      <c r="K101" s="343" t="s">
        <v>511</v>
      </c>
      <c r="M101">
        <v>33301</v>
      </c>
      <c r="N101">
        <v>12.5</v>
      </c>
      <c r="O101">
        <v>0.41</v>
      </c>
    </row>
    <row r="102" spans="2:15" ht="15" customHeight="1" x14ac:dyDescent="0.25">
      <c r="B102" s="477" t="s">
        <v>414</v>
      </c>
      <c r="C102" s="354" t="s">
        <v>520</v>
      </c>
      <c r="D102" s="354">
        <v>9.8000000000000007</v>
      </c>
      <c r="E102" s="355">
        <v>11.2</v>
      </c>
      <c r="F102" s="356">
        <v>0.61</v>
      </c>
      <c r="G102" s="354" t="s">
        <v>408</v>
      </c>
      <c r="H102" s="354" t="s">
        <v>56</v>
      </c>
      <c r="I102" s="354" t="s">
        <v>56</v>
      </c>
      <c r="J102" s="495" t="s">
        <v>713</v>
      </c>
      <c r="K102" s="350"/>
      <c r="M102">
        <v>34002</v>
      </c>
      <c r="N102">
        <v>9.8000000000000007</v>
      </c>
      <c r="O102">
        <v>0.61</v>
      </c>
    </row>
    <row r="103" spans="2:15" x14ac:dyDescent="0.25">
      <c r="B103" s="478"/>
      <c r="C103" s="11">
        <v>1</v>
      </c>
      <c r="D103" s="11">
        <v>10.8</v>
      </c>
      <c r="E103" s="11">
        <v>12.8</v>
      </c>
      <c r="F103" s="12">
        <v>0.61</v>
      </c>
      <c r="G103" s="11" t="s">
        <v>408</v>
      </c>
      <c r="H103" s="11" t="s">
        <v>56</v>
      </c>
      <c r="I103" s="11" t="s">
        <v>56</v>
      </c>
      <c r="J103" s="481"/>
      <c r="K103" s="349" t="s">
        <v>447</v>
      </c>
      <c r="M103">
        <v>34102</v>
      </c>
      <c r="N103">
        <v>10.8</v>
      </c>
      <c r="O103">
        <v>0.61</v>
      </c>
    </row>
    <row r="104" spans="2:15" ht="15" customHeight="1" x14ac:dyDescent="0.25">
      <c r="B104" s="478"/>
      <c r="C104" s="174">
        <v>2</v>
      </c>
      <c r="D104" s="174">
        <v>11.5</v>
      </c>
      <c r="E104" s="174">
        <v>13.9</v>
      </c>
      <c r="F104" s="178">
        <v>0.61</v>
      </c>
      <c r="G104" s="174" t="s">
        <v>408</v>
      </c>
      <c r="H104" s="174" t="s">
        <v>56</v>
      </c>
      <c r="I104" s="174" t="s">
        <v>56</v>
      </c>
      <c r="J104" s="481"/>
      <c r="K104" s="288" t="s">
        <v>512</v>
      </c>
      <c r="M104">
        <v>34202</v>
      </c>
      <c r="N104">
        <v>11.5</v>
      </c>
      <c r="O104">
        <v>0.61</v>
      </c>
    </row>
    <row r="105" spans="2:15" x14ac:dyDescent="0.25">
      <c r="B105" s="478"/>
      <c r="C105" s="223">
        <v>3</v>
      </c>
      <c r="D105" s="223">
        <v>12.5</v>
      </c>
      <c r="E105" s="223">
        <v>15.5</v>
      </c>
      <c r="F105" s="224">
        <v>0.61</v>
      </c>
      <c r="G105" s="223" t="s">
        <v>408</v>
      </c>
      <c r="H105" s="223" t="s">
        <v>56</v>
      </c>
      <c r="I105" s="223" t="s">
        <v>56</v>
      </c>
      <c r="J105" s="481"/>
      <c r="K105" s="346" t="s">
        <v>513</v>
      </c>
      <c r="M105">
        <v>34302</v>
      </c>
      <c r="N105">
        <v>12.5</v>
      </c>
      <c r="O105">
        <v>0.61</v>
      </c>
    </row>
    <row r="106" spans="2:15" ht="15" customHeight="1" x14ac:dyDescent="0.25">
      <c r="B106" s="478"/>
      <c r="C106" s="357" t="s">
        <v>520</v>
      </c>
      <c r="D106" s="357">
        <v>10</v>
      </c>
      <c r="E106" s="358">
        <v>11.4</v>
      </c>
      <c r="F106" s="359">
        <v>0.72</v>
      </c>
      <c r="G106" s="357" t="s">
        <v>875</v>
      </c>
      <c r="H106" s="357" t="s">
        <v>56</v>
      </c>
      <c r="I106" s="357" t="s">
        <v>56</v>
      </c>
      <c r="J106" s="481"/>
      <c r="K106" s="378"/>
      <c r="M106">
        <v>34001</v>
      </c>
      <c r="N106">
        <v>10</v>
      </c>
      <c r="O106">
        <v>0.72</v>
      </c>
    </row>
    <row r="107" spans="2:15" x14ac:dyDescent="0.25">
      <c r="B107" s="478"/>
      <c r="C107" s="11">
        <v>1</v>
      </c>
      <c r="D107" s="11">
        <v>10.8</v>
      </c>
      <c r="E107" s="11">
        <v>12.8</v>
      </c>
      <c r="F107" s="12">
        <v>0.72</v>
      </c>
      <c r="G107" s="11" t="s">
        <v>875</v>
      </c>
      <c r="H107" s="11" t="s">
        <v>56</v>
      </c>
      <c r="I107" s="11" t="s">
        <v>56</v>
      </c>
      <c r="J107" s="481"/>
      <c r="K107" s="349" t="s">
        <v>447</v>
      </c>
      <c r="M107">
        <v>34101</v>
      </c>
      <c r="N107">
        <v>10.8</v>
      </c>
      <c r="O107">
        <v>0.72</v>
      </c>
    </row>
    <row r="108" spans="2:15" x14ac:dyDescent="0.25">
      <c r="B108" s="478"/>
      <c r="C108" s="174">
        <v>2</v>
      </c>
      <c r="D108" s="174">
        <v>11.5</v>
      </c>
      <c r="E108" s="174">
        <v>13.9</v>
      </c>
      <c r="F108" s="178">
        <v>0.72</v>
      </c>
      <c r="G108" s="174" t="s">
        <v>875</v>
      </c>
      <c r="H108" s="174" t="s">
        <v>56</v>
      </c>
      <c r="I108" s="174" t="s">
        <v>56</v>
      </c>
      <c r="J108" s="481"/>
      <c r="K108" s="288" t="s">
        <v>512</v>
      </c>
      <c r="M108">
        <v>34201</v>
      </c>
      <c r="N108">
        <v>11.5</v>
      </c>
      <c r="O108">
        <v>0.72</v>
      </c>
    </row>
    <row r="109" spans="2:15" ht="15.75" thickBot="1" x14ac:dyDescent="0.3">
      <c r="B109" s="479"/>
      <c r="C109" s="173">
        <v>3</v>
      </c>
      <c r="D109" s="173">
        <v>12.5</v>
      </c>
      <c r="E109" s="173">
        <v>15.6</v>
      </c>
      <c r="F109" s="177">
        <v>0.72</v>
      </c>
      <c r="G109" s="173" t="s">
        <v>875</v>
      </c>
      <c r="H109" s="173" t="s">
        <v>56</v>
      </c>
      <c r="I109" s="173" t="s">
        <v>56</v>
      </c>
      <c r="J109" s="496"/>
      <c r="K109" s="344" t="s">
        <v>513</v>
      </c>
      <c r="M109">
        <v>34301</v>
      </c>
      <c r="N109">
        <v>12.5</v>
      </c>
      <c r="O109">
        <v>0.72</v>
      </c>
    </row>
    <row r="110" spans="2:15" ht="15" customHeight="1" x14ac:dyDescent="0.25">
      <c r="B110" s="477" t="s">
        <v>415</v>
      </c>
      <c r="C110" s="354" t="s">
        <v>520</v>
      </c>
      <c r="D110" s="354">
        <v>9.5</v>
      </c>
      <c r="E110" s="355">
        <v>10.7</v>
      </c>
      <c r="F110" s="356">
        <v>0.61</v>
      </c>
      <c r="G110" s="354" t="s">
        <v>408</v>
      </c>
      <c r="H110" s="354" t="s">
        <v>56</v>
      </c>
      <c r="I110" s="354" t="s">
        <v>56</v>
      </c>
      <c r="J110" s="495" t="s">
        <v>714</v>
      </c>
      <c r="K110" s="348"/>
      <c r="M110">
        <v>35002</v>
      </c>
      <c r="N110">
        <v>9.5</v>
      </c>
      <c r="O110">
        <v>0.61</v>
      </c>
    </row>
    <row r="111" spans="2:15" x14ac:dyDescent="0.25">
      <c r="B111" s="478"/>
      <c r="C111" s="11">
        <v>1</v>
      </c>
      <c r="D111" s="11">
        <v>10.199999999999999</v>
      </c>
      <c r="E111" s="11">
        <v>11.8</v>
      </c>
      <c r="F111" s="12">
        <v>0.61</v>
      </c>
      <c r="G111" s="11" t="s">
        <v>408</v>
      </c>
      <c r="H111" s="11" t="s">
        <v>56</v>
      </c>
      <c r="I111" s="11" t="s">
        <v>56</v>
      </c>
      <c r="J111" s="481"/>
      <c r="K111" s="349" t="s">
        <v>448</v>
      </c>
      <c r="M111">
        <v>35102</v>
      </c>
      <c r="N111">
        <v>10.199999999999999</v>
      </c>
      <c r="O111">
        <v>0.61</v>
      </c>
    </row>
    <row r="112" spans="2:15" x14ac:dyDescent="0.25">
      <c r="B112" s="478"/>
      <c r="C112" s="174">
        <v>2</v>
      </c>
      <c r="D112" s="174">
        <v>11</v>
      </c>
      <c r="E112" s="174">
        <v>13.1</v>
      </c>
      <c r="F112" s="178">
        <v>0.61</v>
      </c>
      <c r="G112" s="174" t="s">
        <v>408</v>
      </c>
      <c r="H112" s="174" t="s">
        <v>56</v>
      </c>
      <c r="I112" s="174" t="s">
        <v>56</v>
      </c>
      <c r="J112" s="481"/>
      <c r="K112" s="289" t="s">
        <v>516</v>
      </c>
      <c r="M112">
        <v>35202</v>
      </c>
      <c r="N112">
        <v>11</v>
      </c>
      <c r="O112">
        <v>0.61</v>
      </c>
    </row>
    <row r="113" spans="2:15" x14ac:dyDescent="0.25">
      <c r="B113" s="478"/>
      <c r="C113" s="223">
        <v>3</v>
      </c>
      <c r="D113" s="223">
        <v>12</v>
      </c>
      <c r="E113" s="223">
        <v>14.7</v>
      </c>
      <c r="F113" s="224">
        <v>0.61</v>
      </c>
      <c r="G113" s="223" t="s">
        <v>408</v>
      </c>
      <c r="H113" s="223" t="s">
        <v>56</v>
      </c>
      <c r="I113" s="223" t="s">
        <v>56</v>
      </c>
      <c r="J113" s="481"/>
      <c r="K113" s="347" t="s">
        <v>518</v>
      </c>
      <c r="M113">
        <v>35302</v>
      </c>
      <c r="N113">
        <v>12</v>
      </c>
      <c r="O113">
        <v>0.61</v>
      </c>
    </row>
    <row r="114" spans="2:15" ht="15" customHeight="1" x14ac:dyDescent="0.25">
      <c r="B114" s="478"/>
      <c r="C114" s="357" t="s">
        <v>520</v>
      </c>
      <c r="D114" s="357">
        <v>9.6999999999999993</v>
      </c>
      <c r="E114" s="358">
        <v>10.9</v>
      </c>
      <c r="F114" s="359">
        <v>0.72</v>
      </c>
      <c r="G114" s="357" t="s">
        <v>875</v>
      </c>
      <c r="H114" s="357" t="s">
        <v>56</v>
      </c>
      <c r="I114" s="357" t="s">
        <v>56</v>
      </c>
      <c r="J114" s="481"/>
      <c r="K114" s="352"/>
      <c r="M114">
        <v>35001</v>
      </c>
      <c r="N114">
        <v>9.6999999999999993</v>
      </c>
      <c r="O114">
        <v>0.72</v>
      </c>
    </row>
    <row r="115" spans="2:15" x14ac:dyDescent="0.25">
      <c r="B115" s="478"/>
      <c r="C115" s="11">
        <v>1</v>
      </c>
      <c r="D115" s="11">
        <v>10.199999999999999</v>
      </c>
      <c r="E115" s="11">
        <v>11.8</v>
      </c>
      <c r="F115" s="12">
        <v>0.72</v>
      </c>
      <c r="G115" s="11" t="s">
        <v>875</v>
      </c>
      <c r="H115" s="11" t="s">
        <v>56</v>
      </c>
      <c r="I115" s="11" t="s">
        <v>56</v>
      </c>
      <c r="J115" s="481"/>
      <c r="K115" s="351" t="s">
        <v>448</v>
      </c>
      <c r="M115">
        <v>35101</v>
      </c>
      <c r="N115">
        <v>10.199999999999999</v>
      </c>
      <c r="O115">
        <v>0.72</v>
      </c>
    </row>
    <row r="116" spans="2:15" x14ac:dyDescent="0.25">
      <c r="B116" s="478"/>
      <c r="C116" s="174">
        <v>2</v>
      </c>
      <c r="D116" s="174">
        <v>11</v>
      </c>
      <c r="E116" s="174">
        <v>13.1</v>
      </c>
      <c r="F116" s="178">
        <v>0.72</v>
      </c>
      <c r="G116" s="174" t="s">
        <v>875</v>
      </c>
      <c r="H116" s="174" t="s">
        <v>56</v>
      </c>
      <c r="I116" s="174" t="s">
        <v>56</v>
      </c>
      <c r="J116" s="481"/>
      <c r="K116" s="289" t="s">
        <v>516</v>
      </c>
      <c r="M116">
        <v>35201</v>
      </c>
      <c r="N116">
        <v>11</v>
      </c>
      <c r="O116">
        <v>0.72</v>
      </c>
    </row>
    <row r="117" spans="2:15" ht="15.75" thickBot="1" x14ac:dyDescent="0.3">
      <c r="B117" s="479"/>
      <c r="C117" s="173">
        <v>3</v>
      </c>
      <c r="D117" s="173">
        <v>12</v>
      </c>
      <c r="E117" s="173">
        <v>14.8</v>
      </c>
      <c r="F117" s="177">
        <v>0.72</v>
      </c>
      <c r="G117" s="173" t="s">
        <v>875</v>
      </c>
      <c r="H117" s="173" t="s">
        <v>56</v>
      </c>
      <c r="I117" s="173" t="s">
        <v>56</v>
      </c>
      <c r="J117" s="482"/>
      <c r="K117" s="345" t="s">
        <v>518</v>
      </c>
      <c r="M117">
        <v>35301</v>
      </c>
      <c r="N117">
        <v>12</v>
      </c>
      <c r="O117">
        <v>0.72</v>
      </c>
    </row>
    <row r="118" spans="2:15" x14ac:dyDescent="0.25">
      <c r="B118" t="s">
        <v>585</v>
      </c>
      <c r="C118" s="225" t="s">
        <v>588</v>
      </c>
    </row>
    <row r="119" spans="2:15" hidden="1" x14ac:dyDescent="0.25">
      <c r="B119" t="s">
        <v>458</v>
      </c>
    </row>
    <row r="120" spans="2:15" ht="15" hidden="1" customHeight="1" x14ac:dyDescent="0.25">
      <c r="B120" s="477" t="s">
        <v>414</v>
      </c>
      <c r="C120" s="7">
        <v>1</v>
      </c>
      <c r="D120" s="7">
        <v>10.8</v>
      </c>
      <c r="E120" s="7">
        <v>12.8</v>
      </c>
      <c r="F120" s="188" t="s">
        <v>457</v>
      </c>
      <c r="G120" s="7" t="s">
        <v>456</v>
      </c>
      <c r="H120" s="194" t="s">
        <v>56</v>
      </c>
      <c r="I120" s="171"/>
    </row>
    <row r="121" spans="2:15" hidden="1" x14ac:dyDescent="0.25">
      <c r="B121" s="478"/>
      <c r="C121" s="174">
        <v>2</v>
      </c>
      <c r="D121" s="174">
        <v>11.5</v>
      </c>
      <c r="E121" s="174">
        <v>13.9</v>
      </c>
      <c r="F121" s="195" t="s">
        <v>457</v>
      </c>
      <c r="G121" s="174" t="s">
        <v>456</v>
      </c>
      <c r="H121" s="182" t="s">
        <v>56</v>
      </c>
      <c r="I121" s="193"/>
    </row>
    <row r="122" spans="2:15" ht="15.75" hidden="1" thickBot="1" x14ac:dyDescent="0.3">
      <c r="B122" s="478"/>
      <c r="C122" s="173">
        <v>3</v>
      </c>
      <c r="D122" s="173">
        <v>12.5</v>
      </c>
      <c r="E122" s="173">
        <v>15.6</v>
      </c>
      <c r="F122" s="196" t="s">
        <v>457</v>
      </c>
      <c r="G122" s="173" t="s">
        <v>456</v>
      </c>
      <c r="H122" s="179" t="s">
        <v>56</v>
      </c>
      <c r="I122" s="193"/>
    </row>
    <row r="123" spans="2:15" hidden="1" x14ac:dyDescent="0.25">
      <c r="B123" s="477" t="s">
        <v>415</v>
      </c>
      <c r="C123" s="11">
        <v>1</v>
      </c>
      <c r="D123" s="11">
        <v>10.199999999999999</v>
      </c>
      <c r="E123" s="11">
        <v>11.8</v>
      </c>
      <c r="F123" s="191" t="s">
        <v>457</v>
      </c>
      <c r="G123" s="11" t="s">
        <v>456</v>
      </c>
      <c r="H123" s="13" t="s">
        <v>56</v>
      </c>
      <c r="I123" s="171"/>
    </row>
    <row r="124" spans="2:15" ht="15" hidden="1" customHeight="1" x14ac:dyDescent="0.25">
      <c r="B124" s="478"/>
      <c r="C124" s="174">
        <v>2</v>
      </c>
      <c r="D124" s="174">
        <v>11</v>
      </c>
      <c r="E124" s="174">
        <v>13.1</v>
      </c>
      <c r="F124" s="195" t="s">
        <v>457</v>
      </c>
      <c r="G124" s="174" t="s">
        <v>456</v>
      </c>
      <c r="H124" s="182" t="s">
        <v>56</v>
      </c>
      <c r="I124" s="193"/>
    </row>
    <row r="125" spans="2:15" ht="15.75" hidden="1" thickBot="1" x14ac:dyDescent="0.3">
      <c r="B125" s="479"/>
      <c r="C125" s="173">
        <v>3</v>
      </c>
      <c r="D125" s="173">
        <v>12</v>
      </c>
      <c r="E125" s="173">
        <v>14.7</v>
      </c>
      <c r="F125" s="196" t="s">
        <v>457</v>
      </c>
      <c r="G125" s="173" t="s">
        <v>456</v>
      </c>
      <c r="H125" s="179" t="s">
        <v>56</v>
      </c>
      <c r="I125" s="193"/>
    </row>
    <row r="126" spans="2:15" x14ac:dyDescent="0.25">
      <c r="C126" s="225" t="s">
        <v>589</v>
      </c>
    </row>
    <row r="127" spans="2:15" x14ac:dyDescent="0.25">
      <c r="C127" s="225" t="s">
        <v>590</v>
      </c>
    </row>
    <row r="132" ht="15" customHeight="1" x14ac:dyDescent="0.25"/>
    <row r="176" spans="10:10" x14ac:dyDescent="0.25">
      <c r="J176" s="215"/>
    </row>
    <row r="177" spans="10:10" x14ac:dyDescent="0.25">
      <c r="J177" s="215"/>
    </row>
    <row r="178" spans="10:10" x14ac:dyDescent="0.25">
      <c r="J178" s="215"/>
    </row>
    <row r="179" spans="10:10" x14ac:dyDescent="0.25">
      <c r="J179" s="215"/>
    </row>
    <row r="180" spans="10:10" x14ac:dyDescent="0.25">
      <c r="J180" s="215"/>
    </row>
    <row r="181" spans="10:10" x14ac:dyDescent="0.25">
      <c r="J181" s="215"/>
    </row>
    <row r="182" spans="10:10" x14ac:dyDescent="0.25">
      <c r="J182" s="215"/>
    </row>
    <row r="183" spans="10:10" x14ac:dyDescent="0.25">
      <c r="J183" s="215"/>
    </row>
    <row r="184" spans="10:10" x14ac:dyDescent="0.25">
      <c r="J184" s="215"/>
    </row>
    <row r="185" spans="10:10" x14ac:dyDescent="0.25">
      <c r="J185" s="215"/>
    </row>
    <row r="186" spans="10:10" x14ac:dyDescent="0.25">
      <c r="J186" s="215"/>
    </row>
    <row r="187" spans="10:10" x14ac:dyDescent="0.25">
      <c r="J187" s="215"/>
    </row>
    <row r="188" spans="10:10" x14ac:dyDescent="0.25">
      <c r="J188" s="215"/>
    </row>
  </sheetData>
  <sortState ref="J78:K155">
    <sortCondition ref="J78:J155"/>
  </sortState>
  <mergeCells count="33">
    <mergeCell ref="J70:J73"/>
    <mergeCell ref="J74:J80"/>
    <mergeCell ref="B120:B122"/>
    <mergeCell ref="B123:B125"/>
    <mergeCell ref="B94:B97"/>
    <mergeCell ref="B98:B101"/>
    <mergeCell ref="B102:B109"/>
    <mergeCell ref="B110:B117"/>
    <mergeCell ref="B70:B73"/>
    <mergeCell ref="J102:J109"/>
    <mergeCell ref="J110:J117"/>
    <mergeCell ref="J85:K85"/>
    <mergeCell ref="B87:B93"/>
    <mergeCell ref="J87:J93"/>
    <mergeCell ref="B85:I85"/>
    <mergeCell ref="B74:B80"/>
    <mergeCell ref="J68:K68"/>
    <mergeCell ref="B33:B37"/>
    <mergeCell ref="J33:J37"/>
    <mergeCell ref="B38:B46"/>
    <mergeCell ref="J38:J46"/>
    <mergeCell ref="B51:B55"/>
    <mergeCell ref="B68:I68"/>
    <mergeCell ref="J49:K49"/>
    <mergeCell ref="B56:B64"/>
    <mergeCell ref="J56:J64"/>
    <mergeCell ref="B49:I49"/>
    <mergeCell ref="J51:J55"/>
    <mergeCell ref="B9:B13"/>
    <mergeCell ref="B14:B18"/>
    <mergeCell ref="J9:J18"/>
    <mergeCell ref="B19:B27"/>
    <mergeCell ref="J19:J27"/>
  </mergeCells>
  <pageMargins left="0.7" right="0.7" top="0.75" bottom="0.75" header="0.3" footer="0.3"/>
  <pageSetup orientation="portrait" r:id="rId1"/>
  <headerFooter>
    <oddFooter>&amp;L&amp;Z&amp;F &amp;A&amp;C&amp;P&amp;R&amp;D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2:T41"/>
  <sheetViews>
    <sheetView workbookViewId="0"/>
  </sheetViews>
  <sheetFormatPr defaultRowHeight="15" x14ac:dyDescent="0.25"/>
  <cols>
    <col min="2" max="2" width="12.42578125" customWidth="1"/>
    <col min="3" max="3" width="11.140625" customWidth="1"/>
    <col min="6" max="6" width="9.140625" customWidth="1"/>
    <col min="7" max="7" width="9.5703125" customWidth="1"/>
    <col min="8" max="8" width="12.7109375" customWidth="1"/>
    <col min="9" max="9" width="11.5703125" customWidth="1"/>
    <col min="11" max="11" width="25.5703125" customWidth="1"/>
    <col min="12" max="12" width="30" customWidth="1"/>
    <col min="14" max="14" width="9.140625" hidden="1" customWidth="1"/>
    <col min="15" max="15" width="7.28515625" hidden="1" customWidth="1"/>
    <col min="16" max="16" width="8.140625" hidden="1" customWidth="1"/>
    <col min="17" max="17" width="9.140625" hidden="1" customWidth="1"/>
    <col min="18" max="18" width="4.28515625" hidden="1" customWidth="1"/>
    <col min="19" max="19" width="8.28515625" hidden="1" customWidth="1"/>
    <col min="20" max="20" width="28.85546875" hidden="1" customWidth="1"/>
  </cols>
  <sheetData>
    <row r="2" spans="1:20" ht="20.25" thickBot="1" x14ac:dyDescent="0.35">
      <c r="B2" s="1" t="s">
        <v>550</v>
      </c>
      <c r="C2" s="1"/>
      <c r="D2" s="1"/>
      <c r="E2" s="1"/>
      <c r="F2" s="1"/>
      <c r="G2" s="1"/>
      <c r="H2" s="1"/>
      <c r="I2" s="1"/>
    </row>
    <row r="3" spans="1:20" ht="15.75" thickTop="1" x14ac:dyDescent="0.25">
      <c r="B3" t="s">
        <v>568</v>
      </c>
    </row>
    <row r="4" spans="1:20" x14ac:dyDescent="0.25">
      <c r="B4" s="181" t="s">
        <v>416</v>
      </c>
      <c r="C4" s="181"/>
      <c r="D4" s="181"/>
      <c r="E4" s="181"/>
      <c r="F4" s="181"/>
      <c r="G4" s="181"/>
      <c r="H4" s="181"/>
    </row>
    <row r="5" spans="1:20" x14ac:dyDescent="0.25">
      <c r="B5" t="s">
        <v>644</v>
      </c>
    </row>
    <row r="6" spans="1:20" x14ac:dyDescent="0.25">
      <c r="N6" s="361" t="s">
        <v>955</v>
      </c>
    </row>
    <row r="7" spans="1:20" ht="15.75" thickBot="1" x14ac:dyDescent="0.3">
      <c r="B7" s="499" t="s">
        <v>567</v>
      </c>
      <c r="C7" s="499"/>
      <c r="D7" s="499"/>
      <c r="E7" s="499"/>
      <c r="F7" s="499"/>
      <c r="G7" s="499"/>
      <c r="H7" s="499"/>
      <c r="I7" s="499"/>
      <c r="K7" s="486" t="s">
        <v>582</v>
      </c>
      <c r="L7" s="486"/>
      <c r="O7" s="238">
        <v>2</v>
      </c>
      <c r="P7" s="238">
        <v>3</v>
      </c>
      <c r="Q7" s="238">
        <v>8</v>
      </c>
      <c r="R7" s="238">
        <v>57</v>
      </c>
      <c r="S7" s="238">
        <v>60</v>
      </c>
    </row>
    <row r="8" spans="1:20" ht="30.75" thickBot="1" x14ac:dyDescent="0.3">
      <c r="B8" s="218" t="s">
        <v>461</v>
      </c>
      <c r="C8" s="219" t="s">
        <v>52</v>
      </c>
      <c r="D8" s="220" t="s">
        <v>88</v>
      </c>
      <c r="E8" s="220" t="s">
        <v>86</v>
      </c>
      <c r="F8" s="220" t="s">
        <v>87</v>
      </c>
      <c r="G8" s="221" t="s">
        <v>114</v>
      </c>
      <c r="H8" s="220" t="s">
        <v>53</v>
      </c>
      <c r="I8" s="222" t="s">
        <v>59</v>
      </c>
      <c r="K8" s="229" t="s">
        <v>842</v>
      </c>
      <c r="L8" s="230" t="s">
        <v>530</v>
      </c>
      <c r="N8" s="306" t="s">
        <v>954</v>
      </c>
      <c r="O8" s="212" t="s">
        <v>91</v>
      </c>
      <c r="P8" s="212" t="s">
        <v>114</v>
      </c>
      <c r="Q8" s="212" t="s">
        <v>952</v>
      </c>
      <c r="R8" s="213" t="s">
        <v>953</v>
      </c>
      <c r="S8" s="213" t="s">
        <v>85</v>
      </c>
      <c r="T8" s="5" t="s">
        <v>843</v>
      </c>
    </row>
    <row r="9" spans="1:20" ht="15" customHeight="1" x14ac:dyDescent="0.25">
      <c r="A9" s="278"/>
      <c r="B9" s="477" t="s">
        <v>462</v>
      </c>
      <c r="C9" s="202" t="s">
        <v>520</v>
      </c>
      <c r="D9" s="190" t="s">
        <v>89</v>
      </c>
      <c r="E9" s="190">
        <f>+O9</f>
        <v>14</v>
      </c>
      <c r="F9" s="199"/>
      <c r="G9" s="210">
        <f>+P9</f>
        <v>12.165517241379311</v>
      </c>
      <c r="H9" s="191">
        <f>+Q9</f>
        <v>0.29399999999999998</v>
      </c>
      <c r="I9" s="192" t="s">
        <v>60</v>
      </c>
      <c r="K9" s="500" t="s">
        <v>712</v>
      </c>
      <c r="L9" s="227"/>
      <c r="N9" s="158">
        <v>11402</v>
      </c>
      <c r="O9">
        <f>VLOOKUP($N9,'Split DX Selected Perf Maps'!$A$10:$CA$50,O$7,FALSE)</f>
        <v>14</v>
      </c>
      <c r="P9" s="278">
        <f>VLOOKUP($N9,'Split DX Selected Perf Maps'!$A$10:$CA$50,P$7,FALSE)</f>
        <v>12.165517241379311</v>
      </c>
      <c r="Q9">
        <f>VLOOKUP($N9,'Split DX Selected Perf Maps'!$A$10:$CA$50,Q$7,FALSE)</f>
        <v>0.29399999999999998</v>
      </c>
      <c r="R9">
        <f>VLOOKUP($N9,'Split DX Selected Perf Maps'!$A$10:$CA$50,R$7,FALSE)</f>
        <v>1</v>
      </c>
      <c r="T9" t="s">
        <v>848</v>
      </c>
    </row>
    <row r="10" spans="1:20" x14ac:dyDescent="0.25">
      <c r="A10" s="278"/>
      <c r="B10" s="478"/>
      <c r="C10" s="203">
        <v>1</v>
      </c>
      <c r="D10" s="11" t="s">
        <v>89</v>
      </c>
      <c r="E10" s="11">
        <f t="shared" ref="E10:E29" si="0">+O10</f>
        <v>15</v>
      </c>
      <c r="F10" s="200"/>
      <c r="G10" s="207">
        <f t="shared" ref="G10:G29" si="1">+P10</f>
        <v>12.781690140845072</v>
      </c>
      <c r="H10" s="12">
        <f t="shared" ref="H10:H29" si="2">+Q10</f>
        <v>0.251</v>
      </c>
      <c r="I10" s="13" t="s">
        <v>60</v>
      </c>
      <c r="K10" s="501"/>
      <c r="L10" s="45" t="s">
        <v>551</v>
      </c>
      <c r="N10" s="158">
        <v>11501</v>
      </c>
      <c r="O10">
        <f>VLOOKUP($N10,'Split DX Selected Perf Maps'!$A$10:$CA$50,O$7,FALSE)</f>
        <v>15</v>
      </c>
      <c r="P10" s="278">
        <f>VLOOKUP($N10,'Split DX Selected Perf Maps'!$A$10:$CA$50,P$7,FALSE)</f>
        <v>12.781690140845072</v>
      </c>
      <c r="Q10">
        <f>VLOOKUP($N10,'Split DX Selected Perf Maps'!$A$10:$CA$50,Q$7,FALSE)</f>
        <v>0.251</v>
      </c>
      <c r="R10">
        <f>VLOOKUP($N10,'Split DX Selected Perf Maps'!$A$10:$CA$50,R$7,FALSE)</f>
        <v>1</v>
      </c>
      <c r="T10" t="s">
        <v>844</v>
      </c>
    </row>
    <row r="11" spans="1:20" x14ac:dyDescent="0.25">
      <c r="A11" s="278"/>
      <c r="B11" s="478"/>
      <c r="C11" s="203">
        <v>2</v>
      </c>
      <c r="D11" s="11" t="s">
        <v>89</v>
      </c>
      <c r="E11" s="11">
        <f t="shared" si="0"/>
        <v>16</v>
      </c>
      <c r="F11" s="200"/>
      <c r="G11" s="207">
        <f t="shared" si="1"/>
        <v>12.48</v>
      </c>
      <c r="H11" s="12">
        <f t="shared" si="2"/>
        <v>0.27100000000000002</v>
      </c>
      <c r="I11" s="13" t="s">
        <v>61</v>
      </c>
      <c r="K11" s="501"/>
      <c r="L11" s="45" t="s">
        <v>552</v>
      </c>
      <c r="N11" s="158">
        <v>11604</v>
      </c>
      <c r="O11">
        <f>VLOOKUP($N11,'Split DX Selected Perf Maps'!$A$10:$CA$50,O$7,FALSE)</f>
        <v>16</v>
      </c>
      <c r="P11" s="278">
        <f>VLOOKUP($N11,'Split DX Selected Perf Maps'!$A$10:$CA$50,P$7,FALSE)</f>
        <v>12.48</v>
      </c>
      <c r="Q11">
        <f>VLOOKUP($N11,'Split DX Selected Perf Maps'!$A$10:$CA$50,Q$7,FALSE)</f>
        <v>0.27100000000000002</v>
      </c>
      <c r="R11">
        <f>VLOOKUP($N11,'Split DX Selected Perf Maps'!$A$10:$CA$50,R$7,FALSE)</f>
        <v>2</v>
      </c>
      <c r="T11" t="s">
        <v>845</v>
      </c>
    </row>
    <row r="12" spans="1:20" x14ac:dyDescent="0.25">
      <c r="A12" s="278"/>
      <c r="B12" s="478"/>
      <c r="C12" s="203">
        <v>3</v>
      </c>
      <c r="D12" s="11" t="s">
        <v>89</v>
      </c>
      <c r="E12" s="11">
        <f t="shared" si="0"/>
        <v>17</v>
      </c>
      <c r="F12" s="200"/>
      <c r="G12" s="207">
        <f t="shared" si="1"/>
        <v>13.260000000000002</v>
      </c>
      <c r="H12" s="12">
        <f t="shared" si="2"/>
        <v>0.27100000000000002</v>
      </c>
      <c r="I12" s="13" t="s">
        <v>61</v>
      </c>
      <c r="K12" s="501"/>
      <c r="L12" s="45" t="s">
        <v>553</v>
      </c>
      <c r="N12" s="158">
        <v>11704</v>
      </c>
      <c r="O12">
        <f>VLOOKUP($N12,'Split DX Selected Perf Maps'!$A$10:$CA$50,O$7,FALSE)</f>
        <v>17</v>
      </c>
      <c r="P12" s="278">
        <f>VLOOKUP($N12,'Split DX Selected Perf Maps'!$A$10:$CA$50,P$7,FALSE)</f>
        <v>13.260000000000002</v>
      </c>
      <c r="Q12">
        <f>VLOOKUP($N12,'Split DX Selected Perf Maps'!$A$10:$CA$50,Q$7,FALSE)</f>
        <v>0.27100000000000002</v>
      </c>
      <c r="R12">
        <f>VLOOKUP($N12,'Split DX Selected Perf Maps'!$A$10:$CA$50,R$7,FALSE)</f>
        <v>2</v>
      </c>
      <c r="T12" t="s">
        <v>845</v>
      </c>
    </row>
    <row r="13" spans="1:20" x14ac:dyDescent="0.25">
      <c r="A13" s="278"/>
      <c r="B13" s="478"/>
      <c r="C13" s="203">
        <v>4</v>
      </c>
      <c r="D13" s="11" t="s">
        <v>89</v>
      </c>
      <c r="E13" s="11">
        <f t="shared" si="0"/>
        <v>18</v>
      </c>
      <c r="F13" s="200"/>
      <c r="G13" s="207">
        <f t="shared" si="1"/>
        <v>14.040000000000001</v>
      </c>
      <c r="H13" s="12">
        <f t="shared" si="2"/>
        <v>0.27100000000000002</v>
      </c>
      <c r="I13" s="13" t="s">
        <v>61</v>
      </c>
      <c r="K13" s="501"/>
      <c r="L13" s="45" t="s">
        <v>554</v>
      </c>
      <c r="N13" s="158">
        <v>11802</v>
      </c>
      <c r="O13">
        <f>VLOOKUP($N13,'Split DX Selected Perf Maps'!$A$10:$CA$50,O$7,FALSE)</f>
        <v>18</v>
      </c>
      <c r="P13" s="278">
        <f>VLOOKUP($N13,'Split DX Selected Perf Maps'!$A$10:$CA$50,P$7,FALSE)</f>
        <v>14.040000000000001</v>
      </c>
      <c r="Q13">
        <f>VLOOKUP($N13,'Split DX Selected Perf Maps'!$A$10:$CA$50,Q$7,FALSE)</f>
        <v>0.27100000000000002</v>
      </c>
      <c r="R13">
        <f>VLOOKUP($N13,'Split DX Selected Perf Maps'!$A$10:$CA$50,R$7,FALSE)</f>
        <v>2</v>
      </c>
      <c r="T13" t="s">
        <v>845</v>
      </c>
    </row>
    <row r="14" spans="1:20" x14ac:dyDescent="0.25">
      <c r="A14" s="278"/>
      <c r="B14" s="478"/>
      <c r="C14" s="203">
        <v>5</v>
      </c>
      <c r="D14" s="11" t="s">
        <v>89</v>
      </c>
      <c r="E14" s="11">
        <f t="shared" si="0"/>
        <v>19</v>
      </c>
      <c r="F14" s="200"/>
      <c r="G14" s="207">
        <f t="shared" si="1"/>
        <v>14.82</v>
      </c>
      <c r="H14" s="12">
        <f t="shared" si="2"/>
        <v>0.23300000000000001</v>
      </c>
      <c r="I14" s="13" t="s">
        <v>61</v>
      </c>
      <c r="K14" s="501"/>
      <c r="L14" s="45" t="s">
        <v>555</v>
      </c>
      <c r="N14" s="158">
        <v>11903</v>
      </c>
      <c r="O14">
        <f>VLOOKUP($N14,'Split DX Selected Perf Maps'!$A$10:$CA$50,O$7,FALSE)</f>
        <v>19</v>
      </c>
      <c r="P14" s="278">
        <f>VLOOKUP($N14,'Split DX Selected Perf Maps'!$A$10:$CA$50,P$7,FALSE)</f>
        <v>14.82</v>
      </c>
      <c r="Q14">
        <f>VLOOKUP($N14,'Split DX Selected Perf Maps'!$A$10:$CA$50,Q$7,FALSE)</f>
        <v>0.23300000000000001</v>
      </c>
      <c r="R14">
        <f>VLOOKUP($N14,'Split DX Selected Perf Maps'!$A$10:$CA$50,R$7,FALSE)</f>
        <v>2</v>
      </c>
      <c r="T14" t="s">
        <v>845</v>
      </c>
    </row>
    <row r="15" spans="1:20" x14ac:dyDescent="0.25">
      <c r="A15" s="278"/>
      <c r="B15" s="478"/>
      <c r="C15" s="203">
        <v>6</v>
      </c>
      <c r="D15" s="11" t="s">
        <v>89</v>
      </c>
      <c r="E15" s="11">
        <f t="shared" si="0"/>
        <v>20</v>
      </c>
      <c r="F15" s="200"/>
      <c r="G15" s="207">
        <f t="shared" si="1"/>
        <v>15.6</v>
      </c>
      <c r="H15" s="12">
        <f t="shared" si="2"/>
        <v>0.23300000000000001</v>
      </c>
      <c r="I15" s="13" t="s">
        <v>61</v>
      </c>
      <c r="K15" s="501"/>
      <c r="L15" s="45" t="s">
        <v>556</v>
      </c>
      <c r="N15" s="158">
        <v>12001</v>
      </c>
      <c r="O15">
        <f>VLOOKUP($N15,'Split DX Selected Perf Maps'!$A$10:$CA$50,O$7,FALSE)</f>
        <v>20</v>
      </c>
      <c r="P15" s="278">
        <f>VLOOKUP($N15,'Split DX Selected Perf Maps'!$A$10:$CA$50,P$7,FALSE)</f>
        <v>15.6</v>
      </c>
      <c r="Q15">
        <f>VLOOKUP($N15,'Split DX Selected Perf Maps'!$A$10:$CA$50,Q$7,FALSE)</f>
        <v>0.23300000000000001</v>
      </c>
      <c r="R15">
        <f>VLOOKUP($N15,'Split DX Selected Perf Maps'!$A$10:$CA$50,R$7,FALSE)</f>
        <v>2</v>
      </c>
      <c r="T15" t="s">
        <v>845</v>
      </c>
    </row>
    <row r="16" spans="1:20" ht="15.75" thickBot="1" x14ac:dyDescent="0.3">
      <c r="A16" s="278"/>
      <c r="B16" s="478"/>
      <c r="C16" s="204">
        <v>7</v>
      </c>
      <c r="D16" s="8" t="s">
        <v>89</v>
      </c>
      <c r="E16" s="8">
        <f t="shared" si="0"/>
        <v>21</v>
      </c>
      <c r="F16" s="201"/>
      <c r="G16" s="198">
        <f t="shared" si="1"/>
        <v>16.38</v>
      </c>
      <c r="H16" s="9">
        <f t="shared" si="2"/>
        <v>0.23300000000000001</v>
      </c>
      <c r="I16" s="10" t="s">
        <v>61</v>
      </c>
      <c r="K16" s="501"/>
      <c r="L16" s="228" t="s">
        <v>557</v>
      </c>
      <c r="N16" s="158">
        <v>12101</v>
      </c>
      <c r="O16">
        <f>VLOOKUP($N16,'Split DX Selected Perf Maps'!$A$10:$CA$50,O$7,FALSE)</f>
        <v>21</v>
      </c>
      <c r="P16" s="278">
        <f>VLOOKUP($N16,'Split DX Selected Perf Maps'!$A$10:$CA$50,P$7,FALSE)</f>
        <v>16.38</v>
      </c>
      <c r="Q16">
        <f>VLOOKUP($N16,'Split DX Selected Perf Maps'!$A$10:$CA$50,Q$7,FALSE)</f>
        <v>0.23300000000000001</v>
      </c>
      <c r="R16">
        <f>VLOOKUP($N16,'Split DX Selected Perf Maps'!$A$10:$CA$50,R$7,FALSE)</f>
        <v>2</v>
      </c>
      <c r="T16" t="s">
        <v>845</v>
      </c>
    </row>
    <row r="17" spans="1:20" x14ac:dyDescent="0.25">
      <c r="A17" s="278"/>
      <c r="B17" s="477" t="s">
        <v>464</v>
      </c>
      <c r="C17" s="208" t="s">
        <v>520</v>
      </c>
      <c r="D17" s="187" t="s">
        <v>89</v>
      </c>
      <c r="E17" s="187">
        <f t="shared" si="0"/>
        <v>14</v>
      </c>
      <c r="F17" s="209"/>
      <c r="G17" s="211">
        <f t="shared" si="1"/>
        <v>11.81793103448276</v>
      </c>
      <c r="H17" s="188">
        <f t="shared" si="2"/>
        <v>0.29399999999999998</v>
      </c>
      <c r="I17" s="189" t="s">
        <v>60</v>
      </c>
      <c r="K17" s="501"/>
      <c r="L17" s="227"/>
      <c r="N17" s="158">
        <v>11403</v>
      </c>
      <c r="O17">
        <f>VLOOKUP($N17,'Split DX Selected Perf Maps'!$A$10:$CA$50,O$7,FALSE)</f>
        <v>14</v>
      </c>
      <c r="P17" s="278">
        <f>VLOOKUP($N17,'Split DX Selected Perf Maps'!$A$10:$CA$50,P$7,FALSE)</f>
        <v>11.81793103448276</v>
      </c>
      <c r="Q17">
        <f>VLOOKUP($N17,'Split DX Selected Perf Maps'!$A$10:$CA$50,Q$7,FALSE)</f>
        <v>0.29399999999999998</v>
      </c>
      <c r="R17">
        <f>VLOOKUP($N17,'Split DX Selected Perf Maps'!$A$10:$CA$50,R$7,FALSE)</f>
        <v>1</v>
      </c>
      <c r="T17" t="s">
        <v>849</v>
      </c>
    </row>
    <row r="18" spans="1:20" x14ac:dyDescent="0.25">
      <c r="A18" s="278"/>
      <c r="B18" s="478"/>
      <c r="C18" s="203">
        <v>1</v>
      </c>
      <c r="D18" s="11" t="s">
        <v>89</v>
      </c>
      <c r="E18" s="11">
        <f t="shared" si="0"/>
        <v>15</v>
      </c>
      <c r="F18" s="200"/>
      <c r="G18" s="207">
        <f t="shared" si="1"/>
        <v>12.781690140845072</v>
      </c>
      <c r="H18" s="12">
        <f t="shared" si="2"/>
        <v>0.251</v>
      </c>
      <c r="I18" s="13" t="s">
        <v>60</v>
      </c>
      <c r="K18" s="501"/>
      <c r="L18" s="45" t="s">
        <v>558</v>
      </c>
      <c r="N18" s="158">
        <v>11501</v>
      </c>
      <c r="O18">
        <f>VLOOKUP($N18,'Split DX Selected Perf Maps'!$A$10:$CA$50,O$7,FALSE)</f>
        <v>15</v>
      </c>
      <c r="P18" s="278">
        <f>VLOOKUP($N18,'Split DX Selected Perf Maps'!$A$10:$CA$50,P$7,FALSE)</f>
        <v>12.781690140845072</v>
      </c>
      <c r="Q18">
        <f>VLOOKUP($N18,'Split DX Selected Perf Maps'!$A$10:$CA$50,Q$7,FALSE)</f>
        <v>0.251</v>
      </c>
      <c r="R18">
        <f>VLOOKUP($N18,'Split DX Selected Perf Maps'!$A$10:$CA$50,R$7,FALSE)</f>
        <v>1</v>
      </c>
      <c r="T18" t="s">
        <v>844</v>
      </c>
    </row>
    <row r="19" spans="1:20" x14ac:dyDescent="0.25">
      <c r="A19" s="278"/>
      <c r="B19" s="478"/>
      <c r="C19" s="203">
        <v>2</v>
      </c>
      <c r="D19" s="11" t="s">
        <v>89</v>
      </c>
      <c r="E19" s="11">
        <f t="shared" si="0"/>
        <v>16</v>
      </c>
      <c r="F19" s="200"/>
      <c r="G19" s="207">
        <f t="shared" si="1"/>
        <v>12.48</v>
      </c>
      <c r="H19" s="12">
        <f t="shared" si="2"/>
        <v>0.27100000000000002</v>
      </c>
      <c r="I19" s="13" t="s">
        <v>61</v>
      </c>
      <c r="K19" s="501"/>
      <c r="L19" s="45" t="s">
        <v>559</v>
      </c>
      <c r="N19" s="158">
        <v>11604</v>
      </c>
      <c r="O19">
        <f>VLOOKUP($N19,'Split DX Selected Perf Maps'!$A$10:$CA$50,O$7,FALSE)</f>
        <v>16</v>
      </c>
      <c r="P19" s="278">
        <f>VLOOKUP($N19,'Split DX Selected Perf Maps'!$A$10:$CA$50,P$7,FALSE)</f>
        <v>12.48</v>
      </c>
      <c r="Q19">
        <f>VLOOKUP($N19,'Split DX Selected Perf Maps'!$A$10:$CA$50,Q$7,FALSE)</f>
        <v>0.27100000000000002</v>
      </c>
      <c r="R19">
        <f>VLOOKUP($N19,'Split DX Selected Perf Maps'!$A$10:$CA$50,R$7,FALSE)</f>
        <v>2</v>
      </c>
      <c r="T19" t="s">
        <v>845</v>
      </c>
    </row>
    <row r="20" spans="1:20" x14ac:dyDescent="0.25">
      <c r="A20" s="278"/>
      <c r="B20" s="478"/>
      <c r="C20" s="203">
        <v>3</v>
      </c>
      <c r="D20" s="11" t="s">
        <v>89</v>
      </c>
      <c r="E20" s="11">
        <f t="shared" si="0"/>
        <v>17</v>
      </c>
      <c r="F20" s="200"/>
      <c r="G20" s="207">
        <f t="shared" si="1"/>
        <v>13.260000000000002</v>
      </c>
      <c r="H20" s="12">
        <f t="shared" si="2"/>
        <v>0.27100000000000002</v>
      </c>
      <c r="I20" s="13" t="s">
        <v>61</v>
      </c>
      <c r="K20" s="501"/>
      <c r="L20" s="45" t="s">
        <v>560</v>
      </c>
      <c r="N20" s="158">
        <v>11704</v>
      </c>
      <c r="O20">
        <f>VLOOKUP($N20,'Split DX Selected Perf Maps'!$A$10:$CA$50,O$7,FALSE)</f>
        <v>17</v>
      </c>
      <c r="P20" s="278">
        <f>VLOOKUP($N20,'Split DX Selected Perf Maps'!$A$10:$CA$50,P$7,FALSE)</f>
        <v>13.260000000000002</v>
      </c>
      <c r="Q20">
        <f>VLOOKUP($N20,'Split DX Selected Perf Maps'!$A$10:$CA$50,Q$7,FALSE)</f>
        <v>0.27100000000000002</v>
      </c>
      <c r="R20">
        <f>VLOOKUP($N20,'Split DX Selected Perf Maps'!$A$10:$CA$50,R$7,FALSE)</f>
        <v>2</v>
      </c>
      <c r="T20" t="s">
        <v>845</v>
      </c>
    </row>
    <row r="21" spans="1:20" x14ac:dyDescent="0.25">
      <c r="A21" s="278"/>
      <c r="B21" s="478"/>
      <c r="C21" s="203">
        <v>4</v>
      </c>
      <c r="D21" s="11" t="s">
        <v>89</v>
      </c>
      <c r="E21" s="11">
        <f t="shared" si="0"/>
        <v>18</v>
      </c>
      <c r="F21" s="200"/>
      <c r="G21" s="207">
        <f t="shared" si="1"/>
        <v>14.040000000000001</v>
      </c>
      <c r="H21" s="12">
        <f t="shared" si="2"/>
        <v>0.27100000000000002</v>
      </c>
      <c r="I21" s="13" t="s">
        <v>61</v>
      </c>
      <c r="K21" s="501"/>
      <c r="L21" s="45" t="s">
        <v>561</v>
      </c>
      <c r="N21" s="158">
        <v>11802</v>
      </c>
      <c r="O21">
        <f>VLOOKUP($N21,'Split DX Selected Perf Maps'!$A$10:$CA$50,O$7,FALSE)</f>
        <v>18</v>
      </c>
      <c r="P21" s="278">
        <f>VLOOKUP($N21,'Split DX Selected Perf Maps'!$A$10:$CA$50,P$7,FALSE)</f>
        <v>14.040000000000001</v>
      </c>
      <c r="Q21">
        <f>VLOOKUP($N21,'Split DX Selected Perf Maps'!$A$10:$CA$50,Q$7,FALSE)</f>
        <v>0.27100000000000002</v>
      </c>
      <c r="R21">
        <f>VLOOKUP($N21,'Split DX Selected Perf Maps'!$A$10:$CA$50,R$7,FALSE)</f>
        <v>2</v>
      </c>
      <c r="T21" t="s">
        <v>845</v>
      </c>
    </row>
    <row r="22" spans="1:20" x14ac:dyDescent="0.25">
      <c r="A22" s="278"/>
      <c r="B22" s="478"/>
      <c r="C22" s="203">
        <v>5</v>
      </c>
      <c r="D22" s="11" t="s">
        <v>89</v>
      </c>
      <c r="E22" s="11">
        <f t="shared" si="0"/>
        <v>19</v>
      </c>
      <c r="F22" s="200"/>
      <c r="G22" s="207">
        <f t="shared" si="1"/>
        <v>14.82</v>
      </c>
      <c r="H22" s="12">
        <f t="shared" si="2"/>
        <v>0.23300000000000001</v>
      </c>
      <c r="I22" s="13" t="s">
        <v>61</v>
      </c>
      <c r="K22" s="501"/>
      <c r="L22" s="45" t="s">
        <v>562</v>
      </c>
      <c r="N22" s="158">
        <v>11903</v>
      </c>
      <c r="O22">
        <f>VLOOKUP($N22,'Split DX Selected Perf Maps'!$A$10:$CA$50,O$7,FALSE)</f>
        <v>19</v>
      </c>
      <c r="P22" s="278">
        <f>VLOOKUP($N22,'Split DX Selected Perf Maps'!$A$10:$CA$50,P$7,FALSE)</f>
        <v>14.82</v>
      </c>
      <c r="Q22">
        <f>VLOOKUP($N22,'Split DX Selected Perf Maps'!$A$10:$CA$50,Q$7,FALSE)</f>
        <v>0.23300000000000001</v>
      </c>
      <c r="R22">
        <f>VLOOKUP($N22,'Split DX Selected Perf Maps'!$A$10:$CA$50,R$7,FALSE)</f>
        <v>2</v>
      </c>
      <c r="T22" t="s">
        <v>845</v>
      </c>
    </row>
    <row r="23" spans="1:20" x14ac:dyDescent="0.25">
      <c r="A23" s="278"/>
      <c r="B23" s="478"/>
      <c r="C23" s="203">
        <v>6</v>
      </c>
      <c r="D23" s="11" t="s">
        <v>89</v>
      </c>
      <c r="E23" s="11">
        <f t="shared" si="0"/>
        <v>20</v>
      </c>
      <c r="F23" s="200"/>
      <c r="G23" s="207">
        <f t="shared" si="1"/>
        <v>15.6</v>
      </c>
      <c r="H23" s="12">
        <f t="shared" si="2"/>
        <v>0.23300000000000001</v>
      </c>
      <c r="I23" s="13" t="s">
        <v>61</v>
      </c>
      <c r="K23" s="501"/>
      <c r="L23" s="45" t="s">
        <v>563</v>
      </c>
      <c r="N23" s="158">
        <v>12001</v>
      </c>
      <c r="O23">
        <f>VLOOKUP($N23,'Split DX Selected Perf Maps'!$A$10:$CA$50,O$7,FALSE)</f>
        <v>20</v>
      </c>
      <c r="P23" s="278">
        <f>VLOOKUP($N23,'Split DX Selected Perf Maps'!$A$10:$CA$50,P$7,FALSE)</f>
        <v>15.6</v>
      </c>
      <c r="Q23">
        <f>VLOOKUP($N23,'Split DX Selected Perf Maps'!$A$10:$CA$50,Q$7,FALSE)</f>
        <v>0.23300000000000001</v>
      </c>
      <c r="R23">
        <f>VLOOKUP($N23,'Split DX Selected Perf Maps'!$A$10:$CA$50,R$7,FALSE)</f>
        <v>2</v>
      </c>
      <c r="T23" t="s">
        <v>845</v>
      </c>
    </row>
    <row r="24" spans="1:20" ht="15.75" thickBot="1" x14ac:dyDescent="0.3">
      <c r="A24" s="278"/>
      <c r="B24" s="479"/>
      <c r="C24" s="204">
        <v>7</v>
      </c>
      <c r="D24" s="8" t="s">
        <v>89</v>
      </c>
      <c r="E24" s="8">
        <f t="shared" si="0"/>
        <v>21</v>
      </c>
      <c r="F24" s="201"/>
      <c r="G24" s="198">
        <f t="shared" si="1"/>
        <v>16.38</v>
      </c>
      <c r="H24" s="9">
        <f t="shared" si="2"/>
        <v>0.23300000000000001</v>
      </c>
      <c r="I24" s="10" t="s">
        <v>61</v>
      </c>
      <c r="K24" s="502"/>
      <c r="L24" s="228" t="s">
        <v>564</v>
      </c>
      <c r="N24" s="158">
        <v>12101</v>
      </c>
      <c r="O24">
        <f>VLOOKUP($N24,'Split DX Selected Perf Maps'!$A$10:$CA$50,O$7,FALSE)</f>
        <v>21</v>
      </c>
      <c r="P24" s="278">
        <f>VLOOKUP($N24,'Split DX Selected Perf Maps'!$A$10:$CA$50,P$7,FALSE)</f>
        <v>16.38</v>
      </c>
      <c r="Q24">
        <f>VLOOKUP($N24,'Split DX Selected Perf Maps'!$A$10:$CA$50,Q$7,FALSE)</f>
        <v>0.23300000000000001</v>
      </c>
      <c r="R24">
        <f>VLOOKUP($N24,'Split DX Selected Perf Maps'!$A$10:$CA$50,R$7,FALSE)</f>
        <v>2</v>
      </c>
      <c r="T24" t="s">
        <v>845</v>
      </c>
    </row>
    <row r="25" spans="1:20" x14ac:dyDescent="0.25">
      <c r="A25" s="278"/>
      <c r="B25" s="498" t="s">
        <v>465</v>
      </c>
      <c r="C25" s="208" t="s">
        <v>520</v>
      </c>
      <c r="D25" s="187" t="s">
        <v>90</v>
      </c>
      <c r="E25" s="187">
        <f t="shared" si="0"/>
        <v>14</v>
      </c>
      <c r="F25" s="187">
        <f>+S25</f>
        <v>8.1999999999999993</v>
      </c>
      <c r="G25" s="260">
        <f t="shared" si="1"/>
        <v>11.929577464788734</v>
      </c>
      <c r="H25" s="188">
        <f t="shared" si="2"/>
        <v>0.29399999999999998</v>
      </c>
      <c r="I25" s="189" t="s">
        <v>60</v>
      </c>
      <c r="K25" s="54" t="s">
        <v>432</v>
      </c>
      <c r="L25" s="227"/>
      <c r="N25" s="158">
        <v>21405</v>
      </c>
      <c r="O25">
        <f>VLOOKUP($N25,'Split DX Selected Perf Maps'!$A$10:$CA$50,O$7,FALSE)</f>
        <v>14</v>
      </c>
      <c r="P25" s="278">
        <f>VLOOKUP($N25,'Split DX Selected Perf Maps'!$A$10:$CA$50,P$7,FALSE)</f>
        <v>11.929577464788734</v>
      </c>
      <c r="Q25">
        <f>VLOOKUP($N25,'Split DX Selected Perf Maps'!$A$10:$CA$50,Q$7,FALSE)</f>
        <v>0.29399999999999998</v>
      </c>
      <c r="R25">
        <f>VLOOKUP($N25,'Split DX Selected Perf Maps'!$A$10:$CA$50,R$7,FALSE)</f>
        <v>1</v>
      </c>
      <c r="S25">
        <f>VLOOKUP($N25,'Split DX Selected Perf Maps'!$A$10:$CA$50,S$7,FALSE)</f>
        <v>8.1999999999999993</v>
      </c>
      <c r="T25" t="s">
        <v>846</v>
      </c>
    </row>
    <row r="26" spans="1:20" x14ac:dyDescent="0.25">
      <c r="A26" s="278"/>
      <c r="B26" s="493"/>
      <c r="C26" s="203">
        <v>1</v>
      </c>
      <c r="D26" s="11" t="s">
        <v>90</v>
      </c>
      <c r="E26" s="11">
        <f t="shared" si="0"/>
        <v>15</v>
      </c>
      <c r="F26" s="39">
        <f t="shared" ref="F26:F29" si="3">+S26</f>
        <v>8.6999999999999993</v>
      </c>
      <c r="G26" s="261">
        <f t="shared" si="1"/>
        <v>12.781690140845072</v>
      </c>
      <c r="H26" s="12">
        <f t="shared" si="2"/>
        <v>0.251</v>
      </c>
      <c r="I26" s="13" t="s">
        <v>60</v>
      </c>
      <c r="K26" s="54" t="s">
        <v>433</v>
      </c>
      <c r="L26" s="45" t="s">
        <v>532</v>
      </c>
      <c r="N26" s="158">
        <v>21501</v>
      </c>
      <c r="O26">
        <f>VLOOKUP($N26,'Split DX Selected Perf Maps'!$A$10:$CA$50,O$7,FALSE)</f>
        <v>15</v>
      </c>
      <c r="P26" s="278">
        <f>VLOOKUP($N26,'Split DX Selected Perf Maps'!$A$10:$CA$50,P$7,FALSE)</f>
        <v>12.781690140845072</v>
      </c>
      <c r="Q26">
        <f>VLOOKUP($N26,'Split DX Selected Perf Maps'!$A$10:$CA$50,Q$7,FALSE)</f>
        <v>0.251</v>
      </c>
      <c r="R26">
        <f>VLOOKUP($N26,'Split DX Selected Perf Maps'!$A$10:$CA$50,R$7,FALSE)</f>
        <v>1</v>
      </c>
      <c r="S26">
        <f>VLOOKUP($N26,'Split DX Selected Perf Maps'!$A$10:$CA$50,S$7,FALSE)</f>
        <v>8.6999999999999993</v>
      </c>
      <c r="T26" t="s">
        <v>846</v>
      </c>
    </row>
    <row r="27" spans="1:20" x14ac:dyDescent="0.25">
      <c r="A27" s="278"/>
      <c r="B27" s="493"/>
      <c r="C27" s="203">
        <v>2</v>
      </c>
      <c r="D27" s="11" t="s">
        <v>90</v>
      </c>
      <c r="E27" s="11">
        <f t="shared" si="0"/>
        <v>16</v>
      </c>
      <c r="F27" s="39">
        <f t="shared" si="3"/>
        <v>9</v>
      </c>
      <c r="G27" s="261">
        <f t="shared" si="1"/>
        <v>12.48</v>
      </c>
      <c r="H27" s="12">
        <f t="shared" si="2"/>
        <v>0.27100000000000002</v>
      </c>
      <c r="I27" s="13" t="s">
        <v>61</v>
      </c>
      <c r="K27" s="54" t="s">
        <v>434</v>
      </c>
      <c r="L27" s="45" t="s">
        <v>533</v>
      </c>
      <c r="N27" s="158">
        <v>21604</v>
      </c>
      <c r="O27">
        <f>VLOOKUP($N27,'Split DX Selected Perf Maps'!$A$10:$CA$50,O$7,FALSE)</f>
        <v>16</v>
      </c>
      <c r="P27" s="278">
        <f>VLOOKUP($N27,'Split DX Selected Perf Maps'!$A$10:$CA$50,P$7,FALSE)</f>
        <v>12.48</v>
      </c>
      <c r="Q27">
        <f>VLOOKUP($N27,'Split DX Selected Perf Maps'!$A$10:$CA$50,Q$7,FALSE)</f>
        <v>0.27100000000000002</v>
      </c>
      <c r="R27">
        <f>VLOOKUP($N27,'Split DX Selected Perf Maps'!$A$10:$CA$50,R$7,FALSE)</f>
        <v>2</v>
      </c>
      <c r="S27">
        <f>VLOOKUP($N27,'Split DX Selected Perf Maps'!$A$10:$CA$50,S$7,FALSE)</f>
        <v>9</v>
      </c>
      <c r="T27" t="s">
        <v>847</v>
      </c>
    </row>
    <row r="28" spans="1:20" x14ac:dyDescent="0.25">
      <c r="A28" s="278"/>
      <c r="B28" s="493"/>
      <c r="C28" s="205">
        <v>3</v>
      </c>
      <c r="D28" s="172" t="s">
        <v>90</v>
      </c>
      <c r="E28" s="172">
        <f t="shared" si="0"/>
        <v>17</v>
      </c>
      <c r="F28" s="184">
        <f t="shared" si="3"/>
        <v>9.4</v>
      </c>
      <c r="G28" s="258">
        <f t="shared" si="1"/>
        <v>13.260000000000002</v>
      </c>
      <c r="H28" s="176">
        <f t="shared" si="2"/>
        <v>0.27100000000000002</v>
      </c>
      <c r="I28" s="185" t="s">
        <v>61</v>
      </c>
      <c r="K28" s="226"/>
      <c r="L28" s="45" t="s">
        <v>534</v>
      </c>
      <c r="N28" s="158">
        <v>21704</v>
      </c>
      <c r="O28">
        <f>VLOOKUP($N28,'Split DX Selected Perf Maps'!$A$10:$CA$50,O$7,FALSE)</f>
        <v>17</v>
      </c>
      <c r="P28" s="278">
        <f>VLOOKUP($N28,'Split DX Selected Perf Maps'!$A$10:$CA$50,P$7,FALSE)</f>
        <v>13.260000000000002</v>
      </c>
      <c r="Q28">
        <f>VLOOKUP($N28,'Split DX Selected Perf Maps'!$A$10:$CA$50,Q$7,FALSE)</f>
        <v>0.27100000000000002</v>
      </c>
      <c r="R28">
        <f>VLOOKUP($N28,'Split DX Selected Perf Maps'!$A$10:$CA$50,R$7,FALSE)</f>
        <v>2</v>
      </c>
      <c r="S28">
        <f>VLOOKUP($N28,'Split DX Selected Perf Maps'!$A$10:$CA$50,S$7,FALSE)</f>
        <v>9.4</v>
      </c>
      <c r="T28" t="s">
        <v>847</v>
      </c>
    </row>
    <row r="29" spans="1:20" ht="15.75" thickBot="1" x14ac:dyDescent="0.3">
      <c r="A29" s="278"/>
      <c r="B29" s="494"/>
      <c r="C29" s="206">
        <v>4</v>
      </c>
      <c r="D29" s="173" t="s">
        <v>90</v>
      </c>
      <c r="E29" s="173">
        <f t="shared" si="0"/>
        <v>18</v>
      </c>
      <c r="F29" s="186">
        <f t="shared" si="3"/>
        <v>9.6999999999999993</v>
      </c>
      <c r="G29" s="259">
        <f t="shared" si="1"/>
        <v>14.040000000000001</v>
      </c>
      <c r="H29" s="177">
        <f t="shared" si="2"/>
        <v>0.27100000000000002</v>
      </c>
      <c r="I29" s="179" t="s">
        <v>61</v>
      </c>
      <c r="K29" s="56"/>
      <c r="L29" s="48" t="s">
        <v>535</v>
      </c>
      <c r="N29" s="158">
        <v>21802</v>
      </c>
      <c r="O29">
        <f>VLOOKUP($N29,'Split DX Selected Perf Maps'!$A$10:$CA$50,O$7,FALSE)</f>
        <v>18</v>
      </c>
      <c r="P29" s="278">
        <f>VLOOKUP($N29,'Split DX Selected Perf Maps'!$A$10:$CA$50,P$7,FALSE)</f>
        <v>14.040000000000001</v>
      </c>
      <c r="Q29">
        <f>VLOOKUP($N29,'Split DX Selected Perf Maps'!$A$10:$CA$50,Q$7,FALSE)</f>
        <v>0.27100000000000002</v>
      </c>
      <c r="R29">
        <f>VLOOKUP($N29,'Split DX Selected Perf Maps'!$A$10:$CA$50,R$7,FALSE)</f>
        <v>2</v>
      </c>
      <c r="S29">
        <f>VLOOKUP($N29,'Split DX Selected Perf Maps'!$A$10:$CA$50,S$7,FALSE)</f>
        <v>9.6999999999999993</v>
      </c>
      <c r="T29" t="s">
        <v>847</v>
      </c>
    </row>
    <row r="30" spans="1:20" x14ac:dyDescent="0.25">
      <c r="B30" t="s">
        <v>585</v>
      </c>
      <c r="C30" s="225" t="s">
        <v>586</v>
      </c>
    </row>
    <row r="37" spans="7:7" x14ac:dyDescent="0.25">
      <c r="G37" s="257"/>
    </row>
    <row r="38" spans="7:7" x14ac:dyDescent="0.25">
      <c r="G38" s="257"/>
    </row>
    <row r="39" spans="7:7" x14ac:dyDescent="0.25">
      <c r="G39" s="257"/>
    </row>
    <row r="40" spans="7:7" x14ac:dyDescent="0.25">
      <c r="G40" s="257"/>
    </row>
    <row r="41" spans="7:7" x14ac:dyDescent="0.25">
      <c r="G41" s="257"/>
    </row>
  </sheetData>
  <mergeCells count="6">
    <mergeCell ref="B9:B16"/>
    <mergeCell ref="B17:B24"/>
    <mergeCell ref="B25:B29"/>
    <mergeCell ref="K7:L7"/>
    <mergeCell ref="B7:I7"/>
    <mergeCell ref="K9:K24"/>
  </mergeCells>
  <pageMargins left="0.7" right="0.7" top="0.75" bottom="0.75" header="0.3" footer="0.3"/>
  <pageSetup orientation="portrait" r:id="rId1"/>
  <headerFooter>
    <oddFooter>&amp;L&amp;Z&amp;F &amp;A&amp;C&amp;P&amp;R&amp;D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2:AX105"/>
  <sheetViews>
    <sheetView workbookViewId="0">
      <pane xSplit="2" ySplit="5" topLeftCell="C6" activePane="bottomRight" state="frozen"/>
      <selection activeCell="C25" sqref="C25"/>
      <selection pane="topRight" activeCell="C25" sqref="C25"/>
      <selection pane="bottomLeft" activeCell="C25" sqref="C25"/>
      <selection pane="bottomRight" activeCell="C6" sqref="C6"/>
    </sheetView>
  </sheetViews>
  <sheetFormatPr defaultColWidth="15.7109375" defaultRowHeight="16.5" customHeight="1" x14ac:dyDescent="0.25"/>
  <cols>
    <col min="1" max="1" width="7.140625" style="25" customWidth="1"/>
    <col min="2" max="2" width="48.7109375" style="25" customWidth="1"/>
    <col min="3" max="3" width="149.7109375" style="25" customWidth="1"/>
    <col min="4" max="4" width="10.7109375" style="25" customWidth="1"/>
    <col min="5" max="5" width="14" style="25" bestFit="1" customWidth="1"/>
    <col min="6" max="6" width="14.85546875" style="25" bestFit="1" customWidth="1"/>
    <col min="7" max="7" width="51.85546875" style="25" bestFit="1" customWidth="1"/>
    <col min="8" max="8" width="16.140625" style="25" bestFit="1" customWidth="1"/>
    <col min="9" max="9" width="14.5703125" style="25" bestFit="1" customWidth="1"/>
    <col min="10" max="10" width="13.5703125" style="25" hidden="1" customWidth="1"/>
    <col min="11" max="11" width="11.28515625" style="25" hidden="1" customWidth="1"/>
    <col min="12" max="12" width="11.42578125" style="25" hidden="1" customWidth="1"/>
    <col min="13" max="13" width="13.7109375" style="25" hidden="1" customWidth="1"/>
    <col min="14" max="14" width="14.85546875" style="25" hidden="1" customWidth="1"/>
    <col min="15" max="15" width="7.7109375" style="25" hidden="1" customWidth="1"/>
    <col min="16" max="16" width="12.7109375" style="25" hidden="1" customWidth="1"/>
    <col min="17" max="17" width="10.42578125" style="25" bestFit="1" customWidth="1"/>
    <col min="18" max="18" width="6.5703125" style="25" bestFit="1" customWidth="1"/>
    <col min="19" max="19" width="4.42578125" style="25" bestFit="1" customWidth="1"/>
    <col min="20" max="20" width="12.140625" style="25" bestFit="1" customWidth="1"/>
    <col min="21" max="21" width="15.5703125" style="25" bestFit="1" customWidth="1"/>
    <col min="22" max="22" width="12.42578125" style="25" bestFit="1" customWidth="1"/>
    <col min="23" max="23" width="11.140625" style="25" bestFit="1" customWidth="1"/>
    <col min="24" max="24" width="11.42578125" style="25" bestFit="1" customWidth="1"/>
    <col min="25" max="25" width="14.140625" style="25" bestFit="1" customWidth="1"/>
    <col min="26" max="26" width="93.5703125" style="25" customWidth="1"/>
    <col min="27" max="27" width="92.85546875" style="25" customWidth="1"/>
    <col min="28" max="28" width="80.42578125" style="25" customWidth="1"/>
    <col min="29" max="29" width="10" style="25" bestFit="1" customWidth="1"/>
    <col min="30" max="31" width="37.140625" style="25" bestFit="1" customWidth="1"/>
    <col min="32" max="32" width="11.85546875" style="25" customWidth="1"/>
    <col min="33" max="33" width="48" style="25" bestFit="1" customWidth="1"/>
    <col min="34" max="34" width="12.85546875" style="25" bestFit="1" customWidth="1"/>
    <col min="35" max="35" width="12.7109375" style="25" bestFit="1" customWidth="1"/>
    <col min="36" max="36" width="11.140625" style="25" bestFit="1" customWidth="1"/>
    <col min="37" max="37" width="18.42578125" style="25" bestFit="1" customWidth="1"/>
    <col min="38" max="38" width="9.5703125" style="25" bestFit="1" customWidth="1"/>
    <col min="39" max="39" width="11.42578125" style="25" bestFit="1" customWidth="1"/>
    <col min="40" max="40" width="8.7109375" style="25" bestFit="1" customWidth="1"/>
    <col min="41" max="41" width="8.85546875" style="25" bestFit="1" customWidth="1"/>
    <col min="42" max="42" width="9.28515625" style="25" bestFit="1" customWidth="1"/>
    <col min="43" max="43" width="10.5703125" style="25" bestFit="1" customWidth="1"/>
    <col min="44" max="48" width="15.7109375" style="25"/>
    <col min="49" max="50" width="15.7109375" style="308"/>
    <col min="51" max="16384" width="15.7109375" style="25"/>
  </cols>
  <sheetData>
    <row r="2" spans="1:43" ht="20.25" thickBot="1" x14ac:dyDescent="0.35">
      <c r="B2" s="307" t="s">
        <v>5</v>
      </c>
    </row>
    <row r="3" spans="1:43" ht="15.75" thickTop="1" x14ac:dyDescent="0.25">
      <c r="B3" s="309" t="s">
        <v>6</v>
      </c>
    </row>
    <row r="4" spans="1:43" ht="15" x14ac:dyDescent="0.25">
      <c r="B4" s="309"/>
    </row>
    <row r="5" spans="1:43" ht="15" x14ac:dyDescent="0.25">
      <c r="A5" s="310" t="s">
        <v>7</v>
      </c>
      <c r="B5" s="311" t="s">
        <v>8</v>
      </c>
      <c r="C5" s="311" t="s">
        <v>9</v>
      </c>
      <c r="D5" s="311" t="s">
        <v>10</v>
      </c>
      <c r="E5" s="311" t="s">
        <v>11</v>
      </c>
      <c r="F5" s="311" t="s">
        <v>12</v>
      </c>
      <c r="G5" s="311" t="s">
        <v>13</v>
      </c>
      <c r="H5" s="311" t="s">
        <v>14</v>
      </c>
      <c r="I5" s="311" t="s">
        <v>15</v>
      </c>
      <c r="J5" s="311" t="s">
        <v>16</v>
      </c>
      <c r="K5" s="312" t="s">
        <v>17</v>
      </c>
      <c r="L5" s="312" t="s">
        <v>18</v>
      </c>
      <c r="M5" s="311" t="s">
        <v>19</v>
      </c>
      <c r="N5" s="311" t="s">
        <v>20</v>
      </c>
      <c r="O5" s="311" t="s">
        <v>21</v>
      </c>
      <c r="P5" s="311" t="s">
        <v>22</v>
      </c>
      <c r="Q5" s="311" t="s">
        <v>23</v>
      </c>
      <c r="R5" s="311" t="s">
        <v>24</v>
      </c>
      <c r="S5" s="311" t="s">
        <v>25</v>
      </c>
      <c r="T5" s="311" t="s">
        <v>26</v>
      </c>
      <c r="U5" s="311" t="s">
        <v>27</v>
      </c>
      <c r="V5" s="311" t="s">
        <v>28</v>
      </c>
      <c r="W5" s="311" t="s">
        <v>29</v>
      </c>
      <c r="X5" s="311" t="s">
        <v>30</v>
      </c>
      <c r="Y5" s="311" t="s">
        <v>31</v>
      </c>
      <c r="Z5" s="311" t="s">
        <v>32</v>
      </c>
      <c r="AA5" s="311" t="s">
        <v>33</v>
      </c>
      <c r="AB5" s="311" t="s">
        <v>34</v>
      </c>
      <c r="AC5" s="311" t="s">
        <v>35</v>
      </c>
      <c r="AD5" s="312" t="s">
        <v>36</v>
      </c>
      <c r="AE5" s="312" t="s">
        <v>37</v>
      </c>
      <c r="AF5" s="311" t="s">
        <v>38</v>
      </c>
      <c r="AG5" s="311" t="s">
        <v>39</v>
      </c>
      <c r="AH5" s="311" t="s">
        <v>40</v>
      </c>
      <c r="AI5" s="311" t="s">
        <v>41</v>
      </c>
      <c r="AJ5" s="311" t="s">
        <v>42</v>
      </c>
      <c r="AK5" s="311" t="s">
        <v>43</v>
      </c>
      <c r="AL5" s="311" t="s">
        <v>44</v>
      </c>
      <c r="AM5" s="311" t="s">
        <v>45</v>
      </c>
      <c r="AN5" s="311" t="s">
        <v>46</v>
      </c>
      <c r="AO5" s="311" t="s">
        <v>47</v>
      </c>
      <c r="AP5" s="311" t="s">
        <v>48</v>
      </c>
      <c r="AQ5" s="311" t="s">
        <v>49</v>
      </c>
    </row>
    <row r="6" spans="1:43" ht="16.5" customHeight="1" x14ac:dyDescent="0.25">
      <c r="B6" s="313" t="s">
        <v>626</v>
      </c>
      <c r="F6" s="314"/>
      <c r="AP6" s="315"/>
    </row>
    <row r="7" spans="1:43" ht="16.5" customHeight="1" x14ac:dyDescent="0.25">
      <c r="A7" s="25">
        <v>701</v>
      </c>
      <c r="B7" s="25" t="s">
        <v>439</v>
      </c>
      <c r="C7" s="25" t="str">
        <f>+AB7&amp;" (Pre-existing vintages do not include Economizer)"</f>
        <v>EER-rated packaged Air Conditioner, Size Range: 65 - 110 kBTU/h, EER = 11.5 (IEER = 14.1), EIR = 0.26, Fan W/CFM = 0.4, two-speed fan, with Econo (Pre-existing vintages do not include Economizer)</v>
      </c>
      <c r="D7" s="25" t="s">
        <v>450</v>
      </c>
      <c r="E7" s="25" t="s">
        <v>453</v>
      </c>
      <c r="F7" s="314">
        <v>41914.5</v>
      </c>
      <c r="G7" s="25" t="str">
        <f>+B7</f>
        <v>NE-HVAC-airAC-SpltPkg-65to109kBtuh-11p5eer</v>
      </c>
      <c r="H7" s="25" t="s">
        <v>417</v>
      </c>
      <c r="I7" s="25" t="s">
        <v>421</v>
      </c>
      <c r="Q7" s="25" t="s">
        <v>418</v>
      </c>
      <c r="R7" s="25" t="s">
        <v>424</v>
      </c>
      <c r="S7" s="25" t="s">
        <v>420</v>
      </c>
      <c r="T7" s="25" t="s">
        <v>425</v>
      </c>
      <c r="U7" s="25" t="s">
        <v>435</v>
      </c>
      <c r="V7" s="25" t="s">
        <v>436</v>
      </c>
      <c r="W7" s="25" t="s">
        <v>428</v>
      </c>
      <c r="Y7" s="25" t="s">
        <v>437</v>
      </c>
      <c r="Z7" s="25" t="str">
        <f>VLOOKUP(AD7,Technologies!$E$10:$X$154,20,FALSE)</f>
        <v>EER-Rated Pkg AC, 65-110 kBTU/h; 
Pre-2005: EER = 10.1,  one-speed fan, no Econo;
2006 - 2009: EER = 10.1,  one-speed fan, no Econo;
2010 - 2013: EER = 11,  one-speed fan, no Econo;
2014 - 2015: EER = 11 (IEER = 13.4), two-speed fan, w/Econo</v>
      </c>
      <c r="AA7" s="25" t="str">
        <f>VLOOKUP(AD7,Technologies!$E$10:$W$154,19,FALSE)</f>
        <v>EER-rated packaged Air Conditioner, Size Range: 65 - 110 kBTU/h, EER = 11 (IEER = 13.4), EIR = 0.273, Fan W/CFM = 0.4, two-speed fan, with Econo</v>
      </c>
      <c r="AB7" s="25" t="str">
        <f>VLOOKUP(AE7,Technologies!$E$10:$W$154,19,FALSE)</f>
        <v>EER-rated packaged Air Conditioner, Size Range: 65 - 110 kBTU/h, EER = 11.5 (IEER = 14.1), EIR = 0.26, Fan W/CFM = 0.4, two-speed fan, with Econo</v>
      </c>
      <c r="AD7" s="25" t="str">
        <f>+Technologies!E10</f>
        <v>dxAC-Com-Pkg-65to110kBTUh-EER11.0</v>
      </c>
      <c r="AE7" s="25" t="str">
        <f>+Technologies!E11</f>
        <v>dxAC-Com-Pkg-65to110kBTUh-EER11.5</v>
      </c>
      <c r="AF7" s="25" t="s">
        <v>591</v>
      </c>
      <c r="AH7" s="25" t="s">
        <v>418</v>
      </c>
      <c r="AI7" s="25" t="s">
        <v>418</v>
      </c>
      <c r="AK7" s="25" t="s">
        <v>422</v>
      </c>
      <c r="AM7" s="25" t="s">
        <v>437</v>
      </c>
      <c r="AO7" s="25" t="s">
        <v>50</v>
      </c>
      <c r="AP7" s="315">
        <v>42005</v>
      </c>
    </row>
    <row r="8" spans="1:43" ht="16.5" customHeight="1" x14ac:dyDescent="0.25">
      <c r="A8" s="25">
        <f>+A7+1</f>
        <v>702</v>
      </c>
      <c r="B8" s="25" t="s">
        <v>440</v>
      </c>
      <c r="C8" s="25" t="str">
        <f t="shared" ref="C8:C9" si="0">+AB8&amp;" (Pre-existing vintages do not include Economizer)"</f>
        <v>EER-rated packaged Air Conditioner, Size Range: 65 - 110 kBTU/h, EER = 12 (IEER = 14.8), EIR = 0.247, Fan W/CFM = 0.4, two-speed fan, with Econo (Pre-existing vintages do not include Economizer)</v>
      </c>
      <c r="D8" s="25" t="s">
        <v>450</v>
      </c>
      <c r="E8" s="25" t="s">
        <v>453</v>
      </c>
      <c r="F8" s="314">
        <v>41914.5</v>
      </c>
      <c r="G8" s="25" t="str">
        <f t="shared" ref="G8:G24" si="1">+B8</f>
        <v>NE-HVAC-airAC-SpltPkg-65to109kBtuh-12p0eer</v>
      </c>
      <c r="H8" s="25" t="s">
        <v>417</v>
      </c>
      <c r="I8" s="25" t="s">
        <v>421</v>
      </c>
      <c r="Q8" s="25" t="s">
        <v>418</v>
      </c>
      <c r="R8" s="25" t="s">
        <v>424</v>
      </c>
      <c r="S8" s="25" t="s">
        <v>420</v>
      </c>
      <c r="T8" s="25" t="s">
        <v>425</v>
      </c>
      <c r="U8" s="25" t="s">
        <v>435</v>
      </c>
      <c r="V8" s="25" t="s">
        <v>436</v>
      </c>
      <c r="W8" s="25" t="s">
        <v>428</v>
      </c>
      <c r="Y8" s="25" t="s">
        <v>437</v>
      </c>
      <c r="Z8" s="25" t="str">
        <f>VLOOKUP(AD8,Technologies!$E$10:$X$154,20,FALSE)</f>
        <v>EER-Rated Pkg AC, 65-110 kBTU/h; 
Pre-2005: EER = 10.1,  one-speed fan, no Econo;
2006 - 2009: EER = 10.1,  one-speed fan, no Econo;
2010 - 2013: EER = 11,  one-speed fan, no Econo;
2014 - 2015: EER = 11 (IEER = 13.4), two-speed fan, w/Econo</v>
      </c>
      <c r="AA8" s="25" t="str">
        <f>VLOOKUP(AD8,Technologies!$E$10:$W$154,19,FALSE)</f>
        <v>EER-rated packaged Air Conditioner, Size Range: 65 - 110 kBTU/h, EER = 11 (IEER = 13.4), EIR = 0.273, Fan W/CFM = 0.4, two-speed fan, with Econo</v>
      </c>
      <c r="AB8" s="25" t="str">
        <f>VLOOKUP(AE8,Technologies!$E$10:$W$154,19,FALSE)</f>
        <v>EER-rated packaged Air Conditioner, Size Range: 65 - 110 kBTU/h, EER = 12 (IEER = 14.8), EIR = 0.247, Fan W/CFM = 0.4, two-speed fan, with Econo</v>
      </c>
      <c r="AD8" s="25" t="str">
        <f>+AD7</f>
        <v>dxAC-Com-Pkg-65to110kBTUh-EER11.0</v>
      </c>
      <c r="AE8" s="25" t="str">
        <f>+Technologies!E12</f>
        <v>dxAC-Com-Pkg-65to110kBTUh-EER12.0</v>
      </c>
      <c r="AF8" s="25" t="s">
        <v>591</v>
      </c>
      <c r="AH8" s="25" t="s">
        <v>418</v>
      </c>
      <c r="AI8" s="25" t="s">
        <v>418</v>
      </c>
      <c r="AK8" s="25" t="s">
        <v>422</v>
      </c>
      <c r="AM8" s="25" t="s">
        <v>437</v>
      </c>
      <c r="AO8" s="25" t="s">
        <v>50</v>
      </c>
      <c r="AP8" s="315">
        <v>42005</v>
      </c>
    </row>
    <row r="9" spans="1:43" ht="16.5" customHeight="1" x14ac:dyDescent="0.25">
      <c r="A9" s="25">
        <f t="shared" ref="A9:A24" si="2">+A8+1</f>
        <v>703</v>
      </c>
      <c r="B9" s="25" t="s">
        <v>510</v>
      </c>
      <c r="C9" s="25" t="str">
        <f t="shared" si="0"/>
        <v>EER-rated packaged Air Conditioner, Size Range: 65 - 110 kBTU/h, EER = 13 (IEER = 16.3), EIR = 0.226, Fan W/CFM = 0.4, two-speed fan, with Econo (Pre-existing vintages do not include Economizer)</v>
      </c>
      <c r="D9" s="25" t="s">
        <v>450</v>
      </c>
      <c r="E9" s="25" t="s">
        <v>453</v>
      </c>
      <c r="F9" s="314">
        <v>41914.5</v>
      </c>
      <c r="G9" s="25" t="str">
        <f t="shared" si="1"/>
        <v>NE-HVAC-airAC-SpltPkg-65to109kBtuh-13p0eer</v>
      </c>
      <c r="H9" s="25" t="s">
        <v>417</v>
      </c>
      <c r="I9" s="25" t="s">
        <v>421</v>
      </c>
      <c r="Q9" s="25" t="s">
        <v>418</v>
      </c>
      <c r="R9" s="25" t="s">
        <v>424</v>
      </c>
      <c r="S9" s="25" t="s">
        <v>420</v>
      </c>
      <c r="T9" s="25" t="s">
        <v>425</v>
      </c>
      <c r="U9" s="25" t="s">
        <v>435</v>
      </c>
      <c r="V9" s="25" t="s">
        <v>436</v>
      </c>
      <c r="W9" s="25" t="s">
        <v>428</v>
      </c>
      <c r="Y9" s="25" t="s">
        <v>437</v>
      </c>
      <c r="Z9" s="25" t="str">
        <f>VLOOKUP(AD9,Technologies!$E$10:$X$154,20,FALSE)</f>
        <v>EER-Rated Pkg AC, 65-110 kBTU/h; 
Pre-2005: EER = 10.1,  one-speed fan, no Econo;
2006 - 2009: EER = 10.1,  one-speed fan, no Econo;
2010 - 2013: EER = 11,  one-speed fan, no Econo;
2014 - 2015: EER = 11 (IEER = 13.4), two-speed fan, w/Econo</v>
      </c>
      <c r="AA9" s="25" t="str">
        <f>VLOOKUP(AD9,Technologies!$E$10:$W$154,19,FALSE)</f>
        <v>EER-rated packaged Air Conditioner, Size Range: 65 - 110 kBTU/h, EER = 11 (IEER = 13.4), EIR = 0.273, Fan W/CFM = 0.4, two-speed fan, with Econo</v>
      </c>
      <c r="AB9" s="25" t="str">
        <f>VLOOKUP(AE9,Technologies!$E$10:$W$154,19,FALSE)</f>
        <v>EER-rated packaged Air Conditioner, Size Range: 65 - 110 kBTU/h, EER = 13 (IEER = 16.3), EIR = 0.226, Fan W/CFM = 0.4, two-speed fan, with Econo</v>
      </c>
      <c r="AD9" s="25" t="str">
        <f>+AD8</f>
        <v>dxAC-Com-Pkg-65to110kBTUh-EER11.0</v>
      </c>
      <c r="AE9" s="25" t="str">
        <f>+Technologies!E13</f>
        <v>dxAC-Com-Pkg-65to110kBTUh-EER13.0</v>
      </c>
      <c r="AF9" s="25" t="s">
        <v>591</v>
      </c>
      <c r="AH9" s="25" t="s">
        <v>418</v>
      </c>
      <c r="AI9" s="25" t="s">
        <v>418</v>
      </c>
      <c r="AK9" s="25" t="s">
        <v>422</v>
      </c>
      <c r="AM9" s="25" t="s">
        <v>437</v>
      </c>
      <c r="AO9" s="25" t="s">
        <v>50</v>
      </c>
      <c r="AP9" s="315">
        <v>42005</v>
      </c>
    </row>
    <row r="10" spans="1:43" ht="16.5" customHeight="1" x14ac:dyDescent="0.25">
      <c r="A10" s="25">
        <f>+A9+1</f>
        <v>704</v>
      </c>
      <c r="B10" s="25" t="s">
        <v>858</v>
      </c>
      <c r="C10" s="25" t="str">
        <f>+AB10&amp;" (Pre-existing vintages include Economizer)"</f>
        <v>EER-rated packaged Air Conditioner, Size Range: 65 - 110 kBTU/h, EER = 11.5 (IEER = 14.1), EIR = 0.26, Fan W/CFM = 0.4, two-speed fan, with Econo (Pre-existing vintages include Economizer)</v>
      </c>
      <c r="D10" s="25" t="s">
        <v>450</v>
      </c>
      <c r="E10" s="25" t="s">
        <v>453</v>
      </c>
      <c r="F10" s="314">
        <v>41914.5</v>
      </c>
      <c r="G10" s="25" t="str">
        <f t="shared" ref="G10:G12" si="3">+B10</f>
        <v>NE-HVAC-airAC-SpltPkg-65to109kBtuh-11p5eer-wPreEcono</v>
      </c>
      <c r="H10" s="25" t="s">
        <v>417</v>
      </c>
      <c r="I10" s="25" t="s">
        <v>421</v>
      </c>
      <c r="Q10" s="25" t="s">
        <v>418</v>
      </c>
      <c r="R10" s="25" t="s">
        <v>424</v>
      </c>
      <c r="S10" s="25" t="s">
        <v>420</v>
      </c>
      <c r="T10" s="25" t="s">
        <v>425</v>
      </c>
      <c r="U10" s="25" t="s">
        <v>435</v>
      </c>
      <c r="V10" s="25" t="s">
        <v>436</v>
      </c>
      <c r="W10" s="25" t="s">
        <v>428</v>
      </c>
      <c r="Y10" s="25" t="s">
        <v>437</v>
      </c>
      <c r="Z10" s="25" t="str">
        <f>VLOOKUP(AD10,Technologies!$E$10:$Z$154,22,FALSE)</f>
        <v>EER-Rated Pkg AC, 65-110 kBTU/h; 
Pre-2005: EER = 10.1,  one-speed fan, w/Econo;
2006 - 2009: EER = 10.1,  one-speed fan, w/Econo;
2010 - 2013: EER = 11,  one-speed fan, w/Econo;
2014 - 2015: EER = 11 (IEER = 13.4), two-speed fan, w/Econo</v>
      </c>
      <c r="AA10" s="25" t="str">
        <f>VLOOKUP(AD10,Technologies!$E$10:$W$154,19,FALSE)</f>
        <v>EER-rated packaged Air Conditioner, Size Range: 65 - 110 kBTU/h, EER = 11 (IEER = 13.4), EIR = 0.273, Fan W/CFM = 0.4, two-speed fan, with Econo</v>
      </c>
      <c r="AB10" s="25" t="str">
        <f>VLOOKUP(AE10,Technologies!$E$10:$W$154,19,FALSE)</f>
        <v>EER-rated packaged Air Conditioner, Size Range: 65 - 110 kBTU/h, EER = 11.5 (IEER = 14.1), EIR = 0.26, Fan W/CFM = 0.4, two-speed fan, with Econo</v>
      </c>
      <c r="AD10" s="25" t="str">
        <f>+AD7</f>
        <v>dxAC-Com-Pkg-65to110kBTUh-EER11.0</v>
      </c>
      <c r="AE10" s="25" t="str">
        <f>+AE7</f>
        <v>dxAC-Com-Pkg-65to110kBTUh-EER11.5</v>
      </c>
      <c r="AF10" s="25" t="s">
        <v>591</v>
      </c>
      <c r="AH10" s="25" t="s">
        <v>418</v>
      </c>
      <c r="AI10" s="25" t="s">
        <v>418</v>
      </c>
      <c r="AK10" s="25" t="s">
        <v>422</v>
      </c>
      <c r="AM10" s="25" t="s">
        <v>437</v>
      </c>
      <c r="AO10" s="25" t="s">
        <v>50</v>
      </c>
      <c r="AP10" s="315">
        <v>42005</v>
      </c>
    </row>
    <row r="11" spans="1:43" ht="16.5" customHeight="1" x14ac:dyDescent="0.25">
      <c r="A11" s="25">
        <f t="shared" ref="A11:A12" si="4">+A10+1</f>
        <v>705</v>
      </c>
      <c r="B11" s="25" t="s">
        <v>859</v>
      </c>
      <c r="C11" s="25" t="str">
        <f t="shared" ref="C11:C12" si="5">+AB11&amp;" (Pre-existing vintages include Economizer)"</f>
        <v>EER-rated packaged Air Conditioner, Size Range: 65 - 110 kBTU/h, EER = 12 (IEER = 14.8), EIR = 0.247, Fan W/CFM = 0.4, two-speed fan, with Econo (Pre-existing vintages include Economizer)</v>
      </c>
      <c r="D11" s="25" t="s">
        <v>450</v>
      </c>
      <c r="E11" s="25" t="s">
        <v>453</v>
      </c>
      <c r="F11" s="314">
        <v>41914.5</v>
      </c>
      <c r="G11" s="25" t="str">
        <f t="shared" si="3"/>
        <v>NE-HVAC-airAC-SpltPkg-65to109kBtuh-12p0eer-wPreEcono</v>
      </c>
      <c r="H11" s="25" t="s">
        <v>417</v>
      </c>
      <c r="I11" s="25" t="s">
        <v>421</v>
      </c>
      <c r="Q11" s="25" t="s">
        <v>418</v>
      </c>
      <c r="R11" s="25" t="s">
        <v>424</v>
      </c>
      <c r="S11" s="25" t="s">
        <v>420</v>
      </c>
      <c r="T11" s="25" t="s">
        <v>425</v>
      </c>
      <c r="U11" s="25" t="s">
        <v>435</v>
      </c>
      <c r="V11" s="25" t="s">
        <v>436</v>
      </c>
      <c r="W11" s="25" t="s">
        <v>428</v>
      </c>
      <c r="Y11" s="25" t="s">
        <v>437</v>
      </c>
      <c r="Z11" s="25" t="str">
        <f>VLOOKUP(AD11,Technologies!$E$10:$Z$154,22,FALSE)</f>
        <v>EER-Rated Pkg AC, 65-110 kBTU/h; 
Pre-2005: EER = 10.1,  one-speed fan, w/Econo;
2006 - 2009: EER = 10.1,  one-speed fan, w/Econo;
2010 - 2013: EER = 11,  one-speed fan, w/Econo;
2014 - 2015: EER = 11 (IEER = 13.4), two-speed fan, w/Econo</v>
      </c>
      <c r="AA11" s="25" t="str">
        <f>VLOOKUP(AD11,Technologies!$E$10:$W$154,19,FALSE)</f>
        <v>EER-rated packaged Air Conditioner, Size Range: 65 - 110 kBTU/h, EER = 11 (IEER = 13.4), EIR = 0.273, Fan W/CFM = 0.4, two-speed fan, with Econo</v>
      </c>
      <c r="AB11" s="25" t="str">
        <f>VLOOKUP(AE11,Technologies!$E$10:$W$154,19,FALSE)</f>
        <v>EER-rated packaged Air Conditioner, Size Range: 65 - 110 kBTU/h, EER = 12 (IEER = 14.8), EIR = 0.247, Fan W/CFM = 0.4, two-speed fan, with Econo</v>
      </c>
      <c r="AD11" s="25" t="str">
        <f t="shared" ref="AD11:AD12" si="6">+AD8</f>
        <v>dxAC-Com-Pkg-65to110kBTUh-EER11.0</v>
      </c>
      <c r="AE11" s="25" t="str">
        <f t="shared" ref="AE11:AE12" si="7">+AE8</f>
        <v>dxAC-Com-Pkg-65to110kBTUh-EER12.0</v>
      </c>
      <c r="AF11" s="25" t="s">
        <v>591</v>
      </c>
      <c r="AH11" s="25" t="s">
        <v>418</v>
      </c>
      <c r="AI11" s="25" t="s">
        <v>418</v>
      </c>
      <c r="AK11" s="25" t="s">
        <v>422</v>
      </c>
      <c r="AM11" s="25" t="s">
        <v>437</v>
      </c>
      <c r="AO11" s="25" t="s">
        <v>50</v>
      </c>
      <c r="AP11" s="315">
        <v>42005</v>
      </c>
    </row>
    <row r="12" spans="1:43" ht="16.5" customHeight="1" x14ac:dyDescent="0.25">
      <c r="A12" s="25">
        <f t="shared" si="4"/>
        <v>706</v>
      </c>
      <c r="B12" s="25" t="s">
        <v>860</v>
      </c>
      <c r="C12" s="25" t="str">
        <f t="shared" si="5"/>
        <v>EER-rated packaged Air Conditioner, Size Range: 65 - 110 kBTU/h, EER = 13 (IEER = 16.3), EIR = 0.226, Fan W/CFM = 0.4, two-speed fan, with Econo (Pre-existing vintages include Economizer)</v>
      </c>
      <c r="D12" s="25" t="s">
        <v>450</v>
      </c>
      <c r="E12" s="25" t="s">
        <v>453</v>
      </c>
      <c r="F12" s="314">
        <v>41914.5</v>
      </c>
      <c r="G12" s="25" t="str">
        <f t="shared" si="3"/>
        <v>NE-HVAC-airAC-SpltPkg-65to109kBtuh-13p0eer-wPreEcono</v>
      </c>
      <c r="H12" s="25" t="s">
        <v>417</v>
      </c>
      <c r="I12" s="25" t="s">
        <v>421</v>
      </c>
      <c r="Q12" s="25" t="s">
        <v>418</v>
      </c>
      <c r="R12" s="25" t="s">
        <v>424</v>
      </c>
      <c r="S12" s="25" t="s">
        <v>420</v>
      </c>
      <c r="T12" s="25" t="s">
        <v>425</v>
      </c>
      <c r="U12" s="25" t="s">
        <v>435</v>
      </c>
      <c r="V12" s="25" t="s">
        <v>436</v>
      </c>
      <c r="W12" s="25" t="s">
        <v>428</v>
      </c>
      <c r="Y12" s="25" t="s">
        <v>437</v>
      </c>
      <c r="Z12" s="25" t="str">
        <f>VLOOKUP(AD12,Technologies!$E$10:$Z$154,22,FALSE)</f>
        <v>EER-Rated Pkg AC, 65-110 kBTU/h; 
Pre-2005: EER = 10.1,  one-speed fan, w/Econo;
2006 - 2009: EER = 10.1,  one-speed fan, w/Econo;
2010 - 2013: EER = 11,  one-speed fan, w/Econo;
2014 - 2015: EER = 11 (IEER = 13.4), two-speed fan, w/Econo</v>
      </c>
      <c r="AA12" s="25" t="str">
        <f>VLOOKUP(AD12,Technologies!$E$10:$W$154,19,FALSE)</f>
        <v>EER-rated packaged Air Conditioner, Size Range: 65 - 110 kBTU/h, EER = 11 (IEER = 13.4), EIR = 0.273, Fan W/CFM = 0.4, two-speed fan, with Econo</v>
      </c>
      <c r="AB12" s="25" t="str">
        <f>VLOOKUP(AE12,Technologies!$E$10:$W$154,19,FALSE)</f>
        <v>EER-rated packaged Air Conditioner, Size Range: 65 - 110 kBTU/h, EER = 13 (IEER = 16.3), EIR = 0.226, Fan W/CFM = 0.4, two-speed fan, with Econo</v>
      </c>
      <c r="AD12" s="25" t="str">
        <f t="shared" si="6"/>
        <v>dxAC-Com-Pkg-65to110kBTUh-EER11.0</v>
      </c>
      <c r="AE12" s="25" t="str">
        <f t="shared" si="7"/>
        <v>dxAC-Com-Pkg-65to110kBTUh-EER13.0</v>
      </c>
      <c r="AF12" s="25" t="s">
        <v>591</v>
      </c>
      <c r="AH12" s="25" t="s">
        <v>418</v>
      </c>
      <c r="AI12" s="25" t="s">
        <v>418</v>
      </c>
      <c r="AK12" s="25" t="s">
        <v>422</v>
      </c>
      <c r="AM12" s="25" t="s">
        <v>437</v>
      </c>
      <c r="AO12" s="25" t="s">
        <v>50</v>
      </c>
      <c r="AP12" s="315">
        <v>42005</v>
      </c>
    </row>
    <row r="13" spans="1:43" ht="16.5" customHeight="1" x14ac:dyDescent="0.25">
      <c r="A13" s="25">
        <f>+A12+1</f>
        <v>707</v>
      </c>
      <c r="B13" s="25" t="s">
        <v>442</v>
      </c>
      <c r="C13" s="25" t="str">
        <f t="shared" ref="C13:C76" si="8">+AB13</f>
        <v>EER-rated packaged Air Conditioner, Size Range: 110 - 135 kBTU/h, EER = 11.5 (IEER = 14.3), EIR = 0.26, Fan W/CFM = 0.4, two-speed fan, with Econo</v>
      </c>
      <c r="D13" s="25" t="s">
        <v>450</v>
      </c>
      <c r="E13" s="25" t="s">
        <v>453</v>
      </c>
      <c r="F13" s="314">
        <v>41914.5</v>
      </c>
      <c r="G13" s="25" t="str">
        <f t="shared" si="1"/>
        <v>NE-HVAC-airAC-SpltPkg-110to134kBtuh-11p5eer</v>
      </c>
      <c r="H13" s="25" t="s">
        <v>417</v>
      </c>
      <c r="I13" s="25" t="s">
        <v>421</v>
      </c>
      <c r="Q13" s="25" t="s">
        <v>418</v>
      </c>
      <c r="R13" s="25" t="s">
        <v>424</v>
      </c>
      <c r="S13" s="25" t="s">
        <v>420</v>
      </c>
      <c r="T13" s="25" t="s">
        <v>425</v>
      </c>
      <c r="U13" s="25" t="s">
        <v>435</v>
      </c>
      <c r="V13" s="25" t="s">
        <v>436</v>
      </c>
      <c r="W13" s="25" t="s">
        <v>428</v>
      </c>
      <c r="Y13" s="25" t="s">
        <v>437</v>
      </c>
      <c r="Z13" s="25" t="str">
        <f>VLOOKUP(AD13,Technologies!$E$10:$X$154,20,FALSE)</f>
        <v>EER-Rated Pkg AC, 110-135 kBTU/h; 
Pre-2005: EER = 10.1,  one-speed fan, w/Econo;
2006 - 2009: EER = 10.1,  one-speed fan, w/Econo;
2010 - 2013: EER = 11,  one-speed fan, w/Econo;
2014 - 2015: EER = 11 (IEER = 13.3), two-speed fan, w/Econo</v>
      </c>
      <c r="AA13" s="25" t="str">
        <f>VLOOKUP(AD13,Technologies!$E$10:$W$154,19,FALSE)</f>
        <v>EER-rated packaged Air Conditioner, Size Range: 110 - 135 kBTU/h, EER = 11 (IEER = 13.3), EIR = 0.273, Fan W/CFM = 0.4, two-speed fan, with Econo</v>
      </c>
      <c r="AB13" s="25" t="str">
        <f>VLOOKUP(AE13,Technologies!$E$10:$W$154,19,FALSE)</f>
        <v>EER-rated packaged Air Conditioner, Size Range: 110 - 135 kBTU/h, EER = 11.5 (IEER = 14.3), EIR = 0.26, Fan W/CFM = 0.4, two-speed fan, with Econo</v>
      </c>
      <c r="AD13" s="25" t="str">
        <f>+Technologies!E14</f>
        <v>dxAC-Com-Pkg-110to135kBTUh-EER11.0</v>
      </c>
      <c r="AE13" s="25" t="str">
        <f>+Technologies!E15</f>
        <v>dxAC-Com-Pkg-110to135kBTUh-EER11.5</v>
      </c>
      <c r="AF13" s="25" t="s">
        <v>591</v>
      </c>
      <c r="AH13" s="25" t="s">
        <v>418</v>
      </c>
      <c r="AI13" s="25" t="s">
        <v>418</v>
      </c>
      <c r="AK13" s="25" t="s">
        <v>422</v>
      </c>
      <c r="AM13" s="25" t="s">
        <v>437</v>
      </c>
      <c r="AO13" s="25" t="s">
        <v>50</v>
      </c>
      <c r="AP13" s="315">
        <v>42005</v>
      </c>
    </row>
    <row r="14" spans="1:43" ht="16.5" customHeight="1" x14ac:dyDescent="0.25">
      <c r="A14" s="25">
        <f t="shared" si="2"/>
        <v>708</v>
      </c>
      <c r="B14" s="25" t="s">
        <v>443</v>
      </c>
      <c r="C14" s="25" t="str">
        <f t="shared" si="8"/>
        <v>EER-rated packaged Air Conditioner, Size Range: 110 - 135 kBTU/h, EER = 12 (IEER = 15.4), EIR = 0.247, Fan W/CFM = 0.4, two-speed fan, with Econo</v>
      </c>
      <c r="D14" s="25" t="s">
        <v>450</v>
      </c>
      <c r="E14" s="25" t="s">
        <v>453</v>
      </c>
      <c r="F14" s="314">
        <v>41914.5</v>
      </c>
      <c r="G14" s="25" t="str">
        <f t="shared" si="1"/>
        <v>NE-HVAC-airAC-SpltPkg-110to134kBtuh-12p0eer</v>
      </c>
      <c r="H14" s="25" t="s">
        <v>417</v>
      </c>
      <c r="I14" s="25" t="s">
        <v>421</v>
      </c>
      <c r="Q14" s="25" t="s">
        <v>418</v>
      </c>
      <c r="R14" s="25" t="s">
        <v>424</v>
      </c>
      <c r="S14" s="25" t="s">
        <v>420</v>
      </c>
      <c r="T14" s="25" t="s">
        <v>425</v>
      </c>
      <c r="U14" s="25" t="s">
        <v>435</v>
      </c>
      <c r="V14" s="25" t="s">
        <v>436</v>
      </c>
      <c r="W14" s="25" t="s">
        <v>428</v>
      </c>
      <c r="Y14" s="25" t="s">
        <v>437</v>
      </c>
      <c r="Z14" s="25" t="str">
        <f>VLOOKUP(AD14,Technologies!$E$10:$X$154,20,FALSE)</f>
        <v>EER-Rated Pkg AC, 110-135 kBTU/h; 
Pre-2005: EER = 10.1,  one-speed fan, w/Econo;
2006 - 2009: EER = 10.1,  one-speed fan, w/Econo;
2010 - 2013: EER = 11,  one-speed fan, w/Econo;
2014 - 2015: EER = 11 (IEER = 13.3), two-speed fan, w/Econo</v>
      </c>
      <c r="AA14" s="25" t="str">
        <f>VLOOKUP(AD14,Technologies!$E$10:$W$154,19,FALSE)</f>
        <v>EER-rated packaged Air Conditioner, Size Range: 110 - 135 kBTU/h, EER = 11 (IEER = 13.3), EIR = 0.273, Fan W/CFM = 0.4, two-speed fan, with Econo</v>
      </c>
      <c r="AB14" s="25" t="str">
        <f>VLOOKUP(AE14,Technologies!$E$10:$W$154,19,FALSE)</f>
        <v>EER-rated packaged Air Conditioner, Size Range: 110 - 135 kBTU/h, EER = 12 (IEER = 15.4), EIR = 0.247, Fan W/CFM = 0.4, two-speed fan, with Econo</v>
      </c>
      <c r="AD14" s="25" t="str">
        <f>+AD13</f>
        <v>dxAC-Com-Pkg-110to135kBTUh-EER11.0</v>
      </c>
      <c r="AE14" s="25" t="str">
        <f>+Technologies!E16</f>
        <v>dxAC-Com-Pkg-110to135kBTUh-EER12.0</v>
      </c>
      <c r="AF14" s="25" t="s">
        <v>591</v>
      </c>
      <c r="AH14" s="25" t="s">
        <v>418</v>
      </c>
      <c r="AI14" s="25" t="s">
        <v>418</v>
      </c>
      <c r="AK14" s="25" t="s">
        <v>422</v>
      </c>
      <c r="AM14" s="25" t="s">
        <v>437</v>
      </c>
      <c r="AO14" s="25" t="s">
        <v>50</v>
      </c>
      <c r="AP14" s="315">
        <v>42005</v>
      </c>
    </row>
    <row r="15" spans="1:43" ht="16.5" customHeight="1" x14ac:dyDescent="0.25">
      <c r="A15" s="25">
        <f t="shared" si="2"/>
        <v>709</v>
      </c>
      <c r="B15" s="25" t="s">
        <v>517</v>
      </c>
      <c r="C15" s="25" t="str">
        <f t="shared" si="8"/>
        <v>EER-rated packaged Air Conditioner, Size Range: 110 - 135 kBTU/h, EER = 12.5 (IEER = 16.5), EIR = 0.236, Fan W/CFM = 0.4, two-speed fan, with Econo</v>
      </c>
      <c r="D15" s="25" t="s">
        <v>450</v>
      </c>
      <c r="E15" s="25" t="s">
        <v>453</v>
      </c>
      <c r="F15" s="314">
        <v>41914.5</v>
      </c>
      <c r="G15" s="25" t="str">
        <f t="shared" si="1"/>
        <v>NE-HVAC-airAC-SpltPkg-110to134kBtuh-12p5eer</v>
      </c>
      <c r="H15" s="25" t="s">
        <v>417</v>
      </c>
      <c r="I15" s="25" t="s">
        <v>421</v>
      </c>
      <c r="Q15" s="25" t="s">
        <v>418</v>
      </c>
      <c r="R15" s="25" t="s">
        <v>424</v>
      </c>
      <c r="S15" s="25" t="s">
        <v>420</v>
      </c>
      <c r="T15" s="25" t="s">
        <v>425</v>
      </c>
      <c r="U15" s="25" t="s">
        <v>435</v>
      </c>
      <c r="V15" s="25" t="s">
        <v>436</v>
      </c>
      <c r="W15" s="25" t="s">
        <v>428</v>
      </c>
      <c r="Y15" s="25" t="s">
        <v>437</v>
      </c>
      <c r="Z15" s="25" t="str">
        <f>VLOOKUP(AD15,Technologies!$E$10:$X$154,20,FALSE)</f>
        <v>EER-Rated Pkg AC, 110-135 kBTU/h; 
Pre-2005: EER = 10.1,  one-speed fan, w/Econo;
2006 - 2009: EER = 10.1,  one-speed fan, w/Econo;
2010 - 2013: EER = 11,  one-speed fan, w/Econo;
2014 - 2015: EER = 11 (IEER = 13.3), two-speed fan, w/Econo</v>
      </c>
      <c r="AA15" s="25" t="str">
        <f>VLOOKUP(AD15,Technologies!$E$10:$W$154,19,FALSE)</f>
        <v>EER-rated packaged Air Conditioner, Size Range: 110 - 135 kBTU/h, EER = 11 (IEER = 13.3), EIR = 0.273, Fan W/CFM = 0.4, two-speed fan, with Econo</v>
      </c>
      <c r="AB15" s="25" t="str">
        <f>VLOOKUP(AE15,Technologies!$E$10:$W$154,19,FALSE)</f>
        <v>EER-rated packaged Air Conditioner, Size Range: 110 - 135 kBTU/h, EER = 12.5 (IEER = 16.5), EIR = 0.236, Fan W/CFM = 0.4, two-speed fan, with Econo</v>
      </c>
      <c r="AD15" s="25" t="str">
        <f>+AD14</f>
        <v>dxAC-Com-Pkg-110to135kBTUh-EER11.0</v>
      </c>
      <c r="AE15" s="25" t="str">
        <f>+Technologies!E17</f>
        <v>dxAC-Com-Pkg-110to135kBTUh-EER12.5</v>
      </c>
      <c r="AF15" s="25" t="s">
        <v>591</v>
      </c>
      <c r="AH15" s="25" t="s">
        <v>418</v>
      </c>
      <c r="AI15" s="25" t="s">
        <v>418</v>
      </c>
      <c r="AK15" s="25" t="s">
        <v>422</v>
      </c>
      <c r="AM15" s="25" t="s">
        <v>437</v>
      </c>
      <c r="AO15" s="25" t="s">
        <v>50</v>
      </c>
      <c r="AP15" s="315">
        <v>42005</v>
      </c>
    </row>
    <row r="16" spans="1:43" ht="16.5" customHeight="1" x14ac:dyDescent="0.25">
      <c r="A16" s="25">
        <f t="shared" si="2"/>
        <v>710</v>
      </c>
      <c r="B16" s="25" t="s">
        <v>445</v>
      </c>
      <c r="C16" s="25" t="str">
        <f t="shared" si="8"/>
        <v>EER-rated packaged Air Conditioner, Size Range: 135 - 240 kBTU/h, EER = 11.5 (IEER = 14.3), EIR = 0.255, Fan W/CFM = 0.41, two-speed fan, with Econo</v>
      </c>
      <c r="D16" s="25" t="s">
        <v>450</v>
      </c>
      <c r="E16" s="25" t="s">
        <v>453</v>
      </c>
      <c r="F16" s="314">
        <v>41914.5</v>
      </c>
      <c r="G16" s="25" t="str">
        <f t="shared" si="1"/>
        <v>NE-HVAC-airAC-SpltPkg-135to239kBtuh-11p5eer</v>
      </c>
      <c r="H16" s="25" t="s">
        <v>417</v>
      </c>
      <c r="I16" s="25" t="s">
        <v>421</v>
      </c>
      <c r="Q16" s="25" t="s">
        <v>418</v>
      </c>
      <c r="R16" s="25" t="s">
        <v>424</v>
      </c>
      <c r="S16" s="25" t="s">
        <v>420</v>
      </c>
      <c r="T16" s="25" t="s">
        <v>425</v>
      </c>
      <c r="U16" s="25" t="s">
        <v>435</v>
      </c>
      <c r="V16" s="25" t="s">
        <v>436</v>
      </c>
      <c r="W16" s="25" t="s">
        <v>428</v>
      </c>
      <c r="Y16" s="25" t="s">
        <v>437</v>
      </c>
      <c r="Z16" s="25" t="str">
        <f>VLOOKUP(AD16,Technologies!$E$10:$X$154,20,FALSE)</f>
        <v>EER-Rated Pkg AC, 135-240 kBTU/h; 
Pre-2005: EER = 9.5,  one-speed fan, w/Econo;
2006 - 2009: EER = 9.5,  one-speed fan, w/Econo;
2010 - 2013: EER = 10.8,  one-speed fan, w/Econo;
2014 - 2015: EER = 10.8 (IEER = 12.8), two-speed fan, w/Econo</v>
      </c>
      <c r="AA16" s="25" t="str">
        <f>VLOOKUP(AD16,Technologies!$E$10:$W$154,19,FALSE)</f>
        <v>EER-rated packaged Air Conditioner, Size Range: 135 - 240 kBTU/h, EER = 10.8 (IEER = 12.8), EIR = 0.274, Fan W/CFM = 0.41, two-speed fan, with Econo</v>
      </c>
      <c r="AB16" s="25" t="str">
        <f>VLOOKUP(AE16,Technologies!$E$10:$W$154,19,FALSE)</f>
        <v>EER-rated packaged Air Conditioner, Size Range: 135 - 240 kBTU/h, EER = 11.5 (IEER = 14.3), EIR = 0.255, Fan W/CFM = 0.41, two-speed fan, with Econo</v>
      </c>
      <c r="AD16" s="25" t="str">
        <f>+Technologies!E18</f>
        <v>dxAC-Com-Pkg-135to240kBTUh-EER10.8</v>
      </c>
      <c r="AE16" s="25" t="str">
        <f>+Technologies!E19</f>
        <v>dxAC-Com-Pkg-135to240kBTUh-EER11.5</v>
      </c>
      <c r="AF16" s="25" t="s">
        <v>591</v>
      </c>
      <c r="AH16" s="25" t="s">
        <v>418</v>
      </c>
      <c r="AI16" s="25" t="s">
        <v>418</v>
      </c>
      <c r="AK16" s="25" t="s">
        <v>422</v>
      </c>
      <c r="AM16" s="25" t="s">
        <v>437</v>
      </c>
      <c r="AO16" s="25" t="s">
        <v>50</v>
      </c>
      <c r="AP16" s="315">
        <v>42005</v>
      </c>
    </row>
    <row r="17" spans="1:48" ht="16.5" customHeight="1" x14ac:dyDescent="0.25">
      <c r="A17" s="25">
        <f t="shared" si="2"/>
        <v>711</v>
      </c>
      <c r="B17" s="25" t="s">
        <v>446</v>
      </c>
      <c r="C17" s="25" t="str">
        <f t="shared" si="8"/>
        <v>EER-rated packaged Air Conditioner, Size Range: 135 - 240 kBTU/h, EER = 12 (IEER = 15.4), EIR = 0.243, Fan W/CFM = 0.41, two-speed fan, with Econo</v>
      </c>
      <c r="D17" s="25" t="s">
        <v>450</v>
      </c>
      <c r="E17" s="25" t="s">
        <v>453</v>
      </c>
      <c r="F17" s="314">
        <v>41914.5</v>
      </c>
      <c r="G17" s="25" t="str">
        <f t="shared" si="1"/>
        <v>NE-HVAC-airAC-SpltPkg-135to239kBtuh-12p0eer</v>
      </c>
      <c r="H17" s="25" t="s">
        <v>417</v>
      </c>
      <c r="I17" s="25" t="s">
        <v>421</v>
      </c>
      <c r="Q17" s="25" t="s">
        <v>418</v>
      </c>
      <c r="R17" s="25" t="s">
        <v>424</v>
      </c>
      <c r="S17" s="25" t="s">
        <v>420</v>
      </c>
      <c r="T17" s="25" t="s">
        <v>425</v>
      </c>
      <c r="U17" s="25" t="s">
        <v>435</v>
      </c>
      <c r="V17" s="25" t="s">
        <v>436</v>
      </c>
      <c r="W17" s="25" t="s">
        <v>428</v>
      </c>
      <c r="Y17" s="25" t="s">
        <v>437</v>
      </c>
      <c r="Z17" s="25" t="str">
        <f>VLOOKUP(AD17,Technologies!$E$10:$X$154,20,FALSE)</f>
        <v>EER-Rated Pkg AC, 135-240 kBTU/h; 
Pre-2005: EER = 9.5,  one-speed fan, w/Econo;
2006 - 2009: EER = 9.5,  one-speed fan, w/Econo;
2010 - 2013: EER = 10.8,  one-speed fan, w/Econo;
2014 - 2015: EER = 10.8 (IEER = 12.8), two-speed fan, w/Econo</v>
      </c>
      <c r="AA17" s="25" t="str">
        <f>VLOOKUP(AD17,Technologies!$E$10:$W$154,19,FALSE)</f>
        <v>EER-rated packaged Air Conditioner, Size Range: 135 - 240 kBTU/h, EER = 10.8 (IEER = 12.8), EIR = 0.274, Fan W/CFM = 0.41, two-speed fan, with Econo</v>
      </c>
      <c r="AB17" s="25" t="str">
        <f>VLOOKUP(AE17,Technologies!$E$10:$W$154,19,FALSE)</f>
        <v>EER-rated packaged Air Conditioner, Size Range: 135 - 240 kBTU/h, EER = 12 (IEER = 15.4), EIR = 0.243, Fan W/CFM = 0.41, two-speed fan, with Econo</v>
      </c>
      <c r="AD17" s="25" t="str">
        <f>+AD16</f>
        <v>dxAC-Com-Pkg-135to240kBTUh-EER10.8</v>
      </c>
      <c r="AE17" s="25" t="str">
        <f>+Technologies!E20</f>
        <v>dxAC-Com-Pkg-135to240kBTUh-EER12.0</v>
      </c>
      <c r="AF17" s="25" t="s">
        <v>591</v>
      </c>
      <c r="AH17" s="25" t="s">
        <v>418</v>
      </c>
      <c r="AI17" s="25" t="s">
        <v>418</v>
      </c>
      <c r="AK17" s="25" t="s">
        <v>422</v>
      </c>
      <c r="AM17" s="25" t="s">
        <v>437</v>
      </c>
      <c r="AO17" s="25" t="s">
        <v>50</v>
      </c>
      <c r="AP17" s="315">
        <v>42005</v>
      </c>
    </row>
    <row r="18" spans="1:48" ht="16.5" customHeight="1" x14ac:dyDescent="0.25">
      <c r="A18" s="25">
        <f t="shared" si="2"/>
        <v>712</v>
      </c>
      <c r="B18" s="25" t="s">
        <v>511</v>
      </c>
      <c r="C18" s="25" t="str">
        <f t="shared" si="8"/>
        <v>EER-rated packaged Air Conditioner, Size Range: 135 - 240 kBTU/h, EER = 12.5 (IEER = 16.5), EIR = 0.231, Fan W/CFM = 0.41, two-speed fan, with Econo</v>
      </c>
      <c r="D18" s="25" t="s">
        <v>450</v>
      </c>
      <c r="E18" s="25" t="s">
        <v>453</v>
      </c>
      <c r="F18" s="314">
        <v>41914.5</v>
      </c>
      <c r="G18" s="25" t="str">
        <f t="shared" si="1"/>
        <v>NE-HVAC-airAC-SpltPkg-135to239kBtuh-12p5eer</v>
      </c>
      <c r="H18" s="25" t="s">
        <v>417</v>
      </c>
      <c r="I18" s="25" t="s">
        <v>421</v>
      </c>
      <c r="Q18" s="25" t="s">
        <v>418</v>
      </c>
      <c r="R18" s="25" t="s">
        <v>424</v>
      </c>
      <c r="S18" s="25" t="s">
        <v>420</v>
      </c>
      <c r="T18" s="25" t="s">
        <v>425</v>
      </c>
      <c r="U18" s="25" t="s">
        <v>435</v>
      </c>
      <c r="V18" s="25" t="s">
        <v>436</v>
      </c>
      <c r="W18" s="25" t="s">
        <v>428</v>
      </c>
      <c r="Y18" s="25" t="s">
        <v>437</v>
      </c>
      <c r="Z18" s="25" t="str">
        <f>VLOOKUP(AD18,Technologies!$E$10:$X$154,20,FALSE)</f>
        <v>EER-Rated Pkg AC, 135-240 kBTU/h; 
Pre-2005: EER = 9.5,  one-speed fan, w/Econo;
2006 - 2009: EER = 9.5,  one-speed fan, w/Econo;
2010 - 2013: EER = 10.8,  one-speed fan, w/Econo;
2014 - 2015: EER = 10.8 (IEER = 12.8), two-speed fan, w/Econo</v>
      </c>
      <c r="AA18" s="25" t="str">
        <f>VLOOKUP(AD18,Technologies!$E$10:$W$154,19,FALSE)</f>
        <v>EER-rated packaged Air Conditioner, Size Range: 135 - 240 kBTU/h, EER = 10.8 (IEER = 12.8), EIR = 0.274, Fan W/CFM = 0.41, two-speed fan, with Econo</v>
      </c>
      <c r="AB18" s="25" t="str">
        <f>VLOOKUP(AE18,Technologies!$E$10:$W$154,19,FALSE)</f>
        <v>EER-rated packaged Air Conditioner, Size Range: 135 - 240 kBTU/h, EER = 12.5 (IEER = 16.5), EIR = 0.231, Fan W/CFM = 0.41, two-speed fan, with Econo</v>
      </c>
      <c r="AD18" s="25" t="str">
        <f>+AD17</f>
        <v>dxAC-Com-Pkg-135to240kBTUh-EER10.8</v>
      </c>
      <c r="AE18" s="25" t="str">
        <f>+Technologies!E21</f>
        <v>dxAC-Com-Pkg-135to240kBTUh-EER12.5</v>
      </c>
      <c r="AF18" s="25" t="s">
        <v>591</v>
      </c>
      <c r="AH18" s="25" t="s">
        <v>418</v>
      </c>
      <c r="AI18" s="25" t="s">
        <v>418</v>
      </c>
      <c r="AK18" s="25" t="s">
        <v>422</v>
      </c>
      <c r="AM18" s="25" t="s">
        <v>437</v>
      </c>
      <c r="AO18" s="25" t="s">
        <v>50</v>
      </c>
      <c r="AP18" s="315">
        <v>42005</v>
      </c>
    </row>
    <row r="19" spans="1:48" ht="16.5" customHeight="1" x14ac:dyDescent="0.25">
      <c r="A19" s="25">
        <f t="shared" si="2"/>
        <v>713</v>
      </c>
      <c r="B19" s="25" t="s">
        <v>447</v>
      </c>
      <c r="C19" s="25" t="str">
        <f t="shared" si="8"/>
        <v>EER-rated packaged Air Conditioner, Size Range: 240 - 760 kBTU/h, EER = 10.8 (IEER = 12.8), EIR = 0.255, Fan W/CFM = 0.61, two-speed fan, with Econo</v>
      </c>
      <c r="D19" s="25" t="s">
        <v>450</v>
      </c>
      <c r="E19" s="25" t="s">
        <v>453</v>
      </c>
      <c r="F19" s="314">
        <v>41914.5</v>
      </c>
      <c r="G19" s="25" t="str">
        <f t="shared" si="1"/>
        <v>NE-HVAC-airAC-SpltPkg-240to759kBtuh-10p8eer</v>
      </c>
      <c r="H19" s="25" t="s">
        <v>417</v>
      </c>
      <c r="I19" s="25" t="s">
        <v>421</v>
      </c>
      <c r="Q19" s="25" t="s">
        <v>418</v>
      </c>
      <c r="R19" s="25" t="s">
        <v>424</v>
      </c>
      <c r="S19" s="25" t="s">
        <v>420</v>
      </c>
      <c r="T19" s="25" t="s">
        <v>425</v>
      </c>
      <c r="U19" s="25" t="s">
        <v>435</v>
      </c>
      <c r="V19" s="25" t="s">
        <v>436</v>
      </c>
      <c r="W19" s="25" t="s">
        <v>428</v>
      </c>
      <c r="Y19" s="25" t="s">
        <v>437</v>
      </c>
      <c r="Z19" s="25" t="str">
        <f>VLOOKUP(AD19,Technologies!$E$10:$X$154,20,FALSE)</f>
        <v>EER-Rated Pkg AC, 240-760 kBTU/h; 
Pre-2005: EER = 9.3,  one-speed fan, w/Econo;
2006 - 2009: EER = 9.3,  one-speed fan, w/Econo;
2010 - 2013: EER = 9.8,  one-speed fan, w/Econo;
2014 - 2015: EER = 9.8 (IEER = 11.2), two-speed fan, w/Econo</v>
      </c>
      <c r="AA19" s="25" t="str">
        <f>VLOOKUP(AD19,Technologies!$E$10:$W$154,19,FALSE)</f>
        <v>EER-rated packaged Air Conditioner, Size Range: 240 - 760 kBTU/h, EER = 9.8 (IEER = 11.2), EIR = 0.286, Fan W/CFM = 0.61, two-speed fan, with Econo</v>
      </c>
      <c r="AB19" s="25" t="str">
        <f>VLOOKUP(AE19,Technologies!$E$10:$W$154,19,FALSE)</f>
        <v>EER-rated packaged Air Conditioner, Size Range: 240 - 760 kBTU/h, EER = 10.8 (IEER = 12.8), EIR = 0.255, Fan W/CFM = 0.61, two-speed fan, with Econo</v>
      </c>
      <c r="AD19" s="25" t="str">
        <f>+Technologies!E22</f>
        <v>dxAC-Com-Pkg-240to760kBTUh-EER9.8</v>
      </c>
      <c r="AE19" s="25" t="str">
        <f>+Technologies!E23</f>
        <v>dxAC-Com-Pkg-240to760kBTUh-EER10.8</v>
      </c>
      <c r="AF19" s="25" t="s">
        <v>591</v>
      </c>
      <c r="AG19" s="25" t="s">
        <v>515</v>
      </c>
      <c r="AH19" s="25" t="s">
        <v>418</v>
      </c>
      <c r="AI19" s="25" t="s">
        <v>418</v>
      </c>
      <c r="AK19" s="25" t="s">
        <v>422</v>
      </c>
      <c r="AM19" s="25" t="s">
        <v>437</v>
      </c>
      <c r="AO19" s="25" t="s">
        <v>50</v>
      </c>
      <c r="AP19" s="315">
        <v>42005</v>
      </c>
    </row>
    <row r="20" spans="1:48" ht="16.5" customHeight="1" x14ac:dyDescent="0.25">
      <c r="A20" s="25">
        <f t="shared" si="2"/>
        <v>714</v>
      </c>
      <c r="B20" s="25" t="s">
        <v>512</v>
      </c>
      <c r="C20" s="25" t="str">
        <f t="shared" si="8"/>
        <v>EER-rated packaged Air Conditioner, Size Range: 240 - 760 kBTU/h, EER = 11.5 (IEER = 13.9), EIR = 0.236, Fan W/CFM = 0.61, two-speed fan, with Econo</v>
      </c>
      <c r="D20" s="25" t="s">
        <v>450</v>
      </c>
      <c r="E20" s="25" t="s">
        <v>453</v>
      </c>
      <c r="F20" s="314">
        <v>41914.5</v>
      </c>
      <c r="G20" s="25" t="str">
        <f t="shared" si="1"/>
        <v>NE-HVAC-airAC-SpltPkg-240to759kBtuh-11p5eer</v>
      </c>
      <c r="H20" s="25" t="s">
        <v>417</v>
      </c>
      <c r="I20" s="25" t="s">
        <v>421</v>
      </c>
      <c r="Q20" s="25" t="s">
        <v>418</v>
      </c>
      <c r="R20" s="25" t="s">
        <v>424</v>
      </c>
      <c r="S20" s="25" t="s">
        <v>420</v>
      </c>
      <c r="T20" s="25" t="s">
        <v>425</v>
      </c>
      <c r="U20" s="25" t="s">
        <v>435</v>
      </c>
      <c r="V20" s="25" t="s">
        <v>436</v>
      </c>
      <c r="W20" s="25" t="s">
        <v>428</v>
      </c>
      <c r="Y20" s="25" t="s">
        <v>437</v>
      </c>
      <c r="Z20" s="25" t="str">
        <f>VLOOKUP(AD20,Technologies!$E$10:$X$154,20,FALSE)</f>
        <v>EER-Rated Pkg AC, 240-760 kBTU/h; 
Pre-2005: EER = 9.3,  one-speed fan, w/Econo;
2006 - 2009: EER = 9.3,  one-speed fan, w/Econo;
2010 - 2013: EER = 9.8,  one-speed fan, w/Econo;
2014 - 2015: EER = 9.8 (IEER = 11.2), two-speed fan, w/Econo</v>
      </c>
      <c r="AA20" s="25" t="str">
        <f>VLOOKUP(AD20,Technologies!$E$10:$W$154,19,FALSE)</f>
        <v>EER-rated packaged Air Conditioner, Size Range: 240 - 760 kBTU/h, EER = 9.8 (IEER = 11.2), EIR = 0.286, Fan W/CFM = 0.61, two-speed fan, with Econo</v>
      </c>
      <c r="AB20" s="25" t="str">
        <f>VLOOKUP(AE20,Technologies!$E$10:$W$154,19,FALSE)</f>
        <v>EER-rated packaged Air Conditioner, Size Range: 240 - 760 kBTU/h, EER = 11.5 (IEER = 13.9), EIR = 0.236, Fan W/CFM = 0.61, two-speed fan, with Econo</v>
      </c>
      <c r="AD20" s="25" t="str">
        <f>+AD19</f>
        <v>dxAC-Com-Pkg-240to760kBTUh-EER9.8</v>
      </c>
      <c r="AE20" s="25" t="str">
        <f>+Technologies!E24</f>
        <v>dxAC-Com-Pkg-240to760kBTUh-EER11.5</v>
      </c>
      <c r="AF20" s="25" t="s">
        <v>591</v>
      </c>
      <c r="AG20" s="25" t="s">
        <v>515</v>
      </c>
      <c r="AH20" s="25" t="s">
        <v>418</v>
      </c>
      <c r="AI20" s="25" t="s">
        <v>418</v>
      </c>
      <c r="AK20" s="25" t="s">
        <v>422</v>
      </c>
      <c r="AM20" s="25" t="s">
        <v>437</v>
      </c>
      <c r="AO20" s="25" t="s">
        <v>50</v>
      </c>
      <c r="AP20" s="315">
        <v>42005</v>
      </c>
    </row>
    <row r="21" spans="1:48" ht="16.5" customHeight="1" x14ac:dyDescent="0.25">
      <c r="A21" s="25">
        <f t="shared" si="2"/>
        <v>715</v>
      </c>
      <c r="B21" s="25" t="s">
        <v>513</v>
      </c>
      <c r="C21" s="25" t="str">
        <f t="shared" si="8"/>
        <v>EER-rated packaged Air Conditioner, Size Range: 240 - 760 kBTU/h, EER = 12.5 (IEER = 15.5), EIR = 0.213, Fan W/CFM = 0.61, two-speed fan, with Econo</v>
      </c>
      <c r="D21" s="25" t="s">
        <v>450</v>
      </c>
      <c r="E21" s="25" t="s">
        <v>453</v>
      </c>
      <c r="F21" s="314">
        <v>41914.5</v>
      </c>
      <c r="G21" s="25" t="str">
        <f t="shared" si="1"/>
        <v>NE-HVAC-airAC-SpltPkg-240to759kBtuh-12p5eer</v>
      </c>
      <c r="H21" s="25" t="s">
        <v>417</v>
      </c>
      <c r="I21" s="25" t="s">
        <v>421</v>
      </c>
      <c r="Q21" s="25" t="s">
        <v>418</v>
      </c>
      <c r="R21" s="25" t="s">
        <v>424</v>
      </c>
      <c r="S21" s="25" t="s">
        <v>420</v>
      </c>
      <c r="T21" s="25" t="s">
        <v>425</v>
      </c>
      <c r="U21" s="25" t="s">
        <v>435</v>
      </c>
      <c r="V21" s="25" t="s">
        <v>436</v>
      </c>
      <c r="W21" s="25" t="s">
        <v>428</v>
      </c>
      <c r="Y21" s="25" t="s">
        <v>437</v>
      </c>
      <c r="Z21" s="25" t="str">
        <f>VLOOKUP(AD21,Technologies!$E$10:$X$154,20,FALSE)</f>
        <v>EER-Rated Pkg AC, 240-760 kBTU/h; 
Pre-2005: EER = 9.3,  one-speed fan, w/Econo;
2006 - 2009: EER = 9.3,  one-speed fan, w/Econo;
2010 - 2013: EER = 9.8,  one-speed fan, w/Econo;
2014 - 2015: EER = 9.8 (IEER = 11.2), two-speed fan, w/Econo</v>
      </c>
      <c r="AA21" s="25" t="str">
        <f>VLOOKUP(AD21,Technologies!$E$10:$W$154,19,FALSE)</f>
        <v>EER-rated packaged Air Conditioner, Size Range: 240 - 760 kBTU/h, EER = 9.8 (IEER = 11.2), EIR = 0.286, Fan W/CFM = 0.61, two-speed fan, with Econo</v>
      </c>
      <c r="AB21" s="25" t="str">
        <f>VLOOKUP(AE21,Technologies!$E$10:$W$154,19,FALSE)</f>
        <v>EER-rated packaged Air Conditioner, Size Range: 240 - 760 kBTU/h, EER = 12.5 (IEER = 15.5), EIR = 0.213, Fan W/CFM = 0.61, two-speed fan, with Econo</v>
      </c>
      <c r="AD21" s="25" t="str">
        <f>+AD20</f>
        <v>dxAC-Com-Pkg-240to760kBTUh-EER9.8</v>
      </c>
      <c r="AE21" s="25" t="str">
        <f>+Technologies!E25</f>
        <v>dxAC-Com-Pkg-240to760kBTUh-EER12.5</v>
      </c>
      <c r="AF21" s="25" t="s">
        <v>591</v>
      </c>
      <c r="AG21" s="25" t="s">
        <v>515</v>
      </c>
      <c r="AH21" s="25" t="s">
        <v>418</v>
      </c>
      <c r="AI21" s="25" t="s">
        <v>418</v>
      </c>
      <c r="AK21" s="25" t="s">
        <v>422</v>
      </c>
      <c r="AM21" s="25" t="s">
        <v>437</v>
      </c>
      <c r="AO21" s="25" t="s">
        <v>50</v>
      </c>
      <c r="AP21" s="315">
        <v>42005</v>
      </c>
    </row>
    <row r="22" spans="1:48" ht="16.5" customHeight="1" x14ac:dyDescent="0.25">
      <c r="A22" s="25">
        <f t="shared" si="2"/>
        <v>716</v>
      </c>
      <c r="B22" s="25" t="s">
        <v>448</v>
      </c>
      <c r="C22" s="25" t="str">
        <f t="shared" si="8"/>
        <v>EER-rated packaged Air Conditioner, Size Range: 760 -  kBTU/h, EER = 10.2 (IEER = 11.8), EIR = 0.273, Fan W/CFM = 0.61, two-speed fan, with Econo</v>
      </c>
      <c r="D22" s="25" t="s">
        <v>450</v>
      </c>
      <c r="E22" s="25" t="s">
        <v>453</v>
      </c>
      <c r="F22" s="314">
        <v>41914.5</v>
      </c>
      <c r="G22" s="25" t="str">
        <f t="shared" si="1"/>
        <v>NE-HVAC-airAC-SpltPkg-gte760kBtuh-10p2eer</v>
      </c>
      <c r="H22" s="25" t="s">
        <v>417</v>
      </c>
      <c r="I22" s="25" t="s">
        <v>421</v>
      </c>
      <c r="Q22" s="25" t="s">
        <v>418</v>
      </c>
      <c r="R22" s="25" t="s">
        <v>424</v>
      </c>
      <c r="S22" s="25" t="s">
        <v>420</v>
      </c>
      <c r="T22" s="25" t="s">
        <v>425</v>
      </c>
      <c r="U22" s="25" t="s">
        <v>435</v>
      </c>
      <c r="V22" s="25" t="s">
        <v>436</v>
      </c>
      <c r="W22" s="25" t="s">
        <v>428</v>
      </c>
      <c r="Y22" s="25" t="s">
        <v>437</v>
      </c>
      <c r="Z22" s="25" t="str">
        <f>VLOOKUP(AD22,Technologies!$E$10:$X$154,20,FALSE)</f>
        <v>EER-Rated Pkg AC, 760+ kBTU/h; 
Pre-2005: EER = 9,  one-speed fan, w/Econo;
2006 - 2009: EER = 9,  one-speed fan, w/Econo;
2010 - 2013: EER = 9.5,  one-speed fan, w/Econo;
2014 - 2015: EER = 9.5 (IEER = 10.7), two-speed fan, w/Econo</v>
      </c>
      <c r="AA22" s="25" t="str">
        <f>VLOOKUP(AD22,Technologies!$E$10:$W$154,19,FALSE)</f>
        <v>EER-rated packaged Air Conditioner, Size Range: 760 -  kBTU/h, EER = 9.5 (IEER = 10.7), EIR = 0.297, Fan W/CFM = 0.61, two-speed fan, with Econo</v>
      </c>
      <c r="AB22" s="25" t="str">
        <f>VLOOKUP(AE22,Technologies!$E$10:$W$154,19,FALSE)</f>
        <v>EER-rated packaged Air Conditioner, Size Range: 760 -  kBTU/h, EER = 10.2 (IEER = 11.8), EIR = 0.273, Fan W/CFM = 0.61, two-speed fan, with Econo</v>
      </c>
      <c r="AD22" s="25" t="str">
        <f>+Technologies!E30</f>
        <v>dxAC-Com-Pkg-760tokBTUh-EER9.5</v>
      </c>
      <c r="AE22" s="25" t="str">
        <f>+Technologies!E31</f>
        <v>dxAC-Com-Pkg-760tokBTUh-EER10.2</v>
      </c>
      <c r="AF22" s="25" t="s">
        <v>591</v>
      </c>
      <c r="AG22" s="25" t="s">
        <v>515</v>
      </c>
      <c r="AH22" s="25" t="s">
        <v>418</v>
      </c>
      <c r="AI22" s="25" t="s">
        <v>418</v>
      </c>
      <c r="AK22" s="25" t="s">
        <v>422</v>
      </c>
      <c r="AM22" s="25" t="s">
        <v>437</v>
      </c>
      <c r="AO22" s="25" t="s">
        <v>50</v>
      </c>
      <c r="AP22" s="315">
        <v>42005</v>
      </c>
    </row>
    <row r="23" spans="1:48" ht="16.5" customHeight="1" x14ac:dyDescent="0.25">
      <c r="A23" s="25">
        <f t="shared" si="2"/>
        <v>717</v>
      </c>
      <c r="B23" s="25" t="s">
        <v>516</v>
      </c>
      <c r="C23" s="25" t="str">
        <f t="shared" si="8"/>
        <v>EER-rated packaged Air Conditioner, Size Range: 760 -  kBTU/h, EER = 11 (IEER = 13.1), EIR = 0.249, Fan W/CFM = 0.61, two-speed fan, with Econo</v>
      </c>
      <c r="D23" s="25" t="s">
        <v>450</v>
      </c>
      <c r="E23" s="25" t="s">
        <v>453</v>
      </c>
      <c r="F23" s="314">
        <v>41914.5</v>
      </c>
      <c r="G23" s="25" t="str">
        <f t="shared" si="1"/>
        <v>NE-HVAC-airAC-SpltPkg-gte760kBtuh-11p0eer</v>
      </c>
      <c r="H23" s="25" t="s">
        <v>417</v>
      </c>
      <c r="I23" s="25" t="s">
        <v>421</v>
      </c>
      <c r="Q23" s="25" t="s">
        <v>418</v>
      </c>
      <c r="R23" s="25" t="s">
        <v>424</v>
      </c>
      <c r="S23" s="25" t="s">
        <v>420</v>
      </c>
      <c r="T23" s="25" t="s">
        <v>425</v>
      </c>
      <c r="U23" s="25" t="s">
        <v>435</v>
      </c>
      <c r="V23" s="25" t="s">
        <v>436</v>
      </c>
      <c r="W23" s="25" t="s">
        <v>428</v>
      </c>
      <c r="Y23" s="25" t="s">
        <v>437</v>
      </c>
      <c r="Z23" s="25" t="str">
        <f>VLOOKUP(AD23,Technologies!$E$10:$X$154,20,FALSE)</f>
        <v>EER-Rated Pkg AC, 760+ kBTU/h; 
Pre-2005: EER = 9,  one-speed fan, w/Econo;
2006 - 2009: EER = 9,  one-speed fan, w/Econo;
2010 - 2013: EER = 9.5,  one-speed fan, w/Econo;
2014 - 2015: EER = 9.5 (IEER = 10.7), two-speed fan, w/Econo</v>
      </c>
      <c r="AA23" s="25" t="str">
        <f>VLOOKUP(AD23,Technologies!$E$10:$W$154,19,FALSE)</f>
        <v>EER-rated packaged Air Conditioner, Size Range: 760 -  kBTU/h, EER = 9.5 (IEER = 10.7), EIR = 0.297, Fan W/CFM = 0.61, two-speed fan, with Econo</v>
      </c>
      <c r="AB23" s="25" t="str">
        <f>VLOOKUP(AE23,Technologies!$E$10:$W$154,19,FALSE)</f>
        <v>EER-rated packaged Air Conditioner, Size Range: 760 -  kBTU/h, EER = 11 (IEER = 13.1), EIR = 0.249, Fan W/CFM = 0.61, two-speed fan, with Econo</v>
      </c>
      <c r="AD23" s="25" t="str">
        <f>+AD22</f>
        <v>dxAC-Com-Pkg-760tokBTUh-EER9.5</v>
      </c>
      <c r="AE23" s="25" t="str">
        <f>+Technologies!E32</f>
        <v>dxAC-Com-Pkg-760tokBTUh-EER11.0</v>
      </c>
      <c r="AF23" s="25" t="s">
        <v>591</v>
      </c>
      <c r="AG23" s="25" t="s">
        <v>515</v>
      </c>
      <c r="AH23" s="25" t="s">
        <v>418</v>
      </c>
      <c r="AI23" s="25" t="s">
        <v>418</v>
      </c>
      <c r="AK23" s="25" t="s">
        <v>422</v>
      </c>
      <c r="AM23" s="25" t="s">
        <v>437</v>
      </c>
      <c r="AO23" s="25" t="s">
        <v>50</v>
      </c>
      <c r="AP23" s="315">
        <v>42005</v>
      </c>
    </row>
    <row r="24" spans="1:48" ht="16.5" customHeight="1" x14ac:dyDescent="0.25">
      <c r="A24" s="25">
        <f t="shared" si="2"/>
        <v>718</v>
      </c>
      <c r="B24" s="25" t="s">
        <v>518</v>
      </c>
      <c r="C24" s="25" t="str">
        <f t="shared" si="8"/>
        <v>EER-rated packaged Air Conditioner, Size Range: 760 -  kBTU/h, EER = 12 (IEER = 14.7), EIR = 0.224, Fan W/CFM = 0.61, two-speed fan, with Econo</v>
      </c>
      <c r="D24" s="25" t="s">
        <v>450</v>
      </c>
      <c r="E24" s="25" t="s">
        <v>453</v>
      </c>
      <c r="F24" s="314">
        <v>41914.5</v>
      </c>
      <c r="G24" s="25" t="str">
        <f t="shared" si="1"/>
        <v>NE-HVAC-airAC-SpltPkg-gte760kBtuh-12p0eer</v>
      </c>
      <c r="H24" s="25" t="s">
        <v>417</v>
      </c>
      <c r="I24" s="25" t="s">
        <v>421</v>
      </c>
      <c r="Q24" s="25" t="s">
        <v>418</v>
      </c>
      <c r="R24" s="25" t="s">
        <v>424</v>
      </c>
      <c r="S24" s="25" t="s">
        <v>420</v>
      </c>
      <c r="T24" s="25" t="s">
        <v>425</v>
      </c>
      <c r="U24" s="25" t="s">
        <v>435</v>
      </c>
      <c r="V24" s="25" t="s">
        <v>436</v>
      </c>
      <c r="W24" s="25" t="s">
        <v>428</v>
      </c>
      <c r="Y24" s="25" t="s">
        <v>437</v>
      </c>
      <c r="Z24" s="25" t="str">
        <f>VLOOKUP(AD24,Technologies!$E$10:$X$154,20,FALSE)</f>
        <v>EER-Rated Pkg AC, 760+ kBTU/h; 
Pre-2005: EER = 9,  one-speed fan, w/Econo;
2006 - 2009: EER = 9,  one-speed fan, w/Econo;
2010 - 2013: EER = 9.5,  one-speed fan, w/Econo;
2014 - 2015: EER = 9.5 (IEER = 10.7), two-speed fan, w/Econo</v>
      </c>
      <c r="AA24" s="25" t="str">
        <f>VLOOKUP(AD24,Technologies!$E$10:$W$154,19,FALSE)</f>
        <v>EER-rated packaged Air Conditioner, Size Range: 760 -  kBTU/h, EER = 9.5 (IEER = 10.7), EIR = 0.297, Fan W/CFM = 0.61, two-speed fan, with Econo</v>
      </c>
      <c r="AB24" s="25" t="str">
        <f>VLOOKUP(AE24,Technologies!$E$10:$W$154,19,FALSE)</f>
        <v>EER-rated packaged Air Conditioner, Size Range: 760 -  kBTU/h, EER = 12 (IEER = 14.7), EIR = 0.224, Fan W/CFM = 0.61, two-speed fan, with Econo</v>
      </c>
      <c r="AD24" s="25" t="str">
        <f>+AD23</f>
        <v>dxAC-Com-Pkg-760tokBTUh-EER9.5</v>
      </c>
      <c r="AE24" s="25" t="str">
        <f>+Technologies!E33</f>
        <v>dxAC-Com-Pkg-760tokBTUh-EER12.0</v>
      </c>
      <c r="AF24" s="25" t="s">
        <v>591</v>
      </c>
      <c r="AG24" s="25" t="s">
        <v>515</v>
      </c>
      <c r="AH24" s="25" t="s">
        <v>418</v>
      </c>
      <c r="AI24" s="25" t="s">
        <v>418</v>
      </c>
      <c r="AK24" s="25" t="s">
        <v>422</v>
      </c>
      <c r="AM24" s="25" t="s">
        <v>437</v>
      </c>
      <c r="AO24" s="25" t="s">
        <v>50</v>
      </c>
      <c r="AP24" s="315">
        <v>42005</v>
      </c>
    </row>
    <row r="25" spans="1:48" ht="16.5" customHeight="1" x14ac:dyDescent="0.25">
      <c r="B25" s="313" t="s">
        <v>627</v>
      </c>
      <c r="F25" s="314"/>
      <c r="AP25" s="315"/>
      <c r="AT25" s="316"/>
      <c r="AU25" s="316"/>
      <c r="AV25" s="316"/>
    </row>
    <row r="26" spans="1:48" ht="16.5" customHeight="1" x14ac:dyDescent="0.25">
      <c r="A26" s="317">
        <f>+A24+1</f>
        <v>719</v>
      </c>
      <c r="B26" s="317" t="s">
        <v>574</v>
      </c>
      <c r="C26" s="25" t="str">
        <f t="shared" si="8"/>
        <v>Commercial SEER-rated Packaged Air Conditioners, Size Range: 18 - 55 kBTU/h, SEER = 15 (EER = 12.9), EIR = 0.234, Fan W/CFM = 0.25, one-speed fan, without Econo</v>
      </c>
      <c r="D26" s="25" t="s">
        <v>450</v>
      </c>
      <c r="E26" s="25" t="s">
        <v>453</v>
      </c>
      <c r="F26" s="314">
        <v>41920</v>
      </c>
      <c r="G26" s="25" t="str">
        <f>+B26</f>
        <v>NE-HVAC-airAC-Pkg-lt55kBtuh-15p0seer</v>
      </c>
      <c r="H26" s="25" t="s">
        <v>417</v>
      </c>
      <c r="I26" s="25" t="s">
        <v>421</v>
      </c>
      <c r="Q26" s="25" t="s">
        <v>418</v>
      </c>
      <c r="R26" s="25" t="s">
        <v>424</v>
      </c>
      <c r="S26" s="25" t="s">
        <v>420</v>
      </c>
      <c r="T26" s="25" t="s">
        <v>425</v>
      </c>
      <c r="U26" s="25" t="s">
        <v>435</v>
      </c>
      <c r="V26" s="25" t="s">
        <v>436</v>
      </c>
      <c r="W26" s="25" t="s">
        <v>430</v>
      </c>
      <c r="Y26" s="25" t="s">
        <v>437</v>
      </c>
      <c r="Z26" s="25" t="str">
        <f>VLOOKUP(AD26,Technologies!$E$10:$X$154,20,FALSE)</f>
        <v>Com SEER-Rated Pkg AC, 18-65 kBTU/h; 
pre-2001: SEER = 9.7 (EER = 9.21), one-speed fan, no Econo;
post-2001: SEER = 13 (EER = 11.06), one-speed fan, no Econo;
2014: SEER = 14 (EER = 12.04), one-speed fan, no Econo</v>
      </c>
      <c r="AA26" s="25" t="str">
        <f>VLOOKUP(AD26,Technologies!$E$10:$W$154,19,FALSE)</f>
        <v>Commercial SEER-rated Packaged Air Conditioners, Size Range: 18 - 55 kBTU/h, SEER = 14 (EER = 12), EIR = 0.246, Fan W/CFM = 0.29, one-speed fan, without Econo</v>
      </c>
      <c r="AB26" s="25" t="str">
        <f>VLOOKUP(AE26,Technologies!$E$10:$W$154,19,FALSE)</f>
        <v>Commercial SEER-rated Packaged Air Conditioners, Size Range: 18 - 55 kBTU/h, SEER = 15 (EER = 12.9), EIR = 0.234, Fan W/CFM = 0.25, one-speed fan, without Econo</v>
      </c>
      <c r="AD26" s="25" t="str">
        <f>+Technologies!E117</f>
        <v>dxAC-Com-Pkg-lt55kBTUh-SEER-14.0</v>
      </c>
      <c r="AE26" s="25" t="str">
        <f>+Technologies!E118</f>
        <v>dxAC-Com-Pkg-lt55kBTUh-SEER-15.0</v>
      </c>
      <c r="AF26" s="25" t="s">
        <v>591</v>
      </c>
      <c r="AH26" s="25" t="s">
        <v>418</v>
      </c>
      <c r="AI26" s="25" t="s">
        <v>418</v>
      </c>
      <c r="AK26" s="25" t="s">
        <v>422</v>
      </c>
      <c r="AM26" s="25" t="s">
        <v>437</v>
      </c>
      <c r="AO26" s="25" t="s">
        <v>50</v>
      </c>
      <c r="AP26" s="315">
        <v>42005</v>
      </c>
      <c r="AT26" s="316"/>
      <c r="AU26" s="316"/>
      <c r="AV26" s="316"/>
    </row>
    <row r="27" spans="1:48" ht="16.5" customHeight="1" x14ac:dyDescent="0.25">
      <c r="A27" s="317">
        <f>+A26+1</f>
        <v>720</v>
      </c>
      <c r="B27" s="317" t="s">
        <v>575</v>
      </c>
      <c r="C27" s="25" t="str">
        <f t="shared" si="8"/>
        <v>Commercial SEER-rated Packaged Air Conditioners, Size Range: 18 - 55 kBTU/h, SEER = 16 (EER = 12.5), EIR = 0.238, Fan W/CFM = 0.27, two-speed fan, without Econo</v>
      </c>
      <c r="D27" s="25" t="s">
        <v>450</v>
      </c>
      <c r="E27" s="25" t="s">
        <v>453</v>
      </c>
      <c r="F27" s="314">
        <v>41920</v>
      </c>
      <c r="G27" s="25" t="str">
        <f t="shared" ref="G27:G76" si="9">+B27</f>
        <v>NE-HVAC-airAC-Pkg-lt55kBtuh-16p0seer</v>
      </c>
      <c r="H27" s="25" t="s">
        <v>417</v>
      </c>
      <c r="I27" s="25" t="s">
        <v>421</v>
      </c>
      <c r="Q27" s="25" t="s">
        <v>418</v>
      </c>
      <c r="R27" s="25" t="s">
        <v>424</v>
      </c>
      <c r="S27" s="25" t="s">
        <v>420</v>
      </c>
      <c r="T27" s="25" t="s">
        <v>425</v>
      </c>
      <c r="U27" s="25" t="s">
        <v>435</v>
      </c>
      <c r="V27" s="25" t="s">
        <v>436</v>
      </c>
      <c r="W27" s="25" t="s">
        <v>430</v>
      </c>
      <c r="Y27" s="25" t="s">
        <v>437</v>
      </c>
      <c r="Z27" s="25" t="str">
        <f>VLOOKUP(AD27,Technologies!$E$10:$X$154,20,FALSE)</f>
        <v>Com SEER-Rated Pkg AC, 18-65 kBTU/h; 
pre-2001: SEER = 9.7 (EER = 9.21), one-speed fan, no Econo;
post-2001: SEER = 13 (EER = 11.06), one-speed fan, no Econo;
2014: SEER = 14 (EER = 12.04), one-speed fan, no Econo</v>
      </c>
      <c r="AA27" s="25" t="str">
        <f>VLOOKUP(AD27,Technologies!$E$10:$W$154,19,FALSE)</f>
        <v>Commercial SEER-rated Packaged Air Conditioners, Size Range: 18 - 55 kBTU/h, SEER = 14 (EER = 12), EIR = 0.246, Fan W/CFM = 0.29, one-speed fan, without Econo</v>
      </c>
      <c r="AB27" s="25" t="str">
        <f>VLOOKUP(AE27,Technologies!$E$10:$W$154,19,FALSE)</f>
        <v>Commercial SEER-rated Packaged Air Conditioners, Size Range: 18 - 55 kBTU/h, SEER = 16 (EER = 12.5), EIR = 0.238, Fan W/CFM = 0.27, two-speed fan, without Econo</v>
      </c>
      <c r="AD27" s="25" t="str">
        <f>+AD26</f>
        <v>dxAC-Com-Pkg-lt55kBTUh-SEER-14.0</v>
      </c>
      <c r="AE27" s="25" t="str">
        <f>+Technologies!E119</f>
        <v>dxAC-Com-Pkg-lt55kBTUh-SEER-16.0</v>
      </c>
      <c r="AF27" s="25" t="s">
        <v>591</v>
      </c>
      <c r="AH27" s="25" t="s">
        <v>418</v>
      </c>
      <c r="AI27" s="25" t="s">
        <v>418</v>
      </c>
      <c r="AK27" s="25" t="s">
        <v>422</v>
      </c>
      <c r="AM27" s="25" t="s">
        <v>437</v>
      </c>
      <c r="AO27" s="25" t="s">
        <v>50</v>
      </c>
      <c r="AP27" s="315">
        <v>42005</v>
      </c>
      <c r="AT27" s="316"/>
      <c r="AU27" s="316"/>
      <c r="AV27" s="316"/>
    </row>
    <row r="28" spans="1:48" ht="16.5" customHeight="1" x14ac:dyDescent="0.25">
      <c r="A28" s="317">
        <f t="shared" ref="A28:A33" si="10">+A27+1</f>
        <v>721</v>
      </c>
      <c r="B28" s="317" t="s">
        <v>576</v>
      </c>
      <c r="C28" s="25" t="str">
        <f t="shared" si="8"/>
        <v>Commercial SEER-rated Packaged Air Conditioners, Size Range: 18 - 55 kBTU/h, SEER = 17 (EER = 13.3), EIR = 0.223, Fan W/CFM = 0.27, two-speed fan, without Econo</v>
      </c>
      <c r="D28" s="25" t="s">
        <v>450</v>
      </c>
      <c r="E28" s="25" t="s">
        <v>453</v>
      </c>
      <c r="F28" s="314">
        <v>41920</v>
      </c>
      <c r="G28" s="25" t="str">
        <f t="shared" si="9"/>
        <v>NE-HVAC-airAC-Pkg-lt55kBtuh-17p0seer</v>
      </c>
      <c r="H28" s="25" t="s">
        <v>417</v>
      </c>
      <c r="I28" s="25" t="s">
        <v>421</v>
      </c>
      <c r="Q28" s="25" t="s">
        <v>418</v>
      </c>
      <c r="R28" s="25" t="s">
        <v>424</v>
      </c>
      <c r="S28" s="25" t="s">
        <v>420</v>
      </c>
      <c r="T28" s="25" t="s">
        <v>425</v>
      </c>
      <c r="U28" s="25" t="s">
        <v>435</v>
      </c>
      <c r="V28" s="25" t="s">
        <v>436</v>
      </c>
      <c r="W28" s="25" t="s">
        <v>430</v>
      </c>
      <c r="Y28" s="25" t="s">
        <v>437</v>
      </c>
      <c r="Z28" s="25" t="str">
        <f>VLOOKUP(AD28,Technologies!$E$10:$X$154,20,FALSE)</f>
        <v>Com SEER-Rated Pkg AC, 18-65 kBTU/h; 
pre-2001: SEER = 9.7 (EER = 9.21), one-speed fan, no Econo;
post-2001: SEER = 13 (EER = 11.06), one-speed fan, no Econo;
2014: SEER = 14 (EER = 12.04), one-speed fan, no Econo</v>
      </c>
      <c r="AA28" s="25" t="str">
        <f>VLOOKUP(AD28,Technologies!$E$10:$W$154,19,FALSE)</f>
        <v>Commercial SEER-rated Packaged Air Conditioners, Size Range: 18 - 55 kBTU/h, SEER = 14 (EER = 12), EIR = 0.246, Fan W/CFM = 0.29, one-speed fan, without Econo</v>
      </c>
      <c r="AB28" s="25" t="str">
        <f>VLOOKUP(AE28,Technologies!$E$10:$W$154,19,FALSE)</f>
        <v>Commercial SEER-rated Packaged Air Conditioners, Size Range: 18 - 55 kBTU/h, SEER = 17 (EER = 13.3), EIR = 0.223, Fan W/CFM = 0.27, two-speed fan, without Econo</v>
      </c>
      <c r="AD28" s="25" t="str">
        <f t="shared" ref="AD28:AD29" si="11">+AD27</f>
        <v>dxAC-Com-Pkg-lt55kBTUh-SEER-14.0</v>
      </c>
      <c r="AE28" s="25" t="str">
        <f>+Technologies!E120</f>
        <v>dxAC-Com-Pkg-lt55kBTUh-SEER-17.0</v>
      </c>
      <c r="AF28" s="25" t="s">
        <v>591</v>
      </c>
      <c r="AH28" s="25" t="s">
        <v>418</v>
      </c>
      <c r="AI28" s="25" t="s">
        <v>418</v>
      </c>
      <c r="AK28" s="25" t="s">
        <v>422</v>
      </c>
      <c r="AM28" s="25" t="s">
        <v>437</v>
      </c>
      <c r="AO28" s="25" t="s">
        <v>50</v>
      </c>
      <c r="AP28" s="315">
        <v>42005</v>
      </c>
      <c r="AT28" s="316"/>
      <c r="AU28" s="316"/>
      <c r="AV28" s="316"/>
    </row>
    <row r="29" spans="1:48" ht="16.5" customHeight="1" x14ac:dyDescent="0.25">
      <c r="A29" s="317">
        <f t="shared" si="10"/>
        <v>722</v>
      </c>
      <c r="B29" s="317" t="s">
        <v>577</v>
      </c>
      <c r="C29" s="25" t="str">
        <f t="shared" si="8"/>
        <v>Commercial SEER-rated Packaged Air Conditioners, Size Range: 18 - 55 kBTU/h, SEER = 18 (EER = 14), EIR = 0.209, Fan W/CFM = 0.27, two-speed fan, without Econo</v>
      </c>
      <c r="D29" s="25" t="s">
        <v>450</v>
      </c>
      <c r="E29" s="25" t="s">
        <v>453</v>
      </c>
      <c r="F29" s="314">
        <v>41920</v>
      </c>
      <c r="G29" s="25" t="str">
        <f t="shared" si="9"/>
        <v>NE-HVAC-airAC-Pkg-lt55kBtuh-18p0seer</v>
      </c>
      <c r="H29" s="25" t="s">
        <v>417</v>
      </c>
      <c r="I29" s="25" t="s">
        <v>421</v>
      </c>
      <c r="Q29" s="25" t="s">
        <v>418</v>
      </c>
      <c r="R29" s="25" t="s">
        <v>424</v>
      </c>
      <c r="S29" s="25" t="s">
        <v>420</v>
      </c>
      <c r="T29" s="25" t="s">
        <v>425</v>
      </c>
      <c r="U29" s="25" t="s">
        <v>435</v>
      </c>
      <c r="V29" s="25" t="s">
        <v>436</v>
      </c>
      <c r="W29" s="25" t="s">
        <v>430</v>
      </c>
      <c r="Y29" s="25" t="s">
        <v>437</v>
      </c>
      <c r="Z29" s="25" t="str">
        <f>VLOOKUP(AD29,Technologies!$E$10:$X$154,20,FALSE)</f>
        <v>Com SEER-Rated Pkg AC, 18-65 kBTU/h; 
pre-2001: SEER = 9.7 (EER = 9.21), one-speed fan, no Econo;
post-2001: SEER = 13 (EER = 11.06), one-speed fan, no Econo;
2014: SEER = 14 (EER = 12.04), one-speed fan, no Econo</v>
      </c>
      <c r="AA29" s="25" t="str">
        <f>VLOOKUP(AD29,Technologies!$E$10:$W$154,19,FALSE)</f>
        <v>Commercial SEER-rated Packaged Air Conditioners, Size Range: 18 - 55 kBTU/h, SEER = 14 (EER = 12), EIR = 0.246, Fan W/CFM = 0.29, one-speed fan, without Econo</v>
      </c>
      <c r="AB29" s="25" t="str">
        <f>VLOOKUP(AE29,Technologies!$E$10:$W$154,19,FALSE)</f>
        <v>Commercial SEER-rated Packaged Air Conditioners, Size Range: 18 - 55 kBTU/h, SEER = 18 (EER = 14), EIR = 0.209, Fan W/CFM = 0.27, two-speed fan, without Econo</v>
      </c>
      <c r="AD29" s="25" t="str">
        <f t="shared" si="11"/>
        <v>dxAC-Com-Pkg-lt55kBTUh-SEER-14.0</v>
      </c>
      <c r="AE29" s="25" t="str">
        <f>+Technologies!E121</f>
        <v>dxAC-Com-Pkg-lt55kBTUh-SEER-18.0</v>
      </c>
      <c r="AF29" s="25" t="s">
        <v>591</v>
      </c>
      <c r="AH29" s="25" t="s">
        <v>418</v>
      </c>
      <c r="AI29" s="25" t="s">
        <v>418</v>
      </c>
      <c r="AK29" s="25" t="s">
        <v>422</v>
      </c>
      <c r="AM29" s="25" t="s">
        <v>437</v>
      </c>
      <c r="AO29" s="25" t="s">
        <v>50</v>
      </c>
      <c r="AP29" s="315">
        <v>42005</v>
      </c>
      <c r="AT29" s="316"/>
      <c r="AU29" s="316"/>
      <c r="AV29" s="316"/>
    </row>
    <row r="30" spans="1:48" ht="16.5" customHeight="1" x14ac:dyDescent="0.25">
      <c r="A30" s="317">
        <f t="shared" si="10"/>
        <v>723</v>
      </c>
      <c r="B30" s="317" t="s">
        <v>826</v>
      </c>
      <c r="C30" s="25" t="str">
        <f>+AB30&amp;" (Pre-existing vintages do not include Economizer)"</f>
        <v>Commercial SEER-rated Packaged Air Conditioners, Size Range: 55 - 65 kBTU/h, SEER = 15 (EER = 12.6), EIR = 0.236, Fan W/CFM = 0.25, two-speed fan, with Econo (Pre-existing vintages do not include Economizer)</v>
      </c>
      <c r="D30" s="25" t="s">
        <v>450</v>
      </c>
      <c r="E30" s="25" t="s">
        <v>453</v>
      </c>
      <c r="F30" s="314">
        <v>41920</v>
      </c>
      <c r="G30" s="25" t="str">
        <f t="shared" si="9"/>
        <v>NE-HVAC-airAC-Pkg-55to65kBtuh-15p0seer</v>
      </c>
      <c r="H30" s="25" t="s">
        <v>417</v>
      </c>
      <c r="I30" s="25" t="s">
        <v>421</v>
      </c>
      <c r="Q30" s="25" t="s">
        <v>418</v>
      </c>
      <c r="R30" s="25" t="s">
        <v>424</v>
      </c>
      <c r="S30" s="25" t="s">
        <v>420</v>
      </c>
      <c r="T30" s="25" t="s">
        <v>425</v>
      </c>
      <c r="U30" s="25" t="s">
        <v>435</v>
      </c>
      <c r="V30" s="25" t="s">
        <v>436</v>
      </c>
      <c r="W30" s="25" t="s">
        <v>430</v>
      </c>
      <c r="Y30" s="25" t="s">
        <v>437</v>
      </c>
      <c r="Z30" s="25" t="str">
        <f>VLOOKUP(AD30,Technologies!$E$10:$X$154,20,FALSE)</f>
        <v>Com SEER-Rated Pkg AC, 18-65 kBTU/h; 
pre-2001: SEER = 9.7 (EER = 9.21), one-speed fan, no Econo;
post-2001: SEER = 13 (EER = 11.06), one-speed fan, no Econo;
2014: SEER = 14 (EER = 11.75), two-speed fan, w/Econo</v>
      </c>
      <c r="AA30" s="25" t="str">
        <f>VLOOKUP(AD30,Technologies!$E$10:$W$154,19,FALSE)</f>
        <v>Commercial SEER-rated Packaged Air Conditioners, Size Range: 55 - 65 kBTU/h, SEER = 14 (EER = 11.7), EIR = 0.249, Fan W/CFM = 0.29, two-speed fan, with Econo</v>
      </c>
      <c r="AB30" s="25" t="str">
        <f>VLOOKUP(AE30,Technologies!$E$10:$W$154,19,FALSE)</f>
        <v>Commercial SEER-rated Packaged Air Conditioners, Size Range: 55 - 65 kBTU/h, SEER = 15 (EER = 12.6), EIR = 0.236, Fan W/CFM = 0.25, two-speed fan, with Econo</v>
      </c>
      <c r="AD30" s="25" t="str">
        <f>+Technologies!E122</f>
        <v>dxAC-Com-Pkg-55to65kBTUh-SEER-14.0</v>
      </c>
      <c r="AE30" s="25" t="str">
        <f>+Technologies!E123</f>
        <v>dxAC-Com-Pkg-55to65kBTUh-SEER-15.0</v>
      </c>
      <c r="AF30" s="25" t="s">
        <v>591</v>
      </c>
      <c r="AH30" s="25" t="s">
        <v>418</v>
      </c>
      <c r="AI30" s="25" t="s">
        <v>418</v>
      </c>
      <c r="AK30" s="25" t="s">
        <v>422</v>
      </c>
      <c r="AM30" s="25" t="s">
        <v>437</v>
      </c>
      <c r="AO30" s="25" t="s">
        <v>50</v>
      </c>
      <c r="AP30" s="315">
        <v>42005</v>
      </c>
    </row>
    <row r="31" spans="1:48" ht="16.5" customHeight="1" x14ac:dyDescent="0.25">
      <c r="A31" s="317">
        <f t="shared" si="10"/>
        <v>724</v>
      </c>
      <c r="B31" s="317" t="s">
        <v>828</v>
      </c>
      <c r="C31" s="25" t="str">
        <f t="shared" ref="C31:C33" si="12">+AB31&amp;" (Pre-existing vintages do not include Economizer)"</f>
        <v>Commercial SEER-rated Packaged Air Conditioners, Size Range: 55 - 65 kBTU/h, SEER = 16 (EER = 12.5), EIR = 0.238, Fan W/CFM = 0.27, two-speed fan, with Econo (Pre-existing vintages do not include Economizer)</v>
      </c>
      <c r="D31" s="25" t="s">
        <v>450</v>
      </c>
      <c r="E31" s="25" t="s">
        <v>453</v>
      </c>
      <c r="F31" s="314">
        <v>41920</v>
      </c>
      <c r="G31" s="25" t="str">
        <f t="shared" si="9"/>
        <v>NE-HVAC-airAC-Pkg-55to65kBtuh-16p0seer</v>
      </c>
      <c r="H31" s="25" t="s">
        <v>417</v>
      </c>
      <c r="I31" s="25" t="s">
        <v>421</v>
      </c>
      <c r="Q31" s="25" t="s">
        <v>418</v>
      </c>
      <c r="R31" s="25" t="s">
        <v>424</v>
      </c>
      <c r="S31" s="25" t="s">
        <v>420</v>
      </c>
      <c r="T31" s="25" t="s">
        <v>425</v>
      </c>
      <c r="U31" s="25" t="s">
        <v>435</v>
      </c>
      <c r="V31" s="25" t="s">
        <v>436</v>
      </c>
      <c r="W31" s="25" t="s">
        <v>430</v>
      </c>
      <c r="Y31" s="25" t="s">
        <v>437</v>
      </c>
      <c r="Z31" s="25" t="str">
        <f>VLOOKUP(AD31,Technologies!$E$10:$X$154,20,FALSE)</f>
        <v>Com SEER-Rated Pkg AC, 18-65 kBTU/h; 
pre-2001: SEER = 9.7 (EER = 9.21), one-speed fan, no Econo;
post-2001: SEER = 13 (EER = 11.06), one-speed fan, no Econo;
2014: SEER = 14 (EER = 11.75), two-speed fan, w/Econo</v>
      </c>
      <c r="AA31" s="25" t="str">
        <f>VLOOKUP(AD31,Technologies!$E$10:$W$154,19,FALSE)</f>
        <v>Commercial SEER-rated Packaged Air Conditioners, Size Range: 55 - 65 kBTU/h, SEER = 14 (EER = 11.7), EIR = 0.249, Fan W/CFM = 0.29, two-speed fan, with Econo</v>
      </c>
      <c r="AB31" s="25" t="str">
        <f>VLOOKUP(AE31,Technologies!$E$10:$W$154,19,FALSE)</f>
        <v>Commercial SEER-rated Packaged Air Conditioners, Size Range: 55 - 65 kBTU/h, SEER = 16 (EER = 12.5), EIR = 0.238, Fan W/CFM = 0.27, two-speed fan, with Econo</v>
      </c>
      <c r="AD31" s="25" t="str">
        <f>+AD30</f>
        <v>dxAC-Com-Pkg-55to65kBTUh-SEER-14.0</v>
      </c>
      <c r="AE31" s="25" t="str">
        <f>+Technologies!E124</f>
        <v>dxAC-Com-Pkg-55to65kBTUh-SEER-16.0</v>
      </c>
      <c r="AF31" s="25" t="s">
        <v>591</v>
      </c>
      <c r="AH31" s="25" t="s">
        <v>418</v>
      </c>
      <c r="AI31" s="25" t="s">
        <v>418</v>
      </c>
      <c r="AK31" s="25" t="s">
        <v>422</v>
      </c>
      <c r="AM31" s="25" t="s">
        <v>437</v>
      </c>
      <c r="AO31" s="25" t="s">
        <v>50</v>
      </c>
      <c r="AP31" s="315">
        <v>42005</v>
      </c>
    </row>
    <row r="32" spans="1:48" ht="16.5" customHeight="1" x14ac:dyDescent="0.25">
      <c r="A32" s="317">
        <f t="shared" si="10"/>
        <v>725</v>
      </c>
      <c r="B32" s="317" t="s">
        <v>829</v>
      </c>
      <c r="C32" s="25" t="str">
        <f t="shared" si="12"/>
        <v>Commercial SEER-rated Packaged Air Conditioners, Size Range: 55 - 65 kBTU/h, SEER = 17 (EER = 13.3), EIR = 0.223, Fan W/CFM = 0.27, two-speed fan, with Econo (Pre-existing vintages do not include Economizer)</v>
      </c>
      <c r="D32" s="25" t="s">
        <v>450</v>
      </c>
      <c r="E32" s="25" t="s">
        <v>453</v>
      </c>
      <c r="F32" s="314">
        <v>41920</v>
      </c>
      <c r="G32" s="25" t="str">
        <f t="shared" si="9"/>
        <v>NE-HVAC-airAC-Pkg-55to65kBtuh-17p0seer</v>
      </c>
      <c r="H32" s="25" t="s">
        <v>417</v>
      </c>
      <c r="I32" s="25" t="s">
        <v>421</v>
      </c>
      <c r="Q32" s="25" t="s">
        <v>418</v>
      </c>
      <c r="R32" s="25" t="s">
        <v>424</v>
      </c>
      <c r="S32" s="25" t="s">
        <v>420</v>
      </c>
      <c r="T32" s="25" t="s">
        <v>425</v>
      </c>
      <c r="U32" s="25" t="s">
        <v>435</v>
      </c>
      <c r="V32" s="25" t="s">
        <v>436</v>
      </c>
      <c r="W32" s="25" t="s">
        <v>430</v>
      </c>
      <c r="Y32" s="25" t="s">
        <v>437</v>
      </c>
      <c r="Z32" s="25" t="str">
        <f>VLOOKUP(AD32,Technologies!$E$10:$X$154,20,FALSE)</f>
        <v>Com SEER-Rated Pkg AC, 18-65 kBTU/h; 
pre-2001: SEER = 9.7 (EER = 9.21), one-speed fan, no Econo;
post-2001: SEER = 13 (EER = 11.06), one-speed fan, no Econo;
2014: SEER = 14 (EER = 11.75), two-speed fan, w/Econo</v>
      </c>
      <c r="AA32" s="25" t="str">
        <f>VLOOKUP(AD32,Technologies!$E$10:$W$154,19,FALSE)</f>
        <v>Commercial SEER-rated Packaged Air Conditioners, Size Range: 55 - 65 kBTU/h, SEER = 14 (EER = 11.7), EIR = 0.249, Fan W/CFM = 0.29, two-speed fan, with Econo</v>
      </c>
      <c r="AB32" s="25" t="str">
        <f>VLOOKUP(AE32,Technologies!$E$10:$W$154,19,FALSE)</f>
        <v>Commercial SEER-rated Packaged Air Conditioners, Size Range: 55 - 65 kBTU/h, SEER = 17 (EER = 13.3), EIR = 0.223, Fan W/CFM = 0.27, two-speed fan, with Econo</v>
      </c>
      <c r="AD32" s="25" t="str">
        <f t="shared" ref="AD32:AD33" si="13">+AD31</f>
        <v>dxAC-Com-Pkg-55to65kBTUh-SEER-14.0</v>
      </c>
      <c r="AE32" s="25" t="str">
        <f>+Technologies!E125</f>
        <v>dxAC-Com-Pkg-55to65kBTUh-SEER-17.0</v>
      </c>
      <c r="AF32" s="25" t="s">
        <v>591</v>
      </c>
      <c r="AH32" s="25" t="s">
        <v>418</v>
      </c>
      <c r="AI32" s="25" t="s">
        <v>418</v>
      </c>
      <c r="AK32" s="25" t="s">
        <v>422</v>
      </c>
      <c r="AM32" s="25" t="s">
        <v>437</v>
      </c>
      <c r="AO32" s="25" t="s">
        <v>50</v>
      </c>
      <c r="AP32" s="315">
        <v>42005</v>
      </c>
    </row>
    <row r="33" spans="1:42" ht="16.5" customHeight="1" x14ac:dyDescent="0.25">
      <c r="A33" s="317">
        <f t="shared" si="10"/>
        <v>726</v>
      </c>
      <c r="B33" s="317" t="s">
        <v>830</v>
      </c>
      <c r="C33" s="25" t="str">
        <f t="shared" si="12"/>
        <v>Commercial SEER-rated Packaged Air Conditioners, Size Range: 55 - 65 kBTU/h, SEER = 18 (EER = 14), EIR = 0.209, Fan W/CFM = 0.27, two-speed fan, with Econo (Pre-existing vintages do not include Economizer)</v>
      </c>
      <c r="D33" s="25" t="s">
        <v>450</v>
      </c>
      <c r="E33" s="25" t="s">
        <v>453</v>
      </c>
      <c r="F33" s="314">
        <v>41920</v>
      </c>
      <c r="G33" s="25" t="str">
        <f t="shared" si="9"/>
        <v>NE-HVAC-airAC-Pkg-55to65kBtuh-18p0seer</v>
      </c>
      <c r="H33" s="25" t="s">
        <v>417</v>
      </c>
      <c r="I33" s="25" t="s">
        <v>421</v>
      </c>
      <c r="Q33" s="25" t="s">
        <v>418</v>
      </c>
      <c r="R33" s="25" t="s">
        <v>424</v>
      </c>
      <c r="S33" s="25" t="s">
        <v>420</v>
      </c>
      <c r="T33" s="25" t="s">
        <v>425</v>
      </c>
      <c r="U33" s="25" t="s">
        <v>435</v>
      </c>
      <c r="V33" s="25" t="s">
        <v>436</v>
      </c>
      <c r="W33" s="25" t="s">
        <v>430</v>
      </c>
      <c r="Y33" s="25" t="s">
        <v>437</v>
      </c>
      <c r="Z33" s="25" t="str">
        <f>VLOOKUP(AD33,Technologies!$E$10:$X$154,20,FALSE)</f>
        <v>Com SEER-Rated Pkg AC, 18-65 kBTU/h; 
pre-2001: SEER = 9.7 (EER = 9.21), one-speed fan, no Econo;
post-2001: SEER = 13 (EER = 11.06), one-speed fan, no Econo;
2014: SEER = 14 (EER = 11.75), two-speed fan, w/Econo</v>
      </c>
      <c r="AA33" s="25" t="str">
        <f>VLOOKUP(AD33,Technologies!$E$10:$W$154,19,FALSE)</f>
        <v>Commercial SEER-rated Packaged Air Conditioners, Size Range: 55 - 65 kBTU/h, SEER = 14 (EER = 11.7), EIR = 0.249, Fan W/CFM = 0.29, two-speed fan, with Econo</v>
      </c>
      <c r="AB33" s="25" t="str">
        <f>VLOOKUP(AE33,Technologies!$E$10:$W$154,19,FALSE)</f>
        <v>Commercial SEER-rated Packaged Air Conditioners, Size Range: 55 - 65 kBTU/h, SEER = 18 (EER = 14), EIR = 0.209, Fan W/CFM = 0.27, two-speed fan, with Econo</v>
      </c>
      <c r="AD33" s="25" t="str">
        <f t="shared" si="13"/>
        <v>dxAC-Com-Pkg-55to65kBTUh-SEER-14.0</v>
      </c>
      <c r="AE33" s="25" t="str">
        <f>+Technologies!E126</f>
        <v>dxAC-Com-Pkg-55to65kBTUh-SEER-18.0</v>
      </c>
      <c r="AF33" s="25" t="s">
        <v>591</v>
      </c>
      <c r="AH33" s="25" t="s">
        <v>418</v>
      </c>
      <c r="AI33" s="25" t="s">
        <v>418</v>
      </c>
      <c r="AK33" s="25" t="s">
        <v>422</v>
      </c>
      <c r="AM33" s="25" t="s">
        <v>437</v>
      </c>
      <c r="AO33" s="25" t="s">
        <v>50</v>
      </c>
      <c r="AP33" s="315">
        <v>42005</v>
      </c>
    </row>
    <row r="34" spans="1:42" ht="16.5" customHeight="1" x14ac:dyDescent="0.25">
      <c r="A34" s="317">
        <f>+A33+1</f>
        <v>727</v>
      </c>
      <c r="B34" s="317" t="s">
        <v>854</v>
      </c>
      <c r="C34" s="25" t="str">
        <f t="shared" ref="C34:C37" si="14">+AB34&amp;" (Pre-existing vintages include Economizer)"</f>
        <v>Commercial SEER-rated Packaged Air Conditioners, Size Range: 55 - 65 kBTU/h, SEER = 15 (EER = 12.6), EIR = 0.236, Fan W/CFM = 0.25, two-speed fan, with Econo (Pre-existing vintages include Economizer)</v>
      </c>
      <c r="D34" s="25" t="s">
        <v>450</v>
      </c>
      <c r="E34" s="25" t="s">
        <v>453</v>
      </c>
      <c r="F34" s="314">
        <v>41920</v>
      </c>
      <c r="G34" s="25" t="str">
        <f t="shared" ref="G34:G37" si="15">+B34</f>
        <v>NE-HVAC-airAC-Pkg-55to65kBtuh-15p0seer-wPreEcono</v>
      </c>
      <c r="H34" s="25" t="s">
        <v>417</v>
      </c>
      <c r="I34" s="25" t="s">
        <v>421</v>
      </c>
      <c r="Q34" s="25" t="s">
        <v>418</v>
      </c>
      <c r="R34" s="25" t="s">
        <v>424</v>
      </c>
      <c r="S34" s="25" t="s">
        <v>420</v>
      </c>
      <c r="T34" s="25" t="s">
        <v>425</v>
      </c>
      <c r="U34" s="25" t="s">
        <v>435</v>
      </c>
      <c r="V34" s="25" t="s">
        <v>436</v>
      </c>
      <c r="W34" s="25" t="s">
        <v>430</v>
      </c>
      <c r="Y34" s="25" t="s">
        <v>437</v>
      </c>
      <c r="Z34" s="25" t="str">
        <f>VLOOKUP(AD34,Technologies!$E$10:$Z$154,22,FALSE)</f>
        <v>Com SEER-Rated Pkg AC, 18-65 kBTU/h; 
pre-2001: SEER = 9.7 (EER = 9.21), one-speed fan, w/Econo;
post-2001: SEER = 13 (EER = 11.06), one-speed fan, w/Econo;
2014: SEER = 14 (EER = 11.75), two-speed fan, w/Econo</v>
      </c>
      <c r="AA34" s="25" t="str">
        <f>VLOOKUP(AD34,Technologies!$E$10:$W$154,19,FALSE)</f>
        <v>Commercial SEER-rated Packaged Air Conditioners, Size Range: 55 - 65 kBTU/h, SEER = 14 (EER = 11.7), EIR = 0.249, Fan W/CFM = 0.29, two-speed fan, with Econo</v>
      </c>
      <c r="AB34" s="25" t="str">
        <f>VLOOKUP(AE34,Technologies!$E$10:$W$154,19,FALSE)</f>
        <v>Commercial SEER-rated Packaged Air Conditioners, Size Range: 55 - 65 kBTU/h, SEER = 15 (EER = 12.6), EIR = 0.236, Fan W/CFM = 0.25, two-speed fan, with Econo</v>
      </c>
      <c r="AD34" s="25" t="str">
        <f>+AD30</f>
        <v>dxAC-Com-Pkg-55to65kBTUh-SEER-14.0</v>
      </c>
      <c r="AE34" s="25" t="str">
        <f>+AE30</f>
        <v>dxAC-Com-Pkg-55to65kBTUh-SEER-15.0</v>
      </c>
      <c r="AF34" s="25" t="s">
        <v>591</v>
      </c>
      <c r="AH34" s="25" t="s">
        <v>418</v>
      </c>
      <c r="AI34" s="25" t="s">
        <v>418</v>
      </c>
      <c r="AK34" s="25" t="s">
        <v>422</v>
      </c>
      <c r="AM34" s="25" t="s">
        <v>437</v>
      </c>
      <c r="AO34" s="25" t="s">
        <v>50</v>
      </c>
      <c r="AP34" s="315">
        <v>42005</v>
      </c>
    </row>
    <row r="35" spans="1:42" ht="16.5" customHeight="1" x14ac:dyDescent="0.25">
      <c r="A35" s="317">
        <f t="shared" ref="A35:A37" si="16">+A34+1</f>
        <v>728</v>
      </c>
      <c r="B35" s="317" t="s">
        <v>855</v>
      </c>
      <c r="C35" s="25" t="str">
        <f t="shared" si="14"/>
        <v>Commercial SEER-rated Packaged Air Conditioners, Size Range: 55 - 65 kBTU/h, SEER = 16 (EER = 12.5), EIR = 0.238, Fan W/CFM = 0.27, two-speed fan, with Econo (Pre-existing vintages include Economizer)</v>
      </c>
      <c r="D35" s="25" t="s">
        <v>450</v>
      </c>
      <c r="E35" s="25" t="s">
        <v>453</v>
      </c>
      <c r="F35" s="314">
        <v>41920</v>
      </c>
      <c r="G35" s="25" t="str">
        <f t="shared" si="15"/>
        <v>NE-HVAC-airAC-Pkg-55to65kBtuh-16p0seer-wPreEcono</v>
      </c>
      <c r="H35" s="25" t="s">
        <v>417</v>
      </c>
      <c r="I35" s="25" t="s">
        <v>421</v>
      </c>
      <c r="Q35" s="25" t="s">
        <v>418</v>
      </c>
      <c r="R35" s="25" t="s">
        <v>424</v>
      </c>
      <c r="S35" s="25" t="s">
        <v>420</v>
      </c>
      <c r="T35" s="25" t="s">
        <v>425</v>
      </c>
      <c r="U35" s="25" t="s">
        <v>435</v>
      </c>
      <c r="V35" s="25" t="s">
        <v>436</v>
      </c>
      <c r="W35" s="25" t="s">
        <v>430</v>
      </c>
      <c r="Y35" s="25" t="s">
        <v>437</v>
      </c>
      <c r="Z35" s="25" t="str">
        <f>VLOOKUP(AD35,Technologies!$E$10:$Z$154,22,FALSE)</f>
        <v>Com SEER-Rated Pkg AC, 18-65 kBTU/h; 
pre-2001: SEER = 9.7 (EER = 9.21), one-speed fan, w/Econo;
post-2001: SEER = 13 (EER = 11.06), one-speed fan, w/Econo;
2014: SEER = 14 (EER = 11.75), two-speed fan, w/Econo</v>
      </c>
      <c r="AA35" s="25" t="str">
        <f>VLOOKUP(AD35,Technologies!$E$10:$W$154,19,FALSE)</f>
        <v>Commercial SEER-rated Packaged Air Conditioners, Size Range: 55 - 65 kBTU/h, SEER = 14 (EER = 11.7), EIR = 0.249, Fan W/CFM = 0.29, two-speed fan, with Econo</v>
      </c>
      <c r="AB35" s="25" t="str">
        <f>VLOOKUP(AE35,Technologies!$E$10:$W$154,19,FALSE)</f>
        <v>Commercial SEER-rated Packaged Air Conditioners, Size Range: 55 - 65 kBTU/h, SEER = 16 (EER = 12.5), EIR = 0.238, Fan W/CFM = 0.27, two-speed fan, with Econo</v>
      </c>
      <c r="AD35" s="25" t="str">
        <f t="shared" ref="AD35:AD37" si="17">+AD31</f>
        <v>dxAC-Com-Pkg-55to65kBTUh-SEER-14.0</v>
      </c>
      <c r="AE35" s="25" t="str">
        <f t="shared" ref="AE35:AE37" si="18">+AE31</f>
        <v>dxAC-Com-Pkg-55to65kBTUh-SEER-16.0</v>
      </c>
      <c r="AF35" s="25" t="s">
        <v>591</v>
      </c>
      <c r="AH35" s="25" t="s">
        <v>418</v>
      </c>
      <c r="AI35" s="25" t="s">
        <v>418</v>
      </c>
      <c r="AK35" s="25" t="s">
        <v>422</v>
      </c>
      <c r="AM35" s="25" t="s">
        <v>437</v>
      </c>
      <c r="AO35" s="25" t="s">
        <v>50</v>
      </c>
      <c r="AP35" s="315">
        <v>42005</v>
      </c>
    </row>
    <row r="36" spans="1:42" ht="16.5" customHeight="1" x14ac:dyDescent="0.25">
      <c r="A36" s="317">
        <f t="shared" si="16"/>
        <v>729</v>
      </c>
      <c r="B36" s="317" t="s">
        <v>856</v>
      </c>
      <c r="C36" s="25" t="str">
        <f t="shared" si="14"/>
        <v>Commercial SEER-rated Packaged Air Conditioners, Size Range: 55 - 65 kBTU/h, SEER = 17 (EER = 13.3), EIR = 0.223, Fan W/CFM = 0.27, two-speed fan, with Econo (Pre-existing vintages include Economizer)</v>
      </c>
      <c r="D36" s="25" t="s">
        <v>450</v>
      </c>
      <c r="E36" s="25" t="s">
        <v>453</v>
      </c>
      <c r="F36" s="314">
        <v>41920</v>
      </c>
      <c r="G36" s="25" t="str">
        <f t="shared" si="15"/>
        <v>NE-HVAC-airAC-Pkg-55to65kBtuh-17p0seer-wPreEcono</v>
      </c>
      <c r="H36" s="25" t="s">
        <v>417</v>
      </c>
      <c r="I36" s="25" t="s">
        <v>421</v>
      </c>
      <c r="Q36" s="25" t="s">
        <v>418</v>
      </c>
      <c r="R36" s="25" t="s">
        <v>424</v>
      </c>
      <c r="S36" s="25" t="s">
        <v>420</v>
      </c>
      <c r="T36" s="25" t="s">
        <v>425</v>
      </c>
      <c r="U36" s="25" t="s">
        <v>435</v>
      </c>
      <c r="V36" s="25" t="s">
        <v>436</v>
      </c>
      <c r="W36" s="25" t="s">
        <v>430</v>
      </c>
      <c r="Y36" s="25" t="s">
        <v>437</v>
      </c>
      <c r="Z36" s="25" t="str">
        <f>VLOOKUP(AD36,Technologies!$E$10:$Z$154,22,FALSE)</f>
        <v>Com SEER-Rated Pkg AC, 18-65 kBTU/h; 
pre-2001: SEER = 9.7 (EER = 9.21), one-speed fan, w/Econo;
post-2001: SEER = 13 (EER = 11.06), one-speed fan, w/Econo;
2014: SEER = 14 (EER = 11.75), two-speed fan, w/Econo</v>
      </c>
      <c r="AA36" s="25" t="str">
        <f>VLOOKUP(AD36,Technologies!$E$10:$W$154,19,FALSE)</f>
        <v>Commercial SEER-rated Packaged Air Conditioners, Size Range: 55 - 65 kBTU/h, SEER = 14 (EER = 11.7), EIR = 0.249, Fan W/CFM = 0.29, two-speed fan, with Econo</v>
      </c>
      <c r="AB36" s="25" t="str">
        <f>VLOOKUP(AE36,Technologies!$E$10:$W$154,19,FALSE)</f>
        <v>Commercial SEER-rated Packaged Air Conditioners, Size Range: 55 - 65 kBTU/h, SEER = 17 (EER = 13.3), EIR = 0.223, Fan W/CFM = 0.27, two-speed fan, with Econo</v>
      </c>
      <c r="AD36" s="25" t="str">
        <f t="shared" si="17"/>
        <v>dxAC-Com-Pkg-55to65kBTUh-SEER-14.0</v>
      </c>
      <c r="AE36" s="25" t="str">
        <f t="shared" si="18"/>
        <v>dxAC-Com-Pkg-55to65kBTUh-SEER-17.0</v>
      </c>
      <c r="AF36" s="25" t="s">
        <v>591</v>
      </c>
      <c r="AH36" s="25" t="s">
        <v>418</v>
      </c>
      <c r="AI36" s="25" t="s">
        <v>418</v>
      </c>
      <c r="AK36" s="25" t="s">
        <v>422</v>
      </c>
      <c r="AM36" s="25" t="s">
        <v>437</v>
      </c>
      <c r="AO36" s="25" t="s">
        <v>50</v>
      </c>
      <c r="AP36" s="315">
        <v>42005</v>
      </c>
    </row>
    <row r="37" spans="1:42" ht="16.5" customHeight="1" x14ac:dyDescent="0.25">
      <c r="A37" s="317">
        <f t="shared" si="16"/>
        <v>730</v>
      </c>
      <c r="B37" s="317" t="s">
        <v>857</v>
      </c>
      <c r="C37" s="25" t="str">
        <f t="shared" si="14"/>
        <v>Commercial SEER-rated Packaged Air Conditioners, Size Range: 55 - 65 kBTU/h, SEER = 18 (EER = 14), EIR = 0.209, Fan W/CFM = 0.27, two-speed fan, with Econo (Pre-existing vintages include Economizer)</v>
      </c>
      <c r="D37" s="25" t="s">
        <v>450</v>
      </c>
      <c r="E37" s="25" t="s">
        <v>453</v>
      </c>
      <c r="F37" s="314">
        <v>41920</v>
      </c>
      <c r="G37" s="25" t="str">
        <f t="shared" si="15"/>
        <v>NE-HVAC-airAC-Pkg-55to65kBtuh-18p0seer-wPreEcono</v>
      </c>
      <c r="H37" s="25" t="s">
        <v>417</v>
      </c>
      <c r="I37" s="25" t="s">
        <v>421</v>
      </c>
      <c r="Q37" s="25" t="s">
        <v>418</v>
      </c>
      <c r="R37" s="25" t="s">
        <v>424</v>
      </c>
      <c r="S37" s="25" t="s">
        <v>420</v>
      </c>
      <c r="T37" s="25" t="s">
        <v>425</v>
      </c>
      <c r="U37" s="25" t="s">
        <v>435</v>
      </c>
      <c r="V37" s="25" t="s">
        <v>436</v>
      </c>
      <c r="W37" s="25" t="s">
        <v>430</v>
      </c>
      <c r="Y37" s="25" t="s">
        <v>437</v>
      </c>
      <c r="Z37" s="25" t="str">
        <f>VLOOKUP(AD37,Technologies!$E$10:$Z$154,22,FALSE)</f>
        <v>Com SEER-Rated Pkg AC, 18-65 kBTU/h; 
pre-2001: SEER = 9.7 (EER = 9.21), one-speed fan, w/Econo;
post-2001: SEER = 13 (EER = 11.06), one-speed fan, w/Econo;
2014: SEER = 14 (EER = 11.75), two-speed fan, w/Econo</v>
      </c>
      <c r="AA37" s="25" t="str">
        <f>VLOOKUP(AD37,Technologies!$E$10:$W$154,19,FALSE)</f>
        <v>Commercial SEER-rated Packaged Air Conditioners, Size Range: 55 - 65 kBTU/h, SEER = 14 (EER = 11.7), EIR = 0.249, Fan W/CFM = 0.29, two-speed fan, with Econo</v>
      </c>
      <c r="AB37" s="25" t="str">
        <f>VLOOKUP(AE37,Technologies!$E$10:$W$154,19,FALSE)</f>
        <v>Commercial SEER-rated Packaged Air Conditioners, Size Range: 55 - 65 kBTU/h, SEER = 18 (EER = 14), EIR = 0.209, Fan W/CFM = 0.27, two-speed fan, with Econo</v>
      </c>
      <c r="AD37" s="25" t="str">
        <f t="shared" si="17"/>
        <v>dxAC-Com-Pkg-55to65kBTUh-SEER-14.0</v>
      </c>
      <c r="AE37" s="25" t="str">
        <f t="shared" si="18"/>
        <v>dxAC-Com-Pkg-55to65kBTUh-SEER-18.0</v>
      </c>
      <c r="AF37" s="25" t="s">
        <v>591</v>
      </c>
      <c r="AH37" s="25" t="s">
        <v>418</v>
      </c>
      <c r="AI37" s="25" t="s">
        <v>418</v>
      </c>
      <c r="AK37" s="25" t="s">
        <v>422</v>
      </c>
      <c r="AM37" s="25" t="s">
        <v>437</v>
      </c>
      <c r="AO37" s="25" t="s">
        <v>50</v>
      </c>
      <c r="AP37" s="315">
        <v>42005</v>
      </c>
    </row>
    <row r="38" spans="1:42" ht="16.5" customHeight="1" x14ac:dyDescent="0.25">
      <c r="A38" s="317"/>
      <c r="B38" s="318" t="s">
        <v>628</v>
      </c>
      <c r="C38" s="317"/>
      <c r="F38" s="314"/>
      <c r="AP38" s="315"/>
    </row>
    <row r="39" spans="1:42" ht="16.5" customHeight="1" x14ac:dyDescent="0.25">
      <c r="A39" s="317">
        <f>+A37+1</f>
        <v>731</v>
      </c>
      <c r="B39" s="317" t="s">
        <v>537</v>
      </c>
      <c r="C39" s="25" t="str">
        <f t="shared" si="8"/>
        <v>Commercial SEER-rated split Air Conditioners, Size Range: 18 - 45 kBTU/h, SEER = 15 (EER = 12.8), EIR = 0.232, Fan W/CFM = 0.25, one-speed fan, without Econo</v>
      </c>
      <c r="D39" s="25" t="s">
        <v>450</v>
      </c>
      <c r="E39" s="25" t="s">
        <v>453</v>
      </c>
      <c r="F39" s="314">
        <v>41920</v>
      </c>
      <c r="G39" s="25" t="str">
        <f t="shared" si="9"/>
        <v>NE-HVAC-airAC-Split-lt45kBtuh-15p0seer</v>
      </c>
      <c r="H39" s="25" t="s">
        <v>417</v>
      </c>
      <c r="I39" s="25" t="s">
        <v>421</v>
      </c>
      <c r="Q39" s="25" t="s">
        <v>418</v>
      </c>
      <c r="R39" s="25" t="s">
        <v>424</v>
      </c>
      <c r="S39" s="25" t="s">
        <v>420</v>
      </c>
      <c r="T39" s="25" t="s">
        <v>425</v>
      </c>
      <c r="U39" s="25" t="s">
        <v>435</v>
      </c>
      <c r="V39" s="25" t="s">
        <v>436</v>
      </c>
      <c r="W39" s="25" t="s">
        <v>431</v>
      </c>
      <c r="Y39" s="25" t="s">
        <v>437</v>
      </c>
      <c r="Z39" s="25" t="str">
        <f>VLOOKUP(AD39,Technologies!$E$10:$X$154,20,FALSE)</f>
        <v>Commercial SEER-rated split Air Conditioners, 18-65 kBTU/h; 
pre-2001: SEER = 10 (EER = 8.52), one-speed fan, no Econo;
post-2001: SEER = 13 (EER = 11.08), one-speed fan, no Econo;
2014: SEER = 14 (EER = 12.17), one-speed fan, no Econo</v>
      </c>
      <c r="AA39" s="25" t="str">
        <f>VLOOKUP(AD39,Technologies!$E$10:$W$154,19,FALSE)</f>
        <v>Commercial SEER-rated split Air Conditioners, Size Range: 18 - 45 kBTU/h, SEER = 14 (EER = 12.2), EIR = 0.239, Fan W/CFM = 0.29, one-speed fan, without Econo</v>
      </c>
      <c r="AB39" s="25" t="str">
        <f>VLOOKUP(AE39,Technologies!$E$10:$W$154,19,FALSE)</f>
        <v>Commercial SEER-rated split Air Conditioners, Size Range: 18 - 45 kBTU/h, SEER = 15 (EER = 12.8), EIR = 0.232, Fan W/CFM = 0.25, one-speed fan, without Econo</v>
      </c>
      <c r="AD39" s="25" t="str">
        <f>+Technologies!E69</f>
        <v>dxAC-Com-Split-lt45kBTUh-SEER-14.0</v>
      </c>
      <c r="AE39" s="25" t="str">
        <f>+Technologies!E70</f>
        <v>dxAC-Com-Split-lt45kBTUh-SEER-15.0</v>
      </c>
      <c r="AF39" s="25" t="s">
        <v>591</v>
      </c>
      <c r="AH39" s="25" t="s">
        <v>418</v>
      </c>
      <c r="AI39" s="25" t="s">
        <v>418</v>
      </c>
      <c r="AK39" s="25" t="s">
        <v>422</v>
      </c>
      <c r="AM39" s="25" t="s">
        <v>437</v>
      </c>
      <c r="AO39" s="25" t="s">
        <v>50</v>
      </c>
      <c r="AP39" s="315">
        <v>42005</v>
      </c>
    </row>
    <row r="40" spans="1:42" ht="16.5" customHeight="1" x14ac:dyDescent="0.25">
      <c r="A40" s="317">
        <f>+A39+1</f>
        <v>732</v>
      </c>
      <c r="B40" s="317" t="s">
        <v>539</v>
      </c>
      <c r="C40" s="25" t="str">
        <f t="shared" si="8"/>
        <v>Commercial SEER-rated split Air Conditioners, Size Range: 18 - 45 kBTU/h, SEER = 16 (EER = 12.5), EIR = 0.238, Fan W/CFM = 0.27, two-speed fan, without Econo</v>
      </c>
      <c r="D40" s="25" t="s">
        <v>450</v>
      </c>
      <c r="E40" s="25" t="s">
        <v>453</v>
      </c>
      <c r="F40" s="314">
        <v>41920</v>
      </c>
      <c r="G40" s="25" t="str">
        <f t="shared" si="9"/>
        <v>NE-HVAC-airAC-Split-lt45kBtuh-16p0seer</v>
      </c>
      <c r="H40" s="25" t="s">
        <v>417</v>
      </c>
      <c r="I40" s="25" t="s">
        <v>421</v>
      </c>
      <c r="Q40" s="25" t="s">
        <v>418</v>
      </c>
      <c r="R40" s="25" t="s">
        <v>424</v>
      </c>
      <c r="S40" s="25" t="s">
        <v>420</v>
      </c>
      <c r="T40" s="25" t="s">
        <v>425</v>
      </c>
      <c r="U40" s="25" t="s">
        <v>435</v>
      </c>
      <c r="V40" s="25" t="s">
        <v>436</v>
      </c>
      <c r="W40" s="25" t="s">
        <v>431</v>
      </c>
      <c r="Y40" s="25" t="s">
        <v>437</v>
      </c>
      <c r="Z40" s="25" t="str">
        <f>VLOOKUP(AD40,Technologies!$E$10:$X$154,20,FALSE)</f>
        <v>Commercial SEER-rated split Air Conditioners, 18-65 kBTU/h; 
pre-2001: SEER = 10 (EER = 8.52), one-speed fan, no Econo;
post-2001: SEER = 13 (EER = 11.08), one-speed fan, no Econo;
2014: SEER = 14 (EER = 12.17), one-speed fan, no Econo</v>
      </c>
      <c r="AA40" s="25" t="str">
        <f>VLOOKUP(AD40,Technologies!$E$10:$W$154,19,FALSE)</f>
        <v>Commercial SEER-rated split Air Conditioners, Size Range: 18 - 45 kBTU/h, SEER = 14 (EER = 12.2), EIR = 0.239, Fan W/CFM = 0.29, one-speed fan, without Econo</v>
      </c>
      <c r="AB40" s="25" t="str">
        <f>VLOOKUP(AE40,Technologies!$E$10:$W$154,19,FALSE)</f>
        <v>Commercial SEER-rated split Air Conditioners, Size Range: 18 - 45 kBTU/h, SEER = 16 (EER = 12.5), EIR = 0.238, Fan W/CFM = 0.27, two-speed fan, without Econo</v>
      </c>
      <c r="AD40" s="25" t="str">
        <f>+AD39</f>
        <v>dxAC-Com-Split-lt45kBTUh-SEER-14.0</v>
      </c>
      <c r="AE40" s="25" t="str">
        <f>+Technologies!E71</f>
        <v>dxAC-Com-Split-lt45kBTUh-SEER-16.0</v>
      </c>
      <c r="AF40" s="25" t="s">
        <v>591</v>
      </c>
      <c r="AH40" s="25" t="s">
        <v>418</v>
      </c>
      <c r="AI40" s="25" t="s">
        <v>418</v>
      </c>
      <c r="AK40" s="25" t="s">
        <v>422</v>
      </c>
      <c r="AM40" s="25" t="s">
        <v>437</v>
      </c>
      <c r="AO40" s="25" t="s">
        <v>50</v>
      </c>
      <c r="AP40" s="315">
        <v>42005</v>
      </c>
    </row>
    <row r="41" spans="1:42" ht="16.5" customHeight="1" x14ac:dyDescent="0.25">
      <c r="A41" s="317">
        <f t="shared" ref="A41:A50" si="19">+A40+1</f>
        <v>733</v>
      </c>
      <c r="B41" s="317" t="s">
        <v>538</v>
      </c>
      <c r="C41" s="25" t="str">
        <f t="shared" si="8"/>
        <v>Commercial SEER-rated split Air Conditioners, Size Range: 18 - 45 kBTU/h, SEER = 17 (EER = 13.3), EIR = 0.223, Fan W/CFM = 0.27, two-speed fan, without Econo</v>
      </c>
      <c r="D41" s="25" t="s">
        <v>450</v>
      </c>
      <c r="E41" s="25" t="s">
        <v>453</v>
      </c>
      <c r="F41" s="314">
        <v>41920</v>
      </c>
      <c r="G41" s="25" t="str">
        <f t="shared" si="9"/>
        <v>NE-HVAC-airAC-Split-lt45kBtuh-17p0seer</v>
      </c>
      <c r="H41" s="25" t="s">
        <v>417</v>
      </c>
      <c r="I41" s="25" t="s">
        <v>421</v>
      </c>
      <c r="Q41" s="25" t="s">
        <v>418</v>
      </c>
      <c r="R41" s="25" t="s">
        <v>424</v>
      </c>
      <c r="S41" s="25" t="s">
        <v>420</v>
      </c>
      <c r="T41" s="25" t="s">
        <v>425</v>
      </c>
      <c r="U41" s="25" t="s">
        <v>435</v>
      </c>
      <c r="V41" s="25" t="s">
        <v>436</v>
      </c>
      <c r="W41" s="25" t="s">
        <v>431</v>
      </c>
      <c r="Y41" s="25" t="s">
        <v>437</v>
      </c>
      <c r="Z41" s="25" t="str">
        <f>VLOOKUP(AD41,Technologies!$E$10:$X$154,20,FALSE)</f>
        <v>Commercial SEER-rated split Air Conditioners, 18-65 kBTU/h; 
pre-2001: SEER = 10 (EER = 8.52), one-speed fan, no Econo;
post-2001: SEER = 13 (EER = 11.08), one-speed fan, no Econo;
2014: SEER = 14 (EER = 12.17), one-speed fan, no Econo</v>
      </c>
      <c r="AA41" s="25" t="str">
        <f>VLOOKUP(AD41,Technologies!$E$10:$W$154,19,FALSE)</f>
        <v>Commercial SEER-rated split Air Conditioners, Size Range: 18 - 45 kBTU/h, SEER = 14 (EER = 12.2), EIR = 0.239, Fan W/CFM = 0.29, one-speed fan, without Econo</v>
      </c>
      <c r="AB41" s="25" t="str">
        <f>VLOOKUP(AE41,Technologies!$E$10:$W$154,19,FALSE)</f>
        <v>Commercial SEER-rated split Air Conditioners, Size Range: 18 - 45 kBTU/h, SEER = 17 (EER = 13.3), EIR = 0.223, Fan W/CFM = 0.27, two-speed fan, without Econo</v>
      </c>
      <c r="AD41" s="25" t="str">
        <f t="shared" ref="AD41:AD42" si="20">+AD40</f>
        <v>dxAC-Com-Split-lt45kBTUh-SEER-14.0</v>
      </c>
      <c r="AE41" s="25" t="str">
        <f>+Technologies!E72</f>
        <v>dxAC-Com-Split-lt45kBTUh-SEER-17.0</v>
      </c>
      <c r="AF41" s="25" t="s">
        <v>591</v>
      </c>
      <c r="AH41" s="25" t="s">
        <v>418</v>
      </c>
      <c r="AI41" s="25" t="s">
        <v>418</v>
      </c>
      <c r="AK41" s="25" t="s">
        <v>422</v>
      </c>
      <c r="AM41" s="25" t="s">
        <v>437</v>
      </c>
      <c r="AO41" s="25" t="s">
        <v>50</v>
      </c>
      <c r="AP41" s="315">
        <v>42005</v>
      </c>
    </row>
    <row r="42" spans="1:42" ht="16.5" customHeight="1" x14ac:dyDescent="0.25">
      <c r="A42" s="317">
        <f t="shared" si="19"/>
        <v>734</v>
      </c>
      <c r="B42" s="317" t="s">
        <v>540</v>
      </c>
      <c r="C42" s="25" t="str">
        <f t="shared" si="8"/>
        <v>Commercial SEER-rated split Air Conditioners, Size Range: 18 - 45 kBTU/h, SEER = 18 (EER = 14), EIR = 0.209, Fan W/CFM = 0.27, two-speed fan, without Econo</v>
      </c>
      <c r="D42" s="25" t="s">
        <v>450</v>
      </c>
      <c r="E42" s="25" t="s">
        <v>453</v>
      </c>
      <c r="F42" s="314">
        <v>41920</v>
      </c>
      <c r="G42" s="25" t="str">
        <f t="shared" si="9"/>
        <v>NE-HVAC-airAC-Split-lt45kBtuh-18p0seer</v>
      </c>
      <c r="H42" s="25" t="s">
        <v>417</v>
      </c>
      <c r="I42" s="25" t="s">
        <v>421</v>
      </c>
      <c r="Q42" s="25" t="s">
        <v>418</v>
      </c>
      <c r="R42" s="25" t="s">
        <v>424</v>
      </c>
      <c r="S42" s="25" t="s">
        <v>420</v>
      </c>
      <c r="T42" s="25" t="s">
        <v>425</v>
      </c>
      <c r="U42" s="25" t="s">
        <v>435</v>
      </c>
      <c r="V42" s="25" t="s">
        <v>436</v>
      </c>
      <c r="W42" s="25" t="s">
        <v>431</v>
      </c>
      <c r="Y42" s="25" t="s">
        <v>437</v>
      </c>
      <c r="Z42" s="25" t="str">
        <f>VLOOKUP(AD42,Technologies!$E$10:$X$154,20,FALSE)</f>
        <v>Commercial SEER-rated split Air Conditioners, 18-65 kBTU/h; 
pre-2001: SEER = 10 (EER = 8.52), one-speed fan, no Econo;
post-2001: SEER = 13 (EER = 11.08), one-speed fan, no Econo;
2014: SEER = 14 (EER = 12.17), one-speed fan, no Econo</v>
      </c>
      <c r="AA42" s="25" t="str">
        <f>VLOOKUP(AD42,Technologies!$E$10:$W$154,19,FALSE)</f>
        <v>Commercial SEER-rated split Air Conditioners, Size Range: 18 - 45 kBTU/h, SEER = 14 (EER = 12.2), EIR = 0.239, Fan W/CFM = 0.29, one-speed fan, without Econo</v>
      </c>
      <c r="AB42" s="25" t="str">
        <f>VLOOKUP(AE42,Technologies!$E$10:$W$154,19,FALSE)</f>
        <v>Commercial SEER-rated split Air Conditioners, Size Range: 18 - 45 kBTU/h, SEER = 18 (EER = 14), EIR = 0.209, Fan W/CFM = 0.27, two-speed fan, without Econo</v>
      </c>
      <c r="AD42" s="25" t="str">
        <f t="shared" si="20"/>
        <v>dxAC-Com-Split-lt45kBTUh-SEER-14.0</v>
      </c>
      <c r="AE42" s="25" t="str">
        <f>+Technologies!E73</f>
        <v>dxAC-Com-Split-lt45kBTUh-SEER-18.0</v>
      </c>
      <c r="AF42" s="25" t="s">
        <v>591</v>
      </c>
      <c r="AH42" s="25" t="s">
        <v>418</v>
      </c>
      <c r="AI42" s="25" t="s">
        <v>418</v>
      </c>
      <c r="AK42" s="25" t="s">
        <v>422</v>
      </c>
      <c r="AM42" s="25" t="s">
        <v>437</v>
      </c>
      <c r="AO42" s="25" t="s">
        <v>50</v>
      </c>
      <c r="AP42" s="315">
        <v>42005</v>
      </c>
    </row>
    <row r="43" spans="1:42" ht="16.5" customHeight="1" x14ac:dyDescent="0.25">
      <c r="A43" s="317">
        <f t="shared" si="19"/>
        <v>735</v>
      </c>
      <c r="B43" s="317" t="s">
        <v>541</v>
      </c>
      <c r="C43" s="25" t="str">
        <f t="shared" si="8"/>
        <v>Commercial SEER-rated split Air Conditioners, Size Range: 45 - 55 kBTU/h, SEER = 15 (EER = 12.8), EIR = 0.232, Fan W/CFM = 0.25, one-speed fan, without Econo</v>
      </c>
      <c r="D43" s="25" t="s">
        <v>450</v>
      </c>
      <c r="E43" s="25" t="s">
        <v>453</v>
      </c>
      <c r="F43" s="314">
        <v>41920</v>
      </c>
      <c r="G43" s="25" t="str">
        <f t="shared" si="9"/>
        <v>NE-HVAC-airAC-Split-45to55kBtuh-15p0seer</v>
      </c>
      <c r="H43" s="25" t="s">
        <v>417</v>
      </c>
      <c r="I43" s="25" t="s">
        <v>421</v>
      </c>
      <c r="Q43" s="25" t="s">
        <v>418</v>
      </c>
      <c r="R43" s="25" t="s">
        <v>424</v>
      </c>
      <c r="S43" s="25" t="s">
        <v>420</v>
      </c>
      <c r="T43" s="25" t="s">
        <v>425</v>
      </c>
      <c r="U43" s="25" t="s">
        <v>435</v>
      </c>
      <c r="V43" s="25" t="s">
        <v>436</v>
      </c>
      <c r="W43" s="25" t="s">
        <v>431</v>
      </c>
      <c r="Y43" s="25" t="s">
        <v>437</v>
      </c>
      <c r="Z43" s="25" t="str">
        <f>VLOOKUP(AD43,Technologies!$E$10:$X$154,20,FALSE)</f>
        <v>Commercial SEER-rated split Air Conditioners, 18-65 kBTU/h; 
pre-2001: SEER = 10 (EER = 8.52), one-speed fan, no Econo;
post-2001: SEER = 13 (EER = 11.08), one-speed fan, no Econo;
2014: SEER = 14 (EER = 11.82), one-speed fan, no Econo</v>
      </c>
      <c r="AA43" s="25" t="str">
        <f>VLOOKUP(AD43,Technologies!$E$10:$W$154,19,FALSE)</f>
        <v>Commercial SEER-rated split Air Conditioners, Size Range: 45 - 55 kBTU/h, SEER = 14 (EER = 11.8), EIR = 0.247, Fan W/CFM = 0.29, one-speed fan, without Econo</v>
      </c>
      <c r="AB43" s="25" t="str">
        <f>VLOOKUP(AE43,Technologies!$E$10:$W$154,19,FALSE)</f>
        <v>Commercial SEER-rated split Air Conditioners, Size Range: 45 - 55 kBTU/h, SEER = 15 (EER = 12.8), EIR = 0.232, Fan W/CFM = 0.25, one-speed fan, without Econo</v>
      </c>
      <c r="AD43" s="25" t="str">
        <f>+Technologies!E74</f>
        <v>dxAC-Com-Split-45to55kBTUh-SEER-14.0</v>
      </c>
      <c r="AE43" s="25" t="str">
        <f>+Technologies!E75</f>
        <v>dxAC-Com-Split-45to55kBTUh-SEER-15.0</v>
      </c>
      <c r="AF43" s="25" t="s">
        <v>591</v>
      </c>
      <c r="AH43" s="25" t="s">
        <v>418</v>
      </c>
      <c r="AI43" s="25" t="s">
        <v>418</v>
      </c>
      <c r="AK43" s="25" t="s">
        <v>422</v>
      </c>
      <c r="AM43" s="25" t="s">
        <v>437</v>
      </c>
      <c r="AO43" s="25" t="s">
        <v>50</v>
      </c>
      <c r="AP43" s="315">
        <v>42005</v>
      </c>
    </row>
    <row r="44" spans="1:42" ht="16.5" customHeight="1" x14ac:dyDescent="0.25">
      <c r="A44" s="317">
        <f t="shared" si="19"/>
        <v>736</v>
      </c>
      <c r="B44" s="317" t="s">
        <v>542</v>
      </c>
      <c r="C44" s="25" t="str">
        <f t="shared" si="8"/>
        <v>Commercial SEER-rated split Air Conditioners, Size Range: 45 - 55 kBTU/h, SEER = 16 (EER = 12.5), EIR = 0.238, Fan W/CFM = 0.27, two-speed fan, without Econo</v>
      </c>
      <c r="D44" s="25" t="s">
        <v>450</v>
      </c>
      <c r="E44" s="25" t="s">
        <v>453</v>
      </c>
      <c r="F44" s="314">
        <v>41920</v>
      </c>
      <c r="G44" s="25" t="str">
        <f t="shared" si="9"/>
        <v>NE-HVAC-airAC-Split-45to55kBtuh-16p0seer</v>
      </c>
      <c r="H44" s="25" t="s">
        <v>417</v>
      </c>
      <c r="I44" s="25" t="s">
        <v>421</v>
      </c>
      <c r="Q44" s="25" t="s">
        <v>418</v>
      </c>
      <c r="R44" s="25" t="s">
        <v>424</v>
      </c>
      <c r="S44" s="25" t="s">
        <v>420</v>
      </c>
      <c r="T44" s="25" t="s">
        <v>425</v>
      </c>
      <c r="U44" s="25" t="s">
        <v>435</v>
      </c>
      <c r="V44" s="25" t="s">
        <v>436</v>
      </c>
      <c r="W44" s="25" t="s">
        <v>431</v>
      </c>
      <c r="Y44" s="25" t="s">
        <v>437</v>
      </c>
      <c r="Z44" s="25" t="str">
        <f>VLOOKUP(AD44,Technologies!$E$10:$X$154,20,FALSE)</f>
        <v>Commercial SEER-rated split Air Conditioners, 18-65 kBTU/h; 
pre-2001: SEER = 10 (EER = 8.52), one-speed fan, no Econo;
post-2001: SEER = 13 (EER = 11.08), one-speed fan, no Econo;
2014: SEER = 14 (EER = 11.82), one-speed fan, no Econo</v>
      </c>
      <c r="AA44" s="25" t="str">
        <f>VLOOKUP(AD44,Technologies!$E$10:$W$154,19,FALSE)</f>
        <v>Commercial SEER-rated split Air Conditioners, Size Range: 45 - 55 kBTU/h, SEER = 14 (EER = 11.8), EIR = 0.247, Fan W/CFM = 0.29, one-speed fan, without Econo</v>
      </c>
      <c r="AB44" s="25" t="str">
        <f>VLOOKUP(AE44,Technologies!$E$10:$W$154,19,FALSE)</f>
        <v>Commercial SEER-rated split Air Conditioners, Size Range: 45 - 55 kBTU/h, SEER = 16 (EER = 12.5), EIR = 0.238, Fan W/CFM = 0.27, two-speed fan, without Econo</v>
      </c>
      <c r="AD44" s="25" t="str">
        <f>+AD43</f>
        <v>dxAC-Com-Split-45to55kBTUh-SEER-14.0</v>
      </c>
      <c r="AE44" s="25" t="str">
        <f>+Technologies!E76</f>
        <v>dxAC-Com-Split-45to55kBTUh-SEER-16.0</v>
      </c>
      <c r="AF44" s="25" t="s">
        <v>591</v>
      </c>
      <c r="AH44" s="25" t="s">
        <v>418</v>
      </c>
      <c r="AI44" s="25" t="s">
        <v>418</v>
      </c>
      <c r="AK44" s="25" t="s">
        <v>422</v>
      </c>
      <c r="AM44" s="25" t="s">
        <v>437</v>
      </c>
      <c r="AO44" s="25" t="s">
        <v>50</v>
      </c>
      <c r="AP44" s="315">
        <v>42005</v>
      </c>
    </row>
    <row r="45" spans="1:42" ht="16.5" customHeight="1" x14ac:dyDescent="0.25">
      <c r="A45" s="317">
        <f t="shared" si="19"/>
        <v>737</v>
      </c>
      <c r="B45" s="317" t="s">
        <v>543</v>
      </c>
      <c r="C45" s="25" t="str">
        <f t="shared" si="8"/>
        <v>Commercial SEER-rated split Air Conditioners, Size Range: 45 - 55 kBTU/h, SEER = 17 (EER = 13.3), EIR = 0.223, Fan W/CFM = 0.27, two-speed fan, without Econo</v>
      </c>
      <c r="D45" s="25" t="s">
        <v>450</v>
      </c>
      <c r="E45" s="25" t="s">
        <v>453</v>
      </c>
      <c r="F45" s="314">
        <v>41920</v>
      </c>
      <c r="G45" s="25" t="str">
        <f t="shared" si="9"/>
        <v>NE-HVAC-airAC-Split-45to55kBtuh-17p0seer</v>
      </c>
      <c r="H45" s="25" t="s">
        <v>417</v>
      </c>
      <c r="I45" s="25" t="s">
        <v>421</v>
      </c>
      <c r="Q45" s="25" t="s">
        <v>418</v>
      </c>
      <c r="R45" s="25" t="s">
        <v>424</v>
      </c>
      <c r="S45" s="25" t="s">
        <v>420</v>
      </c>
      <c r="T45" s="25" t="s">
        <v>425</v>
      </c>
      <c r="U45" s="25" t="s">
        <v>435</v>
      </c>
      <c r="V45" s="25" t="s">
        <v>436</v>
      </c>
      <c r="W45" s="25" t="s">
        <v>431</v>
      </c>
      <c r="Y45" s="25" t="s">
        <v>437</v>
      </c>
      <c r="Z45" s="25" t="str">
        <f>VLOOKUP(AD45,Technologies!$E$10:$X$154,20,FALSE)</f>
        <v>Commercial SEER-rated split Air Conditioners, 18-65 kBTU/h; 
pre-2001: SEER = 10 (EER = 8.52), one-speed fan, no Econo;
post-2001: SEER = 13 (EER = 11.08), one-speed fan, no Econo;
2014: SEER = 14 (EER = 11.82), one-speed fan, no Econo</v>
      </c>
      <c r="AA45" s="25" t="str">
        <f>VLOOKUP(AD45,Technologies!$E$10:$W$154,19,FALSE)</f>
        <v>Commercial SEER-rated split Air Conditioners, Size Range: 45 - 55 kBTU/h, SEER = 14 (EER = 11.8), EIR = 0.247, Fan W/CFM = 0.29, one-speed fan, without Econo</v>
      </c>
      <c r="AB45" s="25" t="str">
        <f>VLOOKUP(AE45,Technologies!$E$10:$W$154,19,FALSE)</f>
        <v>Commercial SEER-rated split Air Conditioners, Size Range: 45 - 55 kBTU/h, SEER = 17 (EER = 13.3), EIR = 0.223, Fan W/CFM = 0.27, two-speed fan, without Econo</v>
      </c>
      <c r="AD45" s="25" t="str">
        <f t="shared" ref="AD45:AD46" si="21">+AD44</f>
        <v>dxAC-Com-Split-45to55kBTUh-SEER-14.0</v>
      </c>
      <c r="AE45" s="25" t="str">
        <f>+Technologies!E77</f>
        <v>dxAC-Com-Split-45to55kBTUh-SEER-17.0</v>
      </c>
      <c r="AF45" s="25" t="s">
        <v>591</v>
      </c>
      <c r="AH45" s="25" t="s">
        <v>418</v>
      </c>
      <c r="AI45" s="25" t="s">
        <v>418</v>
      </c>
      <c r="AK45" s="25" t="s">
        <v>422</v>
      </c>
      <c r="AM45" s="25" t="s">
        <v>437</v>
      </c>
      <c r="AO45" s="25" t="s">
        <v>50</v>
      </c>
      <c r="AP45" s="315">
        <v>42005</v>
      </c>
    </row>
    <row r="46" spans="1:42" ht="16.5" customHeight="1" x14ac:dyDescent="0.25">
      <c r="A46" s="317">
        <f t="shared" si="19"/>
        <v>738</v>
      </c>
      <c r="B46" s="317" t="s">
        <v>544</v>
      </c>
      <c r="C46" s="25" t="str">
        <f t="shared" si="8"/>
        <v>Commercial SEER-rated split Air Conditioners, Size Range: 45 - 55 kBTU/h, SEER = 18 (EER = 14), EIR = 0.209, Fan W/CFM = 0.27, two-speed fan, without Econo</v>
      </c>
      <c r="D46" s="25" t="s">
        <v>450</v>
      </c>
      <c r="E46" s="25" t="s">
        <v>453</v>
      </c>
      <c r="F46" s="314">
        <v>41920</v>
      </c>
      <c r="G46" s="25" t="str">
        <f t="shared" si="9"/>
        <v>NE-HVAC-airAC-Split-45to55kBtuh-18p0seer</v>
      </c>
      <c r="H46" s="25" t="s">
        <v>417</v>
      </c>
      <c r="I46" s="25" t="s">
        <v>421</v>
      </c>
      <c r="Q46" s="25" t="s">
        <v>418</v>
      </c>
      <c r="R46" s="25" t="s">
        <v>424</v>
      </c>
      <c r="S46" s="25" t="s">
        <v>420</v>
      </c>
      <c r="T46" s="25" t="s">
        <v>425</v>
      </c>
      <c r="U46" s="25" t="s">
        <v>435</v>
      </c>
      <c r="V46" s="25" t="s">
        <v>436</v>
      </c>
      <c r="W46" s="25" t="s">
        <v>431</v>
      </c>
      <c r="Y46" s="25" t="s">
        <v>437</v>
      </c>
      <c r="Z46" s="25" t="str">
        <f>VLOOKUP(AD46,Technologies!$E$10:$X$154,20,FALSE)</f>
        <v>Commercial SEER-rated split Air Conditioners, 18-65 kBTU/h; 
pre-2001: SEER = 10 (EER = 8.52), one-speed fan, no Econo;
post-2001: SEER = 13 (EER = 11.08), one-speed fan, no Econo;
2014: SEER = 14 (EER = 11.82), one-speed fan, no Econo</v>
      </c>
      <c r="AA46" s="25" t="str">
        <f>VLOOKUP(AD46,Technologies!$E$10:$W$154,19,FALSE)</f>
        <v>Commercial SEER-rated split Air Conditioners, Size Range: 45 - 55 kBTU/h, SEER = 14 (EER = 11.8), EIR = 0.247, Fan W/CFM = 0.29, one-speed fan, without Econo</v>
      </c>
      <c r="AB46" s="25" t="str">
        <f>VLOOKUP(AE46,Technologies!$E$10:$W$154,19,FALSE)</f>
        <v>Commercial SEER-rated split Air Conditioners, Size Range: 45 - 55 kBTU/h, SEER = 18 (EER = 14), EIR = 0.209, Fan W/CFM = 0.27, two-speed fan, without Econo</v>
      </c>
      <c r="AD46" s="25" t="str">
        <f t="shared" si="21"/>
        <v>dxAC-Com-Split-45to55kBTUh-SEER-14.0</v>
      </c>
      <c r="AE46" s="25" t="str">
        <f>+Technologies!E78</f>
        <v>dxAC-Com-Split-45to55kBTUh-SEER-18.0</v>
      </c>
      <c r="AF46" s="25" t="s">
        <v>591</v>
      </c>
      <c r="AH46" s="25" t="s">
        <v>418</v>
      </c>
      <c r="AI46" s="25" t="s">
        <v>418</v>
      </c>
      <c r="AK46" s="25" t="s">
        <v>422</v>
      </c>
      <c r="AM46" s="25" t="s">
        <v>437</v>
      </c>
      <c r="AO46" s="25" t="s">
        <v>50</v>
      </c>
      <c r="AP46" s="315">
        <v>42005</v>
      </c>
    </row>
    <row r="47" spans="1:42" ht="16.5" customHeight="1" x14ac:dyDescent="0.25">
      <c r="A47" s="317">
        <f t="shared" si="19"/>
        <v>739</v>
      </c>
      <c r="B47" s="317" t="s">
        <v>545</v>
      </c>
      <c r="C47" s="25" t="str">
        <f>+AB47&amp;" (Pre-existing vintages do not include Economizer)"</f>
        <v>Commercial SEER-rated split Air Conditioners, Size Range: 55 - 65 kBTU/h, SEER = 15 (EER = 12.6), EIR = 0.236, Fan W/CFM = 0.25, two-speed fan, with Econo (Pre-existing vintages do not include Economizer)</v>
      </c>
      <c r="D47" s="25" t="s">
        <v>450</v>
      </c>
      <c r="E47" s="25" t="s">
        <v>453</v>
      </c>
      <c r="F47" s="314">
        <v>41920</v>
      </c>
      <c r="G47" s="25" t="str">
        <f t="shared" si="9"/>
        <v>NE-HVAC-airAC-Split-55to65kBtuh-15p0seer</v>
      </c>
      <c r="H47" s="25" t="s">
        <v>417</v>
      </c>
      <c r="I47" s="25" t="s">
        <v>421</v>
      </c>
      <c r="Q47" s="25" t="s">
        <v>418</v>
      </c>
      <c r="R47" s="25" t="s">
        <v>424</v>
      </c>
      <c r="S47" s="25" t="s">
        <v>420</v>
      </c>
      <c r="T47" s="25" t="s">
        <v>425</v>
      </c>
      <c r="U47" s="25" t="s">
        <v>435</v>
      </c>
      <c r="V47" s="25" t="s">
        <v>436</v>
      </c>
      <c r="W47" s="25" t="s">
        <v>431</v>
      </c>
      <c r="Y47" s="25" t="s">
        <v>437</v>
      </c>
      <c r="Z47" s="25" t="str">
        <f>VLOOKUP(AD47,Technologies!$E$10:$X$154,20,FALSE)</f>
        <v>Commercial SEER-rated split Air Conditioners, 18-65 kBTU/h; 
pre-2001: SEER = 10 (EER = 8.52), one-speed fan, no Econo;
post-2001: SEER = 13 (EER = 11.08), one-speed fan, no Econo;
2014: SEER = 14 (EER = 11.75), two-speed fan, w/Econo</v>
      </c>
      <c r="AA47" s="25" t="str">
        <f>VLOOKUP(AD47,Technologies!$E$10:$W$154,19,FALSE)</f>
        <v>Commercial SEER-rated split Air Conditioners, Size Range: 55 - 65 kBTU/h, SEER = 14 (EER = 11.7), EIR = 0.249, Fan W/CFM = 0.29, two-speed fan, with Econo</v>
      </c>
      <c r="AB47" s="25" t="str">
        <f>VLOOKUP(AE47,Technologies!$E$10:$W$154,19,FALSE)</f>
        <v>Commercial SEER-rated split Air Conditioners, Size Range: 55 - 65 kBTU/h, SEER = 15 (EER = 12.6), EIR = 0.236, Fan W/CFM = 0.25, two-speed fan, with Econo</v>
      </c>
      <c r="AD47" s="25" t="str">
        <f>+Technologies!E79</f>
        <v>dxAC-Com-Split-55to65kBTUh-SEER-14.0</v>
      </c>
      <c r="AE47" s="25" t="str">
        <f>+Technologies!E80</f>
        <v>dxAC-Com-Split-55to65kBTUh-SEER-15.0</v>
      </c>
      <c r="AF47" s="25" t="s">
        <v>591</v>
      </c>
      <c r="AH47" s="25" t="s">
        <v>418</v>
      </c>
      <c r="AI47" s="25" t="s">
        <v>418</v>
      </c>
      <c r="AK47" s="25" t="s">
        <v>422</v>
      </c>
      <c r="AM47" s="25" t="s">
        <v>437</v>
      </c>
      <c r="AO47" s="25" t="s">
        <v>50</v>
      </c>
      <c r="AP47" s="315">
        <v>42005</v>
      </c>
    </row>
    <row r="48" spans="1:42" ht="16.5" customHeight="1" x14ac:dyDescent="0.25">
      <c r="A48" s="317">
        <f t="shared" si="19"/>
        <v>740</v>
      </c>
      <c r="B48" s="317" t="s">
        <v>546</v>
      </c>
      <c r="C48" s="25" t="str">
        <f t="shared" ref="C48:C50" si="22">+AB48&amp;" (Pre-existing vintages do not include Economizer)"</f>
        <v>Commercial SEER-rated split Air Conditioners, Size Range: 55 - 65 kBTU/h, SEER = 16 (EER = 12.5), EIR = 0.238, Fan W/CFM = 0.27, two-speed fan, with Econo (Pre-existing vintages do not include Economizer)</v>
      </c>
      <c r="D48" s="25" t="s">
        <v>450</v>
      </c>
      <c r="E48" s="25" t="s">
        <v>453</v>
      </c>
      <c r="F48" s="314">
        <v>41920</v>
      </c>
      <c r="G48" s="25" t="str">
        <f t="shared" si="9"/>
        <v>NE-HVAC-airAC-Split-55to65kBtuh-16p0seer</v>
      </c>
      <c r="H48" s="25" t="s">
        <v>417</v>
      </c>
      <c r="I48" s="25" t="s">
        <v>421</v>
      </c>
      <c r="Q48" s="25" t="s">
        <v>418</v>
      </c>
      <c r="R48" s="25" t="s">
        <v>424</v>
      </c>
      <c r="S48" s="25" t="s">
        <v>420</v>
      </c>
      <c r="T48" s="25" t="s">
        <v>425</v>
      </c>
      <c r="U48" s="25" t="s">
        <v>435</v>
      </c>
      <c r="V48" s="25" t="s">
        <v>436</v>
      </c>
      <c r="W48" s="25" t="s">
        <v>431</v>
      </c>
      <c r="Y48" s="25" t="s">
        <v>437</v>
      </c>
      <c r="Z48" s="25" t="str">
        <f>VLOOKUP(AD48,Technologies!$E$10:$X$154,20,FALSE)</f>
        <v>Commercial SEER-rated split Air Conditioners, 18-65 kBTU/h; 
pre-2001: SEER = 10 (EER = 8.52), one-speed fan, no Econo;
post-2001: SEER = 13 (EER = 11.08), one-speed fan, no Econo;
2014: SEER = 14 (EER = 11.75), two-speed fan, w/Econo</v>
      </c>
      <c r="AA48" s="25" t="str">
        <f>VLOOKUP(AD48,Technologies!$E$10:$W$154,19,FALSE)</f>
        <v>Commercial SEER-rated split Air Conditioners, Size Range: 55 - 65 kBTU/h, SEER = 14 (EER = 11.7), EIR = 0.249, Fan W/CFM = 0.29, two-speed fan, with Econo</v>
      </c>
      <c r="AB48" s="25" t="str">
        <f>VLOOKUP(AE48,Technologies!$E$10:$W$154,19,FALSE)</f>
        <v>Commercial SEER-rated split Air Conditioners, Size Range: 55 - 65 kBTU/h, SEER = 16 (EER = 12.5), EIR = 0.238, Fan W/CFM = 0.27, two-speed fan, with Econo</v>
      </c>
      <c r="AD48" s="25" t="str">
        <f>+AD47</f>
        <v>dxAC-Com-Split-55to65kBTUh-SEER-14.0</v>
      </c>
      <c r="AE48" s="25" t="str">
        <f>+Technologies!E81</f>
        <v>dxAC-Com-Split-55to65kBTUh-SEER-16.0</v>
      </c>
      <c r="AF48" s="25" t="s">
        <v>591</v>
      </c>
      <c r="AH48" s="25" t="s">
        <v>418</v>
      </c>
      <c r="AI48" s="25" t="s">
        <v>418</v>
      </c>
      <c r="AK48" s="25" t="s">
        <v>422</v>
      </c>
      <c r="AM48" s="25" t="s">
        <v>437</v>
      </c>
      <c r="AO48" s="25" t="s">
        <v>50</v>
      </c>
      <c r="AP48" s="315">
        <v>42005</v>
      </c>
    </row>
    <row r="49" spans="1:42" ht="16.5" customHeight="1" x14ac:dyDescent="0.25">
      <c r="A49" s="317">
        <f t="shared" si="19"/>
        <v>741</v>
      </c>
      <c r="B49" s="317" t="s">
        <v>547</v>
      </c>
      <c r="C49" s="25" t="str">
        <f t="shared" si="22"/>
        <v>Commercial SEER-rated split Air Conditioners, Size Range: 55 - 65 kBTU/h, SEER = 17 (EER = 13.3), EIR = 0.223, Fan W/CFM = 0.27, two-speed fan, with Econo (Pre-existing vintages do not include Economizer)</v>
      </c>
      <c r="D49" s="25" t="s">
        <v>450</v>
      </c>
      <c r="E49" s="25" t="s">
        <v>453</v>
      </c>
      <c r="F49" s="314">
        <v>41920</v>
      </c>
      <c r="G49" s="25" t="str">
        <f t="shared" si="9"/>
        <v>NE-HVAC-airAC-Split-55to65kBtuh-17p0seer</v>
      </c>
      <c r="H49" s="25" t="s">
        <v>417</v>
      </c>
      <c r="I49" s="25" t="s">
        <v>421</v>
      </c>
      <c r="Q49" s="25" t="s">
        <v>418</v>
      </c>
      <c r="R49" s="25" t="s">
        <v>424</v>
      </c>
      <c r="S49" s="25" t="s">
        <v>420</v>
      </c>
      <c r="T49" s="25" t="s">
        <v>425</v>
      </c>
      <c r="U49" s="25" t="s">
        <v>435</v>
      </c>
      <c r="V49" s="25" t="s">
        <v>436</v>
      </c>
      <c r="W49" s="25" t="s">
        <v>431</v>
      </c>
      <c r="Y49" s="25" t="s">
        <v>437</v>
      </c>
      <c r="Z49" s="25" t="str">
        <f>VLOOKUP(AD49,Technologies!$E$10:$X$154,20,FALSE)</f>
        <v>Commercial SEER-rated split Air Conditioners, 18-65 kBTU/h; 
pre-2001: SEER = 10 (EER = 8.52), one-speed fan, no Econo;
post-2001: SEER = 13 (EER = 11.08), one-speed fan, no Econo;
2014: SEER = 14 (EER = 11.75), two-speed fan, w/Econo</v>
      </c>
      <c r="AA49" s="25" t="str">
        <f>VLOOKUP(AD49,Technologies!$E$10:$W$154,19,FALSE)</f>
        <v>Commercial SEER-rated split Air Conditioners, Size Range: 55 - 65 kBTU/h, SEER = 14 (EER = 11.7), EIR = 0.249, Fan W/CFM = 0.29, two-speed fan, with Econo</v>
      </c>
      <c r="AB49" s="25" t="str">
        <f>VLOOKUP(AE49,Technologies!$E$10:$W$154,19,FALSE)</f>
        <v>Commercial SEER-rated split Air Conditioners, Size Range: 55 - 65 kBTU/h, SEER = 17 (EER = 13.3), EIR = 0.223, Fan W/CFM = 0.27, two-speed fan, with Econo</v>
      </c>
      <c r="AD49" s="25" t="str">
        <f t="shared" ref="AD49:AD50" si="23">+AD48</f>
        <v>dxAC-Com-Split-55to65kBTUh-SEER-14.0</v>
      </c>
      <c r="AE49" s="25" t="str">
        <f>+Technologies!E82</f>
        <v>dxAC-Com-Split-55to65kBTUh-SEER-17.0</v>
      </c>
      <c r="AF49" s="25" t="s">
        <v>591</v>
      </c>
      <c r="AH49" s="25" t="s">
        <v>418</v>
      </c>
      <c r="AI49" s="25" t="s">
        <v>418</v>
      </c>
      <c r="AK49" s="25" t="s">
        <v>422</v>
      </c>
      <c r="AM49" s="25" t="s">
        <v>437</v>
      </c>
      <c r="AO49" s="25" t="s">
        <v>50</v>
      </c>
      <c r="AP49" s="315">
        <v>42005</v>
      </c>
    </row>
    <row r="50" spans="1:42" ht="16.5" customHeight="1" x14ac:dyDescent="0.25">
      <c r="A50" s="317">
        <f t="shared" si="19"/>
        <v>742</v>
      </c>
      <c r="B50" s="317" t="s">
        <v>548</v>
      </c>
      <c r="C50" s="25" t="str">
        <f t="shared" si="22"/>
        <v>Commercial SEER-rated split Air Conditioners, Size Range: 55 - 65 kBTU/h, SEER = 18 (EER = 14), EIR = 0.209, Fan W/CFM = 0.27, two-speed fan, with Econo (Pre-existing vintages do not include Economizer)</v>
      </c>
      <c r="D50" s="25" t="s">
        <v>450</v>
      </c>
      <c r="E50" s="25" t="s">
        <v>453</v>
      </c>
      <c r="F50" s="314">
        <v>41920</v>
      </c>
      <c r="G50" s="25" t="str">
        <f t="shared" si="9"/>
        <v>NE-HVAC-airAC-Split-55to65kBtuh-18p0seer</v>
      </c>
      <c r="H50" s="25" t="s">
        <v>417</v>
      </c>
      <c r="I50" s="25" t="s">
        <v>421</v>
      </c>
      <c r="Q50" s="25" t="s">
        <v>418</v>
      </c>
      <c r="R50" s="25" t="s">
        <v>424</v>
      </c>
      <c r="S50" s="25" t="s">
        <v>420</v>
      </c>
      <c r="T50" s="25" t="s">
        <v>425</v>
      </c>
      <c r="U50" s="25" t="s">
        <v>435</v>
      </c>
      <c r="V50" s="25" t="s">
        <v>436</v>
      </c>
      <c r="W50" s="25" t="s">
        <v>431</v>
      </c>
      <c r="Y50" s="25" t="s">
        <v>437</v>
      </c>
      <c r="Z50" s="25" t="str">
        <f>VLOOKUP(AD50,Technologies!$E$10:$X$154,20,FALSE)</f>
        <v>Commercial SEER-rated split Air Conditioners, 18-65 kBTU/h; 
pre-2001: SEER = 10 (EER = 8.52), one-speed fan, no Econo;
post-2001: SEER = 13 (EER = 11.08), one-speed fan, no Econo;
2014: SEER = 14 (EER = 11.75), two-speed fan, w/Econo</v>
      </c>
      <c r="AA50" s="25" t="str">
        <f>VLOOKUP(AD50,Technologies!$E$10:$W$154,19,FALSE)</f>
        <v>Commercial SEER-rated split Air Conditioners, Size Range: 55 - 65 kBTU/h, SEER = 14 (EER = 11.7), EIR = 0.249, Fan W/CFM = 0.29, two-speed fan, with Econo</v>
      </c>
      <c r="AB50" s="25" t="str">
        <f>VLOOKUP(AE50,Technologies!$E$10:$W$154,19,FALSE)</f>
        <v>Commercial SEER-rated split Air Conditioners, Size Range: 55 - 65 kBTU/h, SEER = 18 (EER = 14), EIR = 0.209, Fan W/CFM = 0.27, two-speed fan, with Econo</v>
      </c>
      <c r="AD50" s="25" t="str">
        <f t="shared" si="23"/>
        <v>dxAC-Com-Split-55to65kBTUh-SEER-14.0</v>
      </c>
      <c r="AE50" s="25" t="str">
        <f>+Technologies!E83</f>
        <v>dxAC-Com-Split-55to65kBTUh-SEER-18.0</v>
      </c>
      <c r="AF50" s="25" t="s">
        <v>591</v>
      </c>
      <c r="AH50" s="25" t="s">
        <v>418</v>
      </c>
      <c r="AI50" s="25" t="s">
        <v>418</v>
      </c>
      <c r="AK50" s="25" t="s">
        <v>422</v>
      </c>
      <c r="AM50" s="25" t="s">
        <v>437</v>
      </c>
      <c r="AO50" s="25" t="s">
        <v>50</v>
      </c>
      <c r="AP50" s="315">
        <v>42005</v>
      </c>
    </row>
    <row r="51" spans="1:42" ht="16.5" customHeight="1" x14ac:dyDescent="0.25">
      <c r="A51" s="317">
        <f>+A50+1</f>
        <v>743</v>
      </c>
      <c r="B51" s="317" t="s">
        <v>850</v>
      </c>
      <c r="C51" s="25" t="str">
        <f>+AB51&amp;" (Pre-existing vintages include Economizer)"</f>
        <v>Commercial SEER-rated split Air Conditioners, Size Range: 55 - 65 kBTU/h, SEER = 15 (EER = 12.6), EIR = 0.236, Fan W/CFM = 0.25, two-speed fan, with Econo (Pre-existing vintages include Economizer)</v>
      </c>
      <c r="D51" s="25" t="s">
        <v>450</v>
      </c>
      <c r="E51" s="25" t="s">
        <v>453</v>
      </c>
      <c r="F51" s="314">
        <v>41920</v>
      </c>
      <c r="G51" s="25" t="str">
        <f t="shared" si="9"/>
        <v>NE-HVAC-airAC-Split-55to65kBtuh-15p0seer-wPreEcono</v>
      </c>
      <c r="H51" s="25" t="s">
        <v>417</v>
      </c>
      <c r="I51" s="25" t="s">
        <v>421</v>
      </c>
      <c r="Q51" s="25" t="s">
        <v>418</v>
      </c>
      <c r="R51" s="25" t="s">
        <v>424</v>
      </c>
      <c r="S51" s="25" t="s">
        <v>420</v>
      </c>
      <c r="T51" s="25" t="s">
        <v>425</v>
      </c>
      <c r="U51" s="25" t="s">
        <v>435</v>
      </c>
      <c r="V51" s="25" t="s">
        <v>436</v>
      </c>
      <c r="W51" s="25" t="s">
        <v>431</v>
      </c>
      <c r="Y51" s="25" t="s">
        <v>437</v>
      </c>
      <c r="Z51" s="25" t="str">
        <f>VLOOKUP(AD51,Technologies!$E$10:$Z$154,22,FALSE)</f>
        <v>Commercial SEER-rated split Air Conditioners, 18-65 kBTU/h; 
pre-2001: SEER = 10 (EER = 8.52), one-speed fan, w/Econo;
post-2001: SEER = 13 (EER = 11.08), one-speed fan, w/Econo;
2014: SEER = 14 (EER = 11.75), two-speed fan, w/Econo</v>
      </c>
      <c r="AA51" s="25" t="str">
        <f>VLOOKUP(AD51,Technologies!$E$10:$W$154,19,FALSE)</f>
        <v>Commercial SEER-rated split Air Conditioners, Size Range: 55 - 65 kBTU/h, SEER = 14 (EER = 11.7), EIR = 0.249, Fan W/CFM = 0.29, two-speed fan, with Econo</v>
      </c>
      <c r="AB51" s="25" t="str">
        <f>VLOOKUP(AE51,Technologies!$E$10:$W$154,19,FALSE)</f>
        <v>Commercial SEER-rated split Air Conditioners, Size Range: 55 - 65 kBTU/h, SEER = 15 (EER = 12.6), EIR = 0.236, Fan W/CFM = 0.25, two-speed fan, with Econo</v>
      </c>
      <c r="AD51" s="25" t="str">
        <f>+AD47</f>
        <v>dxAC-Com-Split-55to65kBTUh-SEER-14.0</v>
      </c>
      <c r="AE51" s="25" t="str">
        <f>+AE47</f>
        <v>dxAC-Com-Split-55to65kBTUh-SEER-15.0</v>
      </c>
      <c r="AF51" s="25" t="s">
        <v>591</v>
      </c>
      <c r="AH51" s="25" t="s">
        <v>418</v>
      </c>
      <c r="AI51" s="25" t="s">
        <v>418</v>
      </c>
      <c r="AK51" s="25" t="s">
        <v>422</v>
      </c>
      <c r="AM51" s="25" t="s">
        <v>437</v>
      </c>
      <c r="AO51" s="25" t="s">
        <v>50</v>
      </c>
      <c r="AP51" s="315">
        <v>42005</v>
      </c>
    </row>
    <row r="52" spans="1:42" ht="16.5" customHeight="1" x14ac:dyDescent="0.25">
      <c r="A52" s="317">
        <f t="shared" ref="A52:A54" si="24">+A51+1</f>
        <v>744</v>
      </c>
      <c r="B52" s="317" t="s">
        <v>851</v>
      </c>
      <c r="C52" s="25" t="str">
        <f t="shared" ref="C52:C54" si="25">+AB52&amp;" (Pre-existing vintages include Economizer)"</f>
        <v>Commercial SEER-rated split Air Conditioners, Size Range: 55 - 65 kBTU/h, SEER = 16 (EER = 12.5), EIR = 0.238, Fan W/CFM = 0.27, two-speed fan, with Econo (Pre-existing vintages include Economizer)</v>
      </c>
      <c r="D52" s="25" t="s">
        <v>450</v>
      </c>
      <c r="E52" s="25" t="s">
        <v>453</v>
      </c>
      <c r="F52" s="314">
        <v>41920</v>
      </c>
      <c r="G52" s="25" t="str">
        <f t="shared" si="9"/>
        <v>NE-HVAC-airAC-Split-55to65kBtuh-16p0seer-wPreEcono</v>
      </c>
      <c r="H52" s="25" t="s">
        <v>417</v>
      </c>
      <c r="I52" s="25" t="s">
        <v>421</v>
      </c>
      <c r="Q52" s="25" t="s">
        <v>418</v>
      </c>
      <c r="R52" s="25" t="s">
        <v>424</v>
      </c>
      <c r="S52" s="25" t="s">
        <v>420</v>
      </c>
      <c r="T52" s="25" t="s">
        <v>425</v>
      </c>
      <c r="U52" s="25" t="s">
        <v>435</v>
      </c>
      <c r="V52" s="25" t="s">
        <v>436</v>
      </c>
      <c r="W52" s="25" t="s">
        <v>431</v>
      </c>
      <c r="Y52" s="25" t="s">
        <v>437</v>
      </c>
      <c r="Z52" s="25" t="str">
        <f>VLOOKUP(AD52,Technologies!$E$10:$Z$154,22,FALSE)</f>
        <v>Commercial SEER-rated split Air Conditioners, 18-65 kBTU/h; 
pre-2001: SEER = 10 (EER = 8.52), one-speed fan, w/Econo;
post-2001: SEER = 13 (EER = 11.08), one-speed fan, w/Econo;
2014: SEER = 14 (EER = 11.75), two-speed fan, w/Econo</v>
      </c>
      <c r="AA52" s="25" t="str">
        <f>VLOOKUP(AD52,Technologies!$E$10:$W$154,19,FALSE)</f>
        <v>Commercial SEER-rated split Air Conditioners, Size Range: 55 - 65 kBTU/h, SEER = 14 (EER = 11.7), EIR = 0.249, Fan W/CFM = 0.29, two-speed fan, with Econo</v>
      </c>
      <c r="AB52" s="25" t="str">
        <f>VLOOKUP(AE52,Technologies!$E$10:$W$154,19,FALSE)</f>
        <v>Commercial SEER-rated split Air Conditioners, Size Range: 55 - 65 kBTU/h, SEER = 16 (EER = 12.5), EIR = 0.238, Fan W/CFM = 0.27, two-speed fan, with Econo</v>
      </c>
      <c r="AD52" s="25" t="str">
        <f t="shared" ref="AD52:AE54" si="26">+AD48</f>
        <v>dxAC-Com-Split-55to65kBTUh-SEER-14.0</v>
      </c>
      <c r="AE52" s="25" t="str">
        <f t="shared" si="26"/>
        <v>dxAC-Com-Split-55to65kBTUh-SEER-16.0</v>
      </c>
      <c r="AF52" s="25" t="s">
        <v>591</v>
      </c>
      <c r="AH52" s="25" t="s">
        <v>418</v>
      </c>
      <c r="AI52" s="25" t="s">
        <v>418</v>
      </c>
      <c r="AK52" s="25" t="s">
        <v>422</v>
      </c>
      <c r="AM52" s="25" t="s">
        <v>437</v>
      </c>
      <c r="AO52" s="25" t="s">
        <v>50</v>
      </c>
      <c r="AP52" s="315">
        <v>42005</v>
      </c>
    </row>
    <row r="53" spans="1:42" ht="16.5" customHeight="1" x14ac:dyDescent="0.25">
      <c r="A53" s="317">
        <f t="shared" si="24"/>
        <v>745</v>
      </c>
      <c r="B53" s="317" t="s">
        <v>852</v>
      </c>
      <c r="C53" s="25" t="str">
        <f t="shared" si="25"/>
        <v>Commercial SEER-rated split Air Conditioners, Size Range: 55 - 65 kBTU/h, SEER = 17 (EER = 13.3), EIR = 0.223, Fan W/CFM = 0.27, two-speed fan, with Econo (Pre-existing vintages include Economizer)</v>
      </c>
      <c r="D53" s="25" t="s">
        <v>450</v>
      </c>
      <c r="E53" s="25" t="s">
        <v>453</v>
      </c>
      <c r="F53" s="314">
        <v>41920</v>
      </c>
      <c r="G53" s="25" t="str">
        <f t="shared" si="9"/>
        <v>NE-HVAC-airAC-Split-55to65kBtuh-17p0seer-wPreEcono</v>
      </c>
      <c r="H53" s="25" t="s">
        <v>417</v>
      </c>
      <c r="I53" s="25" t="s">
        <v>421</v>
      </c>
      <c r="Q53" s="25" t="s">
        <v>418</v>
      </c>
      <c r="R53" s="25" t="s">
        <v>424</v>
      </c>
      <c r="S53" s="25" t="s">
        <v>420</v>
      </c>
      <c r="T53" s="25" t="s">
        <v>425</v>
      </c>
      <c r="U53" s="25" t="s">
        <v>435</v>
      </c>
      <c r="V53" s="25" t="s">
        <v>436</v>
      </c>
      <c r="W53" s="25" t="s">
        <v>431</v>
      </c>
      <c r="Y53" s="25" t="s">
        <v>437</v>
      </c>
      <c r="Z53" s="25" t="str">
        <f>VLOOKUP(AD53,Technologies!$E$10:$Z$154,22,FALSE)</f>
        <v>Commercial SEER-rated split Air Conditioners, 18-65 kBTU/h; 
pre-2001: SEER = 10 (EER = 8.52), one-speed fan, w/Econo;
post-2001: SEER = 13 (EER = 11.08), one-speed fan, w/Econo;
2014: SEER = 14 (EER = 11.75), two-speed fan, w/Econo</v>
      </c>
      <c r="AA53" s="25" t="str">
        <f>VLOOKUP(AD53,Technologies!$E$10:$W$154,19,FALSE)</f>
        <v>Commercial SEER-rated split Air Conditioners, Size Range: 55 - 65 kBTU/h, SEER = 14 (EER = 11.7), EIR = 0.249, Fan W/CFM = 0.29, two-speed fan, with Econo</v>
      </c>
      <c r="AB53" s="25" t="str">
        <f>VLOOKUP(AE53,Technologies!$E$10:$W$154,19,FALSE)</f>
        <v>Commercial SEER-rated split Air Conditioners, Size Range: 55 - 65 kBTU/h, SEER = 17 (EER = 13.3), EIR = 0.223, Fan W/CFM = 0.27, two-speed fan, with Econo</v>
      </c>
      <c r="AD53" s="25" t="str">
        <f t="shared" si="26"/>
        <v>dxAC-Com-Split-55to65kBTUh-SEER-14.0</v>
      </c>
      <c r="AE53" s="25" t="str">
        <f t="shared" si="26"/>
        <v>dxAC-Com-Split-55to65kBTUh-SEER-17.0</v>
      </c>
      <c r="AF53" s="25" t="s">
        <v>591</v>
      </c>
      <c r="AH53" s="25" t="s">
        <v>418</v>
      </c>
      <c r="AI53" s="25" t="s">
        <v>418</v>
      </c>
      <c r="AK53" s="25" t="s">
        <v>422</v>
      </c>
      <c r="AM53" s="25" t="s">
        <v>437</v>
      </c>
      <c r="AO53" s="25" t="s">
        <v>50</v>
      </c>
      <c r="AP53" s="315">
        <v>42005</v>
      </c>
    </row>
    <row r="54" spans="1:42" ht="16.5" customHeight="1" x14ac:dyDescent="0.25">
      <c r="A54" s="317">
        <f t="shared" si="24"/>
        <v>746</v>
      </c>
      <c r="B54" s="317" t="s">
        <v>853</v>
      </c>
      <c r="C54" s="25" t="str">
        <f t="shared" si="25"/>
        <v>Commercial SEER-rated split Air Conditioners, Size Range: 55 - 65 kBTU/h, SEER = 18 (EER = 14), EIR = 0.209, Fan W/CFM = 0.27, two-speed fan, with Econo (Pre-existing vintages include Economizer)</v>
      </c>
      <c r="D54" s="25" t="s">
        <v>450</v>
      </c>
      <c r="E54" s="25" t="s">
        <v>453</v>
      </c>
      <c r="F54" s="314">
        <v>41920</v>
      </c>
      <c r="G54" s="25" t="str">
        <f t="shared" si="9"/>
        <v>NE-HVAC-airAC-Split-55to65kBtuh-18p0seer-wPreEcono</v>
      </c>
      <c r="H54" s="25" t="s">
        <v>417</v>
      </c>
      <c r="I54" s="25" t="s">
        <v>421</v>
      </c>
      <c r="Q54" s="25" t="s">
        <v>418</v>
      </c>
      <c r="R54" s="25" t="s">
        <v>424</v>
      </c>
      <c r="S54" s="25" t="s">
        <v>420</v>
      </c>
      <c r="T54" s="25" t="s">
        <v>425</v>
      </c>
      <c r="U54" s="25" t="s">
        <v>435</v>
      </c>
      <c r="V54" s="25" t="s">
        <v>436</v>
      </c>
      <c r="W54" s="25" t="s">
        <v>431</v>
      </c>
      <c r="Y54" s="25" t="s">
        <v>437</v>
      </c>
      <c r="Z54" s="25" t="str">
        <f>VLOOKUP(AD54,Technologies!$E$10:$Z$154,22,FALSE)</f>
        <v>Commercial SEER-rated split Air Conditioners, 18-65 kBTU/h; 
pre-2001: SEER = 10 (EER = 8.52), one-speed fan, w/Econo;
post-2001: SEER = 13 (EER = 11.08), one-speed fan, w/Econo;
2014: SEER = 14 (EER = 11.75), two-speed fan, w/Econo</v>
      </c>
      <c r="AA54" s="25" t="str">
        <f>VLOOKUP(AD54,Technologies!$E$10:$W$154,19,FALSE)</f>
        <v>Commercial SEER-rated split Air Conditioners, Size Range: 55 - 65 kBTU/h, SEER = 14 (EER = 11.7), EIR = 0.249, Fan W/CFM = 0.29, two-speed fan, with Econo</v>
      </c>
      <c r="AB54" s="25" t="str">
        <f>VLOOKUP(AE54,Technologies!$E$10:$W$154,19,FALSE)</f>
        <v>Commercial SEER-rated split Air Conditioners, Size Range: 55 - 65 kBTU/h, SEER = 18 (EER = 14), EIR = 0.209, Fan W/CFM = 0.27, two-speed fan, with Econo</v>
      </c>
      <c r="AD54" s="25" t="str">
        <f t="shared" si="26"/>
        <v>dxAC-Com-Split-55to65kBTUh-SEER-14.0</v>
      </c>
      <c r="AE54" s="25" t="str">
        <f t="shared" si="26"/>
        <v>dxAC-Com-Split-55to65kBTUh-SEER-18.0</v>
      </c>
      <c r="AF54" s="25" t="s">
        <v>591</v>
      </c>
      <c r="AH54" s="25" t="s">
        <v>418</v>
      </c>
      <c r="AI54" s="25" t="s">
        <v>418</v>
      </c>
      <c r="AK54" s="25" t="s">
        <v>422</v>
      </c>
      <c r="AM54" s="25" t="s">
        <v>437</v>
      </c>
      <c r="AO54" s="25" t="s">
        <v>50</v>
      </c>
      <c r="AP54" s="315">
        <v>42005</v>
      </c>
    </row>
    <row r="55" spans="1:42" ht="16.5" customHeight="1" x14ac:dyDescent="0.25">
      <c r="A55" s="317"/>
      <c r="B55" s="318" t="s">
        <v>452</v>
      </c>
      <c r="F55" s="314"/>
      <c r="AP55" s="315"/>
    </row>
    <row r="56" spans="1:42" ht="16.5" customHeight="1" x14ac:dyDescent="0.25">
      <c r="A56" s="317">
        <f>+A54+1</f>
        <v>747</v>
      </c>
      <c r="B56" s="317" t="s">
        <v>551</v>
      </c>
      <c r="C56" s="25" t="str">
        <f t="shared" si="8"/>
        <v>Residential SEER-rated split Air Conditioners, Size Range: 18 - 65 kBTU/h, SEER = 15 (EER = 12.8), EIR = 0.232, Fan W/CFM = 0.25, one-speed fan</v>
      </c>
      <c r="D56" s="25" t="s">
        <v>450</v>
      </c>
      <c r="E56" s="25" t="s">
        <v>453</v>
      </c>
      <c r="F56" s="314">
        <v>41920</v>
      </c>
      <c r="G56" s="25" t="str">
        <f t="shared" si="9"/>
        <v>RE-HV-ResAC-lt45kBtuh-15S</v>
      </c>
      <c r="H56" s="25" t="s">
        <v>417</v>
      </c>
      <c r="I56" s="25" t="s">
        <v>421</v>
      </c>
      <c r="J56" s="25" t="s">
        <v>50</v>
      </c>
      <c r="K56" s="25" t="s">
        <v>423</v>
      </c>
      <c r="L56" s="25" t="s">
        <v>423</v>
      </c>
      <c r="M56" s="25" t="s">
        <v>50</v>
      </c>
      <c r="O56" s="25" t="s">
        <v>418</v>
      </c>
      <c r="Q56" s="25" t="s">
        <v>418</v>
      </c>
      <c r="R56" s="25" t="s">
        <v>419</v>
      </c>
      <c r="S56" s="25" t="s">
        <v>420</v>
      </c>
      <c r="T56" s="25" t="s">
        <v>425</v>
      </c>
      <c r="U56" s="25" t="s">
        <v>435</v>
      </c>
      <c r="V56" s="25" t="s">
        <v>436</v>
      </c>
      <c r="W56" s="25" t="s">
        <v>431</v>
      </c>
      <c r="Y56" s="25" t="s">
        <v>449</v>
      </c>
      <c r="Z56" s="25" t="str">
        <f>VLOOKUP(AD56,Technologies!$E$10:$X$154,20,FALSE)</f>
        <v>Residential SEER-rated split Air Conditioners, 18-65 kBTU/h; 
pre-2001: SEER = 10 (EER = 8.52), one-speed fan;
post-2001: SEER = 13 (EER = 11.08), one-speed fan;
2014: SEER = 14 (EER = 12.17), one-speed fan</v>
      </c>
      <c r="AA56" s="25" t="str">
        <f>VLOOKUP(AD56,Technologies!$E$10:$W$154,19,FALSE)</f>
        <v>Residential SEER-rated split Air Conditioners, Size Range: 18 - 45 kBTU/h, SEER = 14 (EER = 12.2), EIR = 0.239, Fan W/CFM = 0.29, one-speed fan</v>
      </c>
      <c r="AB56" s="25" t="str">
        <f>VLOOKUP(AE56,Technologies!$E$10:$W$154,19,FALSE)</f>
        <v>Residential SEER-rated split Air Conditioners, Size Range: 18 - 65 kBTU/h, SEER = 15 (EER = 12.8), EIR = 0.232, Fan W/CFM = 0.25, one-speed fan</v>
      </c>
      <c r="AD56" s="25" t="str">
        <f>+Technologies!E90</f>
        <v>dxAC-Res-Split-lt45kBTUh-SEER-14.0</v>
      </c>
      <c r="AE56" s="25" t="str">
        <f>+Technologies!E91</f>
        <v>dxAC-Res-Split-SEER-15.0</v>
      </c>
      <c r="AF56" s="25" t="s">
        <v>591</v>
      </c>
      <c r="AH56" s="25" t="s">
        <v>418</v>
      </c>
      <c r="AI56" s="25" t="s">
        <v>418</v>
      </c>
      <c r="AK56" s="25" t="s">
        <v>422</v>
      </c>
      <c r="AM56" s="25" t="s">
        <v>449</v>
      </c>
      <c r="AO56" s="25" t="s">
        <v>50</v>
      </c>
      <c r="AP56" s="315">
        <v>42005</v>
      </c>
    </row>
    <row r="57" spans="1:42" ht="16.5" customHeight="1" x14ac:dyDescent="0.25">
      <c r="A57" s="317">
        <f>+A56+1</f>
        <v>748</v>
      </c>
      <c r="B57" s="317" t="s">
        <v>552</v>
      </c>
      <c r="C57" s="25" t="str">
        <f t="shared" si="8"/>
        <v>Residential SEER-rated split Air Conditioners, Size Range: 18 - 65 kBTU/h, SEER = 16 (EER = 12.5), EIR = 0.238, Fan W/CFM = 0.27, two-speed fan</v>
      </c>
      <c r="D57" s="25" t="s">
        <v>450</v>
      </c>
      <c r="E57" s="25" t="s">
        <v>453</v>
      </c>
      <c r="F57" s="314">
        <v>41920</v>
      </c>
      <c r="G57" s="25" t="str">
        <f t="shared" si="9"/>
        <v>RE-HV-ResAC-lt45kBtuh-16S</v>
      </c>
      <c r="H57" s="25" t="s">
        <v>417</v>
      </c>
      <c r="I57" s="25" t="s">
        <v>421</v>
      </c>
      <c r="J57" s="25" t="s">
        <v>50</v>
      </c>
      <c r="K57" s="25" t="s">
        <v>423</v>
      </c>
      <c r="L57" s="25" t="s">
        <v>423</v>
      </c>
      <c r="M57" s="25" t="s">
        <v>50</v>
      </c>
      <c r="O57" s="25" t="s">
        <v>418</v>
      </c>
      <c r="Q57" s="25" t="s">
        <v>418</v>
      </c>
      <c r="R57" s="25" t="s">
        <v>419</v>
      </c>
      <c r="S57" s="25" t="s">
        <v>420</v>
      </c>
      <c r="T57" s="25" t="s">
        <v>425</v>
      </c>
      <c r="U57" s="25" t="s">
        <v>435</v>
      </c>
      <c r="V57" s="25" t="s">
        <v>436</v>
      </c>
      <c r="W57" s="25" t="s">
        <v>431</v>
      </c>
      <c r="Y57" s="25" t="s">
        <v>449</v>
      </c>
      <c r="Z57" s="25" t="str">
        <f>VLOOKUP(AD57,Technologies!$E$10:$X$154,20,FALSE)</f>
        <v>Residential SEER-rated split Air Conditioners, 18-65 kBTU/h; 
pre-2001: SEER = 10 (EER = 8.52), one-speed fan;
post-2001: SEER = 13 (EER = 11.08), one-speed fan;
2014: SEER = 14 (EER = 12.17), one-speed fan</v>
      </c>
      <c r="AA57" s="25" t="str">
        <f>VLOOKUP(AD57,Technologies!$E$10:$W$154,19,FALSE)</f>
        <v>Residential SEER-rated split Air Conditioners, Size Range: 18 - 45 kBTU/h, SEER = 14 (EER = 12.2), EIR = 0.239, Fan W/CFM = 0.29, one-speed fan</v>
      </c>
      <c r="AB57" s="25" t="str">
        <f>VLOOKUP(AE57,Technologies!$E$10:$W$154,19,FALSE)</f>
        <v>Residential SEER-rated split Air Conditioners, Size Range: 18 - 65 kBTU/h, SEER = 16 (EER = 12.5), EIR = 0.238, Fan W/CFM = 0.27, two-speed fan</v>
      </c>
      <c r="AD57" s="25" t="str">
        <f>+AD56</f>
        <v>dxAC-Res-Split-lt45kBTUh-SEER-14.0</v>
      </c>
      <c r="AE57" s="25" t="str">
        <f>+Technologies!E92</f>
        <v>dxAC-Res-Split-SEER-16.0</v>
      </c>
      <c r="AF57" s="25" t="s">
        <v>591</v>
      </c>
      <c r="AH57" s="25" t="s">
        <v>418</v>
      </c>
      <c r="AI57" s="25" t="s">
        <v>418</v>
      </c>
      <c r="AK57" s="25" t="s">
        <v>422</v>
      </c>
      <c r="AM57" s="25" t="s">
        <v>449</v>
      </c>
      <c r="AO57" s="25" t="s">
        <v>50</v>
      </c>
      <c r="AP57" s="315">
        <v>42005</v>
      </c>
    </row>
    <row r="58" spans="1:42" ht="16.5" customHeight="1" x14ac:dyDescent="0.25">
      <c r="A58" s="317">
        <f t="shared" ref="A58:A71" si="27">+A57+1</f>
        <v>749</v>
      </c>
      <c r="B58" s="317" t="s">
        <v>553</v>
      </c>
      <c r="C58" s="25" t="str">
        <f t="shared" si="8"/>
        <v>Residential SEER-rated split Air Conditioners, Size Range: 18 - 65 kBTU/h, SEER = 17 (EER = 13.3), EIR = 0.223, Fan W/CFM = 0.27, two-speed fan</v>
      </c>
      <c r="D58" s="25" t="s">
        <v>450</v>
      </c>
      <c r="E58" s="25" t="s">
        <v>453</v>
      </c>
      <c r="F58" s="314">
        <v>41920</v>
      </c>
      <c r="G58" s="25" t="str">
        <f t="shared" si="9"/>
        <v>RE-HV-ResAC-lt45kBtuh-17S</v>
      </c>
      <c r="H58" s="25" t="s">
        <v>417</v>
      </c>
      <c r="I58" s="25" t="s">
        <v>421</v>
      </c>
      <c r="J58" s="25" t="s">
        <v>50</v>
      </c>
      <c r="K58" s="25" t="s">
        <v>423</v>
      </c>
      <c r="L58" s="25" t="s">
        <v>423</v>
      </c>
      <c r="M58" s="25" t="s">
        <v>50</v>
      </c>
      <c r="O58" s="25" t="s">
        <v>418</v>
      </c>
      <c r="Q58" s="25" t="s">
        <v>418</v>
      </c>
      <c r="R58" s="25" t="s">
        <v>419</v>
      </c>
      <c r="S58" s="25" t="s">
        <v>420</v>
      </c>
      <c r="T58" s="25" t="s">
        <v>425</v>
      </c>
      <c r="U58" s="25" t="s">
        <v>435</v>
      </c>
      <c r="V58" s="25" t="s">
        <v>436</v>
      </c>
      <c r="W58" s="25" t="s">
        <v>431</v>
      </c>
      <c r="Y58" s="25" t="s">
        <v>449</v>
      </c>
      <c r="Z58" s="25" t="str">
        <f>VLOOKUP(AD58,Technologies!$E$10:$X$154,20,FALSE)</f>
        <v>Residential SEER-rated split Air Conditioners, 18-65 kBTU/h; 
pre-2001: SEER = 10 (EER = 8.52), one-speed fan;
post-2001: SEER = 13 (EER = 11.08), one-speed fan;
2014: SEER = 14 (EER = 12.17), one-speed fan</v>
      </c>
      <c r="AA58" s="25" t="str">
        <f>VLOOKUP(AD58,Technologies!$E$10:$W$154,19,FALSE)</f>
        <v>Residential SEER-rated split Air Conditioners, Size Range: 18 - 45 kBTU/h, SEER = 14 (EER = 12.2), EIR = 0.239, Fan W/CFM = 0.29, one-speed fan</v>
      </c>
      <c r="AB58" s="25" t="str">
        <f>VLOOKUP(AE58,Technologies!$E$10:$W$154,19,FALSE)</f>
        <v>Residential SEER-rated split Air Conditioners, Size Range: 18 - 65 kBTU/h, SEER = 17 (EER = 13.3), EIR = 0.223, Fan W/CFM = 0.27, two-speed fan</v>
      </c>
      <c r="AD58" s="25" t="str">
        <f t="shared" ref="AD58:AD63" si="28">+AD57</f>
        <v>dxAC-Res-Split-lt45kBTUh-SEER-14.0</v>
      </c>
      <c r="AE58" s="25" t="str">
        <f>+Technologies!E93</f>
        <v>dxAC-Res-Split-SEER-17.0</v>
      </c>
      <c r="AF58" s="25" t="s">
        <v>591</v>
      </c>
      <c r="AH58" s="25" t="s">
        <v>418</v>
      </c>
      <c r="AI58" s="25" t="s">
        <v>418</v>
      </c>
      <c r="AK58" s="25" t="s">
        <v>422</v>
      </c>
      <c r="AM58" s="25" t="s">
        <v>449</v>
      </c>
      <c r="AO58" s="25" t="s">
        <v>50</v>
      </c>
      <c r="AP58" s="315">
        <v>42005</v>
      </c>
    </row>
    <row r="59" spans="1:42" ht="16.5" customHeight="1" x14ac:dyDescent="0.25">
      <c r="A59" s="317">
        <f t="shared" si="27"/>
        <v>750</v>
      </c>
      <c r="B59" s="317" t="s">
        <v>554</v>
      </c>
      <c r="C59" s="25" t="str">
        <f t="shared" si="8"/>
        <v>Residential SEER-rated split Air Conditioners, Size Range: 18 - 65 kBTU/h, SEER = 18 (EER = 14), EIR = 0.209, Fan W/CFM = 0.27, two-speed fan</v>
      </c>
      <c r="D59" s="25" t="s">
        <v>450</v>
      </c>
      <c r="E59" s="25" t="s">
        <v>453</v>
      </c>
      <c r="F59" s="314">
        <v>41920</v>
      </c>
      <c r="G59" s="25" t="str">
        <f t="shared" si="9"/>
        <v>RE-HV-ResAC-lt45kBtuh-18S</v>
      </c>
      <c r="H59" s="25" t="s">
        <v>417</v>
      </c>
      <c r="I59" s="25" t="s">
        <v>421</v>
      </c>
      <c r="J59" s="25" t="s">
        <v>50</v>
      </c>
      <c r="K59" s="25" t="s">
        <v>423</v>
      </c>
      <c r="L59" s="25" t="s">
        <v>423</v>
      </c>
      <c r="M59" s="25" t="s">
        <v>50</v>
      </c>
      <c r="O59" s="25" t="s">
        <v>418</v>
      </c>
      <c r="Q59" s="25" t="s">
        <v>418</v>
      </c>
      <c r="R59" s="25" t="s">
        <v>419</v>
      </c>
      <c r="S59" s="25" t="s">
        <v>420</v>
      </c>
      <c r="T59" s="25" t="s">
        <v>425</v>
      </c>
      <c r="U59" s="25" t="s">
        <v>435</v>
      </c>
      <c r="V59" s="25" t="s">
        <v>436</v>
      </c>
      <c r="W59" s="25" t="s">
        <v>431</v>
      </c>
      <c r="Y59" s="25" t="s">
        <v>449</v>
      </c>
      <c r="Z59" s="25" t="str">
        <f>VLOOKUP(AD59,Technologies!$E$10:$X$154,20,FALSE)</f>
        <v>Residential SEER-rated split Air Conditioners, 18-65 kBTU/h; 
pre-2001: SEER = 10 (EER = 8.52), one-speed fan;
post-2001: SEER = 13 (EER = 11.08), one-speed fan;
2014: SEER = 14 (EER = 12.17), one-speed fan</v>
      </c>
      <c r="AA59" s="25" t="str">
        <f>VLOOKUP(AD59,Technologies!$E$10:$W$154,19,FALSE)</f>
        <v>Residential SEER-rated split Air Conditioners, Size Range: 18 - 45 kBTU/h, SEER = 14 (EER = 12.2), EIR = 0.239, Fan W/CFM = 0.29, one-speed fan</v>
      </c>
      <c r="AB59" s="25" t="str">
        <f>VLOOKUP(AE59,Technologies!$E$10:$W$154,19,FALSE)</f>
        <v>Residential SEER-rated split Air Conditioners, Size Range: 18 - 65 kBTU/h, SEER = 18 (EER = 14), EIR = 0.209, Fan W/CFM = 0.27, two-speed fan</v>
      </c>
      <c r="AD59" s="25" t="str">
        <f t="shared" si="28"/>
        <v>dxAC-Res-Split-lt45kBTUh-SEER-14.0</v>
      </c>
      <c r="AE59" s="25" t="str">
        <f>+Technologies!E94</f>
        <v>dxAC-Res-Split-SEER-18.0</v>
      </c>
      <c r="AF59" s="25" t="s">
        <v>591</v>
      </c>
      <c r="AH59" s="25" t="s">
        <v>418</v>
      </c>
      <c r="AI59" s="25" t="s">
        <v>418</v>
      </c>
      <c r="AK59" s="25" t="s">
        <v>422</v>
      </c>
      <c r="AM59" s="25" t="s">
        <v>449</v>
      </c>
      <c r="AO59" s="25" t="s">
        <v>50</v>
      </c>
      <c r="AP59" s="315">
        <v>42005</v>
      </c>
    </row>
    <row r="60" spans="1:42" ht="16.5" customHeight="1" x14ac:dyDescent="0.25">
      <c r="A60" s="317">
        <f t="shared" si="27"/>
        <v>751</v>
      </c>
      <c r="B60" s="317" t="s">
        <v>555</v>
      </c>
      <c r="C60" s="25" t="str">
        <f t="shared" si="8"/>
        <v>Residential SEER-rated split Air Conditioners, Size Range: 18 - 65 kBTU/h, SEER = 19 (EER = 14.8), EIR = 0.201, Fan W/CFM = 0.23, two-speed fan</v>
      </c>
      <c r="D60" s="25" t="s">
        <v>450</v>
      </c>
      <c r="E60" s="25" t="s">
        <v>453</v>
      </c>
      <c r="F60" s="314">
        <v>41920</v>
      </c>
      <c r="G60" s="25" t="str">
        <f t="shared" si="9"/>
        <v>RE-HV-ResAC-lt45kBtuh-19S</v>
      </c>
      <c r="H60" s="25" t="s">
        <v>417</v>
      </c>
      <c r="I60" s="25" t="s">
        <v>421</v>
      </c>
      <c r="J60" s="25" t="s">
        <v>50</v>
      </c>
      <c r="K60" s="25" t="s">
        <v>423</v>
      </c>
      <c r="L60" s="25" t="s">
        <v>423</v>
      </c>
      <c r="M60" s="25" t="s">
        <v>50</v>
      </c>
      <c r="O60" s="25" t="s">
        <v>418</v>
      </c>
      <c r="Q60" s="25" t="s">
        <v>418</v>
      </c>
      <c r="R60" s="25" t="s">
        <v>419</v>
      </c>
      <c r="S60" s="25" t="s">
        <v>420</v>
      </c>
      <c r="T60" s="25" t="s">
        <v>425</v>
      </c>
      <c r="U60" s="25" t="s">
        <v>435</v>
      </c>
      <c r="V60" s="25" t="s">
        <v>436</v>
      </c>
      <c r="W60" s="25" t="s">
        <v>431</v>
      </c>
      <c r="Y60" s="25" t="s">
        <v>449</v>
      </c>
      <c r="Z60" s="25" t="str">
        <f>VLOOKUP(AD60,Technologies!$E$10:$X$154,20,FALSE)</f>
        <v>Residential SEER-rated split Air Conditioners, 18-65 kBTU/h; 
pre-2001: SEER = 10 (EER = 8.52), one-speed fan;
post-2001: SEER = 13 (EER = 11.08), one-speed fan;
2014: SEER = 14 (EER = 12.17), one-speed fan</v>
      </c>
      <c r="AA60" s="25" t="str">
        <f>VLOOKUP(AD60,Technologies!$E$10:$W$154,19,FALSE)</f>
        <v>Residential SEER-rated split Air Conditioners, Size Range: 18 - 45 kBTU/h, SEER = 14 (EER = 12.2), EIR = 0.239, Fan W/CFM = 0.29, one-speed fan</v>
      </c>
      <c r="AB60" s="25" t="str">
        <f>VLOOKUP(AE60,Technologies!$E$10:$W$154,19,FALSE)</f>
        <v>Residential SEER-rated split Air Conditioners, Size Range: 18 - 65 kBTU/h, SEER = 19 (EER = 14.8), EIR = 0.201, Fan W/CFM = 0.23, two-speed fan</v>
      </c>
      <c r="AD60" s="25" t="str">
        <f t="shared" si="28"/>
        <v>dxAC-Res-Split-lt45kBTUh-SEER-14.0</v>
      </c>
      <c r="AE60" s="25" t="str">
        <f>+Technologies!E95</f>
        <v>dxAC-Res-Split-SEER-19.0</v>
      </c>
      <c r="AF60" s="25" t="s">
        <v>591</v>
      </c>
      <c r="AH60" s="25" t="s">
        <v>418</v>
      </c>
      <c r="AI60" s="25" t="s">
        <v>418</v>
      </c>
      <c r="AK60" s="25" t="s">
        <v>422</v>
      </c>
      <c r="AM60" s="25" t="s">
        <v>449</v>
      </c>
      <c r="AO60" s="25" t="s">
        <v>50</v>
      </c>
      <c r="AP60" s="315">
        <v>42005</v>
      </c>
    </row>
    <row r="61" spans="1:42" ht="16.5" customHeight="1" x14ac:dyDescent="0.25">
      <c r="A61" s="317">
        <f t="shared" si="27"/>
        <v>752</v>
      </c>
      <c r="B61" s="317" t="s">
        <v>556</v>
      </c>
      <c r="C61" s="25" t="str">
        <f t="shared" si="8"/>
        <v>Residential SEER-rated split Air Conditioners, Size Range: 18 - 65 kBTU/h, SEER = 20 (EER = 15.6), EIR = 0.19, Fan W/CFM = 0.23, two-speed fan</v>
      </c>
      <c r="D61" s="25" t="s">
        <v>450</v>
      </c>
      <c r="E61" s="25" t="s">
        <v>453</v>
      </c>
      <c r="F61" s="314">
        <v>41920</v>
      </c>
      <c r="G61" s="25" t="str">
        <f t="shared" si="9"/>
        <v>RE-HV-ResAC-lt45kBtuh-20S</v>
      </c>
      <c r="H61" s="25" t="s">
        <v>417</v>
      </c>
      <c r="I61" s="25" t="s">
        <v>421</v>
      </c>
      <c r="J61" s="25" t="s">
        <v>50</v>
      </c>
      <c r="K61" s="25" t="s">
        <v>423</v>
      </c>
      <c r="L61" s="25" t="s">
        <v>423</v>
      </c>
      <c r="M61" s="25" t="s">
        <v>50</v>
      </c>
      <c r="O61" s="25" t="s">
        <v>418</v>
      </c>
      <c r="Q61" s="25" t="s">
        <v>418</v>
      </c>
      <c r="R61" s="25" t="s">
        <v>419</v>
      </c>
      <c r="S61" s="25" t="s">
        <v>420</v>
      </c>
      <c r="T61" s="25" t="s">
        <v>425</v>
      </c>
      <c r="U61" s="25" t="s">
        <v>435</v>
      </c>
      <c r="V61" s="25" t="s">
        <v>436</v>
      </c>
      <c r="W61" s="25" t="s">
        <v>431</v>
      </c>
      <c r="Y61" s="25" t="s">
        <v>449</v>
      </c>
      <c r="Z61" s="25" t="str">
        <f>VLOOKUP(AD61,Technologies!$E$10:$X$154,20,FALSE)</f>
        <v>Residential SEER-rated split Air Conditioners, 18-65 kBTU/h; 
pre-2001: SEER = 10 (EER = 8.52), one-speed fan;
post-2001: SEER = 13 (EER = 11.08), one-speed fan;
2014: SEER = 14 (EER = 12.17), one-speed fan</v>
      </c>
      <c r="AA61" s="25" t="str">
        <f>VLOOKUP(AD61,Technologies!$E$10:$W$154,19,FALSE)</f>
        <v>Residential SEER-rated split Air Conditioners, Size Range: 18 - 45 kBTU/h, SEER = 14 (EER = 12.2), EIR = 0.239, Fan W/CFM = 0.29, one-speed fan</v>
      </c>
      <c r="AB61" s="25" t="str">
        <f>VLOOKUP(AE61,Technologies!$E$10:$W$154,19,FALSE)</f>
        <v>Residential SEER-rated split Air Conditioners, Size Range: 18 - 65 kBTU/h, SEER = 20 (EER = 15.6), EIR = 0.19, Fan W/CFM = 0.23, two-speed fan</v>
      </c>
      <c r="AD61" s="25" t="str">
        <f t="shared" si="28"/>
        <v>dxAC-Res-Split-lt45kBTUh-SEER-14.0</v>
      </c>
      <c r="AE61" s="25" t="str">
        <f>+Technologies!E96</f>
        <v>dxAC-Res-Split-SEER-20.0</v>
      </c>
      <c r="AF61" s="25" t="s">
        <v>591</v>
      </c>
      <c r="AH61" s="25" t="s">
        <v>418</v>
      </c>
      <c r="AI61" s="25" t="s">
        <v>418</v>
      </c>
      <c r="AK61" s="25" t="s">
        <v>422</v>
      </c>
      <c r="AM61" s="25" t="s">
        <v>449</v>
      </c>
      <c r="AO61" s="25" t="s">
        <v>50</v>
      </c>
      <c r="AP61" s="315">
        <v>42005</v>
      </c>
    </row>
    <row r="62" spans="1:42" ht="16.5" customHeight="1" x14ac:dyDescent="0.25">
      <c r="A62" s="317">
        <f t="shared" si="27"/>
        <v>753</v>
      </c>
      <c r="B62" s="317" t="s">
        <v>557</v>
      </c>
      <c r="C62" s="25" t="str">
        <f t="shared" si="8"/>
        <v>Residential SEER-rated split Air Conditioners, Size Range: 18 - 65 kBTU/h, SEER = 21 (EER = 16.4), EIR = 0.18, Fan W/CFM = 0.23, two-speed fan</v>
      </c>
      <c r="D62" s="25" t="s">
        <v>450</v>
      </c>
      <c r="E62" s="25" t="s">
        <v>453</v>
      </c>
      <c r="F62" s="314">
        <v>41920</v>
      </c>
      <c r="G62" s="25" t="str">
        <f t="shared" si="9"/>
        <v>RE-HV-ResAC-lt45kBtuh-21S</v>
      </c>
      <c r="H62" s="25" t="s">
        <v>417</v>
      </c>
      <c r="I62" s="25" t="s">
        <v>421</v>
      </c>
      <c r="J62" s="25" t="s">
        <v>50</v>
      </c>
      <c r="K62" s="25" t="s">
        <v>423</v>
      </c>
      <c r="L62" s="25" t="s">
        <v>423</v>
      </c>
      <c r="M62" s="25" t="s">
        <v>50</v>
      </c>
      <c r="O62" s="25" t="s">
        <v>418</v>
      </c>
      <c r="Q62" s="25" t="s">
        <v>418</v>
      </c>
      <c r="R62" s="25" t="s">
        <v>419</v>
      </c>
      <c r="S62" s="25" t="s">
        <v>420</v>
      </c>
      <c r="T62" s="25" t="s">
        <v>425</v>
      </c>
      <c r="U62" s="25" t="s">
        <v>435</v>
      </c>
      <c r="V62" s="25" t="s">
        <v>436</v>
      </c>
      <c r="W62" s="25" t="s">
        <v>431</v>
      </c>
      <c r="Y62" s="25" t="s">
        <v>449</v>
      </c>
      <c r="Z62" s="25" t="str">
        <f>VLOOKUP(AD62,Technologies!$E$10:$X$154,20,FALSE)</f>
        <v>Residential SEER-rated split Air Conditioners, 18-65 kBTU/h; 
pre-2001: SEER = 10 (EER = 8.52), one-speed fan;
post-2001: SEER = 13 (EER = 11.08), one-speed fan;
2014: SEER = 14 (EER = 12.17), one-speed fan</v>
      </c>
      <c r="AA62" s="25" t="str">
        <f>VLOOKUP(AD62,Technologies!$E$10:$W$154,19,FALSE)</f>
        <v>Residential SEER-rated split Air Conditioners, Size Range: 18 - 45 kBTU/h, SEER = 14 (EER = 12.2), EIR = 0.239, Fan W/CFM = 0.29, one-speed fan</v>
      </c>
      <c r="AB62" s="25" t="str">
        <f>VLOOKUP(AE62,Technologies!$E$10:$W$154,19,FALSE)</f>
        <v>Residential SEER-rated split Air Conditioners, Size Range: 18 - 65 kBTU/h, SEER = 21 (EER = 16.4), EIR = 0.18, Fan W/CFM = 0.23, two-speed fan</v>
      </c>
      <c r="AD62" s="25" t="str">
        <f t="shared" si="28"/>
        <v>dxAC-Res-Split-lt45kBTUh-SEER-14.0</v>
      </c>
      <c r="AE62" s="25" t="str">
        <f>+Technologies!E97</f>
        <v>dxAC-Res-Split-SEER-21.0</v>
      </c>
      <c r="AF62" s="25" t="s">
        <v>591</v>
      </c>
      <c r="AH62" s="25" t="s">
        <v>418</v>
      </c>
      <c r="AI62" s="25" t="s">
        <v>418</v>
      </c>
      <c r="AK62" s="25" t="s">
        <v>422</v>
      </c>
      <c r="AM62" s="25" t="s">
        <v>449</v>
      </c>
      <c r="AO62" s="25" t="s">
        <v>50</v>
      </c>
      <c r="AP62" s="315">
        <v>42005</v>
      </c>
    </row>
    <row r="63" spans="1:42" ht="16.5" customHeight="1" x14ac:dyDescent="0.25">
      <c r="A63" s="317">
        <f t="shared" si="27"/>
        <v>754</v>
      </c>
      <c r="B63" s="317" t="s">
        <v>756</v>
      </c>
      <c r="C63" s="25" t="str">
        <f t="shared" si="8"/>
        <v>Residential SEER-rated split Air Conditioners, Size Range: 18 - 45 kBTU/h, SEER = 17.4, one-speed fan, evaporative cooled condenser</v>
      </c>
      <c r="D63" s="25" t="s">
        <v>450</v>
      </c>
      <c r="E63" s="25" t="s">
        <v>453</v>
      </c>
      <c r="F63" s="314">
        <v>41920</v>
      </c>
      <c r="G63" s="25" t="str">
        <f t="shared" ref="G63" si="29">+B63</f>
        <v>RE-HV-ResEvapAC-lt45kBtuh-17p4S</v>
      </c>
      <c r="H63" s="25" t="s">
        <v>417</v>
      </c>
      <c r="I63" s="25" t="s">
        <v>421</v>
      </c>
      <c r="J63" s="25" t="s">
        <v>50</v>
      </c>
      <c r="K63" s="25" t="s">
        <v>423</v>
      </c>
      <c r="L63" s="25" t="s">
        <v>423</v>
      </c>
      <c r="M63" s="25" t="s">
        <v>50</v>
      </c>
      <c r="O63" s="25" t="s">
        <v>418</v>
      </c>
      <c r="Q63" s="25" t="s">
        <v>418</v>
      </c>
      <c r="R63" s="25" t="s">
        <v>419</v>
      </c>
      <c r="S63" s="25" t="s">
        <v>420</v>
      </c>
      <c r="T63" s="25" t="s">
        <v>425</v>
      </c>
      <c r="U63" s="25" t="s">
        <v>435</v>
      </c>
      <c r="V63" s="25" t="s">
        <v>436</v>
      </c>
      <c r="W63" s="25" t="s">
        <v>431</v>
      </c>
      <c r="Y63" s="25" t="s">
        <v>449</v>
      </c>
      <c r="Z63" s="25" t="str">
        <f>VLOOKUP(AD63,Technologies!$E$10:$X$154,20,FALSE)</f>
        <v>Residential SEER-rated split Air Conditioners, 18-65 kBTU/h; 
pre-2001: SEER = 10 (EER = 8.52), one-speed fan;
post-2001: SEER = 13 (EER = 11.08), one-speed fan;
2014: SEER = 14 (EER = 12.17), one-speed fan</v>
      </c>
      <c r="AA63" s="25" t="str">
        <f>VLOOKUP(AD63,Technologies!$E$10:$W$154,19,FALSE)</f>
        <v>Residential SEER-rated split Air Conditioners, Size Range: 18 - 45 kBTU/h, SEER = 14 (EER = 12.2), EIR = 0.239, Fan W/CFM = 0.29, one-speed fan</v>
      </c>
      <c r="AB63" s="25" t="str">
        <f>VLOOKUP(AE63,Technologies!$E$10:$W$154,19,FALSE)</f>
        <v>Residential SEER-rated split Air Conditioners, Size Range: 18 - 45 kBTU/h, SEER = 17.4, one-speed fan, evaporative cooled condenser</v>
      </c>
      <c r="AD63" s="25" t="str">
        <f t="shared" si="28"/>
        <v>dxAC-Res-Split-lt45kBTUh-SEER-14.0</v>
      </c>
      <c r="AE63" s="25" t="str">
        <f>+Technologies!E101</f>
        <v>dxAC-Res-EvapAC-SEER-17.4</v>
      </c>
      <c r="AF63" s="25" t="s">
        <v>591</v>
      </c>
      <c r="AP63" s="315"/>
    </row>
    <row r="64" spans="1:42" ht="16.5" customHeight="1" x14ac:dyDescent="0.25">
      <c r="A64" s="317">
        <f t="shared" si="27"/>
        <v>755</v>
      </c>
      <c r="B64" s="317" t="s">
        <v>558</v>
      </c>
      <c r="C64" s="25" t="str">
        <f t="shared" si="8"/>
        <v>Residential SEER-rated split Air Conditioners, Size Range: 18 - 65 kBTU/h, SEER = 15 (EER = 12.8), EIR = 0.232, Fan W/CFM = 0.25, one-speed fan</v>
      </c>
      <c r="D64" s="25" t="s">
        <v>450</v>
      </c>
      <c r="E64" s="25" t="s">
        <v>453</v>
      </c>
      <c r="F64" s="314">
        <v>41920</v>
      </c>
      <c r="G64" s="25" t="str">
        <f t="shared" si="9"/>
        <v>RE-HV-ResAC-45to65kBtuh-15S</v>
      </c>
      <c r="H64" s="25" t="s">
        <v>417</v>
      </c>
      <c r="I64" s="25" t="s">
        <v>421</v>
      </c>
      <c r="J64" s="25" t="s">
        <v>50</v>
      </c>
      <c r="K64" s="25" t="s">
        <v>423</v>
      </c>
      <c r="L64" s="25" t="s">
        <v>423</v>
      </c>
      <c r="M64" s="25" t="s">
        <v>50</v>
      </c>
      <c r="O64" s="25" t="s">
        <v>418</v>
      </c>
      <c r="Q64" s="25" t="s">
        <v>418</v>
      </c>
      <c r="R64" s="25" t="s">
        <v>419</v>
      </c>
      <c r="S64" s="25" t="s">
        <v>420</v>
      </c>
      <c r="T64" s="25" t="s">
        <v>425</v>
      </c>
      <c r="U64" s="25" t="s">
        <v>435</v>
      </c>
      <c r="V64" s="25" t="s">
        <v>436</v>
      </c>
      <c r="W64" s="25" t="s">
        <v>431</v>
      </c>
      <c r="Y64" s="25" t="s">
        <v>449</v>
      </c>
      <c r="Z64" s="25" t="str">
        <f>VLOOKUP(AD64,Technologies!$E$10:$X$154,20,FALSE)</f>
        <v>Residential SEER-rated split Air Conditioners, 18-65 kBTU/h; 
pre-2001: SEER = 10 (EER = 8.52), one-speed fan;
post-2001: SEER = 13 (EER = 11.08), one-speed fan;
2014: SEER = 14 (EER = 11.82), one-speed fan</v>
      </c>
      <c r="AA64" s="25" t="str">
        <f>VLOOKUP(AD64,Technologies!$E$10:$W$154,19,FALSE)</f>
        <v>Residential SEER-rated split Air Conditioners, Size Range: 45 - 65 kBTU/h, SEER = 14 (EER = 11.8), EIR = 0.247, Fan W/CFM = 0.29, one-speed fan</v>
      </c>
      <c r="AB64" s="25" t="str">
        <f>VLOOKUP(AE64,Technologies!$E$10:$W$154,19,FALSE)</f>
        <v>Residential SEER-rated split Air Conditioners, Size Range: 18 - 65 kBTU/h, SEER = 15 (EER = 12.8), EIR = 0.232, Fan W/CFM = 0.25, one-speed fan</v>
      </c>
      <c r="AD64" s="25" t="str">
        <f>+Technologies!E98</f>
        <v>dxAC-Res-Split-45to65kBTUh-SEER-14.0</v>
      </c>
      <c r="AE64" s="25" t="str">
        <f t="shared" ref="AE64:AE70" si="30">+AE56</f>
        <v>dxAC-Res-Split-SEER-15.0</v>
      </c>
      <c r="AF64" s="25" t="s">
        <v>591</v>
      </c>
      <c r="AH64" s="25" t="s">
        <v>418</v>
      </c>
      <c r="AI64" s="25" t="s">
        <v>418</v>
      </c>
      <c r="AK64" s="25" t="s">
        <v>422</v>
      </c>
      <c r="AM64" s="25" t="s">
        <v>449</v>
      </c>
      <c r="AO64" s="25" t="s">
        <v>50</v>
      </c>
      <c r="AP64" s="315">
        <v>42005</v>
      </c>
    </row>
    <row r="65" spans="1:43" ht="16.5" customHeight="1" x14ac:dyDescent="0.25">
      <c r="A65" s="317">
        <f t="shared" si="27"/>
        <v>756</v>
      </c>
      <c r="B65" s="317" t="s">
        <v>559</v>
      </c>
      <c r="C65" s="25" t="str">
        <f t="shared" si="8"/>
        <v>Residential SEER-rated split Air Conditioners, Size Range: 18 - 65 kBTU/h, SEER = 16 (EER = 12.5), EIR = 0.238, Fan W/CFM = 0.27, two-speed fan</v>
      </c>
      <c r="D65" s="25" t="s">
        <v>450</v>
      </c>
      <c r="E65" s="25" t="s">
        <v>453</v>
      </c>
      <c r="F65" s="314">
        <v>41920</v>
      </c>
      <c r="G65" s="25" t="str">
        <f t="shared" si="9"/>
        <v>RE-HV-ResAC-45to65kBtuh-16S</v>
      </c>
      <c r="H65" s="25" t="s">
        <v>417</v>
      </c>
      <c r="I65" s="25" t="s">
        <v>421</v>
      </c>
      <c r="J65" s="25" t="s">
        <v>50</v>
      </c>
      <c r="K65" s="25" t="s">
        <v>423</v>
      </c>
      <c r="L65" s="25" t="s">
        <v>423</v>
      </c>
      <c r="M65" s="25" t="s">
        <v>50</v>
      </c>
      <c r="O65" s="25" t="s">
        <v>418</v>
      </c>
      <c r="Q65" s="25" t="s">
        <v>418</v>
      </c>
      <c r="R65" s="25" t="s">
        <v>419</v>
      </c>
      <c r="S65" s="25" t="s">
        <v>420</v>
      </c>
      <c r="T65" s="25" t="s">
        <v>425</v>
      </c>
      <c r="U65" s="25" t="s">
        <v>435</v>
      </c>
      <c r="V65" s="25" t="s">
        <v>436</v>
      </c>
      <c r="W65" s="25" t="s">
        <v>431</v>
      </c>
      <c r="Y65" s="25" t="s">
        <v>449</v>
      </c>
      <c r="Z65" s="25" t="str">
        <f>VLOOKUP(AD65,Technologies!$E$10:$X$154,20,FALSE)</f>
        <v>Residential SEER-rated split Air Conditioners, 18-65 kBTU/h; 
pre-2001: SEER = 10 (EER = 8.52), one-speed fan;
post-2001: SEER = 13 (EER = 11.08), one-speed fan;
2014: SEER = 14 (EER = 11.82), one-speed fan</v>
      </c>
      <c r="AA65" s="25" t="str">
        <f>VLOOKUP(AD65,Technologies!$E$10:$W$154,19,FALSE)</f>
        <v>Residential SEER-rated split Air Conditioners, Size Range: 45 - 65 kBTU/h, SEER = 14 (EER = 11.8), EIR = 0.247, Fan W/CFM = 0.29, one-speed fan</v>
      </c>
      <c r="AB65" s="25" t="str">
        <f>VLOOKUP(AE65,Technologies!$E$10:$W$154,19,FALSE)</f>
        <v>Residential SEER-rated split Air Conditioners, Size Range: 18 - 65 kBTU/h, SEER = 16 (EER = 12.5), EIR = 0.238, Fan W/CFM = 0.27, two-speed fan</v>
      </c>
      <c r="AD65" s="25" t="str">
        <f>+AD64</f>
        <v>dxAC-Res-Split-45to65kBTUh-SEER-14.0</v>
      </c>
      <c r="AE65" s="25" t="str">
        <f t="shared" si="30"/>
        <v>dxAC-Res-Split-SEER-16.0</v>
      </c>
      <c r="AF65" s="25" t="s">
        <v>591</v>
      </c>
      <c r="AH65" s="25" t="s">
        <v>418</v>
      </c>
      <c r="AI65" s="25" t="s">
        <v>418</v>
      </c>
      <c r="AK65" s="25" t="s">
        <v>422</v>
      </c>
      <c r="AM65" s="25" t="s">
        <v>449</v>
      </c>
      <c r="AO65" s="25" t="s">
        <v>50</v>
      </c>
      <c r="AP65" s="315">
        <v>42005</v>
      </c>
    </row>
    <row r="66" spans="1:43" ht="16.5" customHeight="1" x14ac:dyDescent="0.25">
      <c r="A66" s="317">
        <f t="shared" si="27"/>
        <v>757</v>
      </c>
      <c r="B66" s="317" t="s">
        <v>560</v>
      </c>
      <c r="C66" s="25" t="str">
        <f t="shared" si="8"/>
        <v>Residential SEER-rated split Air Conditioners, Size Range: 18 - 65 kBTU/h, SEER = 17 (EER = 13.3), EIR = 0.223, Fan W/CFM = 0.27, two-speed fan</v>
      </c>
      <c r="D66" s="25" t="s">
        <v>450</v>
      </c>
      <c r="E66" s="25" t="s">
        <v>453</v>
      </c>
      <c r="F66" s="314">
        <v>41920</v>
      </c>
      <c r="G66" s="25" t="str">
        <f t="shared" si="9"/>
        <v>RE-HV-ResAC-45to65kBtuh-17S</v>
      </c>
      <c r="H66" s="25" t="s">
        <v>417</v>
      </c>
      <c r="I66" s="25" t="s">
        <v>421</v>
      </c>
      <c r="J66" s="25" t="s">
        <v>50</v>
      </c>
      <c r="K66" s="25" t="s">
        <v>423</v>
      </c>
      <c r="L66" s="25" t="s">
        <v>423</v>
      </c>
      <c r="M66" s="25" t="s">
        <v>50</v>
      </c>
      <c r="O66" s="25" t="s">
        <v>418</v>
      </c>
      <c r="Q66" s="25" t="s">
        <v>418</v>
      </c>
      <c r="R66" s="25" t="s">
        <v>419</v>
      </c>
      <c r="S66" s="25" t="s">
        <v>420</v>
      </c>
      <c r="T66" s="25" t="s">
        <v>425</v>
      </c>
      <c r="U66" s="25" t="s">
        <v>435</v>
      </c>
      <c r="V66" s="25" t="s">
        <v>436</v>
      </c>
      <c r="W66" s="25" t="s">
        <v>431</v>
      </c>
      <c r="Y66" s="25" t="s">
        <v>449</v>
      </c>
      <c r="Z66" s="25" t="str">
        <f>VLOOKUP(AD66,Technologies!$E$10:$X$154,20,FALSE)</f>
        <v>Residential SEER-rated split Air Conditioners, 18-65 kBTU/h; 
pre-2001: SEER = 10 (EER = 8.52), one-speed fan;
post-2001: SEER = 13 (EER = 11.08), one-speed fan;
2014: SEER = 14 (EER = 11.82), one-speed fan</v>
      </c>
      <c r="AA66" s="25" t="str">
        <f>VLOOKUP(AD66,Technologies!$E$10:$W$154,19,FALSE)</f>
        <v>Residential SEER-rated split Air Conditioners, Size Range: 45 - 65 kBTU/h, SEER = 14 (EER = 11.8), EIR = 0.247, Fan W/CFM = 0.29, one-speed fan</v>
      </c>
      <c r="AB66" s="25" t="str">
        <f>VLOOKUP(AE66,Technologies!$E$10:$W$154,19,FALSE)</f>
        <v>Residential SEER-rated split Air Conditioners, Size Range: 18 - 65 kBTU/h, SEER = 17 (EER = 13.3), EIR = 0.223, Fan W/CFM = 0.27, two-speed fan</v>
      </c>
      <c r="AD66" s="25" t="str">
        <f t="shared" ref="AD66:AD71" si="31">+AD65</f>
        <v>dxAC-Res-Split-45to65kBTUh-SEER-14.0</v>
      </c>
      <c r="AE66" s="25" t="str">
        <f t="shared" si="30"/>
        <v>dxAC-Res-Split-SEER-17.0</v>
      </c>
      <c r="AF66" s="25" t="s">
        <v>591</v>
      </c>
      <c r="AH66" s="25" t="s">
        <v>418</v>
      </c>
      <c r="AI66" s="25" t="s">
        <v>418</v>
      </c>
      <c r="AK66" s="25" t="s">
        <v>422</v>
      </c>
      <c r="AM66" s="25" t="s">
        <v>449</v>
      </c>
      <c r="AO66" s="25" t="s">
        <v>50</v>
      </c>
      <c r="AP66" s="315">
        <v>42005</v>
      </c>
    </row>
    <row r="67" spans="1:43" ht="16.5" customHeight="1" x14ac:dyDescent="0.25">
      <c r="A67" s="317">
        <f t="shared" si="27"/>
        <v>758</v>
      </c>
      <c r="B67" s="317" t="s">
        <v>561</v>
      </c>
      <c r="C67" s="25" t="str">
        <f t="shared" si="8"/>
        <v>Residential SEER-rated split Air Conditioners, Size Range: 18 - 65 kBTU/h, SEER = 18 (EER = 14), EIR = 0.209, Fan W/CFM = 0.27, two-speed fan</v>
      </c>
      <c r="D67" s="25" t="s">
        <v>450</v>
      </c>
      <c r="E67" s="25" t="s">
        <v>453</v>
      </c>
      <c r="F67" s="314">
        <v>41920</v>
      </c>
      <c r="G67" s="25" t="str">
        <f t="shared" si="9"/>
        <v>RE-HV-ResAC-45to65kBtuh-18S</v>
      </c>
      <c r="H67" s="25" t="s">
        <v>417</v>
      </c>
      <c r="I67" s="25" t="s">
        <v>421</v>
      </c>
      <c r="J67" s="25" t="s">
        <v>50</v>
      </c>
      <c r="K67" s="25" t="s">
        <v>423</v>
      </c>
      <c r="L67" s="25" t="s">
        <v>423</v>
      </c>
      <c r="M67" s="25" t="s">
        <v>50</v>
      </c>
      <c r="O67" s="25" t="s">
        <v>418</v>
      </c>
      <c r="Q67" s="25" t="s">
        <v>418</v>
      </c>
      <c r="R67" s="25" t="s">
        <v>419</v>
      </c>
      <c r="S67" s="25" t="s">
        <v>420</v>
      </c>
      <c r="T67" s="25" t="s">
        <v>425</v>
      </c>
      <c r="U67" s="25" t="s">
        <v>435</v>
      </c>
      <c r="V67" s="25" t="s">
        <v>436</v>
      </c>
      <c r="W67" s="25" t="s">
        <v>431</v>
      </c>
      <c r="Y67" s="25" t="s">
        <v>449</v>
      </c>
      <c r="Z67" s="25" t="str">
        <f>VLOOKUP(AD67,Technologies!$E$10:$X$154,20,FALSE)</f>
        <v>Residential SEER-rated split Air Conditioners, 18-65 kBTU/h; 
pre-2001: SEER = 10 (EER = 8.52), one-speed fan;
post-2001: SEER = 13 (EER = 11.08), one-speed fan;
2014: SEER = 14 (EER = 11.82), one-speed fan</v>
      </c>
      <c r="AA67" s="25" t="str">
        <f>VLOOKUP(AD67,Technologies!$E$10:$W$154,19,FALSE)</f>
        <v>Residential SEER-rated split Air Conditioners, Size Range: 45 - 65 kBTU/h, SEER = 14 (EER = 11.8), EIR = 0.247, Fan W/CFM = 0.29, one-speed fan</v>
      </c>
      <c r="AB67" s="25" t="str">
        <f>VLOOKUP(AE67,Technologies!$E$10:$W$154,19,FALSE)</f>
        <v>Residential SEER-rated split Air Conditioners, Size Range: 18 - 65 kBTU/h, SEER = 18 (EER = 14), EIR = 0.209, Fan W/CFM = 0.27, two-speed fan</v>
      </c>
      <c r="AD67" s="25" t="str">
        <f t="shared" si="31"/>
        <v>dxAC-Res-Split-45to65kBTUh-SEER-14.0</v>
      </c>
      <c r="AE67" s="25" t="str">
        <f t="shared" si="30"/>
        <v>dxAC-Res-Split-SEER-18.0</v>
      </c>
      <c r="AF67" s="25" t="s">
        <v>591</v>
      </c>
      <c r="AH67" s="25" t="s">
        <v>418</v>
      </c>
      <c r="AI67" s="25" t="s">
        <v>418</v>
      </c>
      <c r="AK67" s="25" t="s">
        <v>422</v>
      </c>
      <c r="AM67" s="25" t="s">
        <v>449</v>
      </c>
      <c r="AO67" s="25" t="s">
        <v>50</v>
      </c>
      <c r="AP67" s="315">
        <v>42005</v>
      </c>
    </row>
    <row r="68" spans="1:43" ht="16.5" customHeight="1" x14ac:dyDescent="0.25">
      <c r="A68" s="317">
        <f t="shared" si="27"/>
        <v>759</v>
      </c>
      <c r="B68" s="317" t="s">
        <v>562</v>
      </c>
      <c r="C68" s="25" t="str">
        <f t="shared" si="8"/>
        <v>Residential SEER-rated split Air Conditioners, Size Range: 18 - 65 kBTU/h, SEER = 19 (EER = 14.8), EIR = 0.201, Fan W/CFM = 0.23, two-speed fan</v>
      </c>
      <c r="D68" s="25" t="s">
        <v>450</v>
      </c>
      <c r="E68" s="25" t="s">
        <v>453</v>
      </c>
      <c r="F68" s="314">
        <v>41920</v>
      </c>
      <c r="G68" s="25" t="str">
        <f t="shared" si="9"/>
        <v>RE-HV-ResAC-45to65kBtuh-19S</v>
      </c>
      <c r="H68" s="25" t="s">
        <v>417</v>
      </c>
      <c r="I68" s="25" t="s">
        <v>421</v>
      </c>
      <c r="J68" s="25" t="s">
        <v>50</v>
      </c>
      <c r="K68" s="25" t="s">
        <v>423</v>
      </c>
      <c r="L68" s="25" t="s">
        <v>423</v>
      </c>
      <c r="M68" s="25" t="s">
        <v>50</v>
      </c>
      <c r="O68" s="25" t="s">
        <v>418</v>
      </c>
      <c r="Q68" s="25" t="s">
        <v>418</v>
      </c>
      <c r="R68" s="25" t="s">
        <v>419</v>
      </c>
      <c r="S68" s="25" t="s">
        <v>420</v>
      </c>
      <c r="T68" s="25" t="s">
        <v>425</v>
      </c>
      <c r="U68" s="25" t="s">
        <v>435</v>
      </c>
      <c r="V68" s="25" t="s">
        <v>436</v>
      </c>
      <c r="W68" s="25" t="s">
        <v>431</v>
      </c>
      <c r="Y68" s="25" t="s">
        <v>449</v>
      </c>
      <c r="Z68" s="25" t="str">
        <f>VLOOKUP(AD68,Technologies!$E$10:$X$154,20,FALSE)</f>
        <v>Residential SEER-rated split Air Conditioners, 18-65 kBTU/h; 
pre-2001: SEER = 10 (EER = 8.52), one-speed fan;
post-2001: SEER = 13 (EER = 11.08), one-speed fan;
2014: SEER = 14 (EER = 11.82), one-speed fan</v>
      </c>
      <c r="AA68" s="25" t="str">
        <f>VLOOKUP(AD68,Technologies!$E$10:$W$154,19,FALSE)</f>
        <v>Residential SEER-rated split Air Conditioners, Size Range: 45 - 65 kBTU/h, SEER = 14 (EER = 11.8), EIR = 0.247, Fan W/CFM = 0.29, one-speed fan</v>
      </c>
      <c r="AB68" s="25" t="str">
        <f>VLOOKUP(AE68,Technologies!$E$10:$W$154,19,FALSE)</f>
        <v>Residential SEER-rated split Air Conditioners, Size Range: 18 - 65 kBTU/h, SEER = 19 (EER = 14.8), EIR = 0.201, Fan W/CFM = 0.23, two-speed fan</v>
      </c>
      <c r="AD68" s="25" t="str">
        <f t="shared" si="31"/>
        <v>dxAC-Res-Split-45to65kBTUh-SEER-14.0</v>
      </c>
      <c r="AE68" s="25" t="str">
        <f t="shared" si="30"/>
        <v>dxAC-Res-Split-SEER-19.0</v>
      </c>
      <c r="AF68" s="25" t="s">
        <v>591</v>
      </c>
      <c r="AH68" s="25" t="s">
        <v>418</v>
      </c>
      <c r="AI68" s="25" t="s">
        <v>418</v>
      </c>
      <c r="AK68" s="25" t="s">
        <v>422</v>
      </c>
      <c r="AM68" s="25" t="s">
        <v>449</v>
      </c>
      <c r="AO68" s="25" t="s">
        <v>50</v>
      </c>
      <c r="AP68" s="315">
        <v>42005</v>
      </c>
    </row>
    <row r="69" spans="1:43" ht="16.5" customHeight="1" x14ac:dyDescent="0.25">
      <c r="A69" s="317">
        <f t="shared" si="27"/>
        <v>760</v>
      </c>
      <c r="B69" s="317" t="s">
        <v>563</v>
      </c>
      <c r="C69" s="25" t="str">
        <f t="shared" si="8"/>
        <v>Residential SEER-rated split Air Conditioners, Size Range: 18 - 65 kBTU/h, SEER = 20 (EER = 15.6), EIR = 0.19, Fan W/CFM = 0.23, two-speed fan</v>
      </c>
      <c r="D69" s="25" t="s">
        <v>450</v>
      </c>
      <c r="E69" s="25" t="s">
        <v>453</v>
      </c>
      <c r="F69" s="314">
        <v>41920</v>
      </c>
      <c r="G69" s="25" t="str">
        <f t="shared" si="9"/>
        <v>RE-HV-ResAC-45to65kBtuh-20S</v>
      </c>
      <c r="H69" s="25" t="s">
        <v>417</v>
      </c>
      <c r="I69" s="25" t="s">
        <v>421</v>
      </c>
      <c r="J69" s="25" t="s">
        <v>50</v>
      </c>
      <c r="K69" s="25" t="s">
        <v>423</v>
      </c>
      <c r="L69" s="25" t="s">
        <v>423</v>
      </c>
      <c r="M69" s="25" t="s">
        <v>50</v>
      </c>
      <c r="O69" s="25" t="s">
        <v>418</v>
      </c>
      <c r="Q69" s="25" t="s">
        <v>418</v>
      </c>
      <c r="R69" s="25" t="s">
        <v>419</v>
      </c>
      <c r="S69" s="25" t="s">
        <v>420</v>
      </c>
      <c r="T69" s="25" t="s">
        <v>425</v>
      </c>
      <c r="U69" s="25" t="s">
        <v>435</v>
      </c>
      <c r="V69" s="25" t="s">
        <v>436</v>
      </c>
      <c r="W69" s="25" t="s">
        <v>431</v>
      </c>
      <c r="Y69" s="25" t="s">
        <v>449</v>
      </c>
      <c r="Z69" s="25" t="str">
        <f>VLOOKUP(AD69,Technologies!$E$10:$X$154,20,FALSE)</f>
        <v>Residential SEER-rated split Air Conditioners, 18-65 kBTU/h; 
pre-2001: SEER = 10 (EER = 8.52), one-speed fan;
post-2001: SEER = 13 (EER = 11.08), one-speed fan;
2014: SEER = 14 (EER = 11.82), one-speed fan</v>
      </c>
      <c r="AA69" s="25" t="str">
        <f>VLOOKUP(AD69,Technologies!$E$10:$W$154,19,FALSE)</f>
        <v>Residential SEER-rated split Air Conditioners, Size Range: 45 - 65 kBTU/h, SEER = 14 (EER = 11.8), EIR = 0.247, Fan W/CFM = 0.29, one-speed fan</v>
      </c>
      <c r="AB69" s="25" t="str">
        <f>VLOOKUP(AE69,Technologies!$E$10:$W$154,19,FALSE)</f>
        <v>Residential SEER-rated split Air Conditioners, Size Range: 18 - 65 kBTU/h, SEER = 20 (EER = 15.6), EIR = 0.19, Fan W/CFM = 0.23, two-speed fan</v>
      </c>
      <c r="AD69" s="25" t="str">
        <f t="shared" si="31"/>
        <v>dxAC-Res-Split-45to65kBTUh-SEER-14.0</v>
      </c>
      <c r="AE69" s="25" t="str">
        <f t="shared" si="30"/>
        <v>dxAC-Res-Split-SEER-20.0</v>
      </c>
      <c r="AF69" s="25" t="s">
        <v>591</v>
      </c>
      <c r="AH69" s="25" t="s">
        <v>418</v>
      </c>
      <c r="AI69" s="25" t="s">
        <v>418</v>
      </c>
      <c r="AK69" s="25" t="s">
        <v>422</v>
      </c>
      <c r="AM69" s="25" t="s">
        <v>449</v>
      </c>
      <c r="AO69" s="25" t="s">
        <v>50</v>
      </c>
      <c r="AP69" s="315">
        <v>42005</v>
      </c>
    </row>
    <row r="70" spans="1:43" ht="16.5" customHeight="1" x14ac:dyDescent="0.25">
      <c r="A70" s="317">
        <f t="shared" si="27"/>
        <v>761</v>
      </c>
      <c r="B70" s="317" t="s">
        <v>564</v>
      </c>
      <c r="C70" s="25" t="str">
        <f t="shared" si="8"/>
        <v>Residential SEER-rated split Air Conditioners, Size Range: 18 - 65 kBTU/h, SEER = 21 (EER = 16.4), EIR = 0.18, Fan W/CFM = 0.23, two-speed fan</v>
      </c>
      <c r="D70" s="25" t="s">
        <v>450</v>
      </c>
      <c r="E70" s="25" t="s">
        <v>453</v>
      </c>
      <c r="F70" s="314">
        <v>41920</v>
      </c>
      <c r="G70" s="25" t="str">
        <f t="shared" si="9"/>
        <v>RE-HV-ResAC-45to65kBtuh-21S</v>
      </c>
      <c r="H70" s="25" t="s">
        <v>417</v>
      </c>
      <c r="I70" s="25" t="s">
        <v>421</v>
      </c>
      <c r="J70" s="25" t="s">
        <v>50</v>
      </c>
      <c r="K70" s="25" t="s">
        <v>423</v>
      </c>
      <c r="L70" s="25" t="s">
        <v>423</v>
      </c>
      <c r="M70" s="25" t="s">
        <v>50</v>
      </c>
      <c r="O70" s="25" t="s">
        <v>418</v>
      </c>
      <c r="Q70" s="25" t="s">
        <v>418</v>
      </c>
      <c r="R70" s="25" t="s">
        <v>419</v>
      </c>
      <c r="S70" s="25" t="s">
        <v>420</v>
      </c>
      <c r="T70" s="25" t="s">
        <v>425</v>
      </c>
      <c r="U70" s="25" t="s">
        <v>435</v>
      </c>
      <c r="V70" s="25" t="s">
        <v>436</v>
      </c>
      <c r="W70" s="25" t="s">
        <v>431</v>
      </c>
      <c r="Y70" s="25" t="s">
        <v>449</v>
      </c>
      <c r="Z70" s="25" t="str">
        <f>VLOOKUP(AD70,Technologies!$E$10:$X$154,20,FALSE)</f>
        <v>Residential SEER-rated split Air Conditioners, 18-65 kBTU/h; 
pre-2001: SEER = 10 (EER = 8.52), one-speed fan;
post-2001: SEER = 13 (EER = 11.08), one-speed fan;
2014: SEER = 14 (EER = 11.82), one-speed fan</v>
      </c>
      <c r="AA70" s="25" t="str">
        <f>VLOOKUP(AD70,Technologies!$E$10:$W$154,19,FALSE)</f>
        <v>Residential SEER-rated split Air Conditioners, Size Range: 45 - 65 kBTU/h, SEER = 14 (EER = 11.8), EIR = 0.247, Fan W/CFM = 0.29, one-speed fan</v>
      </c>
      <c r="AB70" s="25" t="str">
        <f>VLOOKUP(AE70,Technologies!$E$10:$W$154,19,FALSE)</f>
        <v>Residential SEER-rated split Air Conditioners, Size Range: 18 - 65 kBTU/h, SEER = 21 (EER = 16.4), EIR = 0.18, Fan W/CFM = 0.23, two-speed fan</v>
      </c>
      <c r="AD70" s="25" t="str">
        <f t="shared" si="31"/>
        <v>dxAC-Res-Split-45to65kBTUh-SEER-14.0</v>
      </c>
      <c r="AE70" s="25" t="str">
        <f t="shared" si="30"/>
        <v>dxAC-Res-Split-SEER-21.0</v>
      </c>
      <c r="AF70" s="25" t="s">
        <v>591</v>
      </c>
      <c r="AH70" s="25" t="s">
        <v>418</v>
      </c>
      <c r="AI70" s="25" t="s">
        <v>418</v>
      </c>
      <c r="AK70" s="25" t="s">
        <v>422</v>
      </c>
      <c r="AM70" s="25" t="s">
        <v>449</v>
      </c>
      <c r="AO70" s="25" t="s">
        <v>50</v>
      </c>
      <c r="AP70" s="315">
        <v>42005</v>
      </c>
    </row>
    <row r="71" spans="1:43" ht="16.5" customHeight="1" x14ac:dyDescent="0.25">
      <c r="A71" s="317">
        <f t="shared" si="27"/>
        <v>762</v>
      </c>
      <c r="B71" s="317" t="s">
        <v>757</v>
      </c>
      <c r="C71" s="25" t="str">
        <f t="shared" si="8"/>
        <v>Residential SEER-rated split Heat Pumps, SEER = 17 (EER = 13.3), HSPF = 9.4 (COP = 3.74), EIR = 0.223, Fan W/CFM = 0.27, two-speed fan</v>
      </c>
      <c r="D71" s="25" t="s">
        <v>450</v>
      </c>
      <c r="E71" s="25" t="s">
        <v>453</v>
      </c>
      <c r="F71" s="314">
        <v>41920</v>
      </c>
      <c r="G71" s="25" t="str">
        <f t="shared" si="9"/>
        <v>RE-HV-ResEvapAC-45to65kBtuh-17p4S</v>
      </c>
      <c r="H71" s="25" t="s">
        <v>417</v>
      </c>
      <c r="I71" s="25" t="s">
        <v>421</v>
      </c>
      <c r="J71" s="25" t="s">
        <v>50</v>
      </c>
      <c r="K71" s="25" t="s">
        <v>423</v>
      </c>
      <c r="L71" s="25" t="s">
        <v>423</v>
      </c>
      <c r="M71" s="25" t="s">
        <v>50</v>
      </c>
      <c r="O71" s="25" t="s">
        <v>418</v>
      </c>
      <c r="Q71" s="25" t="s">
        <v>418</v>
      </c>
      <c r="R71" s="25" t="s">
        <v>419</v>
      </c>
      <c r="S71" s="25" t="s">
        <v>420</v>
      </c>
      <c r="T71" s="25" t="s">
        <v>425</v>
      </c>
      <c r="U71" s="25" t="s">
        <v>435</v>
      </c>
      <c r="V71" s="25" t="s">
        <v>436</v>
      </c>
      <c r="W71" s="25" t="s">
        <v>431</v>
      </c>
      <c r="Y71" s="25" t="s">
        <v>449</v>
      </c>
      <c r="Z71" s="25" t="str">
        <f>VLOOKUP(AD71,Technologies!$E$10:$X$154,20,FALSE)</f>
        <v>Residential SEER-rated split Air Conditioners, 18-65 kBTU/h; 
pre-2001: SEER = 10 (EER = 8.52), one-speed fan;
post-2001: SEER = 13 (EER = 11.08), one-speed fan;
2014: SEER = 14 (EER = 11.82), one-speed fan</v>
      </c>
      <c r="AA71" s="25" t="str">
        <f>VLOOKUP(AD71,Technologies!$E$10:$W$154,19,FALSE)</f>
        <v>Residential SEER-rated split Air Conditioners, Size Range: 45 - 65 kBTU/h, SEER = 14 (EER = 11.8), EIR = 0.247, Fan W/CFM = 0.29, one-speed fan</v>
      </c>
      <c r="AB71" s="25" t="str">
        <f>VLOOKUP(AE71,Technologies!$E$10:$W$154,19,FALSE)</f>
        <v>Residential SEER-rated split Heat Pumps, SEER = 17 (EER = 13.3), HSPF = 9.4 (COP = 3.74), EIR = 0.223, Fan W/CFM = 0.27, two-speed fan</v>
      </c>
      <c r="AD71" s="25" t="str">
        <f t="shared" si="31"/>
        <v>dxAC-Res-Split-45to65kBTUh-SEER-14.0</v>
      </c>
      <c r="AE71" s="25" t="str">
        <f>+Technologies!E109</f>
        <v>dxHP-Res-Split-SEER-17.0</v>
      </c>
      <c r="AF71" s="25" t="s">
        <v>591</v>
      </c>
      <c r="AP71" s="315"/>
    </row>
    <row r="72" spans="1:43" ht="16.5" customHeight="1" x14ac:dyDescent="0.25">
      <c r="A72" s="317"/>
      <c r="B72" s="318" t="s">
        <v>451</v>
      </c>
      <c r="F72" s="314"/>
      <c r="AP72" s="315"/>
    </row>
    <row r="73" spans="1:43" ht="16.5" customHeight="1" x14ac:dyDescent="0.25">
      <c r="A73" s="317">
        <f>+A71+1</f>
        <v>763</v>
      </c>
      <c r="B73" s="317" t="s">
        <v>532</v>
      </c>
      <c r="C73" s="25" t="str">
        <f t="shared" si="8"/>
        <v>Residential SEER-rated split Heat Pumps, SEER = 15 (EER = 12.8), HSPF = 8.7 (COP = 3.68), EIR = 0.232, Fan W/CFM = 0.25, one-speed fan</v>
      </c>
      <c r="D73" s="25" t="s">
        <v>450</v>
      </c>
      <c r="E73" s="25" t="s">
        <v>453</v>
      </c>
      <c r="F73" s="314">
        <v>41920</v>
      </c>
      <c r="G73" s="25" t="str">
        <f t="shared" si="9"/>
        <v>RE-HV-ResHP-15p0S-8p7H</v>
      </c>
      <c r="H73" s="25" t="s">
        <v>417</v>
      </c>
      <c r="I73" s="25" t="s">
        <v>421</v>
      </c>
      <c r="J73" s="25" t="s">
        <v>50</v>
      </c>
      <c r="K73" s="25" t="s">
        <v>423</v>
      </c>
      <c r="L73" s="25" t="s">
        <v>423</v>
      </c>
      <c r="M73" s="25" t="s">
        <v>50</v>
      </c>
      <c r="O73" s="25" t="s">
        <v>418</v>
      </c>
      <c r="Q73" s="25" t="s">
        <v>418</v>
      </c>
      <c r="R73" s="25" t="s">
        <v>419</v>
      </c>
      <c r="S73" s="25" t="s">
        <v>420</v>
      </c>
      <c r="T73" s="25" t="s">
        <v>425</v>
      </c>
      <c r="U73" s="25" t="s">
        <v>426</v>
      </c>
      <c r="V73" s="25" t="s">
        <v>427</v>
      </c>
      <c r="W73" s="25" t="s">
        <v>431</v>
      </c>
      <c r="Y73" s="25" t="s">
        <v>429</v>
      </c>
      <c r="Z73" s="25" t="str">
        <f>VLOOKUP(AD73,Technologies!$E$10:$X$154,20,FALSE)</f>
        <v>Res SEER-Rated Splt HP, 7.1-3.01 kBTU/h; 
pre-2001: SEER = 10 (HSPF = 7.1), one-speed fan;
post-2001: SEER = 13 (HSPF = 8.2), one-speed fan;
2014: SEER = 14 (HSPF = 8.2), one-speed fan</v>
      </c>
      <c r="AA73" s="25" t="str">
        <f>VLOOKUP(AD73,Technologies!$E$10:$W$154,19,FALSE)</f>
        <v>Residential SEER-rated split Heat Pumps, SEER = 14 (EER = 11.9), HSPF = 8.2 (COP = 3.48), EIR = 0.245, Fan W/CFM = 0.29, one-speed fan</v>
      </c>
      <c r="AB73" s="25" t="str">
        <f>VLOOKUP(AE73,Technologies!$E$10:$W$154,19,FALSE)</f>
        <v>Residential SEER-rated split Heat Pumps, SEER = 15 (EER = 12.8), HSPF = 8.7 (COP = 3.68), EIR = 0.232, Fan W/CFM = 0.25, one-speed fan</v>
      </c>
      <c r="AD73" s="25" t="str">
        <f>+Technologies!E106</f>
        <v>dxHP-Res-Split-SEER-14.0</v>
      </c>
      <c r="AE73" s="25" t="str">
        <f>+Technologies!E107</f>
        <v>dxHP-Res-Split-SEER-15.0</v>
      </c>
      <c r="AF73" s="25" t="s">
        <v>591</v>
      </c>
      <c r="AH73" s="25" t="s">
        <v>418</v>
      </c>
      <c r="AI73" s="25" t="s">
        <v>418</v>
      </c>
      <c r="AK73" s="25" t="s">
        <v>422</v>
      </c>
      <c r="AM73" s="25" t="s">
        <v>429</v>
      </c>
      <c r="AO73" s="25" t="s">
        <v>50</v>
      </c>
      <c r="AP73" s="315">
        <v>42005</v>
      </c>
    </row>
    <row r="74" spans="1:43" ht="16.5" customHeight="1" x14ac:dyDescent="0.25">
      <c r="A74" s="317">
        <f>+A73+1</f>
        <v>764</v>
      </c>
      <c r="B74" s="317" t="s">
        <v>533</v>
      </c>
      <c r="C74" s="25" t="str">
        <f t="shared" si="8"/>
        <v>Residential SEER-rated split Heat Pumps, SEER = 16 (EER = 12.5), HSPF = 9 (COP = 3.57), EIR = 0.238, Fan W/CFM = 0.27, two-speed fan</v>
      </c>
      <c r="D74" s="25" t="s">
        <v>450</v>
      </c>
      <c r="E74" s="25" t="s">
        <v>453</v>
      </c>
      <c r="F74" s="314">
        <v>41920</v>
      </c>
      <c r="G74" s="25" t="str">
        <f t="shared" si="9"/>
        <v>RE-HV-ResHP-16p0S-9p0H</v>
      </c>
      <c r="H74" s="25" t="s">
        <v>417</v>
      </c>
      <c r="I74" s="25" t="s">
        <v>421</v>
      </c>
      <c r="J74" s="25" t="s">
        <v>50</v>
      </c>
      <c r="K74" s="25" t="s">
        <v>423</v>
      </c>
      <c r="L74" s="25" t="s">
        <v>423</v>
      </c>
      <c r="M74" s="25" t="s">
        <v>50</v>
      </c>
      <c r="O74" s="25" t="s">
        <v>418</v>
      </c>
      <c r="Q74" s="25" t="s">
        <v>418</v>
      </c>
      <c r="R74" s="25" t="s">
        <v>419</v>
      </c>
      <c r="S74" s="25" t="s">
        <v>420</v>
      </c>
      <c r="T74" s="25" t="s">
        <v>425</v>
      </c>
      <c r="U74" s="25" t="s">
        <v>426</v>
      </c>
      <c r="V74" s="25" t="s">
        <v>427</v>
      </c>
      <c r="W74" s="25" t="s">
        <v>431</v>
      </c>
      <c r="Y74" s="25" t="s">
        <v>429</v>
      </c>
      <c r="Z74" s="25" t="str">
        <f>VLOOKUP(AD74,Technologies!$E$10:$X$154,20,FALSE)</f>
        <v>Res SEER-Rated Splt HP, 7.1-3.01 kBTU/h; 
pre-2001: SEER = 10 (HSPF = 7.1), one-speed fan;
post-2001: SEER = 13 (HSPF = 8.2), one-speed fan;
2014: SEER = 14 (HSPF = 8.2), one-speed fan</v>
      </c>
      <c r="AA74" s="25" t="str">
        <f>VLOOKUP(AD74,Technologies!$E$10:$W$154,19,FALSE)</f>
        <v>Residential SEER-rated split Heat Pumps, SEER = 14 (EER = 11.9), HSPF = 8.2 (COP = 3.48), EIR = 0.245, Fan W/CFM = 0.29, one-speed fan</v>
      </c>
      <c r="AB74" s="25" t="str">
        <f>VLOOKUP(AE74,Technologies!$E$10:$W$154,19,FALSE)</f>
        <v>Residential SEER-rated split Heat Pumps, SEER = 16 (EER = 12.5), HSPF = 9 (COP = 3.57), EIR = 0.238, Fan W/CFM = 0.27, two-speed fan</v>
      </c>
      <c r="AD74" s="25" t="str">
        <f>+AD73</f>
        <v>dxHP-Res-Split-SEER-14.0</v>
      </c>
      <c r="AE74" s="25" t="str">
        <f>+Technologies!E108</f>
        <v>dxHP-Res-Split-SEER-16.0</v>
      </c>
      <c r="AF74" s="25" t="s">
        <v>591</v>
      </c>
      <c r="AH74" s="25" t="s">
        <v>418</v>
      </c>
      <c r="AI74" s="25" t="s">
        <v>418</v>
      </c>
      <c r="AK74" s="25" t="s">
        <v>422</v>
      </c>
      <c r="AM74" s="25" t="s">
        <v>429</v>
      </c>
      <c r="AO74" s="25" t="s">
        <v>50</v>
      </c>
      <c r="AP74" s="315">
        <v>42005</v>
      </c>
    </row>
    <row r="75" spans="1:43" ht="16.5" customHeight="1" x14ac:dyDescent="0.25">
      <c r="A75" s="317">
        <f t="shared" ref="A75:A76" si="32">+A74+1</f>
        <v>765</v>
      </c>
      <c r="B75" s="317" t="s">
        <v>534</v>
      </c>
      <c r="C75" s="25" t="str">
        <f t="shared" si="8"/>
        <v>Residential SEER-rated split Heat Pumps, SEER = 17 (EER = 13.3), HSPF = 9.4 (COP = 3.74), EIR = 0.223, Fan W/CFM = 0.27, two-speed fan</v>
      </c>
      <c r="D75" s="25" t="s">
        <v>450</v>
      </c>
      <c r="E75" s="25" t="s">
        <v>453</v>
      </c>
      <c r="F75" s="314">
        <v>41920</v>
      </c>
      <c r="G75" s="25" t="str">
        <f t="shared" si="9"/>
        <v>RE-HV-ResHP-17p0S-9p4H</v>
      </c>
      <c r="H75" s="25" t="s">
        <v>417</v>
      </c>
      <c r="I75" s="25" t="s">
        <v>421</v>
      </c>
      <c r="J75" s="25" t="s">
        <v>50</v>
      </c>
      <c r="K75" s="25" t="s">
        <v>423</v>
      </c>
      <c r="L75" s="25" t="s">
        <v>423</v>
      </c>
      <c r="M75" s="25" t="s">
        <v>50</v>
      </c>
      <c r="O75" s="25" t="s">
        <v>418</v>
      </c>
      <c r="Q75" s="25" t="s">
        <v>418</v>
      </c>
      <c r="R75" s="25" t="s">
        <v>419</v>
      </c>
      <c r="S75" s="25" t="s">
        <v>420</v>
      </c>
      <c r="T75" s="25" t="s">
        <v>425</v>
      </c>
      <c r="U75" s="25" t="s">
        <v>426</v>
      </c>
      <c r="V75" s="25" t="s">
        <v>427</v>
      </c>
      <c r="W75" s="25" t="s">
        <v>431</v>
      </c>
      <c r="Y75" s="25" t="s">
        <v>429</v>
      </c>
      <c r="Z75" s="25" t="str">
        <f>VLOOKUP(AD75,Technologies!$E$10:$X$154,20,FALSE)</f>
        <v>Res SEER-Rated Splt HP, 7.1-3.01 kBTU/h; 
pre-2001: SEER = 10 (HSPF = 7.1), one-speed fan;
post-2001: SEER = 13 (HSPF = 8.2), one-speed fan;
2014: SEER = 14 (HSPF = 8.2), one-speed fan</v>
      </c>
      <c r="AA75" s="25" t="str">
        <f>VLOOKUP(AD75,Technologies!$E$10:$W$154,19,FALSE)</f>
        <v>Residential SEER-rated split Heat Pumps, SEER = 14 (EER = 11.9), HSPF = 8.2 (COP = 3.48), EIR = 0.245, Fan W/CFM = 0.29, one-speed fan</v>
      </c>
      <c r="AB75" s="25" t="str">
        <f>VLOOKUP(AE75,Technologies!$E$10:$W$154,19,FALSE)</f>
        <v>Residential SEER-rated split Heat Pumps, SEER = 17 (EER = 13.3), HSPF = 9.4 (COP = 3.74), EIR = 0.223, Fan W/CFM = 0.27, two-speed fan</v>
      </c>
      <c r="AD75" s="25" t="str">
        <f t="shared" ref="AD75:AD76" si="33">+AD74</f>
        <v>dxHP-Res-Split-SEER-14.0</v>
      </c>
      <c r="AE75" s="25" t="str">
        <f>+Technologies!E109</f>
        <v>dxHP-Res-Split-SEER-17.0</v>
      </c>
      <c r="AF75" s="25" t="s">
        <v>591</v>
      </c>
      <c r="AH75" s="25" t="s">
        <v>418</v>
      </c>
      <c r="AI75" s="25" t="s">
        <v>418</v>
      </c>
      <c r="AK75" s="25" t="s">
        <v>422</v>
      </c>
      <c r="AM75" s="25" t="s">
        <v>429</v>
      </c>
      <c r="AO75" s="25" t="s">
        <v>50</v>
      </c>
      <c r="AP75" s="315">
        <v>42005</v>
      </c>
    </row>
    <row r="76" spans="1:43" ht="16.5" customHeight="1" x14ac:dyDescent="0.25">
      <c r="A76" s="317">
        <f t="shared" si="32"/>
        <v>766</v>
      </c>
      <c r="B76" s="317" t="s">
        <v>535</v>
      </c>
      <c r="C76" s="25" t="str">
        <f t="shared" si="8"/>
        <v>Residential SEER-rated split Heat Pumps, SEER = 18 (EER = 14), HSPF = 9.7 (COP = 3.86), EIR = 0.209, Fan W/CFM = 0.27, two-speed fan</v>
      </c>
      <c r="D76" s="25" t="s">
        <v>450</v>
      </c>
      <c r="E76" s="25" t="s">
        <v>453</v>
      </c>
      <c r="F76" s="314">
        <v>41920</v>
      </c>
      <c r="G76" s="25" t="str">
        <f t="shared" si="9"/>
        <v>RE-HV-ResHP-18p0S-9p7H</v>
      </c>
      <c r="H76" s="25" t="s">
        <v>417</v>
      </c>
      <c r="I76" s="25" t="s">
        <v>421</v>
      </c>
      <c r="J76" s="25" t="s">
        <v>50</v>
      </c>
      <c r="K76" s="25" t="s">
        <v>423</v>
      </c>
      <c r="L76" s="25" t="s">
        <v>423</v>
      </c>
      <c r="M76" s="25" t="s">
        <v>50</v>
      </c>
      <c r="O76" s="25" t="s">
        <v>418</v>
      </c>
      <c r="Q76" s="25" t="s">
        <v>418</v>
      </c>
      <c r="R76" s="25" t="s">
        <v>419</v>
      </c>
      <c r="S76" s="25" t="s">
        <v>420</v>
      </c>
      <c r="T76" s="25" t="s">
        <v>425</v>
      </c>
      <c r="U76" s="25" t="s">
        <v>426</v>
      </c>
      <c r="V76" s="25" t="s">
        <v>427</v>
      </c>
      <c r="W76" s="25" t="s">
        <v>431</v>
      </c>
      <c r="Y76" s="25" t="s">
        <v>429</v>
      </c>
      <c r="Z76" s="25" t="str">
        <f>VLOOKUP(AD76,Technologies!$E$10:$X$154,20,FALSE)</f>
        <v>Res SEER-Rated Splt HP, 7.1-3.01 kBTU/h; 
pre-2001: SEER = 10 (HSPF = 7.1), one-speed fan;
post-2001: SEER = 13 (HSPF = 8.2), one-speed fan;
2014: SEER = 14 (HSPF = 8.2), one-speed fan</v>
      </c>
      <c r="AA76" s="25" t="str">
        <f>VLOOKUP(AD76,Technologies!$E$10:$W$154,19,FALSE)</f>
        <v>Residential SEER-rated split Heat Pumps, SEER = 14 (EER = 11.9), HSPF = 8.2 (COP = 3.48), EIR = 0.245, Fan W/CFM = 0.29, one-speed fan</v>
      </c>
      <c r="AB76" s="25" t="str">
        <f>VLOOKUP(AE76,Technologies!$E$10:$W$154,19,FALSE)</f>
        <v>Residential SEER-rated split Heat Pumps, SEER = 18 (EER = 14), HSPF = 9.7 (COP = 3.86), EIR = 0.209, Fan W/CFM = 0.27, two-speed fan</v>
      </c>
      <c r="AD76" s="25" t="str">
        <f t="shared" si="33"/>
        <v>dxHP-Res-Split-SEER-14.0</v>
      </c>
      <c r="AE76" s="25" t="str">
        <f>+Technologies!E110</f>
        <v>dxHP-Res-Split-SEER-18.0</v>
      </c>
      <c r="AF76" s="25" t="s">
        <v>591</v>
      </c>
      <c r="AH76" s="25" t="s">
        <v>418</v>
      </c>
      <c r="AI76" s="25" t="s">
        <v>418</v>
      </c>
      <c r="AK76" s="25" t="s">
        <v>422</v>
      </c>
      <c r="AM76" s="25" t="s">
        <v>429</v>
      </c>
      <c r="AO76" s="25" t="s">
        <v>50</v>
      </c>
      <c r="AP76" s="315">
        <v>42005</v>
      </c>
    </row>
    <row r="77" spans="1:43" ht="16.5" customHeight="1" x14ac:dyDescent="0.25">
      <c r="B77" s="313" t="s">
        <v>947</v>
      </c>
    </row>
    <row r="78" spans="1:43" ht="16.5" customHeight="1" x14ac:dyDescent="0.25">
      <c r="A78">
        <f>+A76+1</f>
        <v>767</v>
      </c>
      <c r="B78" s="386" t="s">
        <v>933</v>
      </c>
      <c r="C78" s="25" t="str">
        <f t="shared" ref="C78" si="34">+AB78</f>
        <v>Commercial SEER-rated Packaged Heat Pumps, Size Range: 18 - 65 kBTU/h, SEER = 15 (HSPF = 8.2), EIR = 0.226, Fan W/CFM = 0.29, one-speed fan, without Econo</v>
      </c>
      <c r="D78" t="s">
        <v>450</v>
      </c>
      <c r="E78" t="s">
        <v>453</v>
      </c>
      <c r="F78" s="374">
        <v>41933</v>
      </c>
      <c r="G78" t="str">
        <f t="shared" ref="G78" si="35">+B78</f>
        <v>NE-HVAC-airHP-Pkg-lt55kBtuh-15p0seer-8p2hspf</v>
      </c>
      <c r="H78" t="s">
        <v>417</v>
      </c>
      <c r="I78" t="s">
        <v>421</v>
      </c>
      <c r="J78" t="s">
        <v>50</v>
      </c>
      <c r="K78" t="s">
        <v>423</v>
      </c>
      <c r="L78" t="s">
        <v>423</v>
      </c>
      <c r="M78" t="s">
        <v>50</v>
      </c>
      <c r="N78"/>
      <c r="O78" t="s">
        <v>418</v>
      </c>
      <c r="P78"/>
      <c r="Q78" t="s">
        <v>418</v>
      </c>
      <c r="R78" t="s">
        <v>424</v>
      </c>
      <c r="S78" t="s">
        <v>420</v>
      </c>
      <c r="T78" t="s">
        <v>425</v>
      </c>
      <c r="U78" t="s">
        <v>426</v>
      </c>
      <c r="V78" t="s">
        <v>427</v>
      </c>
      <c r="W78" s="25" t="s">
        <v>430</v>
      </c>
      <c r="Y78" t="s">
        <v>429</v>
      </c>
      <c r="Z78" s="25" t="str">
        <f>VLOOKUP(AD78,Technologies!$E$10:$X$154,20,FALSE)</f>
        <v>Com SEER-Rated Pkg HP, 18-65 kBTU/h; 
pre-2001: SEER = 10 (HSPF = 7.1), one-speed fan, no Econo;
post-2001: SEER = 13 (HSPF = 8.2), one-speed fan, no Econo;
2014: SEER = 14 (HSPF = 8), one-speed fan, no Econo</v>
      </c>
      <c r="AA78" s="25" t="str">
        <f>VLOOKUP(AD78,Technologies!$E$10:$W$154,19,FALSE)</f>
        <v>Commercial SEER-rated Packaged Heat Pumps, Size Range: 18 - 55 kBTU/h, SEER = 14 (HSPF = 8.0), EIR = 0.245, Fan W/CFM = 0.29, one-speed fan, without Econo</v>
      </c>
      <c r="AB78" s="25" t="str">
        <f>VLOOKUP(AE78,Technologies!$E$10:$W$154,19,FALSE)</f>
        <v>Commercial SEER-rated Packaged Heat Pumps, Size Range: 18 - 65 kBTU/h, SEER = 15 (HSPF = 8.2), EIR = 0.226, Fan W/CFM = 0.29, one-speed fan, without Econo</v>
      </c>
      <c r="AD78" s="25" t="str">
        <f>+Technologies!E133</f>
        <v>dxHP-Com-Pkg-lt55kBTUh-SEER-14.0</v>
      </c>
      <c r="AE78" s="25" t="str">
        <f>+Technologies!E134</f>
        <v>dxHP-Com-Pkg-lt55kBTUh-SEER-15.0</v>
      </c>
      <c r="AF78" t="s">
        <v>591</v>
      </c>
      <c r="AH78" t="s">
        <v>418</v>
      </c>
      <c r="AI78" t="s">
        <v>418</v>
      </c>
      <c r="AJ78"/>
      <c r="AK78" t="s">
        <v>422</v>
      </c>
      <c r="AL78"/>
      <c r="AM78" t="s">
        <v>429</v>
      </c>
      <c r="AN78"/>
      <c r="AO78" t="s">
        <v>50</v>
      </c>
      <c r="AP78" s="374">
        <v>42005</v>
      </c>
      <c r="AQ78"/>
    </row>
    <row r="79" spans="1:43" ht="16.5" customHeight="1" x14ac:dyDescent="0.25">
      <c r="A79" s="25">
        <f>+A78+1</f>
        <v>768</v>
      </c>
      <c r="B79" s="386" t="s">
        <v>934</v>
      </c>
      <c r="C79" s="25" t="str">
        <f t="shared" ref="C79:C86" si="36">+AB79</f>
        <v>Commercial SEER-rated Packaged Heat Pumps, Size Range: 18 - 65 kBTU/h, SEER = 16 (HSPF = 8.5), EIR = 0.238, Fan W/CFM = 0.27, two-speed fan, without Econo</v>
      </c>
      <c r="D79" t="s">
        <v>450</v>
      </c>
      <c r="E79" t="s">
        <v>453</v>
      </c>
      <c r="F79" s="374">
        <v>41933</v>
      </c>
      <c r="G79" t="str">
        <f t="shared" ref="G79:G86" si="37">+B79</f>
        <v>NE-HVAC-airHP-Pkg-lt55kBtuh-16p0seer-8p5hspf</v>
      </c>
      <c r="H79" t="s">
        <v>417</v>
      </c>
      <c r="I79" t="s">
        <v>421</v>
      </c>
      <c r="J79" t="s">
        <v>50</v>
      </c>
      <c r="K79" t="s">
        <v>423</v>
      </c>
      <c r="L79" t="s">
        <v>423</v>
      </c>
      <c r="M79" t="s">
        <v>50</v>
      </c>
      <c r="N79"/>
      <c r="O79" t="s">
        <v>418</v>
      </c>
      <c r="P79"/>
      <c r="Q79" t="s">
        <v>418</v>
      </c>
      <c r="R79" t="s">
        <v>424</v>
      </c>
      <c r="S79" t="s">
        <v>420</v>
      </c>
      <c r="T79" t="s">
        <v>425</v>
      </c>
      <c r="U79" t="s">
        <v>426</v>
      </c>
      <c r="V79" t="s">
        <v>427</v>
      </c>
      <c r="W79" s="25" t="s">
        <v>430</v>
      </c>
      <c r="Y79" t="s">
        <v>429</v>
      </c>
      <c r="Z79" s="25" t="str">
        <f>VLOOKUP(AD79,Technologies!$E$10:$X$154,20,FALSE)</f>
        <v>Com SEER-Rated Pkg HP, 18-65 kBTU/h; 
pre-2001: SEER = 10 (HSPF = 7.1), one-speed fan, no Econo;
post-2001: SEER = 13 (HSPF = 8.2), one-speed fan, no Econo;
2014: SEER = 14 (HSPF = 8), one-speed fan, no Econo</v>
      </c>
      <c r="AA79" s="25" t="str">
        <f>VLOOKUP(AD79,Technologies!$E$10:$W$154,19,FALSE)</f>
        <v>Commercial SEER-rated Packaged Heat Pumps, Size Range: 18 - 55 kBTU/h, SEER = 14 (HSPF = 8.0), EIR = 0.245, Fan W/CFM = 0.29, one-speed fan, without Econo</v>
      </c>
      <c r="AB79" s="25" t="str">
        <f>VLOOKUP(AE79,Technologies!$E$10:$W$154,19,FALSE)</f>
        <v>Commercial SEER-rated Packaged Heat Pumps, Size Range: 18 - 65 kBTU/h, SEER = 16 (HSPF = 8.5), EIR = 0.238, Fan W/CFM = 0.27, two-speed fan, without Econo</v>
      </c>
      <c r="AD79" s="25" t="str">
        <f>+AD78</f>
        <v>dxHP-Com-Pkg-lt55kBTUh-SEER-14.0</v>
      </c>
      <c r="AE79" s="25" t="str">
        <f>+Technologies!E135</f>
        <v>dxHP-Com-Pkg-lt55kBTUh-SEER-16.0</v>
      </c>
      <c r="AF79" t="s">
        <v>591</v>
      </c>
      <c r="AH79" t="s">
        <v>418</v>
      </c>
      <c r="AI79" t="s">
        <v>418</v>
      </c>
      <c r="AJ79"/>
      <c r="AK79" t="s">
        <v>422</v>
      </c>
      <c r="AL79"/>
      <c r="AM79" t="s">
        <v>429</v>
      </c>
      <c r="AN79"/>
      <c r="AO79" t="s">
        <v>50</v>
      </c>
      <c r="AP79" s="374">
        <v>42005</v>
      </c>
      <c r="AQ79"/>
    </row>
    <row r="80" spans="1:43" ht="16.5" customHeight="1" x14ac:dyDescent="0.25">
      <c r="A80" s="25">
        <f t="shared" ref="A80:A86" si="38">+A79+1</f>
        <v>769</v>
      </c>
      <c r="B80" s="387" t="s">
        <v>935</v>
      </c>
      <c r="C80" s="25" t="str">
        <f t="shared" si="36"/>
        <v>Commercial SEER-rated Packaged Heat Pumps, Size Range: 18 - 65 kBTU/h, SEER = 17 (HSPF = 9.0), EIR = 0.223, Fan W/CFM = 0.27, two-speed fan, without Econo</v>
      </c>
      <c r="D80" t="s">
        <v>450</v>
      </c>
      <c r="E80" t="s">
        <v>453</v>
      </c>
      <c r="F80" s="374">
        <v>41933</v>
      </c>
      <c r="G80" t="str">
        <f t="shared" si="37"/>
        <v>NE-HVAC-airHP-Pkg-lt55kBtuh-17p0seer-9p0hspf</v>
      </c>
      <c r="H80" t="s">
        <v>417</v>
      </c>
      <c r="I80" t="s">
        <v>421</v>
      </c>
      <c r="J80" t="s">
        <v>50</v>
      </c>
      <c r="K80" t="s">
        <v>423</v>
      </c>
      <c r="L80" t="s">
        <v>423</v>
      </c>
      <c r="M80" t="s">
        <v>50</v>
      </c>
      <c r="N80"/>
      <c r="O80" t="s">
        <v>418</v>
      </c>
      <c r="P80"/>
      <c r="Q80" t="s">
        <v>418</v>
      </c>
      <c r="R80" t="s">
        <v>424</v>
      </c>
      <c r="S80" t="s">
        <v>420</v>
      </c>
      <c r="T80" t="s">
        <v>425</v>
      </c>
      <c r="U80" t="s">
        <v>426</v>
      </c>
      <c r="V80" t="s">
        <v>427</v>
      </c>
      <c r="W80" s="25" t="s">
        <v>430</v>
      </c>
      <c r="Y80" t="s">
        <v>429</v>
      </c>
      <c r="Z80" s="25" t="str">
        <f>VLOOKUP(AD80,Technologies!$E$10:$X$154,20,FALSE)</f>
        <v>Com SEER-Rated Pkg HP, 18-65 kBTU/h; 
pre-2001: SEER = 10 (HSPF = 7.1), one-speed fan, no Econo;
post-2001: SEER = 13 (HSPF = 8.2), one-speed fan, no Econo;
2014: SEER = 14 (HSPF = 8), one-speed fan, no Econo</v>
      </c>
      <c r="AA80" s="25" t="str">
        <f>VLOOKUP(AD80,Technologies!$E$10:$W$154,19,FALSE)</f>
        <v>Commercial SEER-rated Packaged Heat Pumps, Size Range: 18 - 55 kBTU/h, SEER = 14 (HSPF = 8.0), EIR = 0.245, Fan W/CFM = 0.29, one-speed fan, without Econo</v>
      </c>
      <c r="AB80" s="25" t="str">
        <f>VLOOKUP(AE80,Technologies!$E$10:$W$154,19,FALSE)</f>
        <v>Commercial SEER-rated Packaged Heat Pumps, Size Range: 18 - 65 kBTU/h, SEER = 17 (HSPF = 9.0), EIR = 0.223, Fan W/CFM = 0.27, two-speed fan, without Econo</v>
      </c>
      <c r="AD80" s="25" t="str">
        <f>+AD79</f>
        <v>dxHP-Com-Pkg-lt55kBTUh-SEER-14.0</v>
      </c>
      <c r="AE80" s="25" t="str">
        <f>+Technologies!E136</f>
        <v>dxHP-Com-Pkg-lt55kBTUh-SEER-17.0</v>
      </c>
      <c r="AF80" t="s">
        <v>591</v>
      </c>
      <c r="AH80" t="s">
        <v>418</v>
      </c>
      <c r="AI80" t="s">
        <v>418</v>
      </c>
      <c r="AJ80"/>
      <c r="AK80" t="s">
        <v>422</v>
      </c>
      <c r="AL80"/>
      <c r="AM80" t="s">
        <v>429</v>
      </c>
      <c r="AN80"/>
      <c r="AO80" t="s">
        <v>50</v>
      </c>
      <c r="AP80" s="374">
        <v>42005</v>
      </c>
      <c r="AQ80"/>
    </row>
    <row r="81" spans="1:43" ht="16.5" customHeight="1" x14ac:dyDescent="0.25">
      <c r="A81" s="25">
        <f t="shared" si="38"/>
        <v>770</v>
      </c>
      <c r="B81" s="386" t="s">
        <v>963</v>
      </c>
      <c r="C81" s="25" t="str">
        <f t="shared" si="36"/>
        <v>Commercial SEER-rated Packaged Heat Pumps, Size Range: 55 - 65 kBTU/h, SEER = 15 (HSPF = 8.2), EIR = 0.256, Fan W/CFM = 0.25, two-speed fan, with Econo</v>
      </c>
      <c r="D81" t="s">
        <v>450</v>
      </c>
      <c r="E81" t="s">
        <v>453</v>
      </c>
      <c r="F81" s="374">
        <v>41933</v>
      </c>
      <c r="G81" t="str">
        <f t="shared" si="37"/>
        <v>NE-HVAC-airHP-Pkg-55to65kBtuh-15p0seer-8p2hspf</v>
      </c>
      <c r="H81" t="s">
        <v>417</v>
      </c>
      <c r="I81" t="s">
        <v>421</v>
      </c>
      <c r="J81" t="s">
        <v>50</v>
      </c>
      <c r="K81" t="s">
        <v>423</v>
      </c>
      <c r="L81" t="s">
        <v>423</v>
      </c>
      <c r="M81" t="s">
        <v>50</v>
      </c>
      <c r="N81"/>
      <c r="O81" t="s">
        <v>418</v>
      </c>
      <c r="P81"/>
      <c r="Q81" t="s">
        <v>418</v>
      </c>
      <c r="R81" t="s">
        <v>424</v>
      </c>
      <c r="S81" t="s">
        <v>420</v>
      </c>
      <c r="T81" t="s">
        <v>425</v>
      </c>
      <c r="U81" t="s">
        <v>426</v>
      </c>
      <c r="V81" t="s">
        <v>427</v>
      </c>
      <c r="W81" s="25" t="s">
        <v>430</v>
      </c>
      <c r="Y81" t="s">
        <v>429</v>
      </c>
      <c r="Z81" s="25" t="str">
        <f>VLOOKUP(AD81,Technologies!$E$10:$X$154,20,FALSE)</f>
        <v>Com SEER-Rated Pkg HP, 18-65 kBTU/h; 
pre-2001: SEER = 10 (HSPF = 7.1), one-speed fan, no Econo;
post-2001: SEER = 13 (HSPF = 8.2), one-speed fan, no Econo;
2014: SEER = 14 (HSPF = 8), two-speed fan, w/Econo</v>
      </c>
      <c r="AA81" s="25" t="str">
        <f>VLOOKUP(AD81,Technologies!$E$10:$W$154,19,FALSE)</f>
        <v>Commercial SEER-rated Packaged Heat Pumps, Size Range: 55 - 65 kBTU/h, SEER = 14 (HSPF = 8.0), EIR = 0.27, Fan W/CFM = 0.29, two-speed fan, with Econo</v>
      </c>
      <c r="AB81" s="25" t="str">
        <f>VLOOKUP(AE81,Technologies!$E$10:$W$154,19,FALSE)</f>
        <v>Commercial SEER-rated Packaged Heat Pumps, Size Range: 55 - 65 kBTU/h, SEER = 15 (HSPF = 8.2), EIR = 0.256, Fan W/CFM = 0.25, two-speed fan, with Econo</v>
      </c>
      <c r="AD81" s="25" t="str">
        <f>+Technologies!E137</f>
        <v>dxHP-Com-Pkg-55to65kBTUh-SEER-14.0</v>
      </c>
      <c r="AE81" s="25" t="str">
        <f>+Technologies!E138</f>
        <v>dxHP-Com-Pkg-55to65kBTUh-SEER-15.0</v>
      </c>
      <c r="AF81" t="s">
        <v>591</v>
      </c>
      <c r="AH81" t="s">
        <v>418</v>
      </c>
      <c r="AI81" t="s">
        <v>418</v>
      </c>
      <c r="AJ81"/>
      <c r="AK81" t="s">
        <v>422</v>
      </c>
      <c r="AL81"/>
      <c r="AM81" t="s">
        <v>429</v>
      </c>
      <c r="AN81"/>
      <c r="AO81" t="s">
        <v>50</v>
      </c>
      <c r="AP81" s="374">
        <v>42005</v>
      </c>
      <c r="AQ81"/>
    </row>
    <row r="82" spans="1:43" ht="16.5" customHeight="1" x14ac:dyDescent="0.25">
      <c r="A82" s="25">
        <f t="shared" si="38"/>
        <v>771</v>
      </c>
      <c r="B82" s="386" t="s">
        <v>964</v>
      </c>
      <c r="C82" s="25" t="str">
        <f t="shared" si="36"/>
        <v>Commercial SEER-rated Packaged Heat Pumps, Size Range: 55 - 65 kBTU/h, SEER = 16 (HSPF = 8.5), EIR = 0.238, Fan W/CFM = 0.27, two-speed fan, with Econo</v>
      </c>
      <c r="D82" t="s">
        <v>450</v>
      </c>
      <c r="E82" t="s">
        <v>453</v>
      </c>
      <c r="F82" s="374">
        <v>41933</v>
      </c>
      <c r="G82" t="str">
        <f t="shared" si="37"/>
        <v>NE-HVAC-airHP-Pkg-55to65kBtuh-16p0seer-8p5hspf</v>
      </c>
      <c r="H82" t="s">
        <v>417</v>
      </c>
      <c r="I82" t="s">
        <v>421</v>
      </c>
      <c r="J82" t="s">
        <v>50</v>
      </c>
      <c r="K82" t="s">
        <v>423</v>
      </c>
      <c r="L82" t="s">
        <v>423</v>
      </c>
      <c r="M82" t="s">
        <v>50</v>
      </c>
      <c r="N82"/>
      <c r="O82" t="s">
        <v>418</v>
      </c>
      <c r="P82"/>
      <c r="Q82" t="s">
        <v>418</v>
      </c>
      <c r="R82" t="s">
        <v>424</v>
      </c>
      <c r="S82" t="s">
        <v>420</v>
      </c>
      <c r="T82" t="s">
        <v>425</v>
      </c>
      <c r="U82" t="s">
        <v>426</v>
      </c>
      <c r="V82" t="s">
        <v>427</v>
      </c>
      <c r="W82" s="25" t="s">
        <v>430</v>
      </c>
      <c r="Y82" t="s">
        <v>429</v>
      </c>
      <c r="Z82" s="25" t="str">
        <f>VLOOKUP(AD82,Technologies!$E$10:$X$154,20,FALSE)</f>
        <v>Com SEER-Rated Pkg HP, 18-65 kBTU/h; 
pre-2001: SEER = 10 (HSPF = 7.1), one-speed fan, no Econo;
post-2001: SEER = 13 (HSPF = 8.2), one-speed fan, no Econo;
2014: SEER = 14 (HSPF = 8), two-speed fan, w/Econo</v>
      </c>
      <c r="AA82" s="25" t="str">
        <f>VLOOKUP(AD82,Technologies!$E$10:$W$154,19,FALSE)</f>
        <v>Commercial SEER-rated Packaged Heat Pumps, Size Range: 55 - 65 kBTU/h, SEER = 14 (HSPF = 8.0), EIR = 0.27, Fan W/CFM = 0.29, two-speed fan, with Econo</v>
      </c>
      <c r="AB82" s="25" t="str">
        <f>VLOOKUP(AE82,Technologies!$E$10:$W$154,19,FALSE)</f>
        <v>Commercial SEER-rated Packaged Heat Pumps, Size Range: 55 - 65 kBTU/h, SEER = 16 (HSPF = 8.5), EIR = 0.238, Fan W/CFM = 0.27, two-speed fan, with Econo</v>
      </c>
      <c r="AD82" s="25" t="str">
        <f>+AD81</f>
        <v>dxHP-Com-Pkg-55to65kBTUh-SEER-14.0</v>
      </c>
      <c r="AE82" s="25" t="str">
        <f>+Technologies!E139</f>
        <v>dxHP-Com-Pkg-55to65kBTUh-SEER-16.0</v>
      </c>
      <c r="AF82" t="s">
        <v>591</v>
      </c>
      <c r="AH82" t="s">
        <v>418</v>
      </c>
      <c r="AI82" t="s">
        <v>418</v>
      </c>
      <c r="AJ82"/>
      <c r="AK82" t="s">
        <v>422</v>
      </c>
      <c r="AL82"/>
      <c r="AM82" t="s">
        <v>429</v>
      </c>
      <c r="AN82"/>
      <c r="AO82" t="s">
        <v>50</v>
      </c>
      <c r="AP82" s="374">
        <v>42005</v>
      </c>
      <c r="AQ82"/>
    </row>
    <row r="83" spans="1:43" ht="16.5" customHeight="1" x14ac:dyDescent="0.25">
      <c r="A83" s="25">
        <f t="shared" si="38"/>
        <v>772</v>
      </c>
      <c r="B83" s="386" t="s">
        <v>965</v>
      </c>
      <c r="C83" s="25" t="str">
        <f t="shared" si="36"/>
        <v>Commercial SEER-rated Packaged Heat Pumps, Size Range: 55 - 65 kBTU/h, SEER = 17 (HSPF = 9.0), EIR = 0.223, Fan W/CFM = 0.27, two-speed fan, with Econo</v>
      </c>
      <c r="D83" t="s">
        <v>450</v>
      </c>
      <c r="E83" t="s">
        <v>453</v>
      </c>
      <c r="F83" s="374">
        <v>41933</v>
      </c>
      <c r="G83" t="str">
        <f t="shared" si="37"/>
        <v>NE-HVAC-airHP-Pkg-55to65kBtuh-17p0seer-9p0hspf</v>
      </c>
      <c r="H83" t="s">
        <v>417</v>
      </c>
      <c r="I83" t="s">
        <v>421</v>
      </c>
      <c r="J83" t="s">
        <v>50</v>
      </c>
      <c r="K83" t="s">
        <v>423</v>
      </c>
      <c r="L83" t="s">
        <v>423</v>
      </c>
      <c r="M83" t="s">
        <v>50</v>
      </c>
      <c r="N83"/>
      <c r="O83" t="s">
        <v>418</v>
      </c>
      <c r="P83"/>
      <c r="Q83" t="s">
        <v>418</v>
      </c>
      <c r="R83" t="s">
        <v>424</v>
      </c>
      <c r="S83" t="s">
        <v>420</v>
      </c>
      <c r="T83" t="s">
        <v>425</v>
      </c>
      <c r="U83" t="s">
        <v>426</v>
      </c>
      <c r="V83" t="s">
        <v>427</v>
      </c>
      <c r="W83" s="25" t="s">
        <v>430</v>
      </c>
      <c r="Y83" t="s">
        <v>429</v>
      </c>
      <c r="Z83" s="25" t="str">
        <f>VLOOKUP(AD83,Technologies!$E$10:$X$154,20,FALSE)</f>
        <v>Com SEER-Rated Pkg HP, 18-65 kBTU/h; 
pre-2001: SEER = 10 (HSPF = 7.1), one-speed fan, no Econo;
post-2001: SEER = 13 (HSPF = 8.2), one-speed fan, no Econo;
2014: SEER = 14 (HSPF = 8), two-speed fan, w/Econo</v>
      </c>
      <c r="AA83" s="25" t="str">
        <f>VLOOKUP(AD83,Technologies!$E$10:$W$154,19,FALSE)</f>
        <v>Commercial SEER-rated Packaged Heat Pumps, Size Range: 55 - 65 kBTU/h, SEER = 14 (HSPF = 8.0), EIR = 0.27, Fan W/CFM = 0.29, two-speed fan, with Econo</v>
      </c>
      <c r="AB83" s="25" t="str">
        <f>VLOOKUP(AE83,Technologies!$E$10:$W$154,19,FALSE)</f>
        <v>Commercial SEER-rated Packaged Heat Pumps, Size Range: 55 - 65 kBTU/h, SEER = 17 (HSPF = 9.0), EIR = 0.223, Fan W/CFM = 0.27, two-speed fan, with Econo</v>
      </c>
      <c r="AD83" s="25" t="str">
        <f>+AD82</f>
        <v>dxHP-Com-Pkg-55to65kBTUh-SEER-14.0</v>
      </c>
      <c r="AE83" s="25" t="str">
        <f>+Technologies!E140</f>
        <v>dxHP-Com-Pkg-55to65kBTUh-SEER-17.0</v>
      </c>
      <c r="AF83" t="s">
        <v>591</v>
      </c>
      <c r="AH83" t="s">
        <v>418</v>
      </c>
      <c r="AI83" t="s">
        <v>418</v>
      </c>
      <c r="AJ83"/>
      <c r="AK83" t="s">
        <v>422</v>
      </c>
      <c r="AL83"/>
      <c r="AM83" t="s">
        <v>429</v>
      </c>
      <c r="AN83"/>
      <c r="AO83" t="s">
        <v>50</v>
      </c>
      <c r="AP83" s="374">
        <v>42005</v>
      </c>
      <c r="AQ83"/>
    </row>
    <row r="84" spans="1:43" ht="16.5" customHeight="1" x14ac:dyDescent="0.25">
      <c r="A84" s="25">
        <f t="shared" si="38"/>
        <v>773</v>
      </c>
      <c r="B84" s="386" t="s">
        <v>966</v>
      </c>
      <c r="C84" s="25" t="str">
        <f t="shared" si="36"/>
        <v>Commercial SEER-rated Packaged Heat Pumps, Size Range: 55 - 65 kBTU/h, SEER = 15 (HSPF = 8.2), EIR = 0.256, Fan W/CFM = 0.25, two-speed fan, with Econo</v>
      </c>
      <c r="D84" t="s">
        <v>450</v>
      </c>
      <c r="E84" t="s">
        <v>453</v>
      </c>
      <c r="F84" s="374">
        <v>41933</v>
      </c>
      <c r="G84" t="str">
        <f t="shared" si="37"/>
        <v>NE-HVAC-airHP-Pkg-55to65kBtuh-15p0seer-8p2hspf-wPreEcono</v>
      </c>
      <c r="H84" t="s">
        <v>417</v>
      </c>
      <c r="I84" t="s">
        <v>421</v>
      </c>
      <c r="J84" t="s">
        <v>50</v>
      </c>
      <c r="K84" t="s">
        <v>423</v>
      </c>
      <c r="L84" t="s">
        <v>423</v>
      </c>
      <c r="M84" t="s">
        <v>50</v>
      </c>
      <c r="N84"/>
      <c r="O84" t="s">
        <v>418</v>
      </c>
      <c r="P84"/>
      <c r="Q84" t="s">
        <v>418</v>
      </c>
      <c r="R84" t="s">
        <v>424</v>
      </c>
      <c r="S84" t="s">
        <v>420</v>
      </c>
      <c r="T84" t="s">
        <v>425</v>
      </c>
      <c r="U84" t="s">
        <v>426</v>
      </c>
      <c r="V84" t="s">
        <v>427</v>
      </c>
      <c r="W84" s="25" t="s">
        <v>430</v>
      </c>
      <c r="Y84" t="s">
        <v>429</v>
      </c>
      <c r="Z84" s="25" t="str">
        <f>VLOOKUP(AD84,Technologies!$E$10:$Z$154,22,FALSE)</f>
        <v>Com SEER-Rated Pkg HP, 18-65 kBTU/h; 
pre-2001: SEER = 10 (HSPF = 7.1), one-speed fan, w/Econo;
post-2001: SEER = 13 (HSPF = 8.2), one-speed fan, w/Econo;
2014: SEER = 14 (HSPF = 8), two-speed fan, w/Econo</v>
      </c>
      <c r="AA84" s="25" t="str">
        <f>VLOOKUP(AD84,Technologies!$E$10:$W$154,19,FALSE)</f>
        <v>Commercial SEER-rated Packaged Heat Pumps, Size Range: 55 - 65 kBTU/h, SEER = 14 (HSPF = 8.0), EIR = 0.27, Fan W/CFM = 0.29, two-speed fan, with Econo</v>
      </c>
      <c r="AB84" s="25" t="str">
        <f>VLOOKUP(AE84,Technologies!$E$10:$W$154,19,FALSE)</f>
        <v>Commercial SEER-rated Packaged Heat Pumps, Size Range: 55 - 65 kBTU/h, SEER = 15 (HSPF = 8.2), EIR = 0.256, Fan W/CFM = 0.25, two-speed fan, with Econo</v>
      </c>
      <c r="AD84" s="25" t="str">
        <f>+AD81</f>
        <v>dxHP-Com-Pkg-55to65kBTUh-SEER-14.0</v>
      </c>
      <c r="AE84" s="25" t="str">
        <f>+AE81</f>
        <v>dxHP-Com-Pkg-55to65kBTUh-SEER-15.0</v>
      </c>
      <c r="AF84" t="s">
        <v>591</v>
      </c>
      <c r="AH84" t="s">
        <v>418</v>
      </c>
      <c r="AI84" t="s">
        <v>418</v>
      </c>
      <c r="AJ84"/>
      <c r="AK84" t="s">
        <v>422</v>
      </c>
      <c r="AL84"/>
      <c r="AM84" t="s">
        <v>429</v>
      </c>
      <c r="AN84"/>
      <c r="AO84" t="s">
        <v>50</v>
      </c>
      <c r="AP84" s="374">
        <v>42005</v>
      </c>
      <c r="AQ84"/>
    </row>
    <row r="85" spans="1:43" ht="16.5" customHeight="1" x14ac:dyDescent="0.25">
      <c r="A85" s="25">
        <f t="shared" si="38"/>
        <v>774</v>
      </c>
      <c r="B85" s="386" t="s">
        <v>967</v>
      </c>
      <c r="C85" s="25" t="str">
        <f t="shared" si="36"/>
        <v>Commercial SEER-rated Packaged Heat Pumps, Size Range: 55 - 65 kBTU/h, SEER = 16 (HSPF = 8.5), EIR = 0.238, Fan W/CFM = 0.27, two-speed fan, with Econo</v>
      </c>
      <c r="D85" t="s">
        <v>450</v>
      </c>
      <c r="E85" t="s">
        <v>453</v>
      </c>
      <c r="F85" s="374">
        <v>41933</v>
      </c>
      <c r="G85" t="str">
        <f t="shared" si="37"/>
        <v>NE-HVAC-airHP-Pkg-55to65kBtuh-16p0seer-8p5hspf-wPreEcono</v>
      </c>
      <c r="H85" t="s">
        <v>417</v>
      </c>
      <c r="I85" t="s">
        <v>421</v>
      </c>
      <c r="J85" t="s">
        <v>50</v>
      </c>
      <c r="K85" t="s">
        <v>423</v>
      </c>
      <c r="L85" t="s">
        <v>423</v>
      </c>
      <c r="M85" t="s">
        <v>50</v>
      </c>
      <c r="N85"/>
      <c r="O85" t="s">
        <v>418</v>
      </c>
      <c r="P85"/>
      <c r="Q85" t="s">
        <v>418</v>
      </c>
      <c r="R85" t="s">
        <v>424</v>
      </c>
      <c r="S85" t="s">
        <v>420</v>
      </c>
      <c r="T85" t="s">
        <v>425</v>
      </c>
      <c r="U85" t="s">
        <v>426</v>
      </c>
      <c r="V85" t="s">
        <v>427</v>
      </c>
      <c r="W85" s="25" t="s">
        <v>430</v>
      </c>
      <c r="Y85" t="s">
        <v>429</v>
      </c>
      <c r="Z85" s="25" t="str">
        <f>VLOOKUP(AD85,Technologies!$E$10:$Z$154,22,FALSE)</f>
        <v>Com SEER-Rated Pkg HP, 18-65 kBTU/h; 
pre-2001: SEER = 10 (HSPF = 7.1), one-speed fan, w/Econo;
post-2001: SEER = 13 (HSPF = 8.2), one-speed fan, w/Econo;
2014: SEER = 14 (HSPF = 8), two-speed fan, w/Econo</v>
      </c>
      <c r="AA85" s="25" t="str">
        <f>VLOOKUP(AD85,Technologies!$E$10:$W$154,19,FALSE)</f>
        <v>Commercial SEER-rated Packaged Heat Pumps, Size Range: 55 - 65 kBTU/h, SEER = 14 (HSPF = 8.0), EIR = 0.27, Fan W/CFM = 0.29, two-speed fan, with Econo</v>
      </c>
      <c r="AB85" s="25" t="str">
        <f>VLOOKUP(AE85,Technologies!$E$10:$W$154,19,FALSE)</f>
        <v>Commercial SEER-rated Packaged Heat Pumps, Size Range: 55 - 65 kBTU/h, SEER = 16 (HSPF = 8.5), EIR = 0.238, Fan W/CFM = 0.27, two-speed fan, with Econo</v>
      </c>
      <c r="AD85" s="25" t="str">
        <f t="shared" ref="AD85:AE86" si="39">+AD82</f>
        <v>dxHP-Com-Pkg-55to65kBTUh-SEER-14.0</v>
      </c>
      <c r="AE85" s="25" t="str">
        <f t="shared" si="39"/>
        <v>dxHP-Com-Pkg-55to65kBTUh-SEER-16.0</v>
      </c>
      <c r="AF85" t="s">
        <v>591</v>
      </c>
      <c r="AH85" t="s">
        <v>418</v>
      </c>
      <c r="AI85" t="s">
        <v>418</v>
      </c>
      <c r="AJ85"/>
      <c r="AK85" t="s">
        <v>422</v>
      </c>
      <c r="AL85"/>
      <c r="AM85" t="s">
        <v>429</v>
      </c>
      <c r="AN85"/>
      <c r="AO85" t="s">
        <v>50</v>
      </c>
      <c r="AP85" s="374">
        <v>42005</v>
      </c>
      <c r="AQ85"/>
    </row>
    <row r="86" spans="1:43" ht="16.5" customHeight="1" x14ac:dyDescent="0.25">
      <c r="A86" s="25">
        <f t="shared" si="38"/>
        <v>775</v>
      </c>
      <c r="B86" s="386" t="s">
        <v>968</v>
      </c>
      <c r="C86" s="25" t="str">
        <f t="shared" si="36"/>
        <v>Commercial SEER-rated Packaged Heat Pumps, Size Range: 55 - 65 kBTU/h, SEER = 17 (HSPF = 9.0), EIR = 0.223, Fan W/CFM = 0.27, two-speed fan, with Econo</v>
      </c>
      <c r="D86" t="s">
        <v>450</v>
      </c>
      <c r="E86" t="s">
        <v>453</v>
      </c>
      <c r="F86" s="374">
        <v>41933</v>
      </c>
      <c r="G86" t="str">
        <f t="shared" si="37"/>
        <v>NE-HVAC-airHP-Pkg-55to65kBtuh-17p0seer-9p0hspf-wPreEcono</v>
      </c>
      <c r="H86" t="s">
        <v>417</v>
      </c>
      <c r="I86" t="s">
        <v>421</v>
      </c>
      <c r="J86" t="s">
        <v>50</v>
      </c>
      <c r="K86" t="s">
        <v>423</v>
      </c>
      <c r="L86" t="s">
        <v>423</v>
      </c>
      <c r="M86" t="s">
        <v>50</v>
      </c>
      <c r="N86"/>
      <c r="O86" t="s">
        <v>418</v>
      </c>
      <c r="P86"/>
      <c r="Q86" t="s">
        <v>418</v>
      </c>
      <c r="R86" t="s">
        <v>424</v>
      </c>
      <c r="S86" t="s">
        <v>420</v>
      </c>
      <c r="T86" t="s">
        <v>425</v>
      </c>
      <c r="U86" t="s">
        <v>426</v>
      </c>
      <c r="V86" t="s">
        <v>427</v>
      </c>
      <c r="W86" s="25" t="s">
        <v>430</v>
      </c>
      <c r="Y86" t="s">
        <v>429</v>
      </c>
      <c r="Z86" s="25" t="str">
        <f>VLOOKUP(AD86,Technologies!$E$10:$Z$154,22,FALSE)</f>
        <v>Com SEER-Rated Pkg HP, 18-65 kBTU/h; 
pre-2001: SEER = 10 (HSPF = 7.1), one-speed fan, w/Econo;
post-2001: SEER = 13 (HSPF = 8.2), one-speed fan, w/Econo;
2014: SEER = 14 (HSPF = 8), two-speed fan, w/Econo</v>
      </c>
      <c r="AA86" s="25" t="str">
        <f>VLOOKUP(AD86,Technologies!$E$10:$W$154,19,FALSE)</f>
        <v>Commercial SEER-rated Packaged Heat Pumps, Size Range: 55 - 65 kBTU/h, SEER = 14 (HSPF = 8.0), EIR = 0.27, Fan W/CFM = 0.29, two-speed fan, with Econo</v>
      </c>
      <c r="AB86" s="25" t="str">
        <f>VLOOKUP(AE86,Technologies!$E$10:$W$154,19,FALSE)</f>
        <v>Commercial SEER-rated Packaged Heat Pumps, Size Range: 55 - 65 kBTU/h, SEER = 17 (HSPF = 9.0), EIR = 0.223, Fan W/CFM = 0.27, two-speed fan, with Econo</v>
      </c>
      <c r="AD86" s="25" t="str">
        <f t="shared" si="39"/>
        <v>dxHP-Com-Pkg-55to65kBTUh-SEER-14.0</v>
      </c>
      <c r="AE86" s="25" t="str">
        <f t="shared" si="39"/>
        <v>dxHP-Com-Pkg-55to65kBTUh-SEER-17.0</v>
      </c>
      <c r="AF86" t="s">
        <v>591</v>
      </c>
      <c r="AH86" t="s">
        <v>418</v>
      </c>
      <c r="AI86" t="s">
        <v>418</v>
      </c>
      <c r="AJ86"/>
      <c r="AK86" t="s">
        <v>422</v>
      </c>
      <c r="AL86"/>
      <c r="AM86" t="s">
        <v>429</v>
      </c>
      <c r="AN86"/>
      <c r="AO86" t="s">
        <v>50</v>
      </c>
      <c r="AP86" s="374">
        <v>42005</v>
      </c>
      <c r="AQ86"/>
    </row>
    <row r="87" spans="1:43" ht="16.5" customHeight="1" x14ac:dyDescent="0.25">
      <c r="B87" s="318" t="s">
        <v>946</v>
      </c>
    </row>
    <row r="88" spans="1:43" ht="16.5" customHeight="1" x14ac:dyDescent="0.25">
      <c r="A88" s="25">
        <f>+A86+1</f>
        <v>776</v>
      </c>
      <c r="B88" s="388" t="s">
        <v>930</v>
      </c>
      <c r="C88" s="25" t="str">
        <f t="shared" ref="C88" si="40">+AB88</f>
        <v>Commercial SEER-rated Split Heat Pumps, Size Range: 18 - 65 kBTU/h, SEER = 15 (HSPF = 8.7), EIR = 0.232, Fan W/CFM = 0.25, one-speed fan, without Econo</v>
      </c>
      <c r="D88" t="s">
        <v>450</v>
      </c>
      <c r="E88" t="s">
        <v>453</v>
      </c>
      <c r="F88" s="374">
        <v>41933</v>
      </c>
      <c r="G88" t="str">
        <f t="shared" ref="G88" si="41">+B88</f>
        <v>NE-HVAC-airHP-Split-lt55kBtuh-15p0seer-8p7hspf</v>
      </c>
      <c r="H88" t="s">
        <v>417</v>
      </c>
      <c r="I88" t="s">
        <v>421</v>
      </c>
      <c r="J88" t="s">
        <v>50</v>
      </c>
      <c r="K88" t="s">
        <v>423</v>
      </c>
      <c r="L88" t="s">
        <v>423</v>
      </c>
      <c r="M88" t="s">
        <v>50</v>
      </c>
      <c r="N88"/>
      <c r="O88" t="s">
        <v>418</v>
      </c>
      <c r="P88"/>
      <c r="Q88" t="s">
        <v>418</v>
      </c>
      <c r="R88" t="s">
        <v>424</v>
      </c>
      <c r="S88" t="s">
        <v>420</v>
      </c>
      <c r="T88" t="s">
        <v>425</v>
      </c>
      <c r="U88" t="s">
        <v>426</v>
      </c>
      <c r="V88" t="s">
        <v>427</v>
      </c>
      <c r="W88" t="s">
        <v>431</v>
      </c>
      <c r="Y88" t="s">
        <v>429</v>
      </c>
      <c r="Z88" s="25" t="str">
        <f>VLOOKUP(AD88,Technologies!$E$10:$X$164,20,FALSE)</f>
        <v>Com SEER-Rated Split HP, 18-65 kBTU/h; 
pre-2001: SEER = 10 (HSPF = 7.1), one-speed fan, no Econo;
post-2001: SEER = 13 (HSPF = 8.2), one-speed fan, no Econo;
2014: SEER = 14 (HSPF = 8.2), one-speed fan, no Econo</v>
      </c>
      <c r="AA88" s="25" t="str">
        <f>VLOOKUP(AD88,Technologies!$E$10:$W$164,19,FALSE)</f>
        <v>Commercial SEER-rated Split Heat Pumps, Size Range: 18 - 55 kBTU/h, SEER = 14 (HSPF = 8.2), EIR = 0.245, Fan W/CFM = 0.29, one-speed fan, without Econo</v>
      </c>
      <c r="AB88" s="25" t="str">
        <f>VLOOKUP(AE88,Technologies!$E$10:$W$164,19,FALSE)</f>
        <v>Commercial SEER-rated Split Heat Pumps, Size Range: 18 - 65 kBTU/h, SEER = 15 (HSPF = 8.7), EIR = 0.232, Fan W/CFM = 0.25, one-speed fan, without Econo</v>
      </c>
      <c r="AD88" s="25" t="str">
        <f>+Technologies!E147</f>
        <v>dxHP-Com-Split-lt55kBTUh-SEER-14.0</v>
      </c>
      <c r="AE88" s="25" t="str">
        <f>+Technologies!E148</f>
        <v>dxHP-Com-Split-lt55kBTUh-SEER-15.0</v>
      </c>
      <c r="AF88" t="s">
        <v>591</v>
      </c>
      <c r="AH88" t="s">
        <v>418</v>
      </c>
      <c r="AI88" t="s">
        <v>418</v>
      </c>
      <c r="AJ88"/>
      <c r="AK88" t="s">
        <v>422</v>
      </c>
      <c r="AL88"/>
      <c r="AM88" t="s">
        <v>429</v>
      </c>
      <c r="AN88"/>
      <c r="AO88" t="s">
        <v>50</v>
      </c>
      <c r="AP88" s="374">
        <v>42005</v>
      </c>
      <c r="AQ88"/>
    </row>
    <row r="89" spans="1:43" ht="16.5" customHeight="1" x14ac:dyDescent="0.25">
      <c r="A89" s="25">
        <f>+A88+1</f>
        <v>777</v>
      </c>
      <c r="B89" s="389" t="s">
        <v>931</v>
      </c>
      <c r="C89" s="25" t="str">
        <f t="shared" ref="C89:C99" si="42">+AB89</f>
        <v>Commercial SEER-rated Split Heat Pumps, Size Range: 18 - 65 kBTU/h, SEER = 16 (HSPF = 9.0), EIR = 0.238, Fan W/CFM = 0.27, two-speed fan, without Econo</v>
      </c>
      <c r="D89" t="s">
        <v>450</v>
      </c>
      <c r="E89" t="s">
        <v>453</v>
      </c>
      <c r="F89" s="374">
        <v>41933</v>
      </c>
      <c r="G89" t="str">
        <f t="shared" ref="G89:G99" si="43">+B89</f>
        <v>NE-HVAC-airHP-Split-lt55kBtuh-16p0seer-9p0hspf</v>
      </c>
      <c r="H89" t="s">
        <v>417</v>
      </c>
      <c r="I89" t="s">
        <v>421</v>
      </c>
      <c r="J89" t="s">
        <v>50</v>
      </c>
      <c r="K89" t="s">
        <v>423</v>
      </c>
      <c r="L89" t="s">
        <v>423</v>
      </c>
      <c r="M89" t="s">
        <v>50</v>
      </c>
      <c r="N89"/>
      <c r="O89" t="s">
        <v>418</v>
      </c>
      <c r="P89"/>
      <c r="Q89" t="s">
        <v>418</v>
      </c>
      <c r="R89" t="s">
        <v>424</v>
      </c>
      <c r="S89" t="s">
        <v>420</v>
      </c>
      <c r="T89" t="s">
        <v>425</v>
      </c>
      <c r="U89" t="s">
        <v>426</v>
      </c>
      <c r="V89" t="s">
        <v>427</v>
      </c>
      <c r="W89" t="s">
        <v>431</v>
      </c>
      <c r="Y89" t="s">
        <v>429</v>
      </c>
      <c r="Z89" s="25" t="str">
        <f>VLOOKUP(AD89,Technologies!$E$10:$X$154,20,FALSE)</f>
        <v>Com SEER-Rated Split HP, 18-65 kBTU/h; 
pre-2001: SEER = 10 (HSPF = 7.1), one-speed fan, no Econo;
post-2001: SEER = 13 (HSPF = 8.2), one-speed fan, no Econo;
2014: SEER = 14 (HSPF = 8.2), one-speed fan, no Econo</v>
      </c>
      <c r="AA89" s="25" t="str">
        <f>VLOOKUP(AD89,Technologies!$E$10:$W$164,19,FALSE)</f>
        <v>Commercial SEER-rated Split Heat Pumps, Size Range: 18 - 55 kBTU/h, SEER = 14 (HSPF = 8.2), EIR = 0.245, Fan W/CFM = 0.29, one-speed fan, without Econo</v>
      </c>
      <c r="AB89" s="25" t="str">
        <f>VLOOKUP(AE89,Technologies!$E$10:$W$164,19,FALSE)</f>
        <v>Commercial SEER-rated Split Heat Pumps, Size Range: 18 - 65 kBTU/h, SEER = 16 (HSPF = 9.0), EIR = 0.238, Fan W/CFM = 0.27, two-speed fan, without Econo</v>
      </c>
      <c r="AD89" s="25" t="str">
        <f>+AD88</f>
        <v>dxHP-Com-Split-lt55kBTUh-SEER-14.0</v>
      </c>
      <c r="AE89" s="25" t="str">
        <f>+Technologies!E149</f>
        <v>dxHP-Com-Split-lt55kBTUh-SEER-16.0</v>
      </c>
      <c r="AF89" t="s">
        <v>591</v>
      </c>
      <c r="AH89" t="s">
        <v>418</v>
      </c>
      <c r="AI89" t="s">
        <v>418</v>
      </c>
      <c r="AJ89"/>
      <c r="AK89" t="s">
        <v>422</v>
      </c>
      <c r="AL89"/>
      <c r="AM89" t="s">
        <v>429</v>
      </c>
      <c r="AN89"/>
      <c r="AO89" t="s">
        <v>50</v>
      </c>
      <c r="AP89" s="374">
        <v>42005</v>
      </c>
      <c r="AQ89"/>
    </row>
    <row r="90" spans="1:43" ht="16.5" customHeight="1" x14ac:dyDescent="0.25">
      <c r="A90" s="25">
        <f t="shared" ref="A90:A99" si="44">+A89+1</f>
        <v>778</v>
      </c>
      <c r="B90" s="389" t="s">
        <v>932</v>
      </c>
      <c r="C90" s="25" t="str">
        <f t="shared" si="42"/>
        <v>Commercial SEER-rated Split Heat Pumps, Size Range: 18 - 65 kBTU/h, SEER = 17 (HSPF = 9.4), EIR = 0.223, Fan W/CFM = 0.27, two-speed fan, without Econo</v>
      </c>
      <c r="D90" t="s">
        <v>450</v>
      </c>
      <c r="E90" t="s">
        <v>453</v>
      </c>
      <c r="F90" s="374">
        <v>41933</v>
      </c>
      <c r="G90" t="str">
        <f t="shared" si="43"/>
        <v>NE-HVAC-airHP-Split-lt55kBtuh-17p0seer-9p4hspf</v>
      </c>
      <c r="H90" t="s">
        <v>417</v>
      </c>
      <c r="I90" t="s">
        <v>421</v>
      </c>
      <c r="J90" t="s">
        <v>50</v>
      </c>
      <c r="K90" t="s">
        <v>423</v>
      </c>
      <c r="L90" t="s">
        <v>423</v>
      </c>
      <c r="M90" t="s">
        <v>50</v>
      </c>
      <c r="N90"/>
      <c r="O90" t="s">
        <v>418</v>
      </c>
      <c r="P90"/>
      <c r="Q90" t="s">
        <v>418</v>
      </c>
      <c r="R90" t="s">
        <v>424</v>
      </c>
      <c r="S90" t="s">
        <v>420</v>
      </c>
      <c r="T90" t="s">
        <v>425</v>
      </c>
      <c r="U90" t="s">
        <v>426</v>
      </c>
      <c r="V90" t="s">
        <v>427</v>
      </c>
      <c r="W90" t="s">
        <v>431</v>
      </c>
      <c r="Y90" t="s">
        <v>429</v>
      </c>
      <c r="Z90" s="25" t="str">
        <f>VLOOKUP(AD90,Technologies!$E$10:$X$154,20,FALSE)</f>
        <v>Com SEER-Rated Split HP, 18-65 kBTU/h; 
pre-2001: SEER = 10 (HSPF = 7.1), one-speed fan, no Econo;
post-2001: SEER = 13 (HSPF = 8.2), one-speed fan, no Econo;
2014: SEER = 14 (HSPF = 8.2), one-speed fan, no Econo</v>
      </c>
      <c r="AA90" s="25" t="str">
        <f>VLOOKUP(AD90,Technologies!$E$10:$W$164,19,FALSE)</f>
        <v>Commercial SEER-rated Split Heat Pumps, Size Range: 18 - 55 kBTU/h, SEER = 14 (HSPF = 8.2), EIR = 0.245, Fan W/CFM = 0.29, one-speed fan, without Econo</v>
      </c>
      <c r="AB90" s="25" t="str">
        <f>VLOOKUP(AE90,Technologies!$E$10:$W$164,19,FALSE)</f>
        <v>Commercial SEER-rated Split Heat Pumps, Size Range: 18 - 65 kBTU/h, SEER = 17 (HSPF = 9.4), EIR = 0.223, Fan W/CFM = 0.27, two-speed fan, without Econo</v>
      </c>
      <c r="AD90" s="25" t="str">
        <f t="shared" ref="AD90:AD91" si="45">+AD89</f>
        <v>dxHP-Com-Split-lt55kBTUh-SEER-14.0</v>
      </c>
      <c r="AE90" s="25" t="str">
        <f>+Technologies!E150</f>
        <v>dxHP-Com-Split-lt55kBTUh-SEER-17.0</v>
      </c>
      <c r="AF90" t="s">
        <v>591</v>
      </c>
      <c r="AH90" t="s">
        <v>418</v>
      </c>
      <c r="AI90" t="s">
        <v>418</v>
      </c>
      <c r="AJ90"/>
      <c r="AK90" t="s">
        <v>422</v>
      </c>
      <c r="AL90"/>
      <c r="AM90" t="s">
        <v>429</v>
      </c>
      <c r="AN90"/>
      <c r="AO90" t="s">
        <v>50</v>
      </c>
      <c r="AP90" s="374">
        <v>42005</v>
      </c>
      <c r="AQ90"/>
    </row>
    <row r="91" spans="1:43" ht="16.5" customHeight="1" x14ac:dyDescent="0.25">
      <c r="A91" s="25">
        <f t="shared" si="44"/>
        <v>779</v>
      </c>
      <c r="B91" s="389" t="s">
        <v>937</v>
      </c>
      <c r="C91" s="25" t="str">
        <f t="shared" si="42"/>
        <v>Commercial SEER-rated Split Heat Pumps, Size Range: 18 - 65 kBTU/h, SEER = 18 (HSPF = 9.7), EIR = 0.209, Fan W/CFM = 0.27, two-speed fan, without Econo</v>
      </c>
      <c r="D91" t="s">
        <v>450</v>
      </c>
      <c r="E91" t="s">
        <v>453</v>
      </c>
      <c r="F91" s="374">
        <v>41933</v>
      </c>
      <c r="G91" t="str">
        <f t="shared" si="43"/>
        <v>NE-HVAC-airHP-Split-lt55kBtuh-18p0seer-9p7hspf</v>
      </c>
      <c r="H91" t="s">
        <v>417</v>
      </c>
      <c r="I91" t="s">
        <v>421</v>
      </c>
      <c r="J91" t="s">
        <v>50</v>
      </c>
      <c r="K91" t="s">
        <v>423</v>
      </c>
      <c r="L91" t="s">
        <v>423</v>
      </c>
      <c r="M91" t="s">
        <v>50</v>
      </c>
      <c r="N91"/>
      <c r="O91" t="s">
        <v>418</v>
      </c>
      <c r="P91"/>
      <c r="Q91" t="s">
        <v>418</v>
      </c>
      <c r="R91" t="s">
        <v>424</v>
      </c>
      <c r="S91" t="s">
        <v>420</v>
      </c>
      <c r="T91" t="s">
        <v>425</v>
      </c>
      <c r="U91" t="s">
        <v>426</v>
      </c>
      <c r="V91" t="s">
        <v>427</v>
      </c>
      <c r="W91" t="s">
        <v>431</v>
      </c>
      <c r="Y91" t="s">
        <v>429</v>
      </c>
      <c r="Z91" s="25" t="str">
        <f>VLOOKUP(AD91,Technologies!$E$10:$X$154,20,FALSE)</f>
        <v>Com SEER-Rated Split HP, 18-65 kBTU/h; 
pre-2001: SEER = 10 (HSPF = 7.1), one-speed fan, no Econo;
post-2001: SEER = 13 (HSPF = 8.2), one-speed fan, no Econo;
2014: SEER = 14 (HSPF = 8.2), one-speed fan, no Econo</v>
      </c>
      <c r="AA91" s="25" t="str">
        <f>VLOOKUP(AD91,Technologies!$E$10:$W$164,19,FALSE)</f>
        <v>Commercial SEER-rated Split Heat Pumps, Size Range: 18 - 55 kBTU/h, SEER = 14 (HSPF = 8.2), EIR = 0.245, Fan W/CFM = 0.29, one-speed fan, without Econo</v>
      </c>
      <c r="AB91" s="25" t="str">
        <f>VLOOKUP(AE91,Technologies!$E$10:$W$164,19,FALSE)</f>
        <v>Commercial SEER-rated Split Heat Pumps, Size Range: 18 - 65 kBTU/h, SEER = 18 (HSPF = 9.7), EIR = 0.209, Fan W/CFM = 0.27, two-speed fan, without Econo</v>
      </c>
      <c r="AD91" s="25" t="str">
        <f t="shared" si="45"/>
        <v>dxHP-Com-Split-lt55kBTUh-SEER-14.0</v>
      </c>
      <c r="AE91" s="25" t="str">
        <f>+Technologies!E151</f>
        <v>dxHP-Com-Split-lt55kBTUh-SEER-18.0</v>
      </c>
      <c r="AF91" t="s">
        <v>591</v>
      </c>
      <c r="AH91" t="s">
        <v>418</v>
      </c>
      <c r="AI91" t="s">
        <v>418</v>
      </c>
      <c r="AJ91"/>
      <c r="AK91" t="s">
        <v>422</v>
      </c>
      <c r="AL91"/>
      <c r="AM91" t="s">
        <v>429</v>
      </c>
      <c r="AN91"/>
      <c r="AO91" t="s">
        <v>50</v>
      </c>
      <c r="AP91" s="374">
        <v>42005</v>
      </c>
      <c r="AQ91"/>
    </row>
    <row r="92" spans="1:43" ht="16.5" customHeight="1" x14ac:dyDescent="0.25">
      <c r="A92" s="25">
        <f t="shared" si="44"/>
        <v>780</v>
      </c>
      <c r="B92" s="388" t="s">
        <v>969</v>
      </c>
      <c r="C92" s="25" t="str">
        <f t="shared" si="42"/>
        <v>Commercial SEER-rated Split Heat Pumps, Size Range: 55 - 65 kBTU/h, SEER = 15 (HSPF = 8.7), EIR = 0.256, Fan W/CFM = 0.25, two-speed fan, with Econo</v>
      </c>
      <c r="D92" t="s">
        <v>450</v>
      </c>
      <c r="E92" t="s">
        <v>453</v>
      </c>
      <c r="F92" s="374">
        <v>41933</v>
      </c>
      <c r="G92" t="str">
        <f t="shared" si="43"/>
        <v>NE-HVAC-airHP-Split-55to65kBtuh-15p0seer-8p7hspf</v>
      </c>
      <c r="H92" t="s">
        <v>417</v>
      </c>
      <c r="I92" t="s">
        <v>421</v>
      </c>
      <c r="J92" t="s">
        <v>50</v>
      </c>
      <c r="K92" t="s">
        <v>423</v>
      </c>
      <c r="L92" t="s">
        <v>423</v>
      </c>
      <c r="M92" t="s">
        <v>50</v>
      </c>
      <c r="N92"/>
      <c r="O92" t="s">
        <v>418</v>
      </c>
      <c r="P92"/>
      <c r="Q92" t="s">
        <v>418</v>
      </c>
      <c r="R92" t="s">
        <v>424</v>
      </c>
      <c r="S92" t="s">
        <v>420</v>
      </c>
      <c r="T92" t="s">
        <v>425</v>
      </c>
      <c r="U92" t="s">
        <v>426</v>
      </c>
      <c r="V92" t="s">
        <v>427</v>
      </c>
      <c r="W92" t="s">
        <v>431</v>
      </c>
      <c r="Y92" t="s">
        <v>429</v>
      </c>
      <c r="Z92" s="25" t="str">
        <f>VLOOKUP(AD92,Technologies!$E$10:$X$154,20,FALSE)</f>
        <v>Com SEER-Rated Split HP, 18-65 kBTU/h; 
pre-2001: SEER = 10 (HSPF = 7.1), one-speed fan, no Econo;
post-2001: SEER = 13 (HSPF = 8.2), one-speed fan, no Econo;
2014: SEER = 14 (HSPF = 8.2), two-speed fan, w/Econo</v>
      </c>
      <c r="AA92" s="25" t="str">
        <f>VLOOKUP(AD92,Technologies!$E$10:$W$164,19,FALSE)</f>
        <v>Commercial SEER-rated Split Heat Pumps, Size Range: 55 - 65 kBTU/h, SEER = 14 (HSPF = 8.2), EIR = 0.27, Fan W/CFM = 0.29, two-speed fan, with Econo</v>
      </c>
      <c r="AB92" s="25" t="str">
        <f>VLOOKUP(AE92,Technologies!$E$10:$W$164,19,FALSE)</f>
        <v>Commercial SEER-rated Split Heat Pumps, Size Range: 55 - 65 kBTU/h, SEER = 15 (HSPF = 8.7), EIR = 0.256, Fan W/CFM = 0.25, two-speed fan, with Econo</v>
      </c>
      <c r="AD92" s="25" t="str">
        <f>+Technologies!E152</f>
        <v>dxHP-Com-Split-55to65kBTUh-SEER-14.0</v>
      </c>
      <c r="AE92" s="25" t="str">
        <f>+Technologies!E153</f>
        <v>dxHP-Com-Split-55to65kBTUh-SEER-15.0</v>
      </c>
      <c r="AF92" t="s">
        <v>591</v>
      </c>
      <c r="AH92" t="s">
        <v>418</v>
      </c>
      <c r="AI92" t="s">
        <v>418</v>
      </c>
      <c r="AJ92"/>
      <c r="AK92" t="s">
        <v>422</v>
      </c>
      <c r="AL92"/>
      <c r="AM92" t="s">
        <v>429</v>
      </c>
      <c r="AN92"/>
      <c r="AO92" t="s">
        <v>50</v>
      </c>
      <c r="AP92" s="374">
        <v>42005</v>
      </c>
      <c r="AQ92"/>
    </row>
    <row r="93" spans="1:43" ht="16.5" customHeight="1" x14ac:dyDescent="0.25">
      <c r="A93" s="25">
        <f t="shared" si="44"/>
        <v>781</v>
      </c>
      <c r="B93" s="388" t="s">
        <v>970</v>
      </c>
      <c r="C93" s="25" t="str">
        <f t="shared" si="42"/>
        <v>Commercial SEER-rated Split Heat Pumps, Size Range: 55 - 65 kBTU/h, SEER = 16 (HSPF = 9.0), EIR = 0.238, Fan W/CFM = 0.27, two-speed fan, with Econo</v>
      </c>
      <c r="D93" t="s">
        <v>450</v>
      </c>
      <c r="E93" t="s">
        <v>453</v>
      </c>
      <c r="F93" s="374">
        <v>41933</v>
      </c>
      <c r="G93" t="str">
        <f t="shared" si="43"/>
        <v>NE-HVAC-airHP-Split-55to65kBtuh-16p0seer-9p0hspf</v>
      </c>
      <c r="H93" t="s">
        <v>417</v>
      </c>
      <c r="I93" t="s">
        <v>421</v>
      </c>
      <c r="J93" t="s">
        <v>50</v>
      </c>
      <c r="K93" t="s">
        <v>423</v>
      </c>
      <c r="L93" t="s">
        <v>423</v>
      </c>
      <c r="M93" t="s">
        <v>50</v>
      </c>
      <c r="N93"/>
      <c r="O93" t="s">
        <v>418</v>
      </c>
      <c r="P93"/>
      <c r="Q93" t="s">
        <v>418</v>
      </c>
      <c r="R93" t="s">
        <v>424</v>
      </c>
      <c r="S93" t="s">
        <v>420</v>
      </c>
      <c r="T93" t="s">
        <v>425</v>
      </c>
      <c r="U93" t="s">
        <v>426</v>
      </c>
      <c r="V93" t="s">
        <v>427</v>
      </c>
      <c r="W93" t="s">
        <v>431</v>
      </c>
      <c r="Y93" t="s">
        <v>429</v>
      </c>
      <c r="Z93" s="25" t="str">
        <f>VLOOKUP(AD93,Technologies!$E$10:$X$154,20,FALSE)</f>
        <v>Com SEER-Rated Split HP, 18-65 kBTU/h; 
pre-2001: SEER = 10 (HSPF = 7.1), one-speed fan, no Econo;
post-2001: SEER = 13 (HSPF = 8.2), one-speed fan, no Econo;
2014: SEER = 14 (HSPF = 8.2), two-speed fan, w/Econo</v>
      </c>
      <c r="AA93" s="25" t="str">
        <f>VLOOKUP(AD93,Technologies!$E$10:$W$164,19,FALSE)</f>
        <v>Commercial SEER-rated Split Heat Pumps, Size Range: 55 - 65 kBTU/h, SEER = 14 (HSPF = 8.2), EIR = 0.27, Fan W/CFM = 0.29, two-speed fan, with Econo</v>
      </c>
      <c r="AB93" s="25" t="str">
        <f>VLOOKUP(AE93,Technologies!$E$10:$W$164,19,FALSE)</f>
        <v>Commercial SEER-rated Split Heat Pumps, Size Range: 55 - 65 kBTU/h, SEER = 16 (HSPF = 9.0), EIR = 0.238, Fan W/CFM = 0.27, two-speed fan, with Econo</v>
      </c>
      <c r="AD93" s="25" t="str">
        <f>+AD92</f>
        <v>dxHP-Com-Split-55to65kBTUh-SEER-14.0</v>
      </c>
      <c r="AE93" s="25" t="str">
        <f>+Technologies!E154</f>
        <v>dxHP-Com-Split-55to65kBTUh-SEER-16.0</v>
      </c>
      <c r="AF93" t="s">
        <v>591</v>
      </c>
      <c r="AH93" t="s">
        <v>418</v>
      </c>
      <c r="AI93" t="s">
        <v>418</v>
      </c>
      <c r="AJ93"/>
      <c r="AK93" t="s">
        <v>422</v>
      </c>
      <c r="AL93"/>
      <c r="AM93" t="s">
        <v>429</v>
      </c>
      <c r="AN93"/>
      <c r="AO93" t="s">
        <v>50</v>
      </c>
      <c r="AP93" s="374">
        <v>42005</v>
      </c>
      <c r="AQ93"/>
    </row>
    <row r="94" spans="1:43" ht="16.5" customHeight="1" x14ac:dyDescent="0.25">
      <c r="A94" s="25">
        <f t="shared" si="44"/>
        <v>782</v>
      </c>
      <c r="B94" s="388" t="s">
        <v>971</v>
      </c>
      <c r="C94" s="25" t="str">
        <f t="shared" si="42"/>
        <v>Commercial SEER-rated Split Heat Pumps, Size Range: 55 - 65 kBTU/h, SEER = 17 (HSPF = 9.4), EIR = 0.223, Fan W/CFM = 0.27, two-speed fan, with Econo</v>
      </c>
      <c r="D94" t="s">
        <v>450</v>
      </c>
      <c r="E94" t="s">
        <v>453</v>
      </c>
      <c r="F94" s="374">
        <v>41933</v>
      </c>
      <c r="G94" t="str">
        <f t="shared" si="43"/>
        <v>NE-HVAC-airHP-Split-55to65kBtuh-17p0seer-9p4hspf</v>
      </c>
      <c r="H94" t="s">
        <v>417</v>
      </c>
      <c r="I94" t="s">
        <v>421</v>
      </c>
      <c r="J94" t="s">
        <v>50</v>
      </c>
      <c r="K94" t="s">
        <v>423</v>
      </c>
      <c r="L94" t="s">
        <v>423</v>
      </c>
      <c r="M94" t="s">
        <v>50</v>
      </c>
      <c r="N94"/>
      <c r="O94" t="s">
        <v>418</v>
      </c>
      <c r="P94"/>
      <c r="Q94" t="s">
        <v>418</v>
      </c>
      <c r="R94" t="s">
        <v>424</v>
      </c>
      <c r="S94" t="s">
        <v>420</v>
      </c>
      <c r="T94" t="s">
        <v>425</v>
      </c>
      <c r="U94" t="s">
        <v>426</v>
      </c>
      <c r="V94" t="s">
        <v>427</v>
      </c>
      <c r="W94" t="s">
        <v>431</v>
      </c>
      <c r="Y94" t="s">
        <v>429</v>
      </c>
      <c r="Z94" s="25" t="str">
        <f>VLOOKUP(AD94,Technologies!$E$10:$X$154,20,FALSE)</f>
        <v>Com SEER-Rated Split HP, 18-65 kBTU/h; 
pre-2001: SEER = 10 (HSPF = 7.1), one-speed fan, no Econo;
post-2001: SEER = 13 (HSPF = 8.2), one-speed fan, no Econo;
2014: SEER = 14 (HSPF = 8.2), two-speed fan, w/Econo</v>
      </c>
      <c r="AA94" s="25" t="str">
        <f>VLOOKUP(AD94,Technologies!$E$10:$W$164,19,FALSE)</f>
        <v>Commercial SEER-rated Split Heat Pumps, Size Range: 55 - 65 kBTU/h, SEER = 14 (HSPF = 8.2), EIR = 0.27, Fan W/CFM = 0.29, two-speed fan, with Econo</v>
      </c>
      <c r="AB94" s="25" t="str">
        <f>VLOOKUP(AE94,Technologies!$E$10:$W$164,19,FALSE)</f>
        <v>Commercial SEER-rated Split Heat Pumps, Size Range: 55 - 65 kBTU/h, SEER = 17 (HSPF = 9.4), EIR = 0.223, Fan W/CFM = 0.27, two-speed fan, with Econo</v>
      </c>
      <c r="AD94" s="25" t="str">
        <f t="shared" ref="AD94:AD95" si="46">+AD93</f>
        <v>dxHP-Com-Split-55to65kBTUh-SEER-14.0</v>
      </c>
      <c r="AE94" s="25" t="str">
        <f>+Technologies!E155</f>
        <v>dxHP-Com-Split-55to65kBTUh-SEER-17.0</v>
      </c>
      <c r="AF94" t="s">
        <v>591</v>
      </c>
      <c r="AH94" t="s">
        <v>418</v>
      </c>
      <c r="AI94" t="s">
        <v>418</v>
      </c>
      <c r="AJ94"/>
      <c r="AK94" t="s">
        <v>422</v>
      </c>
      <c r="AL94"/>
      <c r="AM94" t="s">
        <v>429</v>
      </c>
      <c r="AN94"/>
      <c r="AO94" t="s">
        <v>50</v>
      </c>
      <c r="AP94" s="374">
        <v>42005</v>
      </c>
      <c r="AQ94"/>
    </row>
    <row r="95" spans="1:43" ht="16.5" customHeight="1" x14ac:dyDescent="0.25">
      <c r="A95" s="25">
        <f t="shared" si="44"/>
        <v>783</v>
      </c>
      <c r="B95" s="388" t="s">
        <v>972</v>
      </c>
      <c r="C95" s="25" t="str">
        <f t="shared" si="42"/>
        <v>Commercial SEER-rated Split Heat Pumps, Size Range: 55 - 65 kBTU/h, SEER = 18 (HSPF = 9.7), EIR = 0.209, Fan W/CFM = 0.27, two-speed fan, with Econo</v>
      </c>
      <c r="D95" t="s">
        <v>450</v>
      </c>
      <c r="E95" t="s">
        <v>453</v>
      </c>
      <c r="F95" s="374">
        <v>41933</v>
      </c>
      <c r="G95" t="str">
        <f t="shared" si="43"/>
        <v>NE-HVAC-airHP-Split-55to65kBtuh-18p0seer-9p7hspf</v>
      </c>
      <c r="H95" t="s">
        <v>417</v>
      </c>
      <c r="I95" t="s">
        <v>421</v>
      </c>
      <c r="J95" t="s">
        <v>50</v>
      </c>
      <c r="K95" t="s">
        <v>423</v>
      </c>
      <c r="L95" t="s">
        <v>423</v>
      </c>
      <c r="M95" t="s">
        <v>50</v>
      </c>
      <c r="N95"/>
      <c r="O95" t="s">
        <v>418</v>
      </c>
      <c r="P95"/>
      <c r="Q95" t="s">
        <v>418</v>
      </c>
      <c r="R95" t="s">
        <v>424</v>
      </c>
      <c r="S95" t="s">
        <v>420</v>
      </c>
      <c r="T95" t="s">
        <v>425</v>
      </c>
      <c r="U95" t="s">
        <v>426</v>
      </c>
      <c r="V95" t="s">
        <v>427</v>
      </c>
      <c r="W95" t="s">
        <v>431</v>
      </c>
      <c r="Y95" t="s">
        <v>429</v>
      </c>
      <c r="Z95" s="25" t="str">
        <f>VLOOKUP(AD95,Technologies!$E$10:$X$154,20,FALSE)</f>
        <v>Com SEER-Rated Split HP, 18-65 kBTU/h; 
pre-2001: SEER = 10 (HSPF = 7.1), one-speed fan, no Econo;
post-2001: SEER = 13 (HSPF = 8.2), one-speed fan, no Econo;
2014: SEER = 14 (HSPF = 8.2), two-speed fan, w/Econo</v>
      </c>
      <c r="AA95" s="25" t="str">
        <f>VLOOKUP(AD95,Technologies!$E$10:$W$164,19,FALSE)</f>
        <v>Commercial SEER-rated Split Heat Pumps, Size Range: 55 - 65 kBTU/h, SEER = 14 (HSPF = 8.2), EIR = 0.27, Fan W/CFM = 0.29, two-speed fan, with Econo</v>
      </c>
      <c r="AB95" s="25" t="str">
        <f>VLOOKUP(AE95,Technologies!$E$10:$W$164,19,FALSE)</f>
        <v>Commercial SEER-rated Split Heat Pumps, Size Range: 55 - 65 kBTU/h, SEER = 18 (HSPF = 9.7), EIR = 0.209, Fan W/CFM = 0.27, two-speed fan, with Econo</v>
      </c>
      <c r="AD95" s="25" t="str">
        <f t="shared" si="46"/>
        <v>dxHP-Com-Split-55to65kBTUh-SEER-14.0</v>
      </c>
      <c r="AE95" s="25" t="str">
        <f>+Technologies!E156</f>
        <v>dxHP-Com-Split-55to65kBTUh-SEER-18.0</v>
      </c>
      <c r="AF95" t="s">
        <v>591</v>
      </c>
      <c r="AH95" t="s">
        <v>418</v>
      </c>
      <c r="AI95" t="s">
        <v>418</v>
      </c>
      <c r="AJ95"/>
      <c r="AK95" t="s">
        <v>422</v>
      </c>
      <c r="AL95"/>
      <c r="AM95" t="s">
        <v>429</v>
      </c>
      <c r="AN95"/>
      <c r="AO95" t="s">
        <v>50</v>
      </c>
      <c r="AP95" s="374">
        <v>42005</v>
      </c>
      <c r="AQ95"/>
    </row>
    <row r="96" spans="1:43" ht="16.5" customHeight="1" x14ac:dyDescent="0.25">
      <c r="A96" s="25">
        <f t="shared" si="44"/>
        <v>784</v>
      </c>
      <c r="B96" s="389" t="s">
        <v>973</v>
      </c>
      <c r="C96" s="25" t="str">
        <f t="shared" si="42"/>
        <v>Commercial SEER-rated Split Heat Pumps, Size Range: 55 - 65 kBTU/h, SEER = 15 (HSPF = 8.7), EIR = 0.256, Fan W/CFM = 0.25, two-speed fan, with Econo</v>
      </c>
      <c r="D96" t="s">
        <v>450</v>
      </c>
      <c r="E96" t="s">
        <v>453</v>
      </c>
      <c r="F96" s="374">
        <v>41933</v>
      </c>
      <c r="G96" t="str">
        <f t="shared" si="43"/>
        <v>NE-HVAC-airHP-Split-55to65kBtuh-15p0seer-8p7hspf-wPreEcono</v>
      </c>
      <c r="H96" t="s">
        <v>417</v>
      </c>
      <c r="I96" t="s">
        <v>421</v>
      </c>
      <c r="J96" t="s">
        <v>50</v>
      </c>
      <c r="K96" t="s">
        <v>423</v>
      </c>
      <c r="L96" t="s">
        <v>423</v>
      </c>
      <c r="M96" t="s">
        <v>50</v>
      </c>
      <c r="N96"/>
      <c r="O96" t="s">
        <v>418</v>
      </c>
      <c r="P96"/>
      <c r="Q96" t="s">
        <v>418</v>
      </c>
      <c r="R96" t="s">
        <v>424</v>
      </c>
      <c r="S96" t="s">
        <v>420</v>
      </c>
      <c r="T96" t="s">
        <v>425</v>
      </c>
      <c r="U96" t="s">
        <v>426</v>
      </c>
      <c r="V96" t="s">
        <v>427</v>
      </c>
      <c r="W96" t="s">
        <v>431</v>
      </c>
      <c r="Y96" t="s">
        <v>429</v>
      </c>
      <c r="Z96" s="25" t="str">
        <f>VLOOKUP(AD96,Technologies!$E$10:$Z$164,22,FALSE)</f>
        <v>Com SEER-Rated Split HP, 18-65 kBTU/h; 
pre-2001: SEER = 10 (HSPF = 7.1), one-speed fan, w/Econo;
post-2001: SEER = 13 (HSPF = 8.2), one-speed fan, w/Econo;
2014: SEER = 14 (HSPF = 8.2), two-speed fan, w/Econo</v>
      </c>
      <c r="AA96" s="25" t="str">
        <f>VLOOKUP(AD96,Technologies!$E$10:$W$164,19,FALSE)</f>
        <v>Commercial SEER-rated Split Heat Pumps, Size Range: 55 - 65 kBTU/h, SEER = 14 (HSPF = 8.2), EIR = 0.27, Fan W/CFM = 0.29, two-speed fan, with Econo</v>
      </c>
      <c r="AB96" s="25" t="str">
        <f>VLOOKUP(AE96,Technologies!$E$10:$W$164,19,FALSE)</f>
        <v>Commercial SEER-rated Split Heat Pumps, Size Range: 55 - 65 kBTU/h, SEER = 15 (HSPF = 8.7), EIR = 0.256, Fan W/CFM = 0.25, two-speed fan, with Econo</v>
      </c>
      <c r="AD96" s="25" t="str">
        <f>+AD92</f>
        <v>dxHP-Com-Split-55to65kBTUh-SEER-14.0</v>
      </c>
      <c r="AE96" s="25" t="str">
        <f>+AE92</f>
        <v>dxHP-Com-Split-55to65kBTUh-SEER-15.0</v>
      </c>
      <c r="AF96" t="s">
        <v>591</v>
      </c>
      <c r="AH96" t="s">
        <v>418</v>
      </c>
      <c r="AI96" t="s">
        <v>418</v>
      </c>
      <c r="AJ96"/>
      <c r="AK96" t="s">
        <v>422</v>
      </c>
      <c r="AL96"/>
      <c r="AM96" t="s">
        <v>429</v>
      </c>
      <c r="AN96"/>
      <c r="AO96" t="s">
        <v>50</v>
      </c>
      <c r="AP96" s="374">
        <v>42005</v>
      </c>
      <c r="AQ96"/>
    </row>
    <row r="97" spans="1:43" ht="16.5" customHeight="1" x14ac:dyDescent="0.25">
      <c r="A97" s="25">
        <f t="shared" si="44"/>
        <v>785</v>
      </c>
      <c r="B97" s="389" t="s">
        <v>974</v>
      </c>
      <c r="C97" s="25" t="str">
        <f t="shared" si="42"/>
        <v>Commercial SEER-rated Split Heat Pumps, Size Range: 55 - 65 kBTU/h, SEER = 16 (HSPF = 9.0), EIR = 0.238, Fan W/CFM = 0.27, two-speed fan, with Econo</v>
      </c>
      <c r="D97" t="s">
        <v>450</v>
      </c>
      <c r="E97" t="s">
        <v>453</v>
      </c>
      <c r="F97" s="374">
        <v>41933</v>
      </c>
      <c r="G97" t="str">
        <f t="shared" si="43"/>
        <v>NE-HVAC-airHP-Split-55to65kBtuh-16p0seer-9p0hspf-wPreEcono</v>
      </c>
      <c r="H97" t="s">
        <v>417</v>
      </c>
      <c r="I97" t="s">
        <v>421</v>
      </c>
      <c r="J97" t="s">
        <v>50</v>
      </c>
      <c r="K97" t="s">
        <v>423</v>
      </c>
      <c r="L97" t="s">
        <v>423</v>
      </c>
      <c r="M97" t="s">
        <v>50</v>
      </c>
      <c r="N97"/>
      <c r="O97" t="s">
        <v>418</v>
      </c>
      <c r="P97"/>
      <c r="Q97" t="s">
        <v>418</v>
      </c>
      <c r="R97" t="s">
        <v>424</v>
      </c>
      <c r="S97" t="s">
        <v>420</v>
      </c>
      <c r="T97" t="s">
        <v>425</v>
      </c>
      <c r="U97" t="s">
        <v>426</v>
      </c>
      <c r="V97" t="s">
        <v>427</v>
      </c>
      <c r="W97" t="s">
        <v>431</v>
      </c>
      <c r="Y97" t="s">
        <v>429</v>
      </c>
      <c r="Z97" s="25" t="str">
        <f>VLOOKUP(AD97,Technologies!$E$10:$Z$164,22,FALSE)</f>
        <v>Com SEER-Rated Split HP, 18-65 kBTU/h; 
pre-2001: SEER = 10 (HSPF = 7.1), one-speed fan, w/Econo;
post-2001: SEER = 13 (HSPF = 8.2), one-speed fan, w/Econo;
2014: SEER = 14 (HSPF = 8.2), two-speed fan, w/Econo</v>
      </c>
      <c r="AA97" s="25" t="str">
        <f>VLOOKUP(AD97,Technologies!$E$10:$W$164,19,FALSE)</f>
        <v>Commercial SEER-rated Split Heat Pumps, Size Range: 55 - 65 kBTU/h, SEER = 14 (HSPF = 8.2), EIR = 0.27, Fan W/CFM = 0.29, two-speed fan, with Econo</v>
      </c>
      <c r="AB97" s="25" t="str">
        <f>VLOOKUP(AE97,Technologies!$E$10:$W$164,19,FALSE)</f>
        <v>Commercial SEER-rated Split Heat Pumps, Size Range: 55 - 65 kBTU/h, SEER = 16 (HSPF = 9.0), EIR = 0.238, Fan W/CFM = 0.27, two-speed fan, with Econo</v>
      </c>
      <c r="AD97" s="25" t="str">
        <f t="shared" ref="AD97:AE99" si="47">+AD93</f>
        <v>dxHP-Com-Split-55to65kBTUh-SEER-14.0</v>
      </c>
      <c r="AE97" s="25" t="str">
        <f t="shared" si="47"/>
        <v>dxHP-Com-Split-55to65kBTUh-SEER-16.0</v>
      </c>
      <c r="AF97" t="s">
        <v>591</v>
      </c>
      <c r="AH97" t="s">
        <v>418</v>
      </c>
      <c r="AI97" t="s">
        <v>418</v>
      </c>
      <c r="AJ97"/>
      <c r="AK97" t="s">
        <v>422</v>
      </c>
      <c r="AL97"/>
      <c r="AM97" t="s">
        <v>429</v>
      </c>
      <c r="AN97"/>
      <c r="AO97" t="s">
        <v>50</v>
      </c>
      <c r="AP97" s="374">
        <v>42005</v>
      </c>
      <c r="AQ97"/>
    </row>
    <row r="98" spans="1:43" ht="16.5" customHeight="1" x14ac:dyDescent="0.25">
      <c r="A98" s="25">
        <f t="shared" si="44"/>
        <v>786</v>
      </c>
      <c r="B98" s="389" t="s">
        <v>975</v>
      </c>
      <c r="C98" s="25" t="str">
        <f t="shared" si="42"/>
        <v>Commercial SEER-rated Split Heat Pumps, Size Range: 55 - 65 kBTU/h, SEER = 17 (HSPF = 9.4), EIR = 0.223, Fan W/CFM = 0.27, two-speed fan, with Econo</v>
      </c>
      <c r="D98" t="s">
        <v>450</v>
      </c>
      <c r="E98" t="s">
        <v>453</v>
      </c>
      <c r="F98" s="374">
        <v>41933</v>
      </c>
      <c r="G98" t="str">
        <f t="shared" si="43"/>
        <v>NE-HVAC-airHP-Split-55to65kBtuh-17p0seer-9p4hspf-wPreEcono</v>
      </c>
      <c r="H98" t="s">
        <v>417</v>
      </c>
      <c r="I98" t="s">
        <v>421</v>
      </c>
      <c r="J98" t="s">
        <v>50</v>
      </c>
      <c r="K98" t="s">
        <v>423</v>
      </c>
      <c r="L98" t="s">
        <v>423</v>
      </c>
      <c r="M98" t="s">
        <v>50</v>
      </c>
      <c r="N98"/>
      <c r="O98" t="s">
        <v>418</v>
      </c>
      <c r="P98"/>
      <c r="Q98" t="s">
        <v>418</v>
      </c>
      <c r="R98" t="s">
        <v>424</v>
      </c>
      <c r="S98" t="s">
        <v>420</v>
      </c>
      <c r="T98" t="s">
        <v>425</v>
      </c>
      <c r="U98" t="s">
        <v>426</v>
      </c>
      <c r="V98" t="s">
        <v>427</v>
      </c>
      <c r="W98" t="s">
        <v>431</v>
      </c>
      <c r="Y98" t="s">
        <v>429</v>
      </c>
      <c r="Z98" s="25" t="str">
        <f>VLOOKUP(AD98,Technologies!$E$10:$Z$164,22,FALSE)</f>
        <v>Com SEER-Rated Split HP, 18-65 kBTU/h; 
pre-2001: SEER = 10 (HSPF = 7.1), one-speed fan, w/Econo;
post-2001: SEER = 13 (HSPF = 8.2), one-speed fan, w/Econo;
2014: SEER = 14 (HSPF = 8.2), two-speed fan, w/Econo</v>
      </c>
      <c r="AA98" s="25" t="str">
        <f>VLOOKUP(AD98,Technologies!$E$10:$W$164,19,FALSE)</f>
        <v>Commercial SEER-rated Split Heat Pumps, Size Range: 55 - 65 kBTU/h, SEER = 14 (HSPF = 8.2), EIR = 0.27, Fan W/CFM = 0.29, two-speed fan, with Econo</v>
      </c>
      <c r="AB98" s="25" t="str">
        <f>VLOOKUP(AE98,Technologies!$E$10:$W$164,19,FALSE)</f>
        <v>Commercial SEER-rated Split Heat Pumps, Size Range: 55 - 65 kBTU/h, SEER = 17 (HSPF = 9.4), EIR = 0.223, Fan W/CFM = 0.27, two-speed fan, with Econo</v>
      </c>
      <c r="AD98" s="25" t="str">
        <f t="shared" si="47"/>
        <v>dxHP-Com-Split-55to65kBTUh-SEER-14.0</v>
      </c>
      <c r="AE98" s="25" t="str">
        <f t="shared" si="47"/>
        <v>dxHP-Com-Split-55to65kBTUh-SEER-17.0</v>
      </c>
      <c r="AF98" t="s">
        <v>591</v>
      </c>
      <c r="AH98" t="s">
        <v>418</v>
      </c>
      <c r="AI98" t="s">
        <v>418</v>
      </c>
      <c r="AJ98"/>
      <c r="AK98" t="s">
        <v>422</v>
      </c>
      <c r="AL98"/>
      <c r="AM98" t="s">
        <v>429</v>
      </c>
      <c r="AN98"/>
      <c r="AO98" t="s">
        <v>50</v>
      </c>
      <c r="AP98" s="374">
        <v>42005</v>
      </c>
      <c r="AQ98"/>
    </row>
    <row r="99" spans="1:43" ht="16.5" customHeight="1" x14ac:dyDescent="0.25">
      <c r="A99" s="25">
        <f t="shared" si="44"/>
        <v>787</v>
      </c>
      <c r="B99" s="388" t="s">
        <v>976</v>
      </c>
      <c r="C99" s="25" t="str">
        <f t="shared" si="42"/>
        <v>Commercial SEER-rated Split Heat Pumps, Size Range: 55 - 65 kBTU/h, SEER = 18 (HSPF = 9.7), EIR = 0.209, Fan W/CFM = 0.27, two-speed fan, with Econo</v>
      </c>
      <c r="D99" t="s">
        <v>450</v>
      </c>
      <c r="E99" t="s">
        <v>453</v>
      </c>
      <c r="F99" s="374">
        <v>41933</v>
      </c>
      <c r="G99" t="str">
        <f t="shared" si="43"/>
        <v>NE-HVAC-airHP-Split-55to65kBtuh-18p0seer-9p7hspf-wPreEcono</v>
      </c>
      <c r="H99" t="s">
        <v>417</v>
      </c>
      <c r="I99" t="s">
        <v>421</v>
      </c>
      <c r="J99" t="s">
        <v>50</v>
      </c>
      <c r="K99" t="s">
        <v>423</v>
      </c>
      <c r="L99" t="s">
        <v>423</v>
      </c>
      <c r="M99" t="s">
        <v>50</v>
      </c>
      <c r="N99"/>
      <c r="O99" t="s">
        <v>418</v>
      </c>
      <c r="P99"/>
      <c r="Q99" t="s">
        <v>418</v>
      </c>
      <c r="R99" t="s">
        <v>424</v>
      </c>
      <c r="S99" t="s">
        <v>420</v>
      </c>
      <c r="T99" t="s">
        <v>425</v>
      </c>
      <c r="U99" t="s">
        <v>426</v>
      </c>
      <c r="V99" t="s">
        <v>427</v>
      </c>
      <c r="W99" t="s">
        <v>431</v>
      </c>
      <c r="Y99" t="s">
        <v>429</v>
      </c>
      <c r="Z99" s="25" t="str">
        <f>VLOOKUP(AD99,Technologies!$E$10:$Z$164,22,FALSE)</f>
        <v>Com SEER-Rated Split HP, 18-65 kBTU/h; 
pre-2001: SEER = 10 (HSPF = 7.1), one-speed fan, w/Econo;
post-2001: SEER = 13 (HSPF = 8.2), one-speed fan, w/Econo;
2014: SEER = 14 (HSPF = 8.2), two-speed fan, w/Econo</v>
      </c>
      <c r="AA99" s="25" t="str">
        <f>VLOOKUP(AD99,Technologies!$E$10:$W$164,19,FALSE)</f>
        <v>Commercial SEER-rated Split Heat Pumps, Size Range: 55 - 65 kBTU/h, SEER = 14 (HSPF = 8.2), EIR = 0.27, Fan W/CFM = 0.29, two-speed fan, with Econo</v>
      </c>
      <c r="AB99" s="25" t="str">
        <f>VLOOKUP(AE99,Technologies!$E$10:$W$164,19,FALSE)</f>
        <v>Commercial SEER-rated Split Heat Pumps, Size Range: 55 - 65 kBTU/h, SEER = 18 (HSPF = 9.7), EIR = 0.209, Fan W/CFM = 0.27, two-speed fan, with Econo</v>
      </c>
      <c r="AD99" s="25" t="str">
        <f t="shared" si="47"/>
        <v>dxHP-Com-Split-55to65kBTUh-SEER-14.0</v>
      </c>
      <c r="AE99" s="25" t="str">
        <f t="shared" si="47"/>
        <v>dxHP-Com-Split-55to65kBTUh-SEER-18.0</v>
      </c>
      <c r="AF99" t="s">
        <v>591</v>
      </c>
      <c r="AH99" t="s">
        <v>418</v>
      </c>
      <c r="AI99" t="s">
        <v>418</v>
      </c>
      <c r="AJ99"/>
      <c r="AK99" t="s">
        <v>422</v>
      </c>
      <c r="AL99"/>
      <c r="AM99" t="s">
        <v>429</v>
      </c>
      <c r="AN99"/>
      <c r="AO99" t="s">
        <v>50</v>
      </c>
      <c r="AP99" s="374">
        <v>42005</v>
      </c>
      <c r="AQ99"/>
    </row>
    <row r="102" spans="1:43" ht="16.5" customHeight="1" x14ac:dyDescent="0.25">
      <c r="B102" s="388"/>
    </row>
    <row r="103" spans="1:43" ht="16.5" customHeight="1" x14ac:dyDescent="0.25">
      <c r="B103" s="389"/>
    </row>
    <row r="104" spans="1:43" ht="16.5" customHeight="1" x14ac:dyDescent="0.25">
      <c r="B104" s="389"/>
    </row>
    <row r="105" spans="1:43" ht="16.5" customHeight="1" x14ac:dyDescent="0.25">
      <c r="B105" s="389"/>
    </row>
  </sheetData>
  <sortState ref="B75:B93">
    <sortCondition ref="B75:B93"/>
  </sortState>
  <pageMargins left="0.7" right="0.7" top="0.75" bottom="0.75" header="0.3" footer="0.3"/>
  <pageSetup orientation="portrait" horizontalDpi="0" verticalDpi="0" r:id="rId1"/>
  <headerFooter>
    <oddFooter>&amp;L&amp;Z&amp;F &amp;A&amp;C&amp;P&amp;R&amp;D &amp;T</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B1:Z158"/>
  <sheetViews>
    <sheetView workbookViewId="0">
      <pane xSplit="5" topLeftCell="F1" activePane="topRight" state="frozen"/>
      <selection activeCell="C25" sqref="C25"/>
      <selection pane="topRight" activeCell="Q17" sqref="Q17"/>
    </sheetView>
  </sheetViews>
  <sheetFormatPr defaultRowHeight="15" x14ac:dyDescent="0.25"/>
  <cols>
    <col min="1" max="1" width="9.140625" customWidth="1"/>
    <col min="2" max="3" width="9.140625" hidden="1" customWidth="1"/>
    <col min="4" max="4" width="14.42578125" style="158" hidden="1" customWidth="1"/>
    <col min="5" max="5" width="41.5703125" customWidth="1"/>
    <col min="6" max="6" width="12.28515625" style="158" customWidth="1"/>
    <col min="7" max="7" width="15.7109375" customWidth="1"/>
    <col min="9" max="9" width="12.7109375" style="247" bestFit="1" customWidth="1"/>
    <col min="10" max="10" width="13.140625" style="247" bestFit="1" customWidth="1"/>
    <col min="11" max="11" width="13.140625" style="247" customWidth="1"/>
    <col min="12" max="13" width="13.140625" style="247" bestFit="1" customWidth="1"/>
    <col min="14" max="14" width="12.5703125" style="247" bestFit="1" customWidth="1"/>
    <col min="15" max="15" width="11.140625" bestFit="1" customWidth="1"/>
    <col min="16" max="16" width="12" bestFit="1" customWidth="1"/>
    <col min="17" max="17" width="18.42578125" bestFit="1" customWidth="1"/>
    <col min="18" max="18" width="10.28515625" bestFit="1" customWidth="1"/>
    <col min="19" max="19" width="15.5703125" customWidth="1"/>
    <col min="20" max="22" width="11.7109375" bestFit="1" customWidth="1"/>
    <col min="23" max="23" width="149" bestFit="1" customWidth="1"/>
    <col min="24" max="24" width="89.42578125" customWidth="1"/>
    <col min="25" max="25" width="55.28515625" customWidth="1"/>
    <col min="26" max="26" width="63" customWidth="1"/>
  </cols>
  <sheetData>
    <row r="1" spans="4:26" x14ac:dyDescent="0.25">
      <c r="G1" s="50"/>
      <c r="H1" s="50"/>
      <c r="I1" s="233"/>
      <c r="J1" s="233"/>
      <c r="K1" s="233"/>
      <c r="L1" s="233"/>
      <c r="M1" s="233"/>
      <c r="N1" s="233"/>
      <c r="O1" s="50"/>
      <c r="P1" s="50"/>
      <c r="Q1" s="50"/>
      <c r="R1" s="50"/>
      <c r="S1" s="50"/>
      <c r="T1" s="50"/>
      <c r="U1" s="50"/>
      <c r="V1" s="50"/>
    </row>
    <row r="2" spans="4:26" ht="20.25" thickBot="1" x14ac:dyDescent="0.35">
      <c r="E2" s="1" t="s">
        <v>709</v>
      </c>
      <c r="F2" s="1"/>
      <c r="H2" s="50"/>
      <c r="I2" s="233"/>
      <c r="J2" s="233"/>
      <c r="K2" s="233"/>
      <c r="L2" s="233"/>
      <c r="M2" s="233"/>
      <c r="N2" s="233"/>
      <c r="O2" s="50"/>
      <c r="P2" s="50"/>
      <c r="Q2" s="50"/>
      <c r="R2" s="50"/>
      <c r="S2" s="50"/>
      <c r="T2" s="50"/>
      <c r="U2" s="50"/>
      <c r="V2" s="50"/>
    </row>
    <row r="3" spans="4:26" ht="15.75" thickTop="1" x14ac:dyDescent="0.25">
      <c r="H3" s="50"/>
      <c r="I3" s="233"/>
      <c r="J3" s="233"/>
      <c r="K3" s="233"/>
      <c r="L3" s="233"/>
      <c r="M3" s="233"/>
      <c r="N3" s="233"/>
      <c r="O3" s="50"/>
      <c r="P3" s="50"/>
      <c r="Q3" s="50"/>
      <c r="R3" s="50"/>
      <c r="S3" s="50"/>
      <c r="T3" s="50"/>
      <c r="U3" s="50"/>
      <c r="V3" s="50"/>
    </row>
    <row r="4" spans="4:26" x14ac:dyDescent="0.25">
      <c r="E4" t="s">
        <v>715</v>
      </c>
      <c r="H4" s="50"/>
      <c r="I4" s="233"/>
      <c r="J4" s="233"/>
      <c r="K4" s="233"/>
      <c r="L4" s="233"/>
      <c r="M4" s="233"/>
      <c r="N4" s="233"/>
      <c r="O4" s="50"/>
      <c r="P4" s="50"/>
      <c r="Q4" s="50"/>
      <c r="R4" s="50"/>
      <c r="S4" s="50"/>
      <c r="T4" s="50"/>
      <c r="U4" s="50"/>
      <c r="V4" s="50"/>
    </row>
    <row r="5" spans="4:26" x14ac:dyDescent="0.25">
      <c r="H5" s="50"/>
      <c r="I5" s="233"/>
      <c r="J5" s="233"/>
      <c r="K5" s="233"/>
      <c r="L5" s="233"/>
      <c r="M5" s="233"/>
      <c r="N5" s="233"/>
      <c r="O5" s="50"/>
      <c r="P5" s="50"/>
      <c r="Q5" s="50"/>
      <c r="R5" s="50"/>
      <c r="S5" s="50"/>
      <c r="T5" s="50"/>
      <c r="U5" s="50"/>
      <c r="V5" s="50"/>
    </row>
    <row r="6" spans="4:26" x14ac:dyDescent="0.25">
      <c r="H6" s="50"/>
      <c r="I6" s="233"/>
      <c r="J6" s="233"/>
      <c r="K6" s="233"/>
      <c r="L6" s="233"/>
      <c r="M6" s="233"/>
      <c r="N6" s="233"/>
      <c r="O6" s="50"/>
      <c r="P6" s="50"/>
      <c r="Q6" s="50"/>
      <c r="R6" s="50"/>
      <c r="S6" s="50"/>
      <c r="T6" s="50"/>
      <c r="U6" s="50"/>
      <c r="V6" s="50"/>
    </row>
    <row r="7" spans="4:26" x14ac:dyDescent="0.25">
      <c r="H7" s="50"/>
      <c r="I7" s="233"/>
      <c r="J7" s="233"/>
      <c r="K7" s="233"/>
      <c r="L7" s="233"/>
      <c r="M7" s="233"/>
      <c r="N7" s="233"/>
      <c r="O7" s="50"/>
      <c r="P7" s="50"/>
      <c r="Q7" s="50"/>
      <c r="R7" s="50"/>
      <c r="S7" s="50"/>
      <c r="V7" s="50"/>
    </row>
    <row r="8" spans="4:26" x14ac:dyDescent="0.25">
      <c r="E8" s="238" t="s">
        <v>529</v>
      </c>
      <c r="F8" s="237"/>
      <c r="G8" s="238"/>
      <c r="H8" s="238"/>
      <c r="I8" s="250">
        <v>5</v>
      </c>
      <c r="J8" s="250"/>
      <c r="K8" s="250"/>
      <c r="L8" s="250"/>
      <c r="M8" s="250">
        <v>8</v>
      </c>
      <c r="N8" s="250">
        <v>9</v>
      </c>
      <c r="O8" s="238">
        <v>10</v>
      </c>
      <c r="P8" s="238">
        <v>11</v>
      </c>
    </row>
    <row r="9" spans="4:26" ht="15.75" thickBot="1" x14ac:dyDescent="0.3">
      <c r="D9" s="214" t="s">
        <v>639</v>
      </c>
      <c r="E9" s="241" t="s">
        <v>514</v>
      </c>
      <c r="F9" s="47" t="s">
        <v>10</v>
      </c>
      <c r="G9" s="242" t="s">
        <v>519</v>
      </c>
      <c r="H9" s="242" t="s">
        <v>454</v>
      </c>
      <c r="I9" s="248" t="s">
        <v>114</v>
      </c>
      <c r="J9" s="248" t="s">
        <v>473</v>
      </c>
      <c r="K9" s="248" t="s">
        <v>474</v>
      </c>
      <c r="L9" s="252" t="s">
        <v>479</v>
      </c>
      <c r="M9" s="248" t="s">
        <v>475</v>
      </c>
      <c r="N9" s="248" t="s">
        <v>261</v>
      </c>
      <c r="O9" s="242" t="s">
        <v>469</v>
      </c>
      <c r="P9" s="242" t="s">
        <v>470</v>
      </c>
      <c r="Q9" s="242" t="s">
        <v>496</v>
      </c>
      <c r="R9" s="242" t="s">
        <v>471</v>
      </c>
      <c r="S9" s="242" t="s">
        <v>522</v>
      </c>
      <c r="T9" s="242" t="s">
        <v>472</v>
      </c>
      <c r="U9" s="243" t="s">
        <v>466</v>
      </c>
      <c r="V9" s="242" t="s">
        <v>476</v>
      </c>
      <c r="W9" s="244" t="s">
        <v>587</v>
      </c>
      <c r="X9" s="244" t="s">
        <v>839</v>
      </c>
    </row>
    <row r="10" spans="4:26" x14ac:dyDescent="0.25">
      <c r="D10" s="158" t="s">
        <v>317</v>
      </c>
      <c r="E10" t="s">
        <v>645</v>
      </c>
      <c r="F10" s="158" t="s">
        <v>450</v>
      </c>
      <c r="G10" s="50" t="s">
        <v>523</v>
      </c>
      <c r="H10" s="50">
        <v>13.4</v>
      </c>
      <c r="I10" s="233">
        <v>11</v>
      </c>
      <c r="J10" s="233">
        <v>65</v>
      </c>
      <c r="K10" s="233">
        <v>110</v>
      </c>
      <c r="L10" s="233" t="s">
        <v>480</v>
      </c>
      <c r="M10" s="233">
        <v>0.66300000000000003</v>
      </c>
      <c r="N10" s="234">
        <v>0.27299000000000001</v>
      </c>
      <c r="O10" s="240">
        <v>318</v>
      </c>
      <c r="P10" s="235">
        <v>0.4</v>
      </c>
      <c r="Q10" s="50">
        <v>0</v>
      </c>
      <c r="R10" s="50">
        <v>100</v>
      </c>
      <c r="S10" s="50" t="b">
        <v>1</v>
      </c>
      <c r="T10" s="50" t="s">
        <v>478</v>
      </c>
      <c r="U10" s="50" t="s">
        <v>467</v>
      </c>
      <c r="V10" s="50"/>
      <c r="W10" t="str">
        <f>$E$9&amp;", Size Range: "&amp;J10&amp;" - "&amp;K10&amp;" kBTU/h, EER = "&amp;I10&amp;" (IEER = "&amp;H10&amp;"), EIR = "&amp;ROUND(N10,3)&amp;", Fan W/CFM = "&amp;ROUND(P10,2)&amp;", "&amp;T10&amp;" fan, "&amp;IF(S10,"with Econo","without Econo")</f>
        <v>EER-rated packaged Air Conditioner, Size Range: 65 - 110 kBTU/h, EER = 11 (IEER = 13.4), EIR = 0.273, Fan W/CFM = 0.4, two-speed fan, with Econo</v>
      </c>
      <c r="X10" t="str">
        <f>X38&amp;"; "&amp;CHAR(10)&amp;Y38&amp;";"&amp;CHAR(10)&amp;Y39&amp;";"&amp;CHAR(10)&amp;Y40&amp;";"&amp;CHAR(10)&amp;Y41</f>
        <v>EER-Rated Pkg AC, 65-110 kBTU/h; 
Pre-2005: EER = 10.1,  one-speed fan, no Econo;
2006 - 2009: EER = 10.1,  one-speed fan, no Econo;
2010 - 2013: EER = 11,  one-speed fan, no Econo;
2014 - 2015: EER = 11 (IEER = 13.4), two-speed fan, w/Econo</v>
      </c>
      <c r="Z10" s="181" t="str">
        <f>X38&amp;"; "&amp;CHAR(10)&amp;Z38&amp;";"&amp;CHAR(10)&amp;Z39&amp;";"&amp;CHAR(10)&amp;Z40&amp;";"&amp;CHAR(10)&amp;Z41</f>
        <v>EER-Rated Pkg AC, 65-110 kBTU/h; 
Pre-2005: EER = 10.1,  one-speed fan, w/Econo;
2006 - 2009: EER = 10.1,  one-speed fan, w/Econo;
2010 - 2013: EER = 11,  one-speed fan, w/Econo;
2014 - 2015: EER = 11 (IEER = 13.4), two-speed fan, w/Econo</v>
      </c>
    </row>
    <row r="11" spans="4:26" x14ac:dyDescent="0.25">
      <c r="D11" s="158" t="s">
        <v>318</v>
      </c>
      <c r="E11" t="s">
        <v>646</v>
      </c>
      <c r="F11" s="158" t="s">
        <v>450</v>
      </c>
      <c r="G11" s="50" t="s">
        <v>521</v>
      </c>
      <c r="H11" s="50">
        <v>14.1</v>
      </c>
      <c r="I11" s="233">
        <v>11.5</v>
      </c>
      <c r="J11" s="233">
        <v>65</v>
      </c>
      <c r="K11" s="233">
        <v>110</v>
      </c>
      <c r="L11" s="233" t="s">
        <v>480</v>
      </c>
      <c r="M11" s="233">
        <v>0.66300000000000003</v>
      </c>
      <c r="N11" s="234">
        <v>0.25963999999999998</v>
      </c>
      <c r="O11" s="240">
        <v>318</v>
      </c>
      <c r="P11" s="50">
        <v>0.4</v>
      </c>
      <c r="Q11" s="50">
        <v>0</v>
      </c>
      <c r="R11" s="50">
        <v>100</v>
      </c>
      <c r="S11" s="50" t="b">
        <v>1</v>
      </c>
      <c r="T11" s="50" t="s">
        <v>478</v>
      </c>
      <c r="U11" s="50" t="s">
        <v>467</v>
      </c>
      <c r="V11" s="50"/>
      <c r="W11" t="str">
        <f t="shared" ref="W11:W37" si="0">$E$9&amp;", Size Range: "&amp;J11&amp;" - "&amp;K11&amp;" kBTU/h, EER = "&amp;I11&amp;" (IEER = "&amp;H11&amp;"), EIR = "&amp;ROUND(N11,3)&amp;", Fan W/CFM = "&amp;ROUND(P11,2)&amp;", "&amp;T11&amp;" fan, "&amp;IF(S11,"with Econo","without Econo")</f>
        <v>EER-rated packaged Air Conditioner, Size Range: 65 - 110 kBTU/h, EER = 11.5 (IEER = 14.1), EIR = 0.26, Fan W/CFM = 0.4, two-speed fan, with Econo</v>
      </c>
    </row>
    <row r="12" spans="4:26" x14ac:dyDescent="0.25">
      <c r="D12" s="158" t="s">
        <v>319</v>
      </c>
      <c r="E12" t="s">
        <v>647</v>
      </c>
      <c r="F12" s="158" t="s">
        <v>450</v>
      </c>
      <c r="G12" s="50" t="s">
        <v>521</v>
      </c>
      <c r="H12" s="50">
        <v>14.8</v>
      </c>
      <c r="I12" s="233">
        <v>12</v>
      </c>
      <c r="J12" s="233">
        <v>65</v>
      </c>
      <c r="K12" s="233">
        <v>110</v>
      </c>
      <c r="L12" s="233" t="s">
        <v>480</v>
      </c>
      <c r="M12" s="233">
        <v>0.66300000000000003</v>
      </c>
      <c r="N12" s="234">
        <v>0.24715999999999999</v>
      </c>
      <c r="O12" s="240">
        <v>318</v>
      </c>
      <c r="P12" s="50">
        <v>0.4</v>
      </c>
      <c r="Q12" s="50">
        <v>0</v>
      </c>
      <c r="R12" s="50">
        <v>100</v>
      </c>
      <c r="S12" s="50" t="b">
        <v>1</v>
      </c>
      <c r="T12" s="50" t="s">
        <v>478</v>
      </c>
      <c r="U12" s="50" t="s">
        <v>467</v>
      </c>
      <c r="V12" s="50"/>
      <c r="W12" t="str">
        <f t="shared" si="0"/>
        <v>EER-rated packaged Air Conditioner, Size Range: 65 - 110 kBTU/h, EER = 12 (IEER = 14.8), EIR = 0.247, Fan W/CFM = 0.4, two-speed fan, with Econo</v>
      </c>
    </row>
    <row r="13" spans="4:26" x14ac:dyDescent="0.25">
      <c r="D13" s="158" t="s">
        <v>320</v>
      </c>
      <c r="E13" s="5" t="s">
        <v>648</v>
      </c>
      <c r="F13" s="214" t="s">
        <v>450</v>
      </c>
      <c r="G13" s="212" t="s">
        <v>521</v>
      </c>
      <c r="H13" s="212">
        <v>16.3</v>
      </c>
      <c r="I13" s="249">
        <v>13</v>
      </c>
      <c r="J13" s="249">
        <v>65</v>
      </c>
      <c r="K13" s="249">
        <v>110</v>
      </c>
      <c r="L13" s="249" t="s">
        <v>480</v>
      </c>
      <c r="M13" s="249">
        <v>0.66300000000000003</v>
      </c>
      <c r="N13" s="284">
        <v>0.22552</v>
      </c>
      <c r="O13" s="245">
        <v>318</v>
      </c>
      <c r="P13" s="212">
        <v>0.4</v>
      </c>
      <c r="Q13" s="212">
        <v>0</v>
      </c>
      <c r="R13" s="212">
        <v>100</v>
      </c>
      <c r="S13" s="212" t="b">
        <v>1</v>
      </c>
      <c r="T13" s="212" t="s">
        <v>478</v>
      </c>
      <c r="U13" s="212" t="s">
        <v>467</v>
      </c>
      <c r="V13" s="212"/>
      <c r="W13" t="str">
        <f t="shared" si="0"/>
        <v>EER-rated packaged Air Conditioner, Size Range: 65 - 110 kBTU/h, EER = 13 (IEER = 16.3), EIR = 0.226, Fan W/CFM = 0.4, two-speed fan, with Econo</v>
      </c>
    </row>
    <row r="14" spans="4:26" x14ac:dyDescent="0.25">
      <c r="D14" s="158" t="s">
        <v>321</v>
      </c>
      <c r="E14" t="s">
        <v>649</v>
      </c>
      <c r="F14" s="158" t="s">
        <v>450</v>
      </c>
      <c r="G14" s="50" t="s">
        <v>523</v>
      </c>
      <c r="H14" s="50">
        <v>13.3</v>
      </c>
      <c r="I14" s="233">
        <v>11</v>
      </c>
      <c r="J14" s="233">
        <v>110</v>
      </c>
      <c r="K14" s="233">
        <v>135</v>
      </c>
      <c r="L14" s="233" t="s">
        <v>480</v>
      </c>
      <c r="M14" s="233">
        <v>0.66300000000000003</v>
      </c>
      <c r="N14" s="234">
        <v>0.27299000000000001</v>
      </c>
      <c r="O14" s="240">
        <v>318</v>
      </c>
      <c r="P14" s="50">
        <v>0.4</v>
      </c>
      <c r="Q14" s="50">
        <v>0</v>
      </c>
      <c r="R14" s="50">
        <v>100</v>
      </c>
      <c r="S14" s="50" t="b">
        <v>1</v>
      </c>
      <c r="T14" s="50" t="s">
        <v>478</v>
      </c>
      <c r="U14" s="50" t="s">
        <v>467</v>
      </c>
      <c r="V14" s="50"/>
      <c r="W14" t="str">
        <f t="shared" si="0"/>
        <v>EER-rated packaged Air Conditioner, Size Range: 110 - 135 kBTU/h, EER = 11 (IEER = 13.3), EIR = 0.273, Fan W/CFM = 0.4, two-speed fan, with Econo</v>
      </c>
      <c r="X14" t="str">
        <f>X42&amp;"; "&amp;CHAR(10)&amp;Y42&amp;";"&amp;CHAR(10)&amp;Y43&amp;";"&amp;CHAR(10)&amp;Y44&amp;";"&amp;CHAR(10)&amp;Y45</f>
        <v>EER-Rated Pkg AC, 110-135 kBTU/h; 
Pre-2005: EER = 10.1,  one-speed fan, w/Econo;
2006 - 2009: EER = 10.1,  one-speed fan, w/Econo;
2010 - 2013: EER = 11,  one-speed fan, w/Econo;
2014 - 2015: EER = 11 (IEER = 13.3), two-speed fan, w/Econo</v>
      </c>
    </row>
    <row r="15" spans="4:26" x14ac:dyDescent="0.25">
      <c r="D15" s="158" t="s">
        <v>322</v>
      </c>
      <c r="E15" t="s">
        <v>650</v>
      </c>
      <c r="F15" s="158" t="s">
        <v>450</v>
      </c>
      <c r="G15" s="50" t="s">
        <v>521</v>
      </c>
      <c r="H15" s="50">
        <v>14.3</v>
      </c>
      <c r="I15" s="233">
        <v>11.5</v>
      </c>
      <c r="J15" s="233">
        <v>110</v>
      </c>
      <c r="K15" s="233">
        <v>135</v>
      </c>
      <c r="L15" s="233" t="s">
        <v>480</v>
      </c>
      <c r="M15" s="233">
        <v>0.66300000000000003</v>
      </c>
      <c r="N15" s="234">
        <v>0.25963999999999998</v>
      </c>
      <c r="O15" s="240">
        <v>318</v>
      </c>
      <c r="P15" s="50">
        <v>0.4</v>
      </c>
      <c r="Q15" s="50">
        <v>0</v>
      </c>
      <c r="R15" s="50">
        <v>100</v>
      </c>
      <c r="S15" s="50" t="b">
        <v>1</v>
      </c>
      <c r="T15" s="50" t="s">
        <v>478</v>
      </c>
      <c r="U15" s="50" t="s">
        <v>467</v>
      </c>
      <c r="V15" s="50"/>
      <c r="W15" t="str">
        <f t="shared" si="0"/>
        <v>EER-rated packaged Air Conditioner, Size Range: 110 - 135 kBTU/h, EER = 11.5 (IEER = 14.3), EIR = 0.26, Fan W/CFM = 0.4, two-speed fan, with Econo</v>
      </c>
    </row>
    <row r="16" spans="4:26" x14ac:dyDescent="0.25">
      <c r="D16" s="158" t="s">
        <v>323</v>
      </c>
      <c r="E16" t="s">
        <v>651</v>
      </c>
      <c r="F16" s="158" t="s">
        <v>450</v>
      </c>
      <c r="G16" s="50" t="s">
        <v>521</v>
      </c>
      <c r="H16" s="50">
        <v>15.4</v>
      </c>
      <c r="I16" s="233">
        <v>12</v>
      </c>
      <c r="J16" s="233">
        <v>110</v>
      </c>
      <c r="K16" s="233">
        <v>135</v>
      </c>
      <c r="L16" s="233" t="s">
        <v>480</v>
      </c>
      <c r="M16" s="233">
        <v>0.66300000000000003</v>
      </c>
      <c r="N16" s="234">
        <v>0.24715999999999999</v>
      </c>
      <c r="O16" s="240">
        <v>318</v>
      </c>
      <c r="P16" s="50">
        <v>0.4</v>
      </c>
      <c r="Q16" s="50">
        <v>0</v>
      </c>
      <c r="R16" s="50">
        <v>100</v>
      </c>
      <c r="S16" s="50" t="b">
        <v>1</v>
      </c>
      <c r="T16" s="50" t="s">
        <v>478</v>
      </c>
      <c r="U16" s="50" t="s">
        <v>467</v>
      </c>
      <c r="V16" s="50"/>
      <c r="W16" t="str">
        <f t="shared" si="0"/>
        <v>EER-rated packaged Air Conditioner, Size Range: 110 - 135 kBTU/h, EER = 12 (IEER = 15.4), EIR = 0.247, Fan W/CFM = 0.4, two-speed fan, with Econo</v>
      </c>
    </row>
    <row r="17" spans="4:24" x14ac:dyDescent="0.25">
      <c r="D17" s="158" t="s">
        <v>324</v>
      </c>
      <c r="E17" s="5" t="s">
        <v>652</v>
      </c>
      <c r="F17" s="214" t="s">
        <v>450</v>
      </c>
      <c r="G17" s="212" t="s">
        <v>521</v>
      </c>
      <c r="H17" s="212">
        <v>16.5</v>
      </c>
      <c r="I17" s="249">
        <v>12.5</v>
      </c>
      <c r="J17" s="249">
        <v>110</v>
      </c>
      <c r="K17" s="249">
        <v>135</v>
      </c>
      <c r="L17" s="249" t="s">
        <v>480</v>
      </c>
      <c r="M17" s="249">
        <v>0.66300000000000003</v>
      </c>
      <c r="N17" s="284">
        <v>0.23591000000000001</v>
      </c>
      <c r="O17" s="245">
        <v>318</v>
      </c>
      <c r="P17" s="212">
        <v>0.4</v>
      </c>
      <c r="Q17" s="212">
        <v>0</v>
      </c>
      <c r="R17" s="212">
        <v>100</v>
      </c>
      <c r="S17" s="212" t="b">
        <v>1</v>
      </c>
      <c r="T17" s="212" t="s">
        <v>478</v>
      </c>
      <c r="U17" s="212" t="s">
        <v>467</v>
      </c>
      <c r="V17" s="212"/>
      <c r="W17" t="str">
        <f t="shared" si="0"/>
        <v>EER-rated packaged Air Conditioner, Size Range: 110 - 135 kBTU/h, EER = 12.5 (IEER = 16.5), EIR = 0.236, Fan W/CFM = 0.4, two-speed fan, with Econo</v>
      </c>
    </row>
    <row r="18" spans="4:24" x14ac:dyDescent="0.25">
      <c r="D18" s="158" t="s">
        <v>325</v>
      </c>
      <c r="E18" t="s">
        <v>653</v>
      </c>
      <c r="F18" s="158" t="s">
        <v>450</v>
      </c>
      <c r="G18" s="50" t="s">
        <v>523</v>
      </c>
      <c r="H18" s="50">
        <v>12.8</v>
      </c>
      <c r="I18" s="233">
        <v>10.8</v>
      </c>
      <c r="J18" s="233">
        <v>135</v>
      </c>
      <c r="K18" s="233">
        <v>240</v>
      </c>
      <c r="L18" s="233" t="s">
        <v>480</v>
      </c>
      <c r="M18" s="233">
        <v>0.69599999999999995</v>
      </c>
      <c r="N18" s="234">
        <v>0.27372000000000002</v>
      </c>
      <c r="O18" s="240">
        <v>326.39999999999998</v>
      </c>
      <c r="P18" s="50">
        <v>0.41</v>
      </c>
      <c r="Q18" s="50">
        <v>0</v>
      </c>
      <c r="R18" s="50">
        <v>100</v>
      </c>
      <c r="S18" s="50" t="b">
        <v>1</v>
      </c>
      <c r="T18" s="50" t="s">
        <v>478</v>
      </c>
      <c r="U18" s="50" t="s">
        <v>467</v>
      </c>
      <c r="V18" s="50"/>
      <c r="W18" t="str">
        <f t="shared" si="0"/>
        <v>EER-rated packaged Air Conditioner, Size Range: 135 - 240 kBTU/h, EER = 10.8 (IEER = 12.8), EIR = 0.274, Fan W/CFM = 0.41, two-speed fan, with Econo</v>
      </c>
      <c r="X18" t="str">
        <f>X46&amp;"; "&amp;CHAR(10)&amp;Y46&amp;";"&amp;CHAR(10)&amp;Y47&amp;";"&amp;CHAR(10)&amp;Y48&amp;";"&amp;CHAR(10)&amp;Y49</f>
        <v>EER-Rated Pkg AC, 135-240 kBTU/h; 
Pre-2005: EER = 9.5,  one-speed fan, w/Econo;
2006 - 2009: EER = 9.5,  one-speed fan, w/Econo;
2010 - 2013: EER = 10.8,  one-speed fan, w/Econo;
2014 - 2015: EER = 10.8 (IEER = 12.8), two-speed fan, w/Econo</v>
      </c>
    </row>
    <row r="19" spans="4:24" x14ac:dyDescent="0.25">
      <c r="D19" s="158" t="s">
        <v>326</v>
      </c>
      <c r="E19" t="s">
        <v>654</v>
      </c>
      <c r="F19" s="158" t="s">
        <v>450</v>
      </c>
      <c r="G19" s="50" t="s">
        <v>521</v>
      </c>
      <c r="H19" s="50">
        <v>14.3</v>
      </c>
      <c r="I19" s="233">
        <v>11.5</v>
      </c>
      <c r="J19" s="233">
        <v>135</v>
      </c>
      <c r="K19" s="233">
        <v>240</v>
      </c>
      <c r="L19" s="233" t="s">
        <v>480</v>
      </c>
      <c r="M19" s="233">
        <v>0.69599999999999995</v>
      </c>
      <c r="N19" s="234">
        <v>0.25480999999999998</v>
      </c>
      <c r="O19" s="240">
        <v>326.39999999999998</v>
      </c>
      <c r="P19" s="50">
        <v>0.41</v>
      </c>
      <c r="Q19" s="50">
        <v>0</v>
      </c>
      <c r="R19" s="50">
        <v>100</v>
      </c>
      <c r="S19" s="50" t="b">
        <v>1</v>
      </c>
      <c r="T19" s="50" t="s">
        <v>478</v>
      </c>
      <c r="U19" s="50" t="s">
        <v>467</v>
      </c>
      <c r="V19" s="50"/>
      <c r="W19" t="str">
        <f t="shared" si="0"/>
        <v>EER-rated packaged Air Conditioner, Size Range: 135 - 240 kBTU/h, EER = 11.5 (IEER = 14.3), EIR = 0.255, Fan W/CFM = 0.41, two-speed fan, with Econo</v>
      </c>
    </row>
    <row r="20" spans="4:24" x14ac:dyDescent="0.25">
      <c r="D20" s="158" t="s">
        <v>327</v>
      </c>
      <c r="E20" t="s">
        <v>655</v>
      </c>
      <c r="F20" s="158" t="s">
        <v>450</v>
      </c>
      <c r="G20" s="50" t="s">
        <v>521</v>
      </c>
      <c r="H20" s="50">
        <v>15.4</v>
      </c>
      <c r="I20" s="233">
        <v>12</v>
      </c>
      <c r="J20" s="233">
        <v>135</v>
      </c>
      <c r="K20" s="233">
        <v>240</v>
      </c>
      <c r="L20" s="233" t="s">
        <v>480</v>
      </c>
      <c r="M20" s="233">
        <v>0.69599999999999995</v>
      </c>
      <c r="N20" s="234">
        <v>0.24278</v>
      </c>
      <c r="O20" s="240">
        <v>326.39999999999998</v>
      </c>
      <c r="P20" s="50">
        <v>0.41</v>
      </c>
      <c r="Q20" s="50">
        <v>0</v>
      </c>
      <c r="R20" s="50">
        <v>100</v>
      </c>
      <c r="S20" s="50" t="b">
        <v>1</v>
      </c>
      <c r="T20" s="50" t="s">
        <v>478</v>
      </c>
      <c r="U20" s="50" t="s">
        <v>467</v>
      </c>
      <c r="V20" s="50"/>
      <c r="W20" t="str">
        <f t="shared" si="0"/>
        <v>EER-rated packaged Air Conditioner, Size Range: 135 - 240 kBTU/h, EER = 12 (IEER = 15.4), EIR = 0.243, Fan W/CFM = 0.41, two-speed fan, with Econo</v>
      </c>
    </row>
    <row r="21" spans="4:24" x14ac:dyDescent="0.25">
      <c r="D21" s="158" t="s">
        <v>328</v>
      </c>
      <c r="E21" t="s">
        <v>656</v>
      </c>
      <c r="F21" s="158" t="s">
        <v>450</v>
      </c>
      <c r="G21" s="50" t="s">
        <v>521</v>
      </c>
      <c r="H21" s="50">
        <v>16.5</v>
      </c>
      <c r="I21" s="233">
        <v>12.5</v>
      </c>
      <c r="J21" s="233">
        <v>135</v>
      </c>
      <c r="K21" s="233">
        <v>240</v>
      </c>
      <c r="L21" s="233" t="s">
        <v>480</v>
      </c>
      <c r="M21" s="233">
        <v>0.69599999999999995</v>
      </c>
      <c r="N21" s="234">
        <v>0.23149</v>
      </c>
      <c r="O21" s="240">
        <v>326.39999999999998</v>
      </c>
      <c r="P21" s="50">
        <v>0.41</v>
      </c>
      <c r="Q21" s="50">
        <v>0</v>
      </c>
      <c r="R21" s="50">
        <v>100</v>
      </c>
      <c r="S21" s="50" t="b">
        <v>1</v>
      </c>
      <c r="T21" s="50" t="s">
        <v>478</v>
      </c>
      <c r="U21" s="50" t="s">
        <v>467</v>
      </c>
      <c r="V21" s="50"/>
      <c r="W21" t="str">
        <f t="shared" si="0"/>
        <v>EER-rated packaged Air Conditioner, Size Range: 135 - 240 kBTU/h, EER = 12.5 (IEER = 16.5), EIR = 0.231, Fan W/CFM = 0.41, two-speed fan, with Econo</v>
      </c>
    </row>
    <row r="22" spans="4:24" x14ac:dyDescent="0.25">
      <c r="D22" s="158" t="s">
        <v>337</v>
      </c>
      <c r="E22" t="s">
        <v>657</v>
      </c>
      <c r="F22" s="158" t="s">
        <v>450</v>
      </c>
      <c r="G22" s="50" t="s">
        <v>523</v>
      </c>
      <c r="H22" s="50">
        <v>11.2</v>
      </c>
      <c r="I22" s="233">
        <v>9.8000000000000007</v>
      </c>
      <c r="J22" s="233">
        <v>240</v>
      </c>
      <c r="K22" s="233">
        <v>760</v>
      </c>
      <c r="L22" s="233" t="s">
        <v>480</v>
      </c>
      <c r="M22" s="233">
        <v>0.70499999999999996</v>
      </c>
      <c r="N22" s="234">
        <v>0.28621999999999997</v>
      </c>
      <c r="O22" s="240">
        <v>320.40000000000003</v>
      </c>
      <c r="P22" s="50">
        <v>0.61</v>
      </c>
      <c r="Q22" s="50">
        <v>0</v>
      </c>
      <c r="R22" s="50">
        <v>100</v>
      </c>
      <c r="S22" s="50" t="b">
        <v>1</v>
      </c>
      <c r="T22" s="50" t="s">
        <v>478</v>
      </c>
      <c r="U22" s="50" t="s">
        <v>467</v>
      </c>
      <c r="V22" s="50"/>
      <c r="W22" t="str">
        <f t="shared" si="0"/>
        <v>EER-rated packaged Air Conditioner, Size Range: 240 - 760 kBTU/h, EER = 9.8 (IEER = 11.2), EIR = 0.286, Fan W/CFM = 0.61, two-speed fan, with Econo</v>
      </c>
      <c r="X22" t="str">
        <f>X50&amp;"; "&amp;CHAR(10)&amp;Y50&amp;";"&amp;CHAR(10)&amp;Y51&amp;";"&amp;CHAR(10)&amp;Y52&amp;";"&amp;CHAR(10)&amp;Y53</f>
        <v>EER-Rated Pkg AC, 240-760 kBTU/h; 
Pre-2005: EER = 9.3,  one-speed fan, w/Econo;
2006 - 2009: EER = 9.3,  one-speed fan, w/Econo;
2010 - 2013: EER = 9.8,  one-speed fan, w/Econo;
2014 - 2015: EER = 9.8 (IEER = 11.2), two-speed fan, w/Econo</v>
      </c>
    </row>
    <row r="23" spans="4:24" x14ac:dyDescent="0.25">
      <c r="D23" s="158" t="s">
        <v>338</v>
      </c>
      <c r="E23" t="s">
        <v>658</v>
      </c>
      <c r="F23" s="158" t="s">
        <v>450</v>
      </c>
      <c r="G23" s="50" t="s">
        <v>521</v>
      </c>
      <c r="H23" s="50">
        <v>12.8</v>
      </c>
      <c r="I23" s="233">
        <v>10.8</v>
      </c>
      <c r="J23" s="233">
        <v>240</v>
      </c>
      <c r="K23" s="233">
        <v>760</v>
      </c>
      <c r="L23" s="233" t="s">
        <v>480</v>
      </c>
      <c r="M23" s="233">
        <v>0.70499999999999996</v>
      </c>
      <c r="N23" s="234">
        <v>0.25463999999999998</v>
      </c>
      <c r="O23" s="240">
        <v>320.40000000000003</v>
      </c>
      <c r="P23" s="50">
        <v>0.61</v>
      </c>
      <c r="Q23" s="50">
        <v>0</v>
      </c>
      <c r="R23" s="50">
        <v>100</v>
      </c>
      <c r="S23" s="50" t="b">
        <v>1</v>
      </c>
      <c r="T23" s="50" t="s">
        <v>478</v>
      </c>
      <c r="U23" s="50" t="s">
        <v>467</v>
      </c>
      <c r="V23" s="50"/>
      <c r="W23" t="str">
        <f t="shared" si="0"/>
        <v>EER-rated packaged Air Conditioner, Size Range: 240 - 760 kBTU/h, EER = 10.8 (IEER = 12.8), EIR = 0.255, Fan W/CFM = 0.61, two-speed fan, with Econo</v>
      </c>
    </row>
    <row r="24" spans="4:24" x14ac:dyDescent="0.25">
      <c r="D24" s="158" t="s">
        <v>339</v>
      </c>
      <c r="E24" t="s">
        <v>659</v>
      </c>
      <c r="F24" s="158" t="s">
        <v>450</v>
      </c>
      <c r="G24" s="50" t="s">
        <v>521</v>
      </c>
      <c r="H24" s="50">
        <v>13.9</v>
      </c>
      <c r="I24" s="233">
        <v>11.5</v>
      </c>
      <c r="J24" s="233">
        <v>240</v>
      </c>
      <c r="K24" s="233">
        <v>760</v>
      </c>
      <c r="L24" s="233" t="s">
        <v>480</v>
      </c>
      <c r="M24" s="233">
        <v>0.70499999999999996</v>
      </c>
      <c r="N24" s="234">
        <v>0.23585</v>
      </c>
      <c r="O24" s="240">
        <v>320.40000000000003</v>
      </c>
      <c r="P24" s="50">
        <v>0.61</v>
      </c>
      <c r="Q24" s="50">
        <v>0</v>
      </c>
      <c r="R24" s="50">
        <v>100</v>
      </c>
      <c r="S24" s="50" t="b">
        <v>1</v>
      </c>
      <c r="T24" s="50" t="s">
        <v>478</v>
      </c>
      <c r="U24" s="50" t="s">
        <v>467</v>
      </c>
      <c r="V24" s="50"/>
      <c r="W24" t="str">
        <f t="shared" si="0"/>
        <v>EER-rated packaged Air Conditioner, Size Range: 240 - 760 kBTU/h, EER = 11.5 (IEER = 13.9), EIR = 0.236, Fan W/CFM = 0.61, two-speed fan, with Econo</v>
      </c>
    </row>
    <row r="25" spans="4:24" x14ac:dyDescent="0.25">
      <c r="D25" s="158" t="s">
        <v>340</v>
      </c>
      <c r="E25" t="s">
        <v>660</v>
      </c>
      <c r="F25" s="158" t="s">
        <v>450</v>
      </c>
      <c r="G25" s="50" t="s">
        <v>521</v>
      </c>
      <c r="H25" s="50">
        <v>15.5</v>
      </c>
      <c r="I25" s="233">
        <v>12.5</v>
      </c>
      <c r="J25" s="233">
        <v>240</v>
      </c>
      <c r="K25" s="233">
        <v>760</v>
      </c>
      <c r="L25" s="233" t="s">
        <v>480</v>
      </c>
      <c r="M25" s="233">
        <v>0.70499999999999996</v>
      </c>
      <c r="N25" s="234">
        <v>0.21257000000000001</v>
      </c>
      <c r="O25" s="240">
        <v>320.40000000000003</v>
      </c>
      <c r="P25" s="50">
        <v>0.61</v>
      </c>
      <c r="Q25" s="50">
        <v>0</v>
      </c>
      <c r="R25" s="50">
        <v>100</v>
      </c>
      <c r="S25" s="50" t="b">
        <v>1</v>
      </c>
      <c r="T25" s="50" t="s">
        <v>478</v>
      </c>
      <c r="U25" s="50" t="s">
        <v>467</v>
      </c>
      <c r="V25" s="50"/>
      <c r="W25" t="str">
        <f t="shared" si="0"/>
        <v>EER-rated packaged Air Conditioner, Size Range: 240 - 760 kBTU/h, EER = 12.5 (IEER = 15.5), EIR = 0.213, Fan W/CFM = 0.61, two-speed fan, with Econo</v>
      </c>
    </row>
    <row r="26" spans="4:24" x14ac:dyDescent="0.25">
      <c r="D26" s="158" t="s">
        <v>329</v>
      </c>
      <c r="E26" t="s">
        <v>661</v>
      </c>
      <c r="F26" s="158" t="s">
        <v>450</v>
      </c>
      <c r="G26" s="50" t="s">
        <v>523</v>
      </c>
      <c r="H26" s="50">
        <v>11.4</v>
      </c>
      <c r="I26" s="233">
        <v>10</v>
      </c>
      <c r="J26" s="233">
        <v>240</v>
      </c>
      <c r="K26" s="233">
        <v>760</v>
      </c>
      <c r="L26" s="233" t="s">
        <v>480</v>
      </c>
      <c r="M26" s="233">
        <v>0.70799999999999996</v>
      </c>
      <c r="N26" s="234">
        <v>0.28182000000000001</v>
      </c>
      <c r="O26" s="240">
        <v>321.60000000000002</v>
      </c>
      <c r="P26" s="50">
        <v>0.72</v>
      </c>
      <c r="Q26" s="50">
        <v>0</v>
      </c>
      <c r="R26" s="50">
        <v>100</v>
      </c>
      <c r="S26" s="50" t="b">
        <v>1</v>
      </c>
      <c r="T26" s="50" t="s">
        <v>498</v>
      </c>
      <c r="U26" s="50" t="s">
        <v>497</v>
      </c>
      <c r="V26" s="50"/>
      <c r="W26" t="str">
        <f t="shared" si="0"/>
        <v>EER-rated packaged Air Conditioner, Size Range: 240 - 760 kBTU/h, EER = 10 (IEER = 11.4), EIR = 0.282, Fan W/CFM = 0.72, var-speed fan, with Econo</v>
      </c>
      <c r="X26" t="str">
        <f>X54&amp;"; "&amp;CHAR(10)&amp;Y54&amp;";"&amp;CHAR(10)&amp;Y55&amp;";"&amp;CHAR(10)&amp;Y56&amp;";"&amp;CHAR(10)&amp;Y57</f>
        <v>EER-Rated Pkg AC, 240-760 kBTU/h; 
Pre-2005: EER = 9.5,  var-speed fan, w/Econo;
2006 - 2009: EER = 9.5,  var-speed fan, w/Econo;
2010 - 2013: EER = 10,  var-speed fan, w/Econo;
2014 - 2015: EER = 10 (IEER = 11.4), var-speed fan, w/Econo</v>
      </c>
    </row>
    <row r="27" spans="4:24" x14ac:dyDescent="0.25">
      <c r="D27" s="158" t="s">
        <v>330</v>
      </c>
      <c r="E27" t="s">
        <v>658</v>
      </c>
      <c r="F27" s="158" t="s">
        <v>450</v>
      </c>
      <c r="G27" s="50" t="s">
        <v>521</v>
      </c>
      <c r="H27" s="50">
        <v>12.8</v>
      </c>
      <c r="I27" s="233">
        <v>10.8</v>
      </c>
      <c r="J27" s="233">
        <v>240</v>
      </c>
      <c r="K27" s="233">
        <v>760</v>
      </c>
      <c r="L27" s="233" t="s">
        <v>480</v>
      </c>
      <c r="M27" s="233">
        <v>0.70799999999999996</v>
      </c>
      <c r="N27" s="234">
        <v>0.25618999999999997</v>
      </c>
      <c r="O27" s="240">
        <v>321.60000000000002</v>
      </c>
      <c r="P27" s="50">
        <v>0.72</v>
      </c>
      <c r="Q27" s="50">
        <v>0</v>
      </c>
      <c r="R27" s="50">
        <v>100</v>
      </c>
      <c r="S27" s="50" t="b">
        <v>1</v>
      </c>
      <c r="T27" s="50" t="s">
        <v>498</v>
      </c>
      <c r="U27" s="50" t="s">
        <v>497</v>
      </c>
      <c r="V27" s="50"/>
      <c r="W27" t="str">
        <f t="shared" si="0"/>
        <v>EER-rated packaged Air Conditioner, Size Range: 240 - 760 kBTU/h, EER = 10.8 (IEER = 12.8), EIR = 0.256, Fan W/CFM = 0.72, var-speed fan, with Econo</v>
      </c>
    </row>
    <row r="28" spans="4:24" x14ac:dyDescent="0.25">
      <c r="D28" s="158" t="s">
        <v>331</v>
      </c>
      <c r="E28" t="s">
        <v>659</v>
      </c>
      <c r="F28" s="158" t="s">
        <v>450</v>
      </c>
      <c r="G28" s="50" t="s">
        <v>521</v>
      </c>
      <c r="H28" s="50">
        <v>13.9</v>
      </c>
      <c r="I28" s="233">
        <v>11.5</v>
      </c>
      <c r="J28" s="233">
        <v>240</v>
      </c>
      <c r="K28" s="233">
        <v>760</v>
      </c>
      <c r="L28" s="233" t="s">
        <v>480</v>
      </c>
      <c r="M28" s="233">
        <v>0.70799999999999996</v>
      </c>
      <c r="N28" s="234">
        <v>0.23663000000000001</v>
      </c>
      <c r="O28" s="240">
        <v>321.60000000000002</v>
      </c>
      <c r="P28" s="50">
        <v>0.72</v>
      </c>
      <c r="Q28" s="50">
        <v>0</v>
      </c>
      <c r="R28" s="50">
        <v>100</v>
      </c>
      <c r="S28" s="50" t="b">
        <v>1</v>
      </c>
      <c r="T28" s="50" t="s">
        <v>498</v>
      </c>
      <c r="U28" s="50" t="s">
        <v>497</v>
      </c>
      <c r="V28" s="50"/>
      <c r="W28" t="str">
        <f t="shared" si="0"/>
        <v>EER-rated packaged Air Conditioner, Size Range: 240 - 760 kBTU/h, EER = 11.5 (IEER = 13.9), EIR = 0.237, Fan W/CFM = 0.72, var-speed fan, with Econo</v>
      </c>
    </row>
    <row r="29" spans="4:24" x14ac:dyDescent="0.25">
      <c r="D29" s="158" t="s">
        <v>332</v>
      </c>
      <c r="E29" t="s">
        <v>660</v>
      </c>
      <c r="F29" s="158" t="s">
        <v>450</v>
      </c>
      <c r="G29" s="50" t="s">
        <v>521</v>
      </c>
      <c r="H29" s="50">
        <v>15.6</v>
      </c>
      <c r="I29" s="233">
        <v>12.5</v>
      </c>
      <c r="J29" s="233">
        <v>240</v>
      </c>
      <c r="K29" s="233">
        <v>760</v>
      </c>
      <c r="L29" s="233" t="s">
        <v>480</v>
      </c>
      <c r="M29" s="233">
        <v>0.70799999999999996</v>
      </c>
      <c r="N29" s="234">
        <v>0.21235000000000001</v>
      </c>
      <c r="O29" s="240">
        <v>321.60000000000002</v>
      </c>
      <c r="P29" s="50">
        <v>0.72</v>
      </c>
      <c r="Q29" s="50">
        <v>0</v>
      </c>
      <c r="R29" s="50">
        <v>100</v>
      </c>
      <c r="S29" s="50" t="b">
        <v>1</v>
      </c>
      <c r="T29" s="50" t="s">
        <v>498</v>
      </c>
      <c r="U29" s="50" t="s">
        <v>497</v>
      </c>
      <c r="V29" s="50"/>
      <c r="W29" t="str">
        <f t="shared" si="0"/>
        <v>EER-rated packaged Air Conditioner, Size Range: 240 - 760 kBTU/h, EER = 12.5 (IEER = 15.6), EIR = 0.212, Fan W/CFM = 0.72, var-speed fan, with Econo</v>
      </c>
    </row>
    <row r="30" spans="4:24" x14ac:dyDescent="0.25">
      <c r="D30" s="158" t="s">
        <v>341</v>
      </c>
      <c r="E30" t="s">
        <v>662</v>
      </c>
      <c r="F30" s="158" t="s">
        <v>450</v>
      </c>
      <c r="G30" s="50" t="s">
        <v>523</v>
      </c>
      <c r="H30" s="50">
        <v>10.7</v>
      </c>
      <c r="I30" s="233">
        <v>9.5</v>
      </c>
      <c r="J30" s="233">
        <v>760</v>
      </c>
      <c r="K30" s="233"/>
      <c r="L30" s="233" t="s">
        <v>480</v>
      </c>
      <c r="M30" s="233">
        <v>0.70499999999999996</v>
      </c>
      <c r="N30" s="234">
        <v>0.29707</v>
      </c>
      <c r="O30" s="240">
        <v>320.40000000000003</v>
      </c>
      <c r="P30" s="50">
        <v>0.61</v>
      </c>
      <c r="Q30" s="50">
        <v>0</v>
      </c>
      <c r="R30" s="50">
        <v>100</v>
      </c>
      <c r="S30" s="50" t="b">
        <v>1</v>
      </c>
      <c r="T30" s="50" t="s">
        <v>478</v>
      </c>
      <c r="U30" s="50" t="s">
        <v>467</v>
      </c>
      <c r="V30" s="50"/>
      <c r="W30" t="str">
        <f t="shared" si="0"/>
        <v>EER-rated packaged Air Conditioner, Size Range: 760 -  kBTU/h, EER = 9.5 (IEER = 10.7), EIR = 0.297, Fan W/CFM = 0.61, two-speed fan, with Econo</v>
      </c>
      <c r="X30" t="str">
        <f>X58&amp;"; "&amp;CHAR(10)&amp;Y58&amp;";"&amp;CHAR(10)&amp;Y59&amp;";"&amp;CHAR(10)&amp;Y60&amp;";"&amp;CHAR(10)&amp;Y61</f>
        <v>EER-Rated Pkg AC, 760+ kBTU/h; 
Pre-2005: EER = 9,  one-speed fan, w/Econo;
2006 - 2009: EER = 9,  one-speed fan, w/Econo;
2010 - 2013: EER = 9.5,  one-speed fan, w/Econo;
2014 - 2015: EER = 9.5 (IEER = 10.7), two-speed fan, w/Econo</v>
      </c>
    </row>
    <row r="31" spans="4:24" x14ac:dyDescent="0.25">
      <c r="D31" s="158" t="s">
        <v>342</v>
      </c>
      <c r="E31" t="s">
        <v>663</v>
      </c>
      <c r="F31" s="158" t="s">
        <v>450</v>
      </c>
      <c r="G31" s="50" t="s">
        <v>521</v>
      </c>
      <c r="H31" s="50">
        <v>11.8</v>
      </c>
      <c r="I31" s="233">
        <v>10.199999999999999</v>
      </c>
      <c r="J31" s="233">
        <v>760</v>
      </c>
      <c r="K31" s="233"/>
      <c r="L31" s="233" t="s">
        <v>480</v>
      </c>
      <c r="M31" s="233">
        <v>0.70499999999999996</v>
      </c>
      <c r="N31" s="234">
        <v>0.27298</v>
      </c>
      <c r="O31" s="240">
        <v>320.40000000000003</v>
      </c>
      <c r="P31" s="50">
        <v>0.61</v>
      </c>
      <c r="Q31" s="50">
        <v>0</v>
      </c>
      <c r="R31" s="50">
        <v>100</v>
      </c>
      <c r="S31" s="50" t="b">
        <v>1</v>
      </c>
      <c r="T31" s="50" t="s">
        <v>478</v>
      </c>
      <c r="U31" s="50" t="s">
        <v>467</v>
      </c>
      <c r="V31" s="50"/>
      <c r="W31" t="str">
        <f t="shared" si="0"/>
        <v>EER-rated packaged Air Conditioner, Size Range: 760 -  kBTU/h, EER = 10.2 (IEER = 11.8), EIR = 0.273, Fan W/CFM = 0.61, two-speed fan, with Econo</v>
      </c>
    </row>
    <row r="32" spans="4:24" x14ac:dyDescent="0.25">
      <c r="D32" s="158" t="s">
        <v>343</v>
      </c>
      <c r="E32" t="s">
        <v>664</v>
      </c>
      <c r="F32" s="158" t="s">
        <v>450</v>
      </c>
      <c r="G32" s="50" t="s">
        <v>521</v>
      </c>
      <c r="H32" s="50">
        <v>13.1</v>
      </c>
      <c r="I32" s="233">
        <v>11</v>
      </c>
      <c r="J32" s="233">
        <v>760</v>
      </c>
      <c r="K32" s="233"/>
      <c r="L32" s="233" t="s">
        <v>480</v>
      </c>
      <c r="M32" s="233">
        <v>0.70499999999999996</v>
      </c>
      <c r="N32" s="234">
        <v>0.24907000000000001</v>
      </c>
      <c r="O32" s="240">
        <v>320.40000000000003</v>
      </c>
      <c r="P32" s="50">
        <v>0.61</v>
      </c>
      <c r="Q32" s="50">
        <v>0</v>
      </c>
      <c r="R32" s="50">
        <v>100</v>
      </c>
      <c r="S32" s="50" t="b">
        <v>1</v>
      </c>
      <c r="T32" s="50" t="s">
        <v>478</v>
      </c>
      <c r="U32" s="50" t="s">
        <v>467</v>
      </c>
      <c r="V32" s="50"/>
      <c r="W32" t="str">
        <f t="shared" si="0"/>
        <v>EER-rated packaged Air Conditioner, Size Range: 760 -  kBTU/h, EER = 11 (IEER = 13.1), EIR = 0.249, Fan W/CFM = 0.61, two-speed fan, with Econo</v>
      </c>
    </row>
    <row r="33" spans="4:26" x14ac:dyDescent="0.25">
      <c r="D33" s="158" t="s">
        <v>344</v>
      </c>
      <c r="E33" t="s">
        <v>665</v>
      </c>
      <c r="F33" s="158" t="s">
        <v>450</v>
      </c>
      <c r="G33" s="50" t="s">
        <v>521</v>
      </c>
      <c r="H33" s="50">
        <v>14.7</v>
      </c>
      <c r="I33" s="233">
        <v>12</v>
      </c>
      <c r="J33" s="233">
        <v>760</v>
      </c>
      <c r="K33" s="233"/>
      <c r="L33" s="233" t="s">
        <v>480</v>
      </c>
      <c r="M33" s="233">
        <v>0.70499999999999996</v>
      </c>
      <c r="N33" s="234">
        <v>0.22373000000000001</v>
      </c>
      <c r="O33" s="240">
        <v>320.40000000000003</v>
      </c>
      <c r="P33" s="50">
        <v>0.61</v>
      </c>
      <c r="Q33" s="50">
        <v>0</v>
      </c>
      <c r="R33" s="50">
        <v>100</v>
      </c>
      <c r="S33" s="50" t="b">
        <v>1</v>
      </c>
      <c r="T33" s="50" t="s">
        <v>478</v>
      </c>
      <c r="U33" s="50" t="s">
        <v>467</v>
      </c>
      <c r="V33" s="50"/>
      <c r="W33" t="str">
        <f t="shared" si="0"/>
        <v>EER-rated packaged Air Conditioner, Size Range: 760 -  kBTU/h, EER = 12 (IEER = 14.7), EIR = 0.224, Fan W/CFM = 0.61, two-speed fan, with Econo</v>
      </c>
    </row>
    <row r="34" spans="4:26" x14ac:dyDescent="0.25">
      <c r="D34" s="158" t="s">
        <v>333</v>
      </c>
      <c r="E34" t="s">
        <v>666</v>
      </c>
      <c r="F34" s="158" t="s">
        <v>450</v>
      </c>
      <c r="G34" s="50" t="s">
        <v>523</v>
      </c>
      <c r="H34" s="50">
        <v>10.9</v>
      </c>
      <c r="I34" s="233">
        <v>9.6999999999999993</v>
      </c>
      <c r="J34" s="233">
        <v>760</v>
      </c>
      <c r="K34" s="233"/>
      <c r="L34" s="233" t="s">
        <v>480</v>
      </c>
      <c r="M34" s="233">
        <v>0.70799999999999996</v>
      </c>
      <c r="N34" s="234">
        <v>0.29276999999999997</v>
      </c>
      <c r="O34" s="240">
        <v>321.60000000000002</v>
      </c>
      <c r="P34" s="50">
        <v>0.72</v>
      </c>
      <c r="Q34" s="50">
        <v>0</v>
      </c>
      <c r="R34" s="50">
        <v>100</v>
      </c>
      <c r="S34" s="50" t="b">
        <v>1</v>
      </c>
      <c r="T34" s="50" t="s">
        <v>498</v>
      </c>
      <c r="U34" s="50" t="s">
        <v>497</v>
      </c>
      <c r="V34" s="50"/>
      <c r="W34" t="str">
        <f t="shared" si="0"/>
        <v>EER-rated packaged Air Conditioner, Size Range: 760 -  kBTU/h, EER = 9.7 (IEER = 10.9), EIR = 0.293, Fan W/CFM = 0.72, var-speed fan, with Econo</v>
      </c>
      <c r="X34" t="str">
        <f>X62&amp;"; "&amp;CHAR(10)&amp;Y62&amp;";"&amp;CHAR(10)&amp;Y63&amp;";"&amp;CHAR(10)&amp;Y64&amp;";"&amp;CHAR(10)&amp;Y65</f>
        <v>EER-Rated Pkg AC, 760+ kBTU/h; 
Pre-2005: EER = 9.2,  var-speed fan, w/Econo;
2006 - 2009: EER = 9.2,  var-speed fan, w/Econo;
2010 - 2013: EER = 9.7,  var-speed fan, w/Econo;
2014 - 2015: EER = 9.7 (IEER = 10.9), var-speed fan, w/Econo</v>
      </c>
    </row>
    <row r="35" spans="4:26" x14ac:dyDescent="0.25">
      <c r="D35" s="158" t="s">
        <v>334</v>
      </c>
      <c r="E35" t="s">
        <v>663</v>
      </c>
      <c r="F35" s="158" t="s">
        <v>450</v>
      </c>
      <c r="G35" s="50" t="s">
        <v>521</v>
      </c>
      <c r="H35" s="50">
        <v>11.8</v>
      </c>
      <c r="I35" s="233">
        <v>10.199999999999999</v>
      </c>
      <c r="J35" s="233">
        <v>760</v>
      </c>
      <c r="K35" s="233"/>
      <c r="L35" s="233" t="s">
        <v>480</v>
      </c>
      <c r="M35" s="233">
        <v>0.70799999999999996</v>
      </c>
      <c r="N35" s="234">
        <v>0.27512999999999999</v>
      </c>
      <c r="O35" s="240">
        <v>321.60000000000002</v>
      </c>
      <c r="P35" s="50">
        <v>0.72</v>
      </c>
      <c r="Q35" s="50">
        <v>0</v>
      </c>
      <c r="R35" s="50">
        <v>100</v>
      </c>
      <c r="S35" s="50" t="b">
        <v>1</v>
      </c>
      <c r="T35" s="50" t="s">
        <v>498</v>
      </c>
      <c r="U35" s="50" t="s">
        <v>497</v>
      </c>
      <c r="V35" s="50"/>
      <c r="W35" t="str">
        <f t="shared" si="0"/>
        <v>EER-rated packaged Air Conditioner, Size Range: 760 -  kBTU/h, EER = 10.2 (IEER = 11.8), EIR = 0.275, Fan W/CFM = 0.72, var-speed fan, with Econo</v>
      </c>
    </row>
    <row r="36" spans="4:26" x14ac:dyDescent="0.25">
      <c r="D36" s="158" t="s">
        <v>335</v>
      </c>
      <c r="E36" t="s">
        <v>664</v>
      </c>
      <c r="F36" s="158" t="s">
        <v>450</v>
      </c>
      <c r="G36" s="50" t="s">
        <v>521</v>
      </c>
      <c r="H36" s="50">
        <v>13.1</v>
      </c>
      <c r="I36" s="233">
        <v>11</v>
      </c>
      <c r="J36" s="233">
        <v>760</v>
      </c>
      <c r="K36" s="233"/>
      <c r="L36" s="233" t="s">
        <v>480</v>
      </c>
      <c r="M36" s="233">
        <v>0.70799999999999996</v>
      </c>
      <c r="N36" s="234">
        <v>0.25044</v>
      </c>
      <c r="O36" s="240">
        <v>321.60000000000002</v>
      </c>
      <c r="P36" s="50">
        <v>0.72</v>
      </c>
      <c r="Q36" s="50">
        <v>0</v>
      </c>
      <c r="R36" s="50">
        <v>100</v>
      </c>
      <c r="S36" s="50" t="b">
        <v>1</v>
      </c>
      <c r="T36" s="50" t="s">
        <v>498</v>
      </c>
      <c r="U36" s="50" t="s">
        <v>497</v>
      </c>
      <c r="V36" s="50"/>
      <c r="W36" t="str">
        <f t="shared" si="0"/>
        <v>EER-rated packaged Air Conditioner, Size Range: 760 -  kBTU/h, EER = 11 (IEER = 13.1), EIR = 0.25, Fan W/CFM = 0.72, var-speed fan, with Econo</v>
      </c>
    </row>
    <row r="37" spans="4:26" x14ac:dyDescent="0.25">
      <c r="D37" s="214" t="s">
        <v>336</v>
      </c>
      <c r="E37" s="5" t="s">
        <v>665</v>
      </c>
      <c r="F37" s="214" t="s">
        <v>450</v>
      </c>
      <c r="G37" s="212" t="s">
        <v>521</v>
      </c>
      <c r="H37" s="212">
        <v>14.8</v>
      </c>
      <c r="I37" s="249">
        <v>12</v>
      </c>
      <c r="J37" s="249">
        <v>760</v>
      </c>
      <c r="K37" s="249"/>
      <c r="L37" s="249" t="s">
        <v>480</v>
      </c>
      <c r="M37" s="249">
        <v>0.70799999999999996</v>
      </c>
      <c r="N37" s="284">
        <v>0.22398000000000001</v>
      </c>
      <c r="O37" s="245">
        <v>321.60000000000002</v>
      </c>
      <c r="P37" s="212">
        <v>0.72</v>
      </c>
      <c r="Q37" s="212">
        <v>0</v>
      </c>
      <c r="R37" s="212">
        <v>100</v>
      </c>
      <c r="S37" s="212" t="b">
        <v>1</v>
      </c>
      <c r="T37" s="212" t="s">
        <v>498</v>
      </c>
      <c r="U37" s="212" t="s">
        <v>497</v>
      </c>
      <c r="V37" s="212"/>
      <c r="W37" t="str">
        <f t="shared" si="0"/>
        <v>EER-rated packaged Air Conditioner, Size Range: 760 -  kBTU/h, EER = 12 (IEER = 14.8), EIR = 0.224, Fan W/CFM = 0.72, var-speed fan, with Econo</v>
      </c>
    </row>
    <row r="38" spans="4:26" x14ac:dyDescent="0.25">
      <c r="D38" s="158" t="s">
        <v>667</v>
      </c>
      <c r="E38" t="s">
        <v>668</v>
      </c>
      <c r="F38" s="158" t="s">
        <v>450</v>
      </c>
      <c r="G38" s="50" t="s">
        <v>524</v>
      </c>
      <c r="H38" s="50" t="s">
        <v>528</v>
      </c>
      <c r="I38" s="247">
        <v>10.1</v>
      </c>
      <c r="J38" s="233">
        <v>65</v>
      </c>
      <c r="K38" s="233">
        <v>110</v>
      </c>
      <c r="L38" s="233" t="s">
        <v>480</v>
      </c>
      <c r="P38">
        <v>0.4</v>
      </c>
      <c r="Q38" s="50">
        <v>0</v>
      </c>
      <c r="R38" s="50">
        <v>100</v>
      </c>
      <c r="S38" s="50" t="b">
        <v>0</v>
      </c>
      <c r="T38" s="50" t="s">
        <v>477</v>
      </c>
      <c r="U38" s="50" t="s">
        <v>467</v>
      </c>
      <c r="W38" t="str">
        <f>G38&amp;": "&amp;$E$9&amp;", Size Range: "&amp;J38&amp;" - "&amp;K38&amp;" kBTU/h, EER = "&amp;I38&amp;IF(H38&lt;&gt;"na"," (IEER = "&amp;H38&amp;"), ",",  ")&amp;T38&amp;" fan, "&amp;IF(S38,"with Economizer","without Econo")</f>
        <v>Pre-2005: EER-rated packaged Air Conditioner, Size Range: 65 - 110 kBTU/h, EER = 10.1,  one-speed fan, without Econo</v>
      </c>
      <c r="X38" t="str">
        <f>$E$8&amp;", "&amp;J38&amp;"-"&amp;K38&amp;" kBTU/h"</f>
        <v>EER-Rated Pkg AC, 65-110 kBTU/h</v>
      </c>
      <c r="Y38" t="str">
        <f>G38&amp;": EER = "&amp;I38&amp;IF(H38&lt;&gt;"na"," (IEER = "&amp;H38&amp;"), ",",  ")&amp;T38&amp;" fan, "&amp;IF(S38,"w/Econo","no Econo")</f>
        <v>Pre-2005: EER = 10.1,  one-speed fan, no Econo</v>
      </c>
      <c r="Z38" s="181" t="str">
        <f>G38&amp;": EER = "&amp;I38&amp;IF(H38&lt;&gt;"na"," (IEER = "&amp;H38&amp;"), ",",  ")&amp;T38&amp;" fan, w/Econo"</f>
        <v>Pre-2005: EER = 10.1,  one-speed fan, w/Econo</v>
      </c>
    </row>
    <row r="39" spans="4:26" x14ac:dyDescent="0.25">
      <c r="D39" s="158" t="s">
        <v>669</v>
      </c>
      <c r="E39" t="s">
        <v>668</v>
      </c>
      <c r="F39" s="158" t="s">
        <v>450</v>
      </c>
      <c r="G39" s="50" t="s">
        <v>525</v>
      </c>
      <c r="H39" s="50" t="s">
        <v>528</v>
      </c>
      <c r="I39" s="247">
        <v>10.1</v>
      </c>
      <c r="J39" s="233">
        <v>65</v>
      </c>
      <c r="K39" s="233">
        <v>110</v>
      </c>
      <c r="L39" s="233" t="s">
        <v>480</v>
      </c>
      <c r="P39">
        <v>0.4</v>
      </c>
      <c r="Q39" s="50">
        <v>0</v>
      </c>
      <c r="R39" s="50">
        <v>100</v>
      </c>
      <c r="S39" s="50" t="b">
        <v>0</v>
      </c>
      <c r="T39" s="50" t="s">
        <v>477</v>
      </c>
      <c r="U39" s="50" t="s">
        <v>467</v>
      </c>
      <c r="W39" t="str">
        <f t="shared" ref="W39:W65" si="1">G39&amp;": "&amp;$E$9&amp;", Size Range: "&amp;J39&amp;" - "&amp;K39&amp;" kBTU/h, EER = "&amp;I39&amp;IF(H39&lt;&gt;"na"," (IEER = "&amp;H39&amp;"), ",",  ")&amp;T39&amp;" fan, "&amp;IF(S39,"with Economizer","without Econo")</f>
        <v>2006 - 2009: EER-rated packaged Air Conditioner, Size Range: 65 - 110 kBTU/h, EER = 10.1,  one-speed fan, without Econo</v>
      </c>
      <c r="Y39" t="str">
        <f t="shared" ref="Y39:Y41" si="2">G39&amp;": EER = "&amp;I39&amp;IF(H39&lt;&gt;"na"," (IEER = "&amp;H39&amp;"), ",",  ")&amp;T39&amp;" fan, "&amp;IF(S39,"w/Econo","no Econo")</f>
        <v>2006 - 2009: EER = 10.1,  one-speed fan, no Econo</v>
      </c>
      <c r="Z39" s="181" t="str">
        <f t="shared" ref="Z39:Z42" si="3">G39&amp;": EER = "&amp;I39&amp;IF(H39&lt;&gt;"na"," (IEER = "&amp;H39&amp;"), ",",  ")&amp;T39&amp;" fan, w/Econo"</f>
        <v>2006 - 2009: EER = 10.1,  one-speed fan, w/Econo</v>
      </c>
    </row>
    <row r="40" spans="4:26" x14ac:dyDescent="0.25">
      <c r="D40" s="158" t="s">
        <v>670</v>
      </c>
      <c r="E40" t="s">
        <v>645</v>
      </c>
      <c r="F40" s="158" t="s">
        <v>450</v>
      </c>
      <c r="G40" s="50" t="s">
        <v>526</v>
      </c>
      <c r="H40" s="50" t="s">
        <v>528</v>
      </c>
      <c r="I40" s="247">
        <v>11</v>
      </c>
      <c r="J40" s="233">
        <v>65</v>
      </c>
      <c r="K40" s="233">
        <v>110</v>
      </c>
      <c r="L40" s="233" t="s">
        <v>480</v>
      </c>
      <c r="P40">
        <v>0.4</v>
      </c>
      <c r="Q40" s="50">
        <v>0</v>
      </c>
      <c r="R40" s="50">
        <v>100</v>
      </c>
      <c r="S40" s="50" t="b">
        <v>0</v>
      </c>
      <c r="T40" s="50" t="s">
        <v>477</v>
      </c>
      <c r="U40" s="50" t="s">
        <v>467</v>
      </c>
      <c r="W40" t="str">
        <f t="shared" si="1"/>
        <v>2010 - 2013: EER-rated packaged Air Conditioner, Size Range: 65 - 110 kBTU/h, EER = 11,  one-speed fan, without Econo</v>
      </c>
      <c r="Y40" t="str">
        <f t="shared" si="2"/>
        <v>2010 - 2013: EER = 11,  one-speed fan, no Econo</v>
      </c>
      <c r="Z40" s="181" t="str">
        <f t="shared" si="3"/>
        <v>2010 - 2013: EER = 11,  one-speed fan, w/Econo</v>
      </c>
    </row>
    <row r="41" spans="4:26" x14ac:dyDescent="0.25">
      <c r="D41" s="158" t="s">
        <v>671</v>
      </c>
      <c r="E41" t="s">
        <v>645</v>
      </c>
      <c r="F41" s="158" t="s">
        <v>450</v>
      </c>
      <c r="G41" s="50" t="s">
        <v>527</v>
      </c>
      <c r="H41">
        <v>13.4</v>
      </c>
      <c r="I41" s="247">
        <v>11</v>
      </c>
      <c r="J41" s="233">
        <v>65</v>
      </c>
      <c r="K41" s="233">
        <v>110</v>
      </c>
      <c r="L41" s="233" t="s">
        <v>480</v>
      </c>
      <c r="P41">
        <v>0.4</v>
      </c>
      <c r="Q41" s="50">
        <v>0</v>
      </c>
      <c r="R41" s="50">
        <v>100</v>
      </c>
      <c r="S41" s="50" t="b">
        <v>1</v>
      </c>
      <c r="T41" s="50" t="s">
        <v>478</v>
      </c>
      <c r="U41" s="50" t="s">
        <v>467</v>
      </c>
      <c r="W41" t="str">
        <f t="shared" si="1"/>
        <v>2014 - 2015: EER-rated packaged Air Conditioner, Size Range: 65 - 110 kBTU/h, EER = 11 (IEER = 13.4), two-speed fan, with Economizer</v>
      </c>
      <c r="Y41" t="str">
        <f t="shared" si="2"/>
        <v>2014 - 2015: EER = 11 (IEER = 13.4), two-speed fan, w/Econo</v>
      </c>
      <c r="Z41" s="181" t="str">
        <f t="shared" si="3"/>
        <v>2014 - 2015: EER = 11 (IEER = 13.4), two-speed fan, w/Econo</v>
      </c>
    </row>
    <row r="42" spans="4:26" x14ac:dyDescent="0.25">
      <c r="D42" s="158" t="s">
        <v>672</v>
      </c>
      <c r="E42" t="s">
        <v>673</v>
      </c>
      <c r="F42" s="158" t="s">
        <v>450</v>
      </c>
      <c r="G42" s="50" t="s">
        <v>524</v>
      </c>
      <c r="H42" s="50" t="s">
        <v>528</v>
      </c>
      <c r="I42" s="247">
        <v>10.1</v>
      </c>
      <c r="J42" s="233">
        <v>110</v>
      </c>
      <c r="K42" s="233">
        <v>135</v>
      </c>
      <c r="L42" s="233" t="s">
        <v>480</v>
      </c>
      <c r="P42" s="50">
        <v>0.4</v>
      </c>
      <c r="Q42" s="50">
        <v>0</v>
      </c>
      <c r="R42" s="50">
        <v>100</v>
      </c>
      <c r="S42" s="50" t="b">
        <v>1</v>
      </c>
      <c r="T42" s="50" t="s">
        <v>477</v>
      </c>
      <c r="U42" s="50" t="s">
        <v>467</v>
      </c>
      <c r="W42" t="str">
        <f t="shared" si="1"/>
        <v>Pre-2005: EER-rated packaged Air Conditioner, Size Range: 110 - 135 kBTU/h, EER = 10.1,  one-speed fan, with Economizer</v>
      </c>
      <c r="X42" t="str">
        <f>$E$8&amp;", "&amp;J42&amp;"-"&amp;K42&amp;" kBTU/h"</f>
        <v>EER-Rated Pkg AC, 110-135 kBTU/h</v>
      </c>
      <c r="Y42" t="str">
        <f>G42&amp;": EER = "&amp;I42&amp;IF(H42&lt;&gt;"na"," (IEER = "&amp;H42&amp;"), ",",  ")&amp;T42&amp;" fan, "&amp;IF(S42,"w/Econo","no Econo")</f>
        <v>Pre-2005: EER = 10.1,  one-speed fan, w/Econo</v>
      </c>
      <c r="Z42" s="181" t="str">
        <f t="shared" si="3"/>
        <v>Pre-2005: EER = 10.1,  one-speed fan, w/Econo</v>
      </c>
    </row>
    <row r="43" spans="4:26" x14ac:dyDescent="0.25">
      <c r="D43" s="158" t="s">
        <v>674</v>
      </c>
      <c r="E43" t="s">
        <v>673</v>
      </c>
      <c r="F43" s="158" t="s">
        <v>450</v>
      </c>
      <c r="G43" s="50" t="s">
        <v>525</v>
      </c>
      <c r="H43" s="50" t="s">
        <v>528</v>
      </c>
      <c r="I43" s="247">
        <v>10.1</v>
      </c>
      <c r="J43" s="233">
        <v>110</v>
      </c>
      <c r="K43" s="233">
        <v>135</v>
      </c>
      <c r="L43" s="233" t="s">
        <v>480</v>
      </c>
      <c r="P43" s="50">
        <v>0.4</v>
      </c>
      <c r="Q43" s="50">
        <v>0</v>
      </c>
      <c r="R43" s="50">
        <v>100</v>
      </c>
      <c r="S43" s="50" t="b">
        <v>1</v>
      </c>
      <c r="T43" s="50" t="s">
        <v>477</v>
      </c>
      <c r="U43" s="50" t="s">
        <v>467</v>
      </c>
      <c r="W43" t="str">
        <f t="shared" si="1"/>
        <v>2006 - 2009: EER-rated packaged Air Conditioner, Size Range: 110 - 135 kBTU/h, EER = 10.1,  one-speed fan, with Economizer</v>
      </c>
      <c r="Y43" t="str">
        <f t="shared" ref="Y43:Y45" si="4">G43&amp;": EER = "&amp;I43&amp;IF(H43&lt;&gt;"na"," (IEER = "&amp;H43&amp;"), ",",  ")&amp;T43&amp;" fan, "&amp;IF(S43,"w/Econo","no Econo")</f>
        <v>2006 - 2009: EER = 10.1,  one-speed fan, w/Econo</v>
      </c>
    </row>
    <row r="44" spans="4:26" x14ac:dyDescent="0.25">
      <c r="D44" s="158" t="s">
        <v>675</v>
      </c>
      <c r="E44" t="s">
        <v>649</v>
      </c>
      <c r="F44" s="158" t="s">
        <v>450</v>
      </c>
      <c r="G44" s="50" t="s">
        <v>526</v>
      </c>
      <c r="H44" s="50" t="s">
        <v>528</v>
      </c>
      <c r="I44" s="247">
        <v>11</v>
      </c>
      <c r="J44" s="233">
        <v>110</v>
      </c>
      <c r="K44" s="233">
        <v>135</v>
      </c>
      <c r="L44" s="233" t="s">
        <v>480</v>
      </c>
      <c r="P44" s="50">
        <v>0.4</v>
      </c>
      <c r="Q44" s="50">
        <v>0</v>
      </c>
      <c r="R44" s="50">
        <v>100</v>
      </c>
      <c r="S44" s="50" t="b">
        <v>1</v>
      </c>
      <c r="T44" s="50" t="s">
        <v>477</v>
      </c>
      <c r="U44" s="50" t="s">
        <v>467</v>
      </c>
      <c r="W44" t="str">
        <f t="shared" si="1"/>
        <v>2010 - 2013: EER-rated packaged Air Conditioner, Size Range: 110 - 135 kBTU/h, EER = 11,  one-speed fan, with Economizer</v>
      </c>
      <c r="Y44" t="str">
        <f t="shared" si="4"/>
        <v>2010 - 2013: EER = 11,  one-speed fan, w/Econo</v>
      </c>
    </row>
    <row r="45" spans="4:26" x14ac:dyDescent="0.25">
      <c r="D45" s="158" t="s">
        <v>676</v>
      </c>
      <c r="E45" t="s">
        <v>649</v>
      </c>
      <c r="F45" s="158" t="s">
        <v>450</v>
      </c>
      <c r="G45" s="50" t="s">
        <v>527</v>
      </c>
      <c r="H45">
        <v>13.3</v>
      </c>
      <c r="I45" s="247">
        <v>11</v>
      </c>
      <c r="J45" s="233">
        <v>110</v>
      </c>
      <c r="K45" s="233">
        <v>135</v>
      </c>
      <c r="L45" s="233" t="s">
        <v>480</v>
      </c>
      <c r="P45" s="50">
        <v>0.4</v>
      </c>
      <c r="Q45" s="50">
        <v>0</v>
      </c>
      <c r="R45" s="50">
        <v>100</v>
      </c>
      <c r="S45" s="50" t="b">
        <v>1</v>
      </c>
      <c r="T45" s="50" t="s">
        <v>478</v>
      </c>
      <c r="U45" s="50" t="s">
        <v>467</v>
      </c>
      <c r="W45" t="str">
        <f t="shared" si="1"/>
        <v>2014 - 2015: EER-rated packaged Air Conditioner, Size Range: 110 - 135 kBTU/h, EER = 11 (IEER = 13.3), two-speed fan, with Economizer</v>
      </c>
      <c r="Y45" t="str">
        <f t="shared" si="4"/>
        <v>2014 - 2015: EER = 11 (IEER = 13.3), two-speed fan, w/Econo</v>
      </c>
    </row>
    <row r="46" spans="4:26" x14ac:dyDescent="0.25">
      <c r="D46" s="158" t="s">
        <v>677</v>
      </c>
      <c r="E46" t="s">
        <v>678</v>
      </c>
      <c r="F46" s="158" t="s">
        <v>450</v>
      </c>
      <c r="G46" s="50" t="s">
        <v>524</v>
      </c>
      <c r="H46" s="50" t="s">
        <v>528</v>
      </c>
      <c r="I46" s="247">
        <v>9.5</v>
      </c>
      <c r="J46" s="233">
        <v>135</v>
      </c>
      <c r="K46" s="233">
        <v>240</v>
      </c>
      <c r="L46" s="233" t="s">
        <v>480</v>
      </c>
      <c r="P46" s="50">
        <v>0.41</v>
      </c>
      <c r="Q46" s="50">
        <v>0</v>
      </c>
      <c r="R46" s="50">
        <v>100</v>
      </c>
      <c r="S46" s="50" t="b">
        <v>1</v>
      </c>
      <c r="T46" s="50" t="s">
        <v>477</v>
      </c>
      <c r="U46" s="50" t="s">
        <v>467</v>
      </c>
      <c r="W46" t="str">
        <f t="shared" si="1"/>
        <v>Pre-2005: EER-rated packaged Air Conditioner, Size Range: 135 - 240 kBTU/h, EER = 9.5,  one-speed fan, with Economizer</v>
      </c>
      <c r="X46" t="str">
        <f>$E$8&amp;", "&amp;J46&amp;"-"&amp;K46&amp;" kBTU/h"</f>
        <v>EER-Rated Pkg AC, 135-240 kBTU/h</v>
      </c>
      <c r="Y46" t="str">
        <f>G46&amp;": EER = "&amp;I46&amp;IF(H46&lt;&gt;"na"," (IEER = "&amp;H46&amp;"), ",",  ")&amp;T46&amp;" fan, "&amp;IF(S46,"w/Econo","no Econo")</f>
        <v>Pre-2005: EER = 9.5,  one-speed fan, w/Econo</v>
      </c>
    </row>
    <row r="47" spans="4:26" x14ac:dyDescent="0.25">
      <c r="D47" s="158" t="s">
        <v>679</v>
      </c>
      <c r="E47" t="s">
        <v>678</v>
      </c>
      <c r="F47" s="158" t="s">
        <v>450</v>
      </c>
      <c r="G47" s="50" t="s">
        <v>525</v>
      </c>
      <c r="H47" s="50" t="s">
        <v>528</v>
      </c>
      <c r="I47" s="247">
        <v>9.5</v>
      </c>
      <c r="J47" s="233">
        <v>135</v>
      </c>
      <c r="K47" s="233">
        <v>240</v>
      </c>
      <c r="L47" s="233" t="s">
        <v>480</v>
      </c>
      <c r="P47" s="50">
        <v>0.41</v>
      </c>
      <c r="Q47" s="50">
        <v>0</v>
      </c>
      <c r="R47" s="50">
        <v>100</v>
      </c>
      <c r="S47" s="50" t="b">
        <v>1</v>
      </c>
      <c r="T47" s="50" t="s">
        <v>477</v>
      </c>
      <c r="U47" s="50" t="s">
        <v>467</v>
      </c>
      <c r="W47" t="str">
        <f t="shared" si="1"/>
        <v>2006 - 2009: EER-rated packaged Air Conditioner, Size Range: 135 - 240 kBTU/h, EER = 9.5,  one-speed fan, with Economizer</v>
      </c>
      <c r="Y47" t="str">
        <f t="shared" ref="Y47:Y49" si="5">G47&amp;": EER = "&amp;I47&amp;IF(H47&lt;&gt;"na"," (IEER = "&amp;H47&amp;"), ",",  ")&amp;T47&amp;" fan, "&amp;IF(S47,"w/Econo","no Econo")</f>
        <v>2006 - 2009: EER = 9.5,  one-speed fan, w/Econo</v>
      </c>
    </row>
    <row r="48" spans="4:26" x14ac:dyDescent="0.25">
      <c r="D48" s="158" t="s">
        <v>680</v>
      </c>
      <c r="E48" t="s">
        <v>653</v>
      </c>
      <c r="F48" s="158" t="s">
        <v>450</v>
      </c>
      <c r="G48" s="50" t="s">
        <v>526</v>
      </c>
      <c r="H48" s="50" t="s">
        <v>528</v>
      </c>
      <c r="I48" s="247">
        <v>10.8</v>
      </c>
      <c r="J48" s="233">
        <v>135</v>
      </c>
      <c r="K48" s="233">
        <v>240</v>
      </c>
      <c r="L48" s="233" t="s">
        <v>480</v>
      </c>
      <c r="P48" s="50">
        <v>0.41</v>
      </c>
      <c r="Q48" s="50">
        <v>0</v>
      </c>
      <c r="R48" s="50">
        <v>100</v>
      </c>
      <c r="S48" s="50" t="b">
        <v>1</v>
      </c>
      <c r="T48" s="50" t="s">
        <v>477</v>
      </c>
      <c r="U48" s="50" t="s">
        <v>467</v>
      </c>
      <c r="W48" t="str">
        <f t="shared" si="1"/>
        <v>2010 - 2013: EER-rated packaged Air Conditioner, Size Range: 135 - 240 kBTU/h, EER = 10.8,  one-speed fan, with Economizer</v>
      </c>
      <c r="Y48" t="str">
        <f t="shared" si="5"/>
        <v>2010 - 2013: EER = 10.8,  one-speed fan, w/Econo</v>
      </c>
    </row>
    <row r="49" spans="4:25" x14ac:dyDescent="0.25">
      <c r="D49" s="158" t="s">
        <v>681</v>
      </c>
      <c r="E49" t="s">
        <v>653</v>
      </c>
      <c r="F49" s="158" t="s">
        <v>450</v>
      </c>
      <c r="G49" s="50" t="s">
        <v>527</v>
      </c>
      <c r="H49">
        <v>12.8</v>
      </c>
      <c r="I49" s="247">
        <v>10.8</v>
      </c>
      <c r="J49" s="233">
        <v>135</v>
      </c>
      <c r="K49" s="233">
        <v>240</v>
      </c>
      <c r="L49" s="233" t="s">
        <v>480</v>
      </c>
      <c r="P49" s="50">
        <v>0.41</v>
      </c>
      <c r="Q49" s="50">
        <v>0</v>
      </c>
      <c r="R49" s="50">
        <v>100</v>
      </c>
      <c r="S49" s="50" t="b">
        <v>1</v>
      </c>
      <c r="T49" s="50" t="s">
        <v>478</v>
      </c>
      <c r="U49" s="50" t="s">
        <v>467</v>
      </c>
      <c r="W49" t="str">
        <f t="shared" si="1"/>
        <v>2014 - 2015: EER-rated packaged Air Conditioner, Size Range: 135 - 240 kBTU/h, EER = 10.8 (IEER = 12.8), two-speed fan, with Economizer</v>
      </c>
      <c r="Y49" t="str">
        <f t="shared" si="5"/>
        <v>2014 - 2015: EER = 10.8 (IEER = 12.8), two-speed fan, w/Econo</v>
      </c>
    </row>
    <row r="50" spans="4:25" x14ac:dyDescent="0.25">
      <c r="D50" s="158" t="s">
        <v>682</v>
      </c>
      <c r="E50" t="s">
        <v>683</v>
      </c>
      <c r="F50" s="158" t="s">
        <v>450</v>
      </c>
      <c r="G50" s="50" t="s">
        <v>524</v>
      </c>
      <c r="H50" s="50" t="s">
        <v>528</v>
      </c>
      <c r="I50" s="247">
        <v>9.3000000000000007</v>
      </c>
      <c r="J50" s="233">
        <v>240</v>
      </c>
      <c r="K50" s="233">
        <v>760</v>
      </c>
      <c r="L50" s="233" t="s">
        <v>480</v>
      </c>
      <c r="P50" s="50">
        <v>0.61</v>
      </c>
      <c r="Q50" s="50">
        <v>0</v>
      </c>
      <c r="R50" s="50">
        <v>100</v>
      </c>
      <c r="S50" s="50" t="b">
        <v>1</v>
      </c>
      <c r="T50" s="50" t="s">
        <v>477</v>
      </c>
      <c r="U50" s="50" t="s">
        <v>467</v>
      </c>
      <c r="W50" t="str">
        <f t="shared" si="1"/>
        <v>Pre-2005: EER-rated packaged Air Conditioner, Size Range: 240 - 760 kBTU/h, EER = 9.3,  one-speed fan, with Economizer</v>
      </c>
      <c r="X50" t="str">
        <f>$E$8&amp;", "&amp;J50&amp;"-"&amp;K50&amp;" kBTU/h"</f>
        <v>EER-Rated Pkg AC, 240-760 kBTU/h</v>
      </c>
      <c r="Y50" t="str">
        <f>G50&amp;": EER = "&amp;I50&amp;IF(H50&lt;&gt;"na"," (IEER = "&amp;H50&amp;"), ",",  ")&amp;T50&amp;" fan, "&amp;IF(S50,"w/Econo","no Econo")</f>
        <v>Pre-2005: EER = 9.3,  one-speed fan, w/Econo</v>
      </c>
    </row>
    <row r="51" spans="4:25" x14ac:dyDescent="0.25">
      <c r="D51" s="158" t="s">
        <v>684</v>
      </c>
      <c r="E51" t="s">
        <v>683</v>
      </c>
      <c r="F51" s="158" t="s">
        <v>450</v>
      </c>
      <c r="G51" s="50" t="s">
        <v>525</v>
      </c>
      <c r="H51" s="50" t="s">
        <v>528</v>
      </c>
      <c r="I51" s="247">
        <v>9.3000000000000007</v>
      </c>
      <c r="J51" s="233">
        <v>240</v>
      </c>
      <c r="K51" s="233">
        <v>760</v>
      </c>
      <c r="L51" s="233" t="s">
        <v>480</v>
      </c>
      <c r="P51" s="50">
        <v>0.61</v>
      </c>
      <c r="Q51" s="50">
        <v>0</v>
      </c>
      <c r="R51" s="50">
        <v>100</v>
      </c>
      <c r="S51" s="50" t="b">
        <v>1</v>
      </c>
      <c r="T51" s="50" t="s">
        <v>477</v>
      </c>
      <c r="U51" s="50" t="s">
        <v>467</v>
      </c>
      <c r="W51" t="str">
        <f t="shared" si="1"/>
        <v>2006 - 2009: EER-rated packaged Air Conditioner, Size Range: 240 - 760 kBTU/h, EER = 9.3,  one-speed fan, with Economizer</v>
      </c>
      <c r="Y51" t="str">
        <f t="shared" ref="Y51:Y53" si="6">G51&amp;": EER = "&amp;I51&amp;IF(H51&lt;&gt;"na"," (IEER = "&amp;H51&amp;"), ",",  ")&amp;T51&amp;" fan, "&amp;IF(S51,"w/Econo","no Econo")</f>
        <v>2006 - 2009: EER = 9.3,  one-speed fan, w/Econo</v>
      </c>
    </row>
    <row r="52" spans="4:25" x14ac:dyDescent="0.25">
      <c r="D52" s="158" t="s">
        <v>685</v>
      </c>
      <c r="E52" t="s">
        <v>657</v>
      </c>
      <c r="F52" s="158" t="s">
        <v>450</v>
      </c>
      <c r="G52" s="50" t="s">
        <v>526</v>
      </c>
      <c r="H52" s="50" t="s">
        <v>528</v>
      </c>
      <c r="I52" s="247">
        <v>9.8000000000000007</v>
      </c>
      <c r="J52" s="233">
        <v>240</v>
      </c>
      <c r="K52" s="233">
        <v>760</v>
      </c>
      <c r="L52" s="233" t="s">
        <v>480</v>
      </c>
      <c r="P52" s="50">
        <v>0.61</v>
      </c>
      <c r="Q52" s="50">
        <v>0</v>
      </c>
      <c r="R52" s="50">
        <v>100</v>
      </c>
      <c r="S52" s="50" t="b">
        <v>1</v>
      </c>
      <c r="T52" s="50" t="s">
        <v>477</v>
      </c>
      <c r="U52" s="50" t="s">
        <v>467</v>
      </c>
      <c r="W52" t="str">
        <f t="shared" si="1"/>
        <v>2010 - 2013: EER-rated packaged Air Conditioner, Size Range: 240 - 760 kBTU/h, EER = 9.8,  one-speed fan, with Economizer</v>
      </c>
      <c r="Y52" t="str">
        <f t="shared" si="6"/>
        <v>2010 - 2013: EER = 9.8,  one-speed fan, w/Econo</v>
      </c>
    </row>
    <row r="53" spans="4:25" x14ac:dyDescent="0.25">
      <c r="D53" s="158" t="s">
        <v>686</v>
      </c>
      <c r="E53" t="s">
        <v>657</v>
      </c>
      <c r="F53" s="158" t="s">
        <v>450</v>
      </c>
      <c r="G53" s="50" t="s">
        <v>527</v>
      </c>
      <c r="H53">
        <v>11.2</v>
      </c>
      <c r="I53" s="247">
        <v>9.8000000000000007</v>
      </c>
      <c r="J53" s="233">
        <v>240</v>
      </c>
      <c r="K53" s="233">
        <v>760</v>
      </c>
      <c r="L53" s="233" t="s">
        <v>480</v>
      </c>
      <c r="P53" s="50">
        <v>0.61</v>
      </c>
      <c r="Q53" s="50">
        <v>0</v>
      </c>
      <c r="R53" s="50">
        <v>100</v>
      </c>
      <c r="S53" s="50" t="b">
        <v>1</v>
      </c>
      <c r="T53" s="50" t="s">
        <v>478</v>
      </c>
      <c r="U53" s="50" t="s">
        <v>467</v>
      </c>
      <c r="W53" t="str">
        <f t="shared" si="1"/>
        <v>2014 - 2015: EER-rated packaged Air Conditioner, Size Range: 240 - 760 kBTU/h, EER = 9.8 (IEER = 11.2), two-speed fan, with Economizer</v>
      </c>
      <c r="Y53" t="str">
        <f t="shared" si="6"/>
        <v>2014 - 2015: EER = 9.8 (IEER = 11.2), two-speed fan, w/Econo</v>
      </c>
    </row>
    <row r="54" spans="4:25" x14ac:dyDescent="0.25">
      <c r="D54" s="158" t="s">
        <v>687</v>
      </c>
      <c r="E54" t="s">
        <v>688</v>
      </c>
      <c r="F54" s="158" t="s">
        <v>450</v>
      </c>
      <c r="G54" s="50" t="s">
        <v>524</v>
      </c>
      <c r="H54" s="50" t="s">
        <v>528</v>
      </c>
      <c r="I54" s="247">
        <v>9.5</v>
      </c>
      <c r="J54" s="233">
        <v>240</v>
      </c>
      <c r="K54" s="233">
        <v>760</v>
      </c>
      <c r="L54" s="233" t="s">
        <v>480</v>
      </c>
      <c r="P54" s="50">
        <v>0.72</v>
      </c>
      <c r="Q54" s="50">
        <v>0</v>
      </c>
      <c r="R54" s="50">
        <v>100</v>
      </c>
      <c r="S54" s="50" t="b">
        <v>1</v>
      </c>
      <c r="T54" s="50" t="s">
        <v>498</v>
      </c>
      <c r="U54" s="50" t="s">
        <v>497</v>
      </c>
      <c r="W54" t="str">
        <f t="shared" si="1"/>
        <v>Pre-2005: EER-rated packaged Air Conditioner, Size Range: 240 - 760 kBTU/h, EER = 9.5,  var-speed fan, with Economizer</v>
      </c>
      <c r="X54" t="str">
        <f>$E$8&amp;", "&amp;J54&amp;"-"&amp;K54&amp;" kBTU/h"</f>
        <v>EER-Rated Pkg AC, 240-760 kBTU/h</v>
      </c>
      <c r="Y54" t="str">
        <f>G54&amp;": EER = "&amp;I54&amp;IF(H54&lt;&gt;"na"," (IEER = "&amp;H54&amp;"), ",",  ")&amp;T54&amp;" fan, "&amp;IF(S54,"w/Econo","no Econo")</f>
        <v>Pre-2005: EER = 9.5,  var-speed fan, w/Econo</v>
      </c>
    </row>
    <row r="55" spans="4:25" x14ac:dyDescent="0.25">
      <c r="D55" s="158" t="s">
        <v>689</v>
      </c>
      <c r="E55" t="s">
        <v>688</v>
      </c>
      <c r="F55" s="158" t="s">
        <v>450</v>
      </c>
      <c r="G55" s="50" t="s">
        <v>525</v>
      </c>
      <c r="H55" s="50" t="s">
        <v>528</v>
      </c>
      <c r="I55" s="247">
        <v>9.5</v>
      </c>
      <c r="J55" s="233">
        <v>240</v>
      </c>
      <c r="K55" s="233">
        <v>760</v>
      </c>
      <c r="L55" s="233" t="s">
        <v>480</v>
      </c>
      <c r="P55" s="50">
        <v>0.72</v>
      </c>
      <c r="Q55" s="50">
        <v>0</v>
      </c>
      <c r="R55" s="50">
        <v>100</v>
      </c>
      <c r="S55" s="50" t="b">
        <v>1</v>
      </c>
      <c r="T55" s="50" t="s">
        <v>498</v>
      </c>
      <c r="U55" s="50" t="s">
        <v>497</v>
      </c>
      <c r="W55" t="str">
        <f t="shared" si="1"/>
        <v>2006 - 2009: EER-rated packaged Air Conditioner, Size Range: 240 - 760 kBTU/h, EER = 9.5,  var-speed fan, with Economizer</v>
      </c>
      <c r="Y55" t="str">
        <f t="shared" ref="Y55:Y57" si="7">G55&amp;": EER = "&amp;I55&amp;IF(H55&lt;&gt;"na"," (IEER = "&amp;H55&amp;"), ",",  ")&amp;T55&amp;" fan, "&amp;IF(S55,"w/Econo","no Econo")</f>
        <v>2006 - 2009: EER = 9.5,  var-speed fan, w/Econo</v>
      </c>
    </row>
    <row r="56" spans="4:25" x14ac:dyDescent="0.25">
      <c r="D56" s="158" t="s">
        <v>690</v>
      </c>
      <c r="E56" t="s">
        <v>661</v>
      </c>
      <c r="F56" s="158" t="s">
        <v>450</v>
      </c>
      <c r="G56" s="50" t="s">
        <v>526</v>
      </c>
      <c r="H56" s="50" t="s">
        <v>528</v>
      </c>
      <c r="I56" s="247">
        <v>10</v>
      </c>
      <c r="J56" s="233">
        <v>240</v>
      </c>
      <c r="K56" s="233">
        <v>760</v>
      </c>
      <c r="L56" s="233" t="s">
        <v>480</v>
      </c>
      <c r="P56" s="50">
        <v>0.72</v>
      </c>
      <c r="Q56" s="50">
        <v>0</v>
      </c>
      <c r="R56" s="50">
        <v>100</v>
      </c>
      <c r="S56" s="50" t="b">
        <v>1</v>
      </c>
      <c r="T56" s="50" t="s">
        <v>498</v>
      </c>
      <c r="U56" s="50" t="s">
        <v>497</v>
      </c>
      <c r="W56" t="str">
        <f t="shared" si="1"/>
        <v>2010 - 2013: EER-rated packaged Air Conditioner, Size Range: 240 - 760 kBTU/h, EER = 10,  var-speed fan, with Economizer</v>
      </c>
      <c r="Y56" t="str">
        <f t="shared" si="7"/>
        <v>2010 - 2013: EER = 10,  var-speed fan, w/Econo</v>
      </c>
    </row>
    <row r="57" spans="4:25" x14ac:dyDescent="0.25">
      <c r="D57" s="158" t="s">
        <v>691</v>
      </c>
      <c r="E57" t="s">
        <v>661</v>
      </c>
      <c r="F57" s="158" t="s">
        <v>450</v>
      </c>
      <c r="G57" s="50" t="s">
        <v>527</v>
      </c>
      <c r="H57">
        <v>11.4</v>
      </c>
      <c r="I57" s="247">
        <v>10</v>
      </c>
      <c r="J57" s="233">
        <v>240</v>
      </c>
      <c r="K57" s="233">
        <v>760</v>
      </c>
      <c r="L57" s="233" t="s">
        <v>480</v>
      </c>
      <c r="P57" s="50">
        <v>0.72</v>
      </c>
      <c r="Q57" s="50">
        <v>0</v>
      </c>
      <c r="R57" s="50">
        <v>100</v>
      </c>
      <c r="S57" s="50" t="b">
        <v>1</v>
      </c>
      <c r="T57" s="50" t="s">
        <v>498</v>
      </c>
      <c r="U57" s="50" t="s">
        <v>497</v>
      </c>
      <c r="W57" t="str">
        <f t="shared" si="1"/>
        <v>2014 - 2015: EER-rated packaged Air Conditioner, Size Range: 240 - 760 kBTU/h, EER = 10 (IEER = 11.4), var-speed fan, with Economizer</v>
      </c>
      <c r="Y57" t="str">
        <f t="shared" si="7"/>
        <v>2014 - 2015: EER = 10 (IEER = 11.4), var-speed fan, w/Econo</v>
      </c>
    </row>
    <row r="58" spans="4:25" x14ac:dyDescent="0.25">
      <c r="D58" s="158" t="s">
        <v>692</v>
      </c>
      <c r="E58" t="s">
        <v>693</v>
      </c>
      <c r="F58" s="158" t="s">
        <v>450</v>
      </c>
      <c r="G58" s="50" t="s">
        <v>524</v>
      </c>
      <c r="H58" s="50" t="s">
        <v>528</v>
      </c>
      <c r="I58" s="247">
        <v>9</v>
      </c>
      <c r="J58" s="233">
        <v>760</v>
      </c>
      <c r="K58" s="233"/>
      <c r="L58" s="233" t="s">
        <v>480</v>
      </c>
      <c r="P58" s="50">
        <v>0.61</v>
      </c>
      <c r="Q58" s="50">
        <v>0</v>
      </c>
      <c r="R58" s="50">
        <v>100</v>
      </c>
      <c r="S58" s="50" t="b">
        <v>1</v>
      </c>
      <c r="T58" s="50" t="s">
        <v>477</v>
      </c>
      <c r="U58" s="50" t="s">
        <v>497</v>
      </c>
      <c r="W58" t="str">
        <f t="shared" si="1"/>
        <v>Pre-2005: EER-rated packaged Air Conditioner, Size Range: 760 -  kBTU/h, EER = 9,  one-speed fan, with Economizer</v>
      </c>
      <c r="X58" t="str">
        <f>$E$8&amp;", "&amp;J58&amp;"+ kBTU/h"</f>
        <v>EER-Rated Pkg AC, 760+ kBTU/h</v>
      </c>
      <c r="Y58" t="str">
        <f>G58&amp;": EER = "&amp;I58&amp;IF(H58&lt;&gt;"na"," (IEER = "&amp;H58&amp;"), ",",  ")&amp;T58&amp;" fan, "&amp;IF(S58,"w/Econo","no Econo")</f>
        <v>Pre-2005: EER = 9,  one-speed fan, w/Econo</v>
      </c>
    </row>
    <row r="59" spans="4:25" x14ac:dyDescent="0.25">
      <c r="D59" s="158" t="s">
        <v>694</v>
      </c>
      <c r="E59" t="s">
        <v>693</v>
      </c>
      <c r="F59" s="158" t="s">
        <v>450</v>
      </c>
      <c r="G59" s="50" t="s">
        <v>525</v>
      </c>
      <c r="H59" s="50" t="s">
        <v>528</v>
      </c>
      <c r="I59" s="247">
        <v>9</v>
      </c>
      <c r="J59" s="233">
        <v>760</v>
      </c>
      <c r="K59" s="233"/>
      <c r="L59" s="233" t="s">
        <v>480</v>
      </c>
      <c r="P59" s="50">
        <v>0.61</v>
      </c>
      <c r="Q59" s="50">
        <v>0</v>
      </c>
      <c r="R59" s="50">
        <v>100</v>
      </c>
      <c r="S59" s="50" t="b">
        <v>1</v>
      </c>
      <c r="T59" s="50" t="s">
        <v>477</v>
      </c>
      <c r="U59" s="50" t="s">
        <v>467</v>
      </c>
      <c r="W59" t="str">
        <f t="shared" si="1"/>
        <v>2006 - 2009: EER-rated packaged Air Conditioner, Size Range: 760 -  kBTU/h, EER = 9,  one-speed fan, with Economizer</v>
      </c>
      <c r="Y59" t="str">
        <f t="shared" ref="Y59:Y61" si="8">G59&amp;": EER = "&amp;I59&amp;IF(H59&lt;&gt;"na"," (IEER = "&amp;H59&amp;"), ",",  ")&amp;T59&amp;" fan, "&amp;IF(S59,"w/Econo","no Econo")</f>
        <v>2006 - 2009: EER = 9,  one-speed fan, w/Econo</v>
      </c>
    </row>
    <row r="60" spans="4:25" x14ac:dyDescent="0.25">
      <c r="D60" s="158" t="s">
        <v>695</v>
      </c>
      <c r="E60" t="s">
        <v>662</v>
      </c>
      <c r="F60" s="158" t="s">
        <v>450</v>
      </c>
      <c r="G60" s="50" t="s">
        <v>526</v>
      </c>
      <c r="H60" s="50" t="s">
        <v>528</v>
      </c>
      <c r="I60" s="247">
        <v>9.5</v>
      </c>
      <c r="J60" s="233">
        <v>760</v>
      </c>
      <c r="K60" s="233"/>
      <c r="L60" s="233" t="s">
        <v>480</v>
      </c>
      <c r="P60" s="50">
        <v>0.61</v>
      </c>
      <c r="Q60" s="50">
        <v>0</v>
      </c>
      <c r="R60" s="50">
        <v>100</v>
      </c>
      <c r="S60" s="50" t="b">
        <v>1</v>
      </c>
      <c r="T60" s="50" t="s">
        <v>477</v>
      </c>
      <c r="U60" s="50" t="s">
        <v>467</v>
      </c>
      <c r="W60" t="str">
        <f t="shared" si="1"/>
        <v>2010 - 2013: EER-rated packaged Air Conditioner, Size Range: 760 -  kBTU/h, EER = 9.5,  one-speed fan, with Economizer</v>
      </c>
      <c r="Y60" t="str">
        <f t="shared" si="8"/>
        <v>2010 - 2013: EER = 9.5,  one-speed fan, w/Econo</v>
      </c>
    </row>
    <row r="61" spans="4:25" x14ac:dyDescent="0.25">
      <c r="D61" s="158" t="s">
        <v>696</v>
      </c>
      <c r="E61" t="s">
        <v>662</v>
      </c>
      <c r="F61" s="158" t="s">
        <v>450</v>
      </c>
      <c r="G61" s="50" t="s">
        <v>527</v>
      </c>
      <c r="H61">
        <v>10.7</v>
      </c>
      <c r="I61" s="247">
        <v>9.5</v>
      </c>
      <c r="J61" s="233">
        <v>760</v>
      </c>
      <c r="K61" s="233"/>
      <c r="L61" s="233" t="s">
        <v>480</v>
      </c>
      <c r="P61" s="50">
        <v>0.61</v>
      </c>
      <c r="Q61" s="50">
        <v>0</v>
      </c>
      <c r="R61" s="50">
        <v>100</v>
      </c>
      <c r="S61" s="50" t="b">
        <v>1</v>
      </c>
      <c r="T61" s="50" t="s">
        <v>478</v>
      </c>
      <c r="U61" s="50" t="s">
        <v>467</v>
      </c>
      <c r="W61" t="str">
        <f t="shared" si="1"/>
        <v>2014 - 2015: EER-rated packaged Air Conditioner, Size Range: 760 -  kBTU/h, EER = 9.5 (IEER = 10.7), two-speed fan, with Economizer</v>
      </c>
      <c r="Y61" t="str">
        <f t="shared" si="8"/>
        <v>2014 - 2015: EER = 9.5 (IEER = 10.7), two-speed fan, w/Econo</v>
      </c>
    </row>
    <row r="62" spans="4:25" x14ac:dyDescent="0.25">
      <c r="D62" s="158" t="s">
        <v>697</v>
      </c>
      <c r="E62" t="s">
        <v>698</v>
      </c>
      <c r="F62" s="158" t="s">
        <v>450</v>
      </c>
      <c r="G62" s="50" t="s">
        <v>524</v>
      </c>
      <c r="H62" s="50" t="s">
        <v>528</v>
      </c>
      <c r="I62" s="247">
        <v>9.1999999999999993</v>
      </c>
      <c r="J62" s="233">
        <v>760</v>
      </c>
      <c r="K62" s="233"/>
      <c r="L62" s="233" t="s">
        <v>480</v>
      </c>
      <c r="P62" s="50">
        <v>0.72</v>
      </c>
      <c r="Q62" s="50">
        <v>0</v>
      </c>
      <c r="R62" s="50">
        <v>100</v>
      </c>
      <c r="S62" s="50" t="b">
        <v>1</v>
      </c>
      <c r="T62" s="50" t="s">
        <v>498</v>
      </c>
      <c r="U62" s="50" t="s">
        <v>497</v>
      </c>
      <c r="W62" t="str">
        <f t="shared" si="1"/>
        <v>Pre-2005: EER-rated packaged Air Conditioner, Size Range: 760 -  kBTU/h, EER = 9.2,  var-speed fan, with Economizer</v>
      </c>
      <c r="X62" t="str">
        <f>$E$8&amp;", "&amp;J62&amp;"+ kBTU/h"</f>
        <v>EER-Rated Pkg AC, 760+ kBTU/h</v>
      </c>
      <c r="Y62" t="str">
        <f>G62&amp;": EER = "&amp;I62&amp;IF(H62&lt;&gt;"na"," (IEER = "&amp;H62&amp;"), ",",  ")&amp;T62&amp;" fan, "&amp;IF(S62,"w/Econo","no Econo")</f>
        <v>Pre-2005: EER = 9.2,  var-speed fan, w/Econo</v>
      </c>
    </row>
    <row r="63" spans="4:25" x14ac:dyDescent="0.25">
      <c r="D63" s="158" t="s">
        <v>699</v>
      </c>
      <c r="E63" t="s">
        <v>698</v>
      </c>
      <c r="F63" s="158" t="s">
        <v>450</v>
      </c>
      <c r="G63" s="50" t="s">
        <v>525</v>
      </c>
      <c r="H63" s="50" t="s">
        <v>528</v>
      </c>
      <c r="I63" s="247">
        <v>9.1999999999999993</v>
      </c>
      <c r="J63" s="233">
        <v>760</v>
      </c>
      <c r="K63" s="233"/>
      <c r="L63" s="233" t="s">
        <v>480</v>
      </c>
      <c r="P63" s="50">
        <v>0.72</v>
      </c>
      <c r="Q63" s="50">
        <v>0</v>
      </c>
      <c r="R63" s="50">
        <v>100</v>
      </c>
      <c r="S63" s="50" t="b">
        <v>1</v>
      </c>
      <c r="T63" s="50" t="s">
        <v>498</v>
      </c>
      <c r="U63" s="50" t="s">
        <v>497</v>
      </c>
      <c r="W63" t="str">
        <f t="shared" si="1"/>
        <v>2006 - 2009: EER-rated packaged Air Conditioner, Size Range: 760 -  kBTU/h, EER = 9.2,  var-speed fan, with Economizer</v>
      </c>
      <c r="Y63" t="str">
        <f t="shared" ref="Y63:Y65" si="9">G63&amp;": EER = "&amp;I63&amp;IF(H63&lt;&gt;"na"," (IEER = "&amp;H63&amp;"), ",",  ")&amp;T63&amp;" fan, "&amp;IF(S63,"w/Econo","no Econo")</f>
        <v>2006 - 2009: EER = 9.2,  var-speed fan, w/Econo</v>
      </c>
    </row>
    <row r="64" spans="4:25" x14ac:dyDescent="0.25">
      <c r="D64" s="158" t="s">
        <v>700</v>
      </c>
      <c r="E64" t="s">
        <v>666</v>
      </c>
      <c r="F64" s="158" t="s">
        <v>450</v>
      </c>
      <c r="G64" s="50" t="s">
        <v>526</v>
      </c>
      <c r="H64" s="50" t="s">
        <v>528</v>
      </c>
      <c r="I64" s="247">
        <v>9.6999999999999993</v>
      </c>
      <c r="J64" s="233">
        <v>760</v>
      </c>
      <c r="K64" s="233"/>
      <c r="L64" s="233" t="s">
        <v>480</v>
      </c>
      <c r="P64" s="50">
        <v>0.72</v>
      </c>
      <c r="Q64" s="50">
        <v>0</v>
      </c>
      <c r="R64" s="50">
        <v>100</v>
      </c>
      <c r="S64" s="50" t="b">
        <v>1</v>
      </c>
      <c r="T64" s="50" t="s">
        <v>498</v>
      </c>
      <c r="U64" s="50" t="s">
        <v>497</v>
      </c>
      <c r="W64" t="str">
        <f t="shared" si="1"/>
        <v>2010 - 2013: EER-rated packaged Air Conditioner, Size Range: 760 -  kBTU/h, EER = 9.7,  var-speed fan, with Economizer</v>
      </c>
      <c r="Y64" t="str">
        <f t="shared" si="9"/>
        <v>2010 - 2013: EER = 9.7,  var-speed fan, w/Econo</v>
      </c>
    </row>
    <row r="65" spans="4:26" x14ac:dyDescent="0.25">
      <c r="D65" s="158" t="s">
        <v>701</v>
      </c>
      <c r="E65" t="s">
        <v>666</v>
      </c>
      <c r="F65" s="158" t="s">
        <v>450</v>
      </c>
      <c r="G65" s="50" t="s">
        <v>527</v>
      </c>
      <c r="H65">
        <v>10.9</v>
      </c>
      <c r="I65" s="247">
        <v>9.6999999999999993</v>
      </c>
      <c r="J65" s="233">
        <v>760</v>
      </c>
      <c r="K65" s="233"/>
      <c r="L65" s="233" t="s">
        <v>480</v>
      </c>
      <c r="P65" s="50">
        <v>0.72</v>
      </c>
      <c r="Q65" s="50">
        <v>0</v>
      </c>
      <c r="R65" s="50">
        <v>100</v>
      </c>
      <c r="S65" s="50" t="b">
        <v>1</v>
      </c>
      <c r="T65" s="50" t="s">
        <v>498</v>
      </c>
      <c r="U65" s="50" t="s">
        <v>497</v>
      </c>
      <c r="W65" t="str">
        <f t="shared" si="1"/>
        <v>2014 - 2015: EER-rated packaged Air Conditioner, Size Range: 760 -  kBTU/h, EER = 9.7 (IEER = 10.9), var-speed fan, with Economizer</v>
      </c>
      <c r="Y65" t="str">
        <f t="shared" si="9"/>
        <v>2014 - 2015: EER = 9.7 (IEER = 10.9), var-speed fan, w/Econo</v>
      </c>
    </row>
    <row r="67" spans="4:26" x14ac:dyDescent="0.25">
      <c r="E67" s="238" t="s">
        <v>621</v>
      </c>
      <c r="F67" s="237"/>
      <c r="G67" s="238"/>
      <c r="H67" s="238">
        <v>2</v>
      </c>
      <c r="I67" s="250">
        <v>3</v>
      </c>
      <c r="J67" s="250"/>
      <c r="K67" s="250"/>
      <c r="L67" s="250"/>
      <c r="M67" s="250">
        <v>5</v>
      </c>
      <c r="N67" s="250">
        <v>6</v>
      </c>
      <c r="O67" s="238">
        <v>7</v>
      </c>
      <c r="P67" s="238">
        <v>8</v>
      </c>
      <c r="Q67" s="238"/>
      <c r="T67">
        <v>57</v>
      </c>
    </row>
    <row r="68" spans="4:26" x14ac:dyDescent="0.25">
      <c r="E68" s="3" t="s">
        <v>455</v>
      </c>
      <c r="F68" s="214" t="s">
        <v>10</v>
      </c>
      <c r="G68" s="212" t="s">
        <v>519</v>
      </c>
      <c r="H68" s="212" t="s">
        <v>91</v>
      </c>
      <c r="I68" s="249" t="s">
        <v>114</v>
      </c>
      <c r="J68" s="249" t="s">
        <v>473</v>
      </c>
      <c r="K68" s="249" t="s">
        <v>474</v>
      </c>
      <c r="L68" s="253" t="s">
        <v>479</v>
      </c>
      <c r="M68" s="249" t="s">
        <v>475</v>
      </c>
      <c r="N68" s="249" t="s">
        <v>261</v>
      </c>
      <c r="O68" s="212" t="s">
        <v>469</v>
      </c>
      <c r="P68" s="212" t="s">
        <v>470</v>
      </c>
      <c r="Q68" s="212" t="s">
        <v>496</v>
      </c>
      <c r="R68" s="212" t="s">
        <v>471</v>
      </c>
      <c r="S68" s="212" t="s">
        <v>468</v>
      </c>
      <c r="T68" s="212" t="s">
        <v>472</v>
      </c>
      <c r="U68" s="213" t="s">
        <v>466</v>
      </c>
      <c r="V68" s="212" t="s">
        <v>476</v>
      </c>
    </row>
    <row r="69" spans="4:26" x14ac:dyDescent="0.25">
      <c r="D69" s="158">
        <v>11402</v>
      </c>
      <c r="E69" t="s">
        <v>481</v>
      </c>
      <c r="F69" s="158" t="s">
        <v>450</v>
      </c>
      <c r="G69" s="50" t="s">
        <v>523</v>
      </c>
      <c r="H69" s="50">
        <v>14</v>
      </c>
      <c r="I69" s="235">
        <v>12.165517241379311</v>
      </c>
      <c r="J69" s="247">
        <v>18</v>
      </c>
      <c r="K69" s="247">
        <v>45</v>
      </c>
      <c r="L69" s="233" t="s">
        <v>480</v>
      </c>
      <c r="M69" s="234">
        <v>0.75406428571428574</v>
      </c>
      <c r="N69" s="234">
        <v>0.23930000000000001</v>
      </c>
      <c r="O69" s="240">
        <v>385.19999999999993</v>
      </c>
      <c r="P69" s="234">
        <v>0.29399999999999998</v>
      </c>
      <c r="Q69" s="50">
        <v>0</v>
      </c>
      <c r="R69" s="50">
        <v>100</v>
      </c>
      <c r="S69" s="50" t="b">
        <v>0</v>
      </c>
      <c r="T69" s="50" t="s">
        <v>477</v>
      </c>
      <c r="U69" s="50" t="s">
        <v>467</v>
      </c>
      <c r="V69" s="50"/>
      <c r="W69" t="str">
        <f>$E$68&amp;", Size Range: "&amp;J69&amp;" - "&amp;K69&amp;" kBTU/h, SEER = "&amp;H69&amp;" (EER = "&amp;ROUND(I69,1)&amp;"), EIR = "&amp;ROUND(N69,3)&amp;", Fan W/CFM = "&amp;ROUND(P69,2)&amp;", "&amp;T69&amp;" fan, "&amp;IF(S69,"with Econo","without Econo")</f>
        <v>Commercial SEER-rated split Air Conditioners, Size Range: 18 - 45 kBTU/h, SEER = 14 (EER = 12.2), EIR = 0.239, Fan W/CFM = 0.29, one-speed fan, without Econo</v>
      </c>
      <c r="X69" t="str">
        <f>X84&amp;"; "&amp;CHAR(10)&amp;Y84&amp;";"&amp;CHAR(10)&amp;Y85&amp;";"&amp;CHAR(10)&amp;Y69</f>
        <v>Commercial SEER-rated split Air Conditioners, 18-65 kBTU/h; 
pre-2001: SEER = 10 (EER = 8.52), one-speed fan, no Econo;
post-2001: SEER = 13 (EER = 11.08), one-speed fan, no Econo;
2014: SEER = 14 (EER = 12.17), one-speed fan, no Econo</v>
      </c>
      <c r="Y69" t="str">
        <f>"2014: SEER = "&amp;H69&amp;" (EER = "&amp;ROUND(I69,2)&amp;"), "&amp;T69&amp;" fan, "&amp;IF(S69,"w/Econo","no Econo")</f>
        <v>2014: SEER = 14 (EER = 12.17), one-speed fan, no Econo</v>
      </c>
    </row>
    <row r="70" spans="4:26" x14ac:dyDescent="0.25">
      <c r="D70" s="158">
        <v>11501</v>
      </c>
      <c r="E70" t="s">
        <v>482</v>
      </c>
      <c r="F70" s="158" t="s">
        <v>450</v>
      </c>
      <c r="G70" s="50" t="s">
        <v>521</v>
      </c>
      <c r="H70" s="50">
        <v>15</v>
      </c>
      <c r="I70" s="235">
        <v>12.781690140845072</v>
      </c>
      <c r="J70" s="247">
        <v>18</v>
      </c>
      <c r="K70" s="247">
        <v>45</v>
      </c>
      <c r="L70" s="233" t="s">
        <v>480</v>
      </c>
      <c r="M70" s="234">
        <v>0.74399999999999999</v>
      </c>
      <c r="N70" s="234">
        <v>0.23218</v>
      </c>
      <c r="O70" s="240">
        <v>385.19999999999993</v>
      </c>
      <c r="P70" s="234">
        <v>0.251</v>
      </c>
      <c r="Q70" s="50">
        <v>0</v>
      </c>
      <c r="R70" s="50">
        <v>100</v>
      </c>
      <c r="S70" s="50" t="b">
        <v>0</v>
      </c>
      <c r="T70" s="50" t="s">
        <v>477</v>
      </c>
      <c r="U70" s="50" t="s">
        <v>467</v>
      </c>
      <c r="V70" s="50"/>
      <c r="W70" t="str">
        <f>$E$68&amp;", Size Range: "&amp;J70&amp;" - "&amp;K70&amp;" kBTU/h, SEER = "&amp;H70&amp;" (EER = "&amp;ROUND(I70,1)&amp;"), EIR = "&amp;ROUND(N70,3)&amp;", Fan W/CFM = "&amp;ROUND(P70,2)&amp;", "&amp;T70&amp;" fan, "&amp;IF(S70,"with Econo","without Econo")</f>
        <v>Commercial SEER-rated split Air Conditioners, Size Range: 18 - 45 kBTU/h, SEER = 15 (EER = 12.8), EIR = 0.232, Fan W/CFM = 0.25, one-speed fan, without Econo</v>
      </c>
    </row>
    <row r="71" spans="4:26" x14ac:dyDescent="0.25">
      <c r="D71" s="158">
        <v>11604</v>
      </c>
      <c r="E71" t="s">
        <v>483</v>
      </c>
      <c r="F71" s="158" t="s">
        <v>450</v>
      </c>
      <c r="G71" s="50" t="s">
        <v>521</v>
      </c>
      <c r="H71" s="50">
        <v>16</v>
      </c>
      <c r="I71" s="235">
        <v>12.48</v>
      </c>
      <c r="J71" s="247">
        <v>18</v>
      </c>
      <c r="K71" s="247">
        <v>45</v>
      </c>
      <c r="L71" s="233" t="s">
        <v>480</v>
      </c>
      <c r="M71" s="234">
        <v>0.72399999999999998</v>
      </c>
      <c r="N71" s="234">
        <v>0.23813999999999999</v>
      </c>
      <c r="O71" s="240">
        <v>360</v>
      </c>
      <c r="P71" s="234">
        <v>0.27100000000000002</v>
      </c>
      <c r="Q71" s="50">
        <v>0</v>
      </c>
      <c r="R71" s="50">
        <v>100</v>
      </c>
      <c r="S71" s="50" t="b">
        <v>0</v>
      </c>
      <c r="T71" s="50" t="s">
        <v>478</v>
      </c>
      <c r="U71" s="50" t="s">
        <v>467</v>
      </c>
      <c r="V71" s="50"/>
      <c r="W71" t="str">
        <f t="shared" ref="W71:W85" si="10">$E$68&amp;", Size Range: "&amp;J71&amp;" - "&amp;K71&amp;" kBTU/h, SEER = "&amp;H71&amp;" (EER = "&amp;ROUND(I71,1)&amp;"), EIR = "&amp;ROUND(N71,3)&amp;", Fan W/CFM = "&amp;ROUND(P71,2)&amp;", "&amp;T71&amp;" fan, "&amp;IF(S71,"with Econo","without Econo")</f>
        <v>Commercial SEER-rated split Air Conditioners, Size Range: 18 - 45 kBTU/h, SEER = 16 (EER = 12.5), EIR = 0.238, Fan W/CFM = 0.27, two-speed fan, without Econo</v>
      </c>
    </row>
    <row r="72" spans="4:26" x14ac:dyDescent="0.25">
      <c r="D72" s="158">
        <v>11704</v>
      </c>
      <c r="E72" t="s">
        <v>484</v>
      </c>
      <c r="F72" s="158" t="s">
        <v>450</v>
      </c>
      <c r="G72" s="50" t="s">
        <v>521</v>
      </c>
      <c r="H72" s="50">
        <v>17</v>
      </c>
      <c r="I72" s="235">
        <v>13.260000000000002</v>
      </c>
      <c r="J72" s="247">
        <v>18</v>
      </c>
      <c r="K72" s="247">
        <v>45</v>
      </c>
      <c r="L72" s="233" t="s">
        <v>480</v>
      </c>
      <c r="M72" s="234">
        <v>0.72399999999999998</v>
      </c>
      <c r="N72" s="234">
        <v>0.2225</v>
      </c>
      <c r="O72" s="240">
        <v>360</v>
      </c>
      <c r="P72" s="234">
        <v>0.27100000000000002</v>
      </c>
      <c r="Q72" s="50">
        <v>0</v>
      </c>
      <c r="R72" s="50">
        <v>100</v>
      </c>
      <c r="S72" s="50" t="b">
        <v>0</v>
      </c>
      <c r="T72" s="50" t="s">
        <v>478</v>
      </c>
      <c r="U72" s="50" t="s">
        <v>467</v>
      </c>
      <c r="V72" s="50"/>
      <c r="W72" t="str">
        <f t="shared" si="10"/>
        <v>Commercial SEER-rated split Air Conditioners, Size Range: 18 - 45 kBTU/h, SEER = 17 (EER = 13.3), EIR = 0.223, Fan W/CFM = 0.27, two-speed fan, without Econo</v>
      </c>
    </row>
    <row r="73" spans="4:26" x14ac:dyDescent="0.25">
      <c r="D73" s="158">
        <v>11802</v>
      </c>
      <c r="E73" t="s">
        <v>485</v>
      </c>
      <c r="F73" s="158" t="s">
        <v>450</v>
      </c>
      <c r="G73" s="50" t="s">
        <v>521</v>
      </c>
      <c r="H73" s="50">
        <v>18</v>
      </c>
      <c r="I73" s="235">
        <v>14.040000000000001</v>
      </c>
      <c r="J73" s="247">
        <v>18</v>
      </c>
      <c r="K73" s="247">
        <v>45</v>
      </c>
      <c r="L73" s="233" t="s">
        <v>480</v>
      </c>
      <c r="M73" s="234">
        <v>0.72399999999999998</v>
      </c>
      <c r="N73" s="234">
        <v>0.20860000000000001</v>
      </c>
      <c r="O73" s="240">
        <v>360</v>
      </c>
      <c r="P73" s="234">
        <v>0.27100000000000002</v>
      </c>
      <c r="Q73" s="50">
        <v>0</v>
      </c>
      <c r="R73" s="50">
        <v>100</v>
      </c>
      <c r="S73" s="50" t="b">
        <v>0</v>
      </c>
      <c r="T73" s="50" t="s">
        <v>478</v>
      </c>
      <c r="U73" s="50" t="s">
        <v>467</v>
      </c>
      <c r="V73" s="50"/>
      <c r="W73" t="str">
        <f t="shared" si="10"/>
        <v>Commercial SEER-rated split Air Conditioners, Size Range: 18 - 45 kBTU/h, SEER = 18 (EER = 14), EIR = 0.209, Fan W/CFM = 0.27, two-speed fan, without Econo</v>
      </c>
    </row>
    <row r="74" spans="4:26" x14ac:dyDescent="0.25">
      <c r="D74" s="158">
        <v>11403</v>
      </c>
      <c r="E74" t="s">
        <v>486</v>
      </c>
      <c r="F74" s="158" t="s">
        <v>450</v>
      </c>
      <c r="G74" s="50" t="s">
        <v>523</v>
      </c>
      <c r="H74" s="50">
        <v>14</v>
      </c>
      <c r="I74" s="235">
        <v>11.81793103448276</v>
      </c>
      <c r="J74" s="247">
        <v>45</v>
      </c>
      <c r="K74" s="247">
        <v>55</v>
      </c>
      <c r="L74" s="233" t="s">
        <v>480</v>
      </c>
      <c r="M74" s="234">
        <v>0.75921818181818179</v>
      </c>
      <c r="N74" s="234">
        <v>0.24660000000000001</v>
      </c>
      <c r="O74" s="240">
        <v>391.56</v>
      </c>
      <c r="P74" s="234">
        <v>0.29399999999999998</v>
      </c>
      <c r="Q74" s="50">
        <v>0</v>
      </c>
      <c r="R74" s="50">
        <v>100</v>
      </c>
      <c r="S74" s="50" t="b">
        <v>0</v>
      </c>
      <c r="T74" s="50" t="s">
        <v>477</v>
      </c>
      <c r="U74" s="50" t="s">
        <v>467</v>
      </c>
      <c r="V74" s="50"/>
      <c r="W74" t="str">
        <f t="shared" si="10"/>
        <v>Commercial SEER-rated split Air Conditioners, Size Range: 45 - 55 kBTU/h, SEER = 14 (EER = 11.8), EIR = 0.247, Fan W/CFM = 0.29, one-speed fan, without Econo</v>
      </c>
      <c r="X74" t="str">
        <f>X84&amp;"; "&amp;CHAR(10)&amp;Y84&amp;";"&amp;CHAR(10)&amp;Y85&amp;";"&amp;CHAR(10)&amp;Y74</f>
        <v>Commercial SEER-rated split Air Conditioners, 18-65 kBTU/h; 
pre-2001: SEER = 10 (EER = 8.52), one-speed fan, no Econo;
post-2001: SEER = 13 (EER = 11.08), one-speed fan, no Econo;
2014: SEER = 14 (EER = 11.82), one-speed fan, no Econo</v>
      </c>
      <c r="Y74" t="str">
        <f>"2014: SEER = "&amp;H74&amp;" (EER = "&amp;ROUND(I74,2)&amp;"), "&amp;T74&amp;" fan, "&amp;IF(S74,"w/Econo","no Econo")</f>
        <v>2014: SEER = 14 (EER = 11.82), one-speed fan, no Econo</v>
      </c>
    </row>
    <row r="75" spans="4:26" x14ac:dyDescent="0.25">
      <c r="D75" s="158">
        <v>11501</v>
      </c>
      <c r="E75" t="s">
        <v>487</v>
      </c>
      <c r="F75" s="158" t="s">
        <v>450</v>
      </c>
      <c r="G75" s="50" t="s">
        <v>521</v>
      </c>
      <c r="H75" s="50">
        <v>15</v>
      </c>
      <c r="I75" s="235">
        <v>12.781690140845072</v>
      </c>
      <c r="J75" s="247">
        <v>45</v>
      </c>
      <c r="K75" s="247">
        <v>55</v>
      </c>
      <c r="L75" s="233" t="s">
        <v>480</v>
      </c>
      <c r="M75" s="234">
        <v>0.74399999999999999</v>
      </c>
      <c r="N75" s="234">
        <v>0.23218</v>
      </c>
      <c r="O75" s="240">
        <v>385.19999999999993</v>
      </c>
      <c r="P75" s="234">
        <v>0.251</v>
      </c>
      <c r="Q75" s="50">
        <v>0</v>
      </c>
      <c r="R75" s="50">
        <v>100</v>
      </c>
      <c r="S75" s="50" t="b">
        <v>0</v>
      </c>
      <c r="T75" s="50" t="s">
        <v>477</v>
      </c>
      <c r="U75" s="50" t="s">
        <v>467</v>
      </c>
      <c r="V75" s="50"/>
      <c r="W75" t="str">
        <f t="shared" si="10"/>
        <v>Commercial SEER-rated split Air Conditioners, Size Range: 45 - 55 kBTU/h, SEER = 15 (EER = 12.8), EIR = 0.232, Fan W/CFM = 0.25, one-speed fan, without Econo</v>
      </c>
    </row>
    <row r="76" spans="4:26" x14ac:dyDescent="0.25">
      <c r="D76" s="158">
        <v>11604</v>
      </c>
      <c r="E76" t="s">
        <v>488</v>
      </c>
      <c r="F76" s="158" t="s">
        <v>450</v>
      </c>
      <c r="G76" s="50" t="s">
        <v>521</v>
      </c>
      <c r="H76" s="50">
        <v>16</v>
      </c>
      <c r="I76" s="235">
        <v>12.48</v>
      </c>
      <c r="J76" s="247">
        <v>45</v>
      </c>
      <c r="K76" s="247">
        <v>55</v>
      </c>
      <c r="L76" s="233" t="s">
        <v>480</v>
      </c>
      <c r="M76" s="234">
        <v>0.72399999999999998</v>
      </c>
      <c r="N76" s="234">
        <v>0.23813999999999999</v>
      </c>
      <c r="O76" s="240">
        <v>360</v>
      </c>
      <c r="P76" s="234">
        <v>0.27100000000000002</v>
      </c>
      <c r="Q76" s="50">
        <v>0</v>
      </c>
      <c r="R76" s="50">
        <v>100</v>
      </c>
      <c r="S76" s="50" t="b">
        <v>0</v>
      </c>
      <c r="T76" s="50" t="s">
        <v>478</v>
      </c>
      <c r="U76" s="50" t="s">
        <v>467</v>
      </c>
      <c r="V76" s="50"/>
      <c r="W76" t="str">
        <f t="shared" si="10"/>
        <v>Commercial SEER-rated split Air Conditioners, Size Range: 45 - 55 kBTU/h, SEER = 16 (EER = 12.5), EIR = 0.238, Fan W/CFM = 0.27, two-speed fan, without Econo</v>
      </c>
    </row>
    <row r="77" spans="4:26" x14ac:dyDescent="0.25">
      <c r="D77" s="158">
        <v>11704</v>
      </c>
      <c r="E77" t="s">
        <v>489</v>
      </c>
      <c r="F77" s="158" t="s">
        <v>450</v>
      </c>
      <c r="G77" s="50" t="s">
        <v>521</v>
      </c>
      <c r="H77" s="50">
        <v>17</v>
      </c>
      <c r="I77" s="235">
        <v>13.260000000000002</v>
      </c>
      <c r="J77" s="247">
        <v>45</v>
      </c>
      <c r="K77" s="247">
        <v>55</v>
      </c>
      <c r="L77" s="233" t="s">
        <v>480</v>
      </c>
      <c r="M77" s="234">
        <v>0.72399999999999998</v>
      </c>
      <c r="N77" s="234">
        <v>0.2225</v>
      </c>
      <c r="O77" s="240">
        <v>360</v>
      </c>
      <c r="P77" s="234">
        <v>0.27100000000000002</v>
      </c>
      <c r="Q77" s="50">
        <v>0</v>
      </c>
      <c r="R77" s="50">
        <v>100</v>
      </c>
      <c r="S77" s="50" t="b">
        <v>0</v>
      </c>
      <c r="T77" s="50" t="s">
        <v>478</v>
      </c>
      <c r="U77" s="50" t="s">
        <v>467</v>
      </c>
      <c r="V77" s="50"/>
      <c r="W77" t="str">
        <f t="shared" si="10"/>
        <v>Commercial SEER-rated split Air Conditioners, Size Range: 45 - 55 kBTU/h, SEER = 17 (EER = 13.3), EIR = 0.223, Fan W/CFM = 0.27, two-speed fan, without Econo</v>
      </c>
    </row>
    <row r="78" spans="4:26" x14ac:dyDescent="0.25">
      <c r="D78" s="158">
        <v>11802</v>
      </c>
      <c r="E78" t="s">
        <v>490</v>
      </c>
      <c r="F78" s="158" t="s">
        <v>450</v>
      </c>
      <c r="G78" s="50" t="s">
        <v>521</v>
      </c>
      <c r="H78" s="50">
        <v>18</v>
      </c>
      <c r="I78" s="235">
        <v>14.040000000000001</v>
      </c>
      <c r="J78" s="247">
        <v>45</v>
      </c>
      <c r="K78" s="247">
        <v>55</v>
      </c>
      <c r="L78" s="233" t="s">
        <v>480</v>
      </c>
      <c r="M78" s="234">
        <v>0.72399999999999998</v>
      </c>
      <c r="N78" s="234">
        <v>0.20860000000000001</v>
      </c>
      <c r="O78" s="240">
        <v>360</v>
      </c>
      <c r="P78" s="234">
        <v>0.27100000000000002</v>
      </c>
      <c r="Q78" s="50">
        <v>0</v>
      </c>
      <c r="R78" s="50">
        <v>100</v>
      </c>
      <c r="S78" s="50" t="b">
        <v>0</v>
      </c>
      <c r="T78" s="50" t="s">
        <v>478</v>
      </c>
      <c r="U78" s="50" t="s">
        <v>467</v>
      </c>
      <c r="V78" s="50"/>
      <c r="W78" t="str">
        <f t="shared" si="10"/>
        <v>Commercial SEER-rated split Air Conditioners, Size Range: 45 - 55 kBTU/h, SEER = 18 (EER = 14), EIR = 0.209, Fan W/CFM = 0.27, two-speed fan, without Econo</v>
      </c>
    </row>
    <row r="79" spans="4:26" x14ac:dyDescent="0.25">
      <c r="D79" s="273">
        <v>11405</v>
      </c>
      <c r="E79" t="s">
        <v>491</v>
      </c>
      <c r="F79" s="158" t="s">
        <v>450</v>
      </c>
      <c r="G79" s="50" t="s">
        <v>523</v>
      </c>
      <c r="H79" s="50">
        <v>14</v>
      </c>
      <c r="I79" s="235">
        <v>11.745762711864407</v>
      </c>
      <c r="J79" s="247">
        <v>55</v>
      </c>
      <c r="K79" s="247">
        <v>65</v>
      </c>
      <c r="L79" s="233" t="s">
        <v>480</v>
      </c>
      <c r="M79" s="234">
        <v>0.73199999999999998</v>
      </c>
      <c r="N79" s="234">
        <v>0.249</v>
      </c>
      <c r="O79" s="240">
        <v>385.19999999999993</v>
      </c>
      <c r="P79" s="234">
        <v>0.29399999999999998</v>
      </c>
      <c r="Q79" s="50">
        <v>0</v>
      </c>
      <c r="R79" s="50">
        <v>100</v>
      </c>
      <c r="S79" s="50" t="b">
        <v>1</v>
      </c>
      <c r="T79" s="50" t="s">
        <v>478</v>
      </c>
      <c r="U79" s="50" t="s">
        <v>467</v>
      </c>
      <c r="V79" s="50"/>
      <c r="W79" t="str">
        <f t="shared" si="10"/>
        <v>Commercial SEER-rated split Air Conditioners, Size Range: 55 - 65 kBTU/h, SEER = 14 (EER = 11.7), EIR = 0.249, Fan W/CFM = 0.29, two-speed fan, with Econo</v>
      </c>
      <c r="X79" t="str">
        <f>X84&amp;"; "&amp;CHAR(10)&amp;Y84&amp;";"&amp;CHAR(10)&amp;Y85&amp;";"&amp;CHAR(10)&amp;Y79</f>
        <v>Commercial SEER-rated split Air Conditioners, 18-65 kBTU/h; 
pre-2001: SEER = 10 (EER = 8.52), one-speed fan, no Econo;
post-2001: SEER = 13 (EER = 11.08), one-speed fan, no Econo;
2014: SEER = 14 (EER = 11.75), two-speed fan, w/Econo</v>
      </c>
      <c r="Y79" t="str">
        <f>"2014: SEER = "&amp;H79&amp;" (EER = "&amp;ROUND(I79,2)&amp;"), "&amp;T79&amp;" fan, "&amp;IF(S79,"w/Econo","no Econo")</f>
        <v>2014: SEER = 14 (EER = 11.75), two-speed fan, w/Econo</v>
      </c>
      <c r="Z79" t="str">
        <f>X84&amp;"; "&amp;CHAR(10)&amp;Z84&amp;";"&amp;CHAR(10)&amp;Z85&amp;";"&amp;CHAR(10)&amp;Y79</f>
        <v>Commercial SEER-rated split Air Conditioners, 18-65 kBTU/h; 
pre-2001: SEER = 10 (EER = 8.52), one-speed fan, w/Econo;
post-2001: SEER = 13 (EER = 11.08), one-speed fan, w/Econo;
2014: SEER = 14 (EER = 11.75), two-speed fan, w/Econo</v>
      </c>
    </row>
    <row r="80" spans="4:26" x14ac:dyDescent="0.25">
      <c r="D80" s="273">
        <v>11505</v>
      </c>
      <c r="E80" t="s">
        <v>492</v>
      </c>
      <c r="F80" s="158" t="s">
        <v>450</v>
      </c>
      <c r="G80" s="50" t="s">
        <v>521</v>
      </c>
      <c r="H80" s="50">
        <v>15</v>
      </c>
      <c r="I80" s="235">
        <v>12.584745762711865</v>
      </c>
      <c r="J80" s="247">
        <v>55</v>
      </c>
      <c r="K80" s="247">
        <v>65</v>
      </c>
      <c r="L80" s="233" t="s">
        <v>480</v>
      </c>
      <c r="M80" s="234">
        <v>0.73199999999999998</v>
      </c>
      <c r="N80" s="234">
        <v>0.23624000000000001</v>
      </c>
      <c r="O80" s="240">
        <v>385.19999999999993</v>
      </c>
      <c r="P80" s="234">
        <v>0.251</v>
      </c>
      <c r="Q80" s="50">
        <v>0</v>
      </c>
      <c r="R80" s="50">
        <v>100</v>
      </c>
      <c r="S80" s="50" t="b">
        <v>1</v>
      </c>
      <c r="T80" s="50" t="s">
        <v>478</v>
      </c>
      <c r="U80" s="50" t="s">
        <v>467</v>
      </c>
      <c r="V80" s="50"/>
      <c r="W80" t="str">
        <f t="shared" si="10"/>
        <v>Commercial SEER-rated split Air Conditioners, Size Range: 55 - 65 kBTU/h, SEER = 15 (EER = 12.6), EIR = 0.236, Fan W/CFM = 0.25, two-speed fan, with Econo</v>
      </c>
    </row>
    <row r="81" spans="4:26" x14ac:dyDescent="0.25">
      <c r="D81" s="158">
        <v>11605</v>
      </c>
      <c r="E81" t="s">
        <v>493</v>
      </c>
      <c r="F81" s="158" t="s">
        <v>450</v>
      </c>
      <c r="G81" s="50" t="s">
        <v>521</v>
      </c>
      <c r="H81" s="50">
        <v>16</v>
      </c>
      <c r="I81" s="235">
        <v>12.48</v>
      </c>
      <c r="J81" s="247">
        <v>55</v>
      </c>
      <c r="K81" s="247">
        <v>65</v>
      </c>
      <c r="L81" s="233" t="s">
        <v>480</v>
      </c>
      <c r="M81" s="234">
        <v>0.72399999999999998</v>
      </c>
      <c r="N81" s="234">
        <v>0.23813999999999999</v>
      </c>
      <c r="O81" s="240">
        <v>360</v>
      </c>
      <c r="P81" s="234">
        <v>0.27100000000000002</v>
      </c>
      <c r="Q81" s="50">
        <v>0</v>
      </c>
      <c r="R81" s="50">
        <v>100</v>
      </c>
      <c r="S81" s="50" t="b">
        <v>1</v>
      </c>
      <c r="T81" s="50" t="s">
        <v>478</v>
      </c>
      <c r="U81" s="50" t="s">
        <v>467</v>
      </c>
      <c r="V81" s="50"/>
      <c r="W81" t="str">
        <f t="shared" si="10"/>
        <v>Commercial SEER-rated split Air Conditioners, Size Range: 55 - 65 kBTU/h, SEER = 16 (EER = 12.5), EIR = 0.238, Fan W/CFM = 0.27, two-speed fan, with Econo</v>
      </c>
    </row>
    <row r="82" spans="4:26" x14ac:dyDescent="0.25">
      <c r="D82" s="158">
        <v>11705</v>
      </c>
      <c r="E82" t="s">
        <v>494</v>
      </c>
      <c r="F82" s="158" t="s">
        <v>450</v>
      </c>
      <c r="G82" s="50" t="s">
        <v>521</v>
      </c>
      <c r="H82" s="50">
        <v>17</v>
      </c>
      <c r="I82" s="235">
        <v>13.260000000000002</v>
      </c>
      <c r="J82" s="247">
        <v>55</v>
      </c>
      <c r="K82" s="247">
        <v>65</v>
      </c>
      <c r="L82" s="233" t="s">
        <v>480</v>
      </c>
      <c r="M82" s="234">
        <v>0.72399999999999998</v>
      </c>
      <c r="N82" s="234">
        <v>0.2225</v>
      </c>
      <c r="O82" s="240">
        <v>360</v>
      </c>
      <c r="P82" s="234">
        <v>0.27100000000000002</v>
      </c>
      <c r="Q82" s="50">
        <v>0</v>
      </c>
      <c r="R82" s="50">
        <v>100</v>
      </c>
      <c r="S82" s="50" t="b">
        <v>1</v>
      </c>
      <c r="T82" s="50" t="s">
        <v>478</v>
      </c>
      <c r="U82" s="50" t="s">
        <v>467</v>
      </c>
      <c r="V82" s="50"/>
      <c r="W82" t="str">
        <f t="shared" si="10"/>
        <v>Commercial SEER-rated split Air Conditioners, Size Range: 55 - 65 kBTU/h, SEER = 17 (EER = 13.3), EIR = 0.223, Fan W/CFM = 0.27, two-speed fan, with Econo</v>
      </c>
    </row>
    <row r="83" spans="4:26" x14ac:dyDescent="0.25">
      <c r="D83" s="158">
        <v>11805</v>
      </c>
      <c r="E83" t="s">
        <v>495</v>
      </c>
      <c r="F83" s="158" t="s">
        <v>450</v>
      </c>
      <c r="G83" s="50" t="s">
        <v>521</v>
      </c>
      <c r="H83" s="50">
        <v>18</v>
      </c>
      <c r="I83" s="235">
        <v>14.040000000000001</v>
      </c>
      <c r="J83" s="247">
        <v>55</v>
      </c>
      <c r="K83" s="247">
        <v>65</v>
      </c>
      <c r="L83" s="233" t="s">
        <v>480</v>
      </c>
      <c r="M83" s="234">
        <v>0.72399999999999998</v>
      </c>
      <c r="N83" s="234">
        <v>0.20860000000000001</v>
      </c>
      <c r="O83" s="240">
        <v>360</v>
      </c>
      <c r="P83" s="234">
        <v>0.27100000000000002</v>
      </c>
      <c r="Q83" s="50">
        <v>0</v>
      </c>
      <c r="R83" s="50">
        <v>100</v>
      </c>
      <c r="S83" s="50" t="b">
        <v>1</v>
      </c>
      <c r="T83" s="50" t="s">
        <v>478</v>
      </c>
      <c r="U83" s="50" t="s">
        <v>467</v>
      </c>
      <c r="V83" s="50"/>
      <c r="W83" t="str">
        <f t="shared" si="10"/>
        <v>Commercial SEER-rated split Air Conditioners, Size Range: 55 - 65 kBTU/h, SEER = 18 (EER = 14), EIR = 0.209, Fan W/CFM = 0.27, two-speed fan, with Econo</v>
      </c>
    </row>
    <row r="84" spans="4:26" x14ac:dyDescent="0.25">
      <c r="D84" s="158">
        <v>11009</v>
      </c>
      <c r="E84" t="s">
        <v>629</v>
      </c>
      <c r="F84" s="158" t="s">
        <v>450</v>
      </c>
      <c r="G84" s="50" t="s">
        <v>631</v>
      </c>
      <c r="H84" s="50">
        <v>10</v>
      </c>
      <c r="I84" s="235">
        <v>8.52112676056338</v>
      </c>
      <c r="J84" s="247">
        <v>18</v>
      </c>
      <c r="K84" s="247">
        <v>65</v>
      </c>
      <c r="L84" s="233" t="s">
        <v>480</v>
      </c>
      <c r="M84" s="234">
        <v>0.74399999999999999</v>
      </c>
      <c r="N84" s="234">
        <v>0.34453</v>
      </c>
      <c r="O84" s="240">
        <v>385.19999999999993</v>
      </c>
      <c r="P84" s="234">
        <v>0.36499999999999999</v>
      </c>
      <c r="Q84" s="50">
        <v>0</v>
      </c>
      <c r="R84" s="50">
        <v>100</v>
      </c>
      <c r="S84" s="50" t="b">
        <v>0</v>
      </c>
      <c r="T84" s="50" t="s">
        <v>477</v>
      </c>
      <c r="U84" s="50" t="s">
        <v>467</v>
      </c>
      <c r="V84" s="50"/>
      <c r="W84" t="str">
        <f t="shared" si="10"/>
        <v>Commercial SEER-rated split Air Conditioners, Size Range: 18 - 65 kBTU/h, SEER = 10 (EER = 8.5), EIR = 0.345, Fan W/CFM = 0.37, one-speed fan, without Econo</v>
      </c>
      <c r="X84" t="str">
        <f>$E$68&amp;", "&amp;J85&amp;"-"&amp;K85&amp;" kBTU/h"</f>
        <v>Commercial SEER-rated split Air Conditioners, 18-65 kBTU/h</v>
      </c>
      <c r="Y84" t="str">
        <f>G84&amp;": SEER = "&amp;H84&amp;" (EER = "&amp;ROUND(I84,2)&amp;"), "&amp;T84&amp;" fan, "&amp;IF(S84,"w/Econo","no Econo")</f>
        <v>pre-2001: SEER = 10 (EER = 8.52), one-speed fan, no Econo</v>
      </c>
      <c r="Z84" t="str">
        <f>G84&amp;": SEER = "&amp;H84&amp;" (EER = "&amp;ROUND(I84,2)&amp;"), "&amp;T84&amp;" fan, w/Econo"</f>
        <v>pre-2001: SEER = 10 (EER = 8.52), one-speed fan, w/Econo</v>
      </c>
    </row>
    <row r="85" spans="4:26" x14ac:dyDescent="0.25">
      <c r="D85" s="158">
        <v>11304</v>
      </c>
      <c r="E85" t="s">
        <v>630</v>
      </c>
      <c r="F85" s="158" t="s">
        <v>450</v>
      </c>
      <c r="G85" s="50" t="s">
        <v>632</v>
      </c>
      <c r="H85" s="50">
        <v>13</v>
      </c>
      <c r="I85" s="235">
        <v>11.077464788732394</v>
      </c>
      <c r="J85" s="247">
        <v>18</v>
      </c>
      <c r="K85" s="247">
        <v>65</v>
      </c>
      <c r="L85" s="233" t="s">
        <v>480</v>
      </c>
      <c r="M85" s="234">
        <v>0.74399999999999999</v>
      </c>
      <c r="N85" s="234">
        <v>0.25823000000000002</v>
      </c>
      <c r="O85" s="240">
        <v>385.19999999999993</v>
      </c>
      <c r="P85" s="234">
        <v>0.34799999999999998</v>
      </c>
      <c r="Q85" s="50">
        <v>0</v>
      </c>
      <c r="R85" s="50">
        <v>100</v>
      </c>
      <c r="S85" s="50" t="b">
        <v>0</v>
      </c>
      <c r="T85" s="50" t="s">
        <v>477</v>
      </c>
      <c r="U85" s="50" t="s">
        <v>467</v>
      </c>
      <c r="V85" s="50"/>
      <c r="W85" t="str">
        <f t="shared" si="10"/>
        <v>Commercial SEER-rated split Air Conditioners, Size Range: 18 - 65 kBTU/h, SEER = 13 (EER = 11.1), EIR = 0.258, Fan W/CFM = 0.35, one-speed fan, without Econo</v>
      </c>
      <c r="Y85" t="str">
        <f>G85&amp;": SEER = "&amp;H85&amp;" (EER = "&amp;ROUND(I85,2)&amp;"), "&amp;T85&amp;" fan, "&amp;IF(S85,"w/Econo","no Econo")</f>
        <v>post-2001: SEER = 13 (EER = 11.08), one-speed fan, no Econo</v>
      </c>
      <c r="Z85" t="str">
        <f>G85&amp;": SEER = "&amp;H85&amp;" (EER = "&amp;ROUND(I85,2)&amp;"), "&amp;T85&amp;" fan, w/Econo"</f>
        <v>post-2001: SEER = 13 (EER = 11.08), one-speed fan, w/Econo</v>
      </c>
    </row>
    <row r="86" spans="4:26" x14ac:dyDescent="0.25">
      <c r="G86" s="50"/>
      <c r="H86" s="50"/>
      <c r="I86" s="233"/>
      <c r="L86" s="233"/>
      <c r="M86" s="233"/>
      <c r="N86" s="233"/>
      <c r="O86" s="240"/>
      <c r="P86" s="234"/>
      <c r="Q86" s="50"/>
      <c r="R86" s="50"/>
      <c r="S86" s="50"/>
      <c r="T86" s="50"/>
      <c r="U86" s="50"/>
      <c r="V86" s="50"/>
    </row>
    <row r="88" spans="4:26" x14ac:dyDescent="0.25">
      <c r="E88" s="238" t="s">
        <v>619</v>
      </c>
      <c r="F88" s="237"/>
      <c r="G88" s="238"/>
      <c r="H88" s="238"/>
      <c r="I88" s="250"/>
      <c r="J88" s="250"/>
      <c r="K88" s="250"/>
      <c r="L88" s="250"/>
      <c r="M88" s="250"/>
      <c r="N88" s="250"/>
      <c r="O88" s="238"/>
      <c r="P88" s="238"/>
    </row>
    <row r="89" spans="4:26" x14ac:dyDescent="0.25">
      <c r="E89" s="3" t="s">
        <v>592</v>
      </c>
      <c r="F89" s="214" t="s">
        <v>10</v>
      </c>
      <c r="G89" s="212"/>
      <c r="H89" s="212" t="s">
        <v>91</v>
      </c>
      <c r="I89" s="233" t="s">
        <v>114</v>
      </c>
      <c r="J89" s="247" t="s">
        <v>473</v>
      </c>
      <c r="K89" s="247" t="s">
        <v>474</v>
      </c>
      <c r="L89" s="247" t="s">
        <v>479</v>
      </c>
      <c r="M89" s="247" t="s">
        <v>475</v>
      </c>
      <c r="N89" s="247" t="s">
        <v>261</v>
      </c>
      <c r="O89" s="212" t="s">
        <v>469</v>
      </c>
      <c r="P89" s="212" t="s">
        <v>470</v>
      </c>
      <c r="Q89" s="212" t="s">
        <v>496</v>
      </c>
      <c r="R89" s="212" t="s">
        <v>471</v>
      </c>
      <c r="S89" s="246" t="s">
        <v>468</v>
      </c>
      <c r="T89" s="212" t="s">
        <v>472</v>
      </c>
      <c r="U89" s="213" t="s">
        <v>466</v>
      </c>
      <c r="V89" s="212" t="s">
        <v>476</v>
      </c>
    </row>
    <row r="90" spans="4:26" x14ac:dyDescent="0.25">
      <c r="D90" s="158">
        <v>11402</v>
      </c>
      <c r="E90" t="s">
        <v>599</v>
      </c>
      <c r="F90" s="158" t="s">
        <v>450</v>
      </c>
      <c r="G90" s="50" t="s">
        <v>523</v>
      </c>
      <c r="H90" s="50">
        <v>14</v>
      </c>
      <c r="I90" s="235">
        <v>12.165517241379311</v>
      </c>
      <c r="J90" s="247">
        <v>18</v>
      </c>
      <c r="K90" s="247">
        <v>45</v>
      </c>
      <c r="L90" s="233" t="s">
        <v>480</v>
      </c>
      <c r="M90" s="234">
        <v>0.75406428571428574</v>
      </c>
      <c r="N90" s="234">
        <v>0.23930000000000001</v>
      </c>
      <c r="O90" s="240">
        <v>385.19999999999993</v>
      </c>
      <c r="P90" s="234">
        <v>0.29399999999999998</v>
      </c>
      <c r="Q90" s="50">
        <v>0</v>
      </c>
      <c r="R90" s="50">
        <v>100</v>
      </c>
      <c r="S90" s="238"/>
      <c r="T90" s="50" t="s">
        <v>477</v>
      </c>
      <c r="U90" s="50" t="s">
        <v>623</v>
      </c>
      <c r="W90" t="str">
        <f>$E$89&amp;", Size Range: "&amp;J90&amp;" - "&amp;K90&amp;" kBTU/h, SEER = "&amp;H90&amp;" (EER = "&amp;ROUND(I90,1)&amp;"), EIR = "&amp;ROUND(N90,3)&amp;", Fan W/CFM = "&amp;ROUND(P90,2)&amp;", "&amp;T90&amp;" fan"</f>
        <v>Residential SEER-rated split Air Conditioners, Size Range: 18 - 45 kBTU/h, SEER = 14 (EER = 12.2), EIR = 0.239, Fan W/CFM = 0.29, one-speed fan</v>
      </c>
      <c r="X90" t="str">
        <f>X99&amp;"; "&amp;CHAR(10)&amp;Y99&amp;";"&amp;CHAR(10)&amp;Y100&amp;";"&amp;CHAR(10)&amp;Y90</f>
        <v>Residential SEER-rated split Air Conditioners, 18-65 kBTU/h; 
pre-2001: SEER = 10 (EER = 8.52), one-speed fan;
post-2001: SEER = 13 (EER = 11.08), one-speed fan;
2014: SEER = 14 (EER = 12.17), one-speed fan</v>
      </c>
      <c r="Y90" t="str">
        <f>"2014: SEER = "&amp;H90&amp;" (EER = "&amp;ROUND(I90,2)&amp;"), "&amp;T90&amp;" fan"</f>
        <v>2014: SEER = 14 (EER = 12.17), one-speed fan</v>
      </c>
    </row>
    <row r="91" spans="4:26" x14ac:dyDescent="0.25">
      <c r="D91" s="158">
        <v>11501</v>
      </c>
      <c r="E91" t="s">
        <v>604</v>
      </c>
      <c r="F91" s="158" t="s">
        <v>450</v>
      </c>
      <c r="G91" s="50" t="s">
        <v>521</v>
      </c>
      <c r="H91" s="50">
        <v>15</v>
      </c>
      <c r="I91" s="235">
        <v>12.781690140845072</v>
      </c>
      <c r="J91" s="247">
        <v>18</v>
      </c>
      <c r="K91" s="247">
        <v>65</v>
      </c>
      <c r="L91" s="233" t="s">
        <v>480</v>
      </c>
      <c r="M91" s="234">
        <v>0.74399999999999999</v>
      </c>
      <c r="N91" s="234">
        <v>0.23218</v>
      </c>
      <c r="O91" s="240">
        <v>385.19999999999993</v>
      </c>
      <c r="P91" s="234">
        <v>0.251</v>
      </c>
      <c r="Q91" s="50">
        <v>0</v>
      </c>
      <c r="R91" s="50">
        <v>100</v>
      </c>
      <c r="S91" s="238"/>
      <c r="T91" s="50" t="s">
        <v>477</v>
      </c>
      <c r="U91" s="50" t="s">
        <v>623</v>
      </c>
      <c r="W91" t="str">
        <f t="shared" ref="W91:W100" si="11">$E$89&amp;", Size Range: "&amp;J91&amp;" - "&amp;K91&amp;" kBTU/h, SEER = "&amp;H91&amp;" (EER = "&amp;ROUND(I91,1)&amp;"), EIR = "&amp;ROUND(N91,3)&amp;", Fan W/CFM = "&amp;ROUND(P91,2)&amp;", "&amp;T91&amp;" fan"</f>
        <v>Residential SEER-rated split Air Conditioners, Size Range: 18 - 65 kBTU/h, SEER = 15 (EER = 12.8), EIR = 0.232, Fan W/CFM = 0.25, one-speed fan</v>
      </c>
    </row>
    <row r="92" spans="4:26" x14ac:dyDescent="0.25">
      <c r="D92" s="158">
        <v>11604</v>
      </c>
      <c r="E92" t="s">
        <v>605</v>
      </c>
      <c r="F92" s="158" t="s">
        <v>450</v>
      </c>
      <c r="G92" s="50" t="s">
        <v>521</v>
      </c>
      <c r="H92" s="50">
        <v>16</v>
      </c>
      <c r="I92" s="235">
        <v>12.48</v>
      </c>
      <c r="J92" s="247">
        <v>18</v>
      </c>
      <c r="K92" s="247">
        <v>65</v>
      </c>
      <c r="L92" s="233" t="s">
        <v>480</v>
      </c>
      <c r="M92" s="234">
        <v>0.72399999999999998</v>
      </c>
      <c r="N92" s="234">
        <v>0.23813999999999999</v>
      </c>
      <c r="O92" s="240">
        <v>360</v>
      </c>
      <c r="P92" s="234">
        <v>0.27100000000000002</v>
      </c>
      <c r="Q92" s="50">
        <v>0</v>
      </c>
      <c r="R92" s="50">
        <v>100</v>
      </c>
      <c r="S92" s="238"/>
      <c r="T92" s="50" t="s">
        <v>478</v>
      </c>
      <c r="U92" s="50" t="s">
        <v>623</v>
      </c>
      <c r="W92" t="str">
        <f t="shared" si="11"/>
        <v>Residential SEER-rated split Air Conditioners, Size Range: 18 - 65 kBTU/h, SEER = 16 (EER = 12.5), EIR = 0.238, Fan W/CFM = 0.27, two-speed fan</v>
      </c>
    </row>
    <row r="93" spans="4:26" x14ac:dyDescent="0.25">
      <c r="D93" s="158">
        <v>11704</v>
      </c>
      <c r="E93" t="s">
        <v>606</v>
      </c>
      <c r="F93" s="158" t="s">
        <v>450</v>
      </c>
      <c r="G93" s="50" t="s">
        <v>521</v>
      </c>
      <c r="H93" s="50">
        <v>17</v>
      </c>
      <c r="I93" s="235">
        <v>13.260000000000002</v>
      </c>
      <c r="J93" s="247">
        <v>18</v>
      </c>
      <c r="K93" s="247">
        <v>65</v>
      </c>
      <c r="L93" s="233" t="s">
        <v>480</v>
      </c>
      <c r="M93" s="234">
        <v>0.72399999999999998</v>
      </c>
      <c r="N93" s="234">
        <v>0.2225</v>
      </c>
      <c r="O93" s="240">
        <v>360</v>
      </c>
      <c r="P93" s="234">
        <v>0.27100000000000002</v>
      </c>
      <c r="Q93" s="50">
        <v>0</v>
      </c>
      <c r="R93" s="50">
        <v>100</v>
      </c>
      <c r="S93" s="238"/>
      <c r="T93" s="50" t="s">
        <v>478</v>
      </c>
      <c r="U93" s="50" t="s">
        <v>623</v>
      </c>
      <c r="W93" t="str">
        <f t="shared" si="11"/>
        <v>Residential SEER-rated split Air Conditioners, Size Range: 18 - 65 kBTU/h, SEER = 17 (EER = 13.3), EIR = 0.223, Fan W/CFM = 0.27, two-speed fan</v>
      </c>
    </row>
    <row r="94" spans="4:26" x14ac:dyDescent="0.25">
      <c r="D94" s="158">
        <v>11802</v>
      </c>
      <c r="E94" t="s">
        <v>607</v>
      </c>
      <c r="F94" s="158" t="s">
        <v>450</v>
      </c>
      <c r="G94" s="50" t="s">
        <v>521</v>
      </c>
      <c r="H94" s="50">
        <v>18</v>
      </c>
      <c r="I94" s="235">
        <v>14.040000000000001</v>
      </c>
      <c r="J94" s="247">
        <v>18</v>
      </c>
      <c r="K94" s="247">
        <v>65</v>
      </c>
      <c r="L94" s="233" t="s">
        <v>480</v>
      </c>
      <c r="M94" s="234">
        <v>0.72399999999999998</v>
      </c>
      <c r="N94" s="234">
        <v>0.20860000000000001</v>
      </c>
      <c r="O94" s="240">
        <v>360</v>
      </c>
      <c r="P94" s="234">
        <v>0.27100000000000002</v>
      </c>
      <c r="Q94" s="50">
        <v>0</v>
      </c>
      <c r="R94" s="50">
        <v>100</v>
      </c>
      <c r="S94" s="238"/>
      <c r="T94" s="50" t="s">
        <v>478</v>
      </c>
      <c r="U94" s="50" t="s">
        <v>623</v>
      </c>
      <c r="W94" t="str">
        <f t="shared" si="11"/>
        <v>Residential SEER-rated split Air Conditioners, Size Range: 18 - 65 kBTU/h, SEER = 18 (EER = 14), EIR = 0.209, Fan W/CFM = 0.27, two-speed fan</v>
      </c>
    </row>
    <row r="95" spans="4:26" x14ac:dyDescent="0.25">
      <c r="D95" s="158">
        <v>11903</v>
      </c>
      <c r="E95" t="s">
        <v>608</v>
      </c>
      <c r="F95" s="158" t="s">
        <v>450</v>
      </c>
      <c r="G95" s="50" t="s">
        <v>521</v>
      </c>
      <c r="H95" s="50">
        <v>19</v>
      </c>
      <c r="I95" s="235">
        <v>14.82</v>
      </c>
      <c r="J95" s="247">
        <v>18</v>
      </c>
      <c r="K95" s="247">
        <v>65</v>
      </c>
      <c r="L95" s="233" t="s">
        <v>480</v>
      </c>
      <c r="M95" s="234">
        <v>0.72399999999999998</v>
      </c>
      <c r="N95" s="234">
        <v>0.20094999999999999</v>
      </c>
      <c r="O95" s="240">
        <v>360</v>
      </c>
      <c r="P95" s="234">
        <v>0.23300000000000001</v>
      </c>
      <c r="Q95" s="50">
        <v>0</v>
      </c>
      <c r="R95" s="50">
        <v>100</v>
      </c>
      <c r="S95" s="238"/>
      <c r="T95" s="50" t="s">
        <v>478</v>
      </c>
      <c r="U95" s="50" t="s">
        <v>623</v>
      </c>
      <c r="W95" t="str">
        <f t="shared" si="11"/>
        <v>Residential SEER-rated split Air Conditioners, Size Range: 18 - 65 kBTU/h, SEER = 19 (EER = 14.8), EIR = 0.201, Fan W/CFM = 0.23, two-speed fan</v>
      </c>
    </row>
    <row r="96" spans="4:26" x14ac:dyDescent="0.25">
      <c r="D96" s="158">
        <v>12001</v>
      </c>
      <c r="E96" t="s">
        <v>609</v>
      </c>
      <c r="F96" s="158" t="s">
        <v>450</v>
      </c>
      <c r="G96" s="50" t="s">
        <v>521</v>
      </c>
      <c r="H96" s="50">
        <v>20</v>
      </c>
      <c r="I96" s="235">
        <v>15.6</v>
      </c>
      <c r="J96" s="247">
        <v>18</v>
      </c>
      <c r="K96" s="247">
        <v>65</v>
      </c>
      <c r="L96" s="233" t="s">
        <v>480</v>
      </c>
      <c r="M96" s="234">
        <v>0.72399999999999998</v>
      </c>
      <c r="N96" s="234">
        <v>0.18970999999999999</v>
      </c>
      <c r="O96" s="240">
        <v>360</v>
      </c>
      <c r="P96" s="234">
        <v>0.23300000000000001</v>
      </c>
      <c r="Q96" s="50">
        <v>0</v>
      </c>
      <c r="R96" s="50">
        <v>100</v>
      </c>
      <c r="S96" s="238"/>
      <c r="T96" s="50" t="s">
        <v>478</v>
      </c>
      <c r="U96" s="50" t="s">
        <v>623</v>
      </c>
      <c r="W96" t="str">
        <f t="shared" si="11"/>
        <v>Residential SEER-rated split Air Conditioners, Size Range: 18 - 65 kBTU/h, SEER = 20 (EER = 15.6), EIR = 0.19, Fan W/CFM = 0.23, two-speed fan</v>
      </c>
    </row>
    <row r="97" spans="4:25" x14ac:dyDescent="0.25">
      <c r="D97" s="158">
        <v>12101</v>
      </c>
      <c r="E97" t="s">
        <v>610</v>
      </c>
      <c r="F97" s="158" t="s">
        <v>450</v>
      </c>
      <c r="G97" s="50" t="s">
        <v>521</v>
      </c>
      <c r="H97" s="50">
        <v>21</v>
      </c>
      <c r="I97" s="235">
        <v>16.38</v>
      </c>
      <c r="J97" s="247">
        <v>18</v>
      </c>
      <c r="K97" s="247">
        <v>65</v>
      </c>
      <c r="L97" s="233" t="s">
        <v>480</v>
      </c>
      <c r="M97" s="234">
        <v>0.72399999999999998</v>
      </c>
      <c r="N97" s="234">
        <v>0.17954000000000001</v>
      </c>
      <c r="O97" s="240">
        <v>360</v>
      </c>
      <c r="P97" s="234">
        <v>0.23300000000000001</v>
      </c>
      <c r="Q97" s="50">
        <v>0</v>
      </c>
      <c r="R97" s="50">
        <v>100</v>
      </c>
      <c r="S97" s="238"/>
      <c r="T97" s="50" t="s">
        <v>478</v>
      </c>
      <c r="U97" s="50" t="s">
        <v>623</v>
      </c>
      <c r="W97" t="str">
        <f t="shared" si="11"/>
        <v>Residential SEER-rated split Air Conditioners, Size Range: 18 - 65 kBTU/h, SEER = 21 (EER = 16.4), EIR = 0.18, Fan W/CFM = 0.23, two-speed fan</v>
      </c>
    </row>
    <row r="98" spans="4:25" x14ac:dyDescent="0.25">
      <c r="D98" s="158">
        <v>11403</v>
      </c>
      <c r="E98" t="s">
        <v>598</v>
      </c>
      <c r="F98" s="158" t="s">
        <v>450</v>
      </c>
      <c r="G98" s="50" t="s">
        <v>523</v>
      </c>
      <c r="H98" s="50">
        <v>14</v>
      </c>
      <c r="I98" s="235">
        <v>11.81793103448276</v>
      </c>
      <c r="J98" s="247">
        <v>45</v>
      </c>
      <c r="K98" s="247">
        <v>65</v>
      </c>
      <c r="L98" s="233" t="s">
        <v>480</v>
      </c>
      <c r="M98" s="234">
        <v>0.75921818181818179</v>
      </c>
      <c r="N98" s="234">
        <v>0.24660000000000001</v>
      </c>
      <c r="O98" s="240">
        <v>391.56</v>
      </c>
      <c r="P98" s="234">
        <v>0.29399999999999998</v>
      </c>
      <c r="Q98" s="50">
        <v>0</v>
      </c>
      <c r="R98" s="50">
        <v>100</v>
      </c>
      <c r="S98" s="238"/>
      <c r="T98" s="50" t="s">
        <v>477</v>
      </c>
      <c r="U98" s="50" t="s">
        <v>623</v>
      </c>
      <c r="W98" t="str">
        <f t="shared" si="11"/>
        <v>Residential SEER-rated split Air Conditioners, Size Range: 45 - 65 kBTU/h, SEER = 14 (EER = 11.8), EIR = 0.247, Fan W/CFM = 0.29, one-speed fan</v>
      </c>
      <c r="X98" t="str">
        <f>X99&amp;"; "&amp;CHAR(10)&amp;Y99&amp;";"&amp;CHAR(10)&amp;Y100&amp;";"&amp;CHAR(10)&amp;Y98</f>
        <v>Residential SEER-rated split Air Conditioners, 18-65 kBTU/h; 
pre-2001: SEER = 10 (EER = 8.52), one-speed fan;
post-2001: SEER = 13 (EER = 11.08), one-speed fan;
2014: SEER = 14 (EER = 11.82), one-speed fan</v>
      </c>
      <c r="Y98" t="str">
        <f>"2014: SEER = "&amp;H98&amp;" (EER = "&amp;ROUND(I98,2)&amp;"), "&amp;T98&amp;" fan"</f>
        <v>2014: SEER = 14 (EER = 11.82), one-speed fan</v>
      </c>
    </row>
    <row r="99" spans="4:25" x14ac:dyDescent="0.25">
      <c r="D99" s="158">
        <v>11009</v>
      </c>
      <c r="E99" t="s">
        <v>602</v>
      </c>
      <c r="F99" s="158" t="s">
        <v>450</v>
      </c>
      <c r="G99" s="50" t="s">
        <v>631</v>
      </c>
      <c r="H99" s="50">
        <v>10</v>
      </c>
      <c r="I99" s="235">
        <v>8.52112676056338</v>
      </c>
      <c r="J99" s="247">
        <v>18</v>
      </c>
      <c r="K99" s="247">
        <v>65</v>
      </c>
      <c r="L99" s="233" t="s">
        <v>480</v>
      </c>
      <c r="M99" s="234">
        <v>0.74399999999999999</v>
      </c>
      <c r="N99" s="234">
        <v>0.34453</v>
      </c>
      <c r="O99" s="240">
        <v>385.19999999999993</v>
      </c>
      <c r="P99" s="234">
        <v>0.36499999999999999</v>
      </c>
      <c r="Q99" s="50">
        <v>0</v>
      </c>
      <c r="R99" s="50">
        <v>100</v>
      </c>
      <c r="S99" s="238"/>
      <c r="T99" s="50" t="s">
        <v>477</v>
      </c>
      <c r="U99" s="50" t="s">
        <v>623</v>
      </c>
      <c r="V99" s="238"/>
      <c r="W99" t="str">
        <f t="shared" si="11"/>
        <v>Residential SEER-rated split Air Conditioners, Size Range: 18 - 65 kBTU/h, SEER = 10 (EER = 8.5), EIR = 0.345, Fan W/CFM = 0.37, one-speed fan</v>
      </c>
      <c r="X99" t="str">
        <f>$E$89&amp;", "&amp;J99&amp;"-"&amp;K99&amp;" kBTU/h"</f>
        <v>Residential SEER-rated split Air Conditioners, 18-65 kBTU/h</v>
      </c>
      <c r="Y99" t="str">
        <f>G99&amp;": SEER = "&amp;H99&amp;" (EER = "&amp;ROUND(I99,2)&amp;"), "&amp;T99&amp;" fan"</f>
        <v>pre-2001: SEER = 10 (EER = 8.52), one-speed fan</v>
      </c>
    </row>
    <row r="100" spans="4:25" x14ac:dyDescent="0.25">
      <c r="D100" s="158">
        <v>11304</v>
      </c>
      <c r="E100" t="s">
        <v>603</v>
      </c>
      <c r="F100" s="158" t="s">
        <v>450</v>
      </c>
      <c r="G100" s="50" t="s">
        <v>632</v>
      </c>
      <c r="H100" s="50">
        <v>13</v>
      </c>
      <c r="I100" s="235">
        <v>11.077464788732394</v>
      </c>
      <c r="J100" s="247">
        <v>18</v>
      </c>
      <c r="K100" s="247">
        <v>65</v>
      </c>
      <c r="L100" s="233" t="s">
        <v>480</v>
      </c>
      <c r="M100" s="234">
        <v>0.74399999999999999</v>
      </c>
      <c r="N100" s="234">
        <v>0.25823000000000002</v>
      </c>
      <c r="O100" s="240">
        <v>385.19999999999993</v>
      </c>
      <c r="P100" s="234">
        <v>0.34799999999999998</v>
      </c>
      <c r="Q100" s="50">
        <v>0</v>
      </c>
      <c r="R100" s="50">
        <v>100</v>
      </c>
      <c r="S100" s="238"/>
      <c r="T100" s="50" t="s">
        <v>477</v>
      </c>
      <c r="U100" s="50" t="s">
        <v>623</v>
      </c>
      <c r="V100" s="238"/>
      <c r="W100" t="str">
        <f t="shared" si="11"/>
        <v>Residential SEER-rated split Air Conditioners, Size Range: 18 - 65 kBTU/h, SEER = 13 (EER = 11.1), EIR = 0.258, Fan W/CFM = 0.35, one-speed fan</v>
      </c>
      <c r="Y100" t="str">
        <f>G100&amp;": SEER = "&amp;H100&amp;" (EER = "&amp;ROUND(I100,2)&amp;"), "&amp;T100&amp;" fan"</f>
        <v>post-2001: SEER = 13 (EER = 11.08), one-speed fan</v>
      </c>
    </row>
    <row r="101" spans="4:25" x14ac:dyDescent="0.25">
      <c r="E101" t="s">
        <v>834</v>
      </c>
      <c r="F101" s="158" t="s">
        <v>450</v>
      </c>
      <c r="G101" s="50" t="s">
        <v>521</v>
      </c>
      <c r="H101" s="50">
        <v>17.399999999999999</v>
      </c>
      <c r="I101" s="235"/>
      <c r="J101" s="247">
        <v>18</v>
      </c>
      <c r="K101" s="247">
        <v>45</v>
      </c>
      <c r="L101" s="233" t="s">
        <v>835</v>
      </c>
      <c r="M101" s="234"/>
      <c r="N101" s="234"/>
      <c r="O101" s="240"/>
      <c r="P101" s="234"/>
      <c r="Q101" s="50">
        <v>0</v>
      </c>
      <c r="R101" s="50">
        <v>100</v>
      </c>
      <c r="S101" s="238"/>
      <c r="T101" s="50" t="s">
        <v>477</v>
      </c>
      <c r="U101" s="50" t="s">
        <v>623</v>
      </c>
      <c r="V101" s="238"/>
      <c r="W101" t="s">
        <v>838</v>
      </c>
    </row>
    <row r="102" spans="4:25" x14ac:dyDescent="0.25">
      <c r="D102" s="237"/>
      <c r="G102" s="50"/>
      <c r="H102" s="50"/>
      <c r="I102" s="250"/>
      <c r="L102" s="233"/>
      <c r="M102" s="250"/>
      <c r="N102" s="250"/>
      <c r="O102" s="238"/>
      <c r="P102" s="238"/>
      <c r="Q102" s="238"/>
      <c r="R102" s="238"/>
      <c r="S102" s="238"/>
      <c r="T102" s="50"/>
      <c r="U102" s="238"/>
      <c r="V102" s="238"/>
      <c r="W102" s="238"/>
    </row>
    <row r="103" spans="4:25" x14ac:dyDescent="0.25">
      <c r="D103" s="237"/>
      <c r="F103" s="237"/>
      <c r="G103" s="239"/>
      <c r="H103" s="238"/>
      <c r="I103" s="250"/>
      <c r="J103" s="250"/>
      <c r="K103" s="250"/>
      <c r="L103" s="254"/>
      <c r="M103" s="250"/>
      <c r="N103" s="250"/>
      <c r="O103" s="238"/>
      <c r="P103" s="238"/>
      <c r="Q103" s="238"/>
      <c r="R103" s="238"/>
      <c r="S103" s="238"/>
      <c r="T103" s="50"/>
      <c r="U103" s="238"/>
      <c r="V103" s="238"/>
      <c r="W103" s="238"/>
    </row>
    <row r="104" spans="4:25" x14ac:dyDescent="0.25">
      <c r="E104" s="238" t="s">
        <v>620</v>
      </c>
      <c r="F104" s="237"/>
      <c r="G104" s="238"/>
      <c r="H104" s="238">
        <v>2</v>
      </c>
      <c r="I104" s="250">
        <v>3</v>
      </c>
      <c r="J104" s="250">
        <v>60</v>
      </c>
      <c r="K104" s="250">
        <v>61</v>
      </c>
      <c r="L104" s="250"/>
      <c r="M104" s="250"/>
      <c r="N104" s="250"/>
      <c r="O104" s="238">
        <v>5</v>
      </c>
      <c r="P104" s="238">
        <v>6</v>
      </c>
      <c r="Q104" s="238">
        <v>7</v>
      </c>
      <c r="R104" s="238">
        <v>8</v>
      </c>
      <c r="S104" s="238"/>
      <c r="T104" s="238">
        <v>57</v>
      </c>
    </row>
    <row r="105" spans="4:25" x14ac:dyDescent="0.25">
      <c r="E105" s="3" t="s">
        <v>600</v>
      </c>
      <c r="F105" s="214" t="s">
        <v>10</v>
      </c>
      <c r="G105" s="212" t="s">
        <v>519</v>
      </c>
      <c r="H105" s="212" t="s">
        <v>91</v>
      </c>
      <c r="I105" s="249" t="s">
        <v>114</v>
      </c>
      <c r="J105" s="249" t="s">
        <v>85</v>
      </c>
      <c r="K105" s="249" t="s">
        <v>601</v>
      </c>
      <c r="L105" s="251" t="s">
        <v>473</v>
      </c>
      <c r="M105" s="247" t="s">
        <v>474</v>
      </c>
      <c r="N105" s="247" t="s">
        <v>479</v>
      </c>
      <c r="O105" t="s">
        <v>475</v>
      </c>
      <c r="P105" t="s">
        <v>261</v>
      </c>
      <c r="Q105" s="212" t="s">
        <v>469</v>
      </c>
      <c r="R105" s="212" t="s">
        <v>470</v>
      </c>
      <c r="S105" s="246" t="s">
        <v>468</v>
      </c>
      <c r="T105" s="212" t="s">
        <v>472</v>
      </c>
      <c r="U105" s="213" t="s">
        <v>466</v>
      </c>
      <c r="V105" s="212" t="s">
        <v>476</v>
      </c>
    </row>
    <row r="106" spans="4:25" x14ac:dyDescent="0.25">
      <c r="D106" s="158">
        <v>21405</v>
      </c>
      <c r="E106" t="s">
        <v>611</v>
      </c>
      <c r="F106" s="158" t="s">
        <v>450</v>
      </c>
      <c r="G106" s="50" t="s">
        <v>523</v>
      </c>
      <c r="H106" s="236">
        <v>14</v>
      </c>
      <c r="I106" s="235">
        <v>11.929577464788734</v>
      </c>
      <c r="J106" s="233">
        <v>8.1999999999999993</v>
      </c>
      <c r="K106" s="233">
        <v>3.48</v>
      </c>
      <c r="L106" s="247">
        <v>18</v>
      </c>
      <c r="M106" s="247">
        <v>65</v>
      </c>
      <c r="N106" s="247" t="s">
        <v>480</v>
      </c>
      <c r="O106" s="234">
        <v>0.74399999999999999</v>
      </c>
      <c r="P106" s="234">
        <v>0.24467</v>
      </c>
      <c r="Q106" s="240">
        <v>385.19999999999993</v>
      </c>
      <c r="R106" s="234">
        <v>0.29399999999999998</v>
      </c>
      <c r="T106" s="50" t="s">
        <v>477</v>
      </c>
      <c r="U106" s="50" t="s">
        <v>622</v>
      </c>
      <c r="W106" t="s">
        <v>702</v>
      </c>
      <c r="X106" t="str">
        <f>X111&amp;"; "&amp;CHAR(10)&amp;Y111&amp;";"&amp;CHAR(10)&amp;Y112&amp;";"&amp;CHAR(10)&amp;Y106</f>
        <v>Res SEER-Rated Splt HP, 7.1-3.01 kBTU/h; 
pre-2001: SEER = 10 (HSPF = 7.1), one-speed fan;
post-2001: SEER = 13 (HSPF = 8.2), one-speed fan;
2014: SEER = 14 (HSPF = 8.2), one-speed fan</v>
      </c>
      <c r="Y106" t="str">
        <f>"2014: SEER = "&amp;H106&amp;" (HSPF = "&amp;ROUND(J106,2)&amp;"), "&amp;T106&amp;" fan"</f>
        <v>2014: SEER = 14 (HSPF = 8.2), one-speed fan</v>
      </c>
    </row>
    <row r="107" spans="4:25" x14ac:dyDescent="0.25">
      <c r="D107" s="158">
        <v>21501</v>
      </c>
      <c r="E107" t="s">
        <v>612</v>
      </c>
      <c r="F107" s="158" t="s">
        <v>450</v>
      </c>
      <c r="G107" s="50" t="s">
        <v>521</v>
      </c>
      <c r="H107" s="236">
        <v>15</v>
      </c>
      <c r="I107" s="235">
        <v>12.781690140845072</v>
      </c>
      <c r="J107" s="233">
        <v>8.6999999999999993</v>
      </c>
      <c r="K107" s="233">
        <v>3.68</v>
      </c>
      <c r="L107" s="247">
        <v>18</v>
      </c>
      <c r="M107" s="247">
        <v>65</v>
      </c>
      <c r="N107" s="247" t="s">
        <v>480</v>
      </c>
      <c r="O107" s="234">
        <v>0.74399999999999999</v>
      </c>
      <c r="P107" s="234">
        <v>0.23218</v>
      </c>
      <c r="Q107" s="240">
        <v>385.19999999999993</v>
      </c>
      <c r="R107" s="234">
        <v>0.251</v>
      </c>
      <c r="T107" s="50" t="s">
        <v>477</v>
      </c>
      <c r="U107" s="50" t="s">
        <v>622</v>
      </c>
      <c r="W107" t="s">
        <v>703</v>
      </c>
    </row>
    <row r="108" spans="4:25" x14ac:dyDescent="0.25">
      <c r="D108" s="158">
        <v>21604</v>
      </c>
      <c r="E108" t="s">
        <v>613</v>
      </c>
      <c r="F108" s="158" t="s">
        <v>450</v>
      </c>
      <c r="G108" s="50" t="s">
        <v>521</v>
      </c>
      <c r="H108" s="236">
        <v>16</v>
      </c>
      <c r="I108" s="235">
        <v>12.48</v>
      </c>
      <c r="J108" s="233">
        <v>9</v>
      </c>
      <c r="K108" s="233">
        <v>3.57</v>
      </c>
      <c r="L108" s="247">
        <v>18</v>
      </c>
      <c r="M108" s="247">
        <v>65</v>
      </c>
      <c r="N108" s="247" t="s">
        <v>480</v>
      </c>
      <c r="O108" s="234">
        <v>0.72399999999999998</v>
      </c>
      <c r="P108" s="234">
        <v>0.23813999999999999</v>
      </c>
      <c r="Q108" s="240">
        <v>360</v>
      </c>
      <c r="R108" s="234">
        <v>0.27100000000000002</v>
      </c>
      <c r="T108" s="50" t="s">
        <v>478</v>
      </c>
      <c r="U108" s="50" t="s">
        <v>622</v>
      </c>
      <c r="W108" t="s">
        <v>704</v>
      </c>
    </row>
    <row r="109" spans="4:25" x14ac:dyDescent="0.25">
      <c r="D109" s="158">
        <v>21704</v>
      </c>
      <c r="E109" t="s">
        <v>614</v>
      </c>
      <c r="F109" s="158" t="s">
        <v>450</v>
      </c>
      <c r="G109" s="50" t="s">
        <v>521</v>
      </c>
      <c r="H109" s="236">
        <v>17</v>
      </c>
      <c r="I109" s="235">
        <v>13.260000000000002</v>
      </c>
      <c r="J109" s="233">
        <v>9.4</v>
      </c>
      <c r="K109" s="233">
        <v>3.74</v>
      </c>
      <c r="L109" s="247">
        <v>18</v>
      </c>
      <c r="M109" s="247">
        <v>65</v>
      </c>
      <c r="N109" s="247" t="s">
        <v>480</v>
      </c>
      <c r="O109" s="234">
        <v>0.72399999999999998</v>
      </c>
      <c r="P109" s="234">
        <v>0.2225</v>
      </c>
      <c r="Q109" s="240">
        <v>360</v>
      </c>
      <c r="R109" s="234">
        <v>0.27100000000000002</v>
      </c>
      <c r="T109" s="50" t="s">
        <v>478</v>
      </c>
      <c r="U109" s="50" t="s">
        <v>622</v>
      </c>
      <c r="W109" t="s">
        <v>705</v>
      </c>
    </row>
    <row r="110" spans="4:25" x14ac:dyDescent="0.25">
      <c r="D110" s="158">
        <v>21802</v>
      </c>
      <c r="E110" t="s">
        <v>615</v>
      </c>
      <c r="F110" s="158" t="s">
        <v>450</v>
      </c>
      <c r="G110" s="50" t="s">
        <v>521</v>
      </c>
      <c r="H110" s="236">
        <v>18</v>
      </c>
      <c r="I110" s="235">
        <v>14.040000000000001</v>
      </c>
      <c r="J110" s="233">
        <v>9.6999999999999993</v>
      </c>
      <c r="K110" s="233">
        <v>3.86</v>
      </c>
      <c r="L110" s="247">
        <v>18</v>
      </c>
      <c r="M110" s="247">
        <v>65</v>
      </c>
      <c r="N110" s="247" t="s">
        <v>480</v>
      </c>
      <c r="O110" s="234">
        <v>0.72399999999999998</v>
      </c>
      <c r="P110" s="234">
        <v>0.20860000000000001</v>
      </c>
      <c r="Q110" s="240">
        <v>360</v>
      </c>
      <c r="R110" s="234">
        <v>0.27100000000000002</v>
      </c>
      <c r="T110" s="50" t="s">
        <v>478</v>
      </c>
      <c r="U110" s="50" t="s">
        <v>622</v>
      </c>
      <c r="W110" t="s">
        <v>706</v>
      </c>
    </row>
    <row r="111" spans="4:25" x14ac:dyDescent="0.25">
      <c r="D111" s="158">
        <v>21005</v>
      </c>
      <c r="E111" t="s">
        <v>616</v>
      </c>
      <c r="F111" s="158" t="s">
        <v>450</v>
      </c>
      <c r="G111" s="50" t="s">
        <v>631</v>
      </c>
      <c r="H111" s="236">
        <v>10</v>
      </c>
      <c r="I111" s="235">
        <v>8.52112676056338</v>
      </c>
      <c r="J111" s="233">
        <v>7.1</v>
      </c>
      <c r="K111" s="233">
        <v>3.01</v>
      </c>
      <c r="L111" s="247">
        <v>18</v>
      </c>
      <c r="M111" s="247">
        <v>65</v>
      </c>
      <c r="N111" s="247" t="s">
        <v>480</v>
      </c>
      <c r="O111" s="234">
        <v>0.74399999999999999</v>
      </c>
      <c r="P111" s="234">
        <v>0.34453</v>
      </c>
      <c r="Q111" s="240">
        <v>385.19999999999993</v>
      </c>
      <c r="R111" s="234">
        <v>0.36499999999999999</v>
      </c>
      <c r="T111" s="50" t="s">
        <v>477</v>
      </c>
      <c r="U111" s="50" t="s">
        <v>622</v>
      </c>
      <c r="W111" t="s">
        <v>707</v>
      </c>
      <c r="X111" t="str">
        <f>$E$104&amp;", "&amp;J111&amp;"-"&amp;K111&amp;" kBTU/h"</f>
        <v>Res SEER-Rated Splt HP, 7.1-3.01 kBTU/h</v>
      </c>
      <c r="Y111" t="str">
        <f>G111&amp;": SEER = "&amp;H111&amp;" (HSPF = "&amp;ROUND(J111,2)&amp;"), "&amp;T111&amp;" fan"</f>
        <v>pre-2001: SEER = 10 (HSPF = 7.1), one-speed fan</v>
      </c>
    </row>
    <row r="112" spans="4:25" x14ac:dyDescent="0.25">
      <c r="D112" s="158">
        <v>21305</v>
      </c>
      <c r="E112" t="s">
        <v>617</v>
      </c>
      <c r="F112" s="158" t="s">
        <v>450</v>
      </c>
      <c r="G112" s="50" t="s">
        <v>632</v>
      </c>
      <c r="H112" s="236">
        <v>13</v>
      </c>
      <c r="I112" s="235">
        <v>11.077464788732394</v>
      </c>
      <c r="J112" s="233">
        <v>8.1999999999999993</v>
      </c>
      <c r="K112" s="233">
        <v>3.49</v>
      </c>
      <c r="L112" s="247">
        <v>18</v>
      </c>
      <c r="M112" s="247">
        <v>65</v>
      </c>
      <c r="N112" s="247" t="s">
        <v>480</v>
      </c>
      <c r="O112" s="234">
        <v>0.74399999999999999</v>
      </c>
      <c r="P112" s="234">
        <v>0.25823000000000002</v>
      </c>
      <c r="Q112" s="240">
        <v>385.19999999999993</v>
      </c>
      <c r="R112" s="234">
        <v>0.34799999999999998</v>
      </c>
      <c r="T112" s="50" t="s">
        <v>477</v>
      </c>
      <c r="U112" s="50" t="s">
        <v>622</v>
      </c>
      <c r="W112" t="s">
        <v>708</v>
      </c>
      <c r="Y112" t="str">
        <f>G112&amp;": SEER = "&amp;H112&amp;" (HSPF = "&amp;ROUND(J112,2)&amp;"), "&amp;T112&amp;" fan"</f>
        <v>post-2001: SEER = 13 (HSPF = 8.2), one-speed fan</v>
      </c>
    </row>
    <row r="115" spans="4:26" x14ac:dyDescent="0.25">
      <c r="E115" s="238" t="s">
        <v>618</v>
      </c>
      <c r="F115" s="237"/>
      <c r="G115" s="239"/>
      <c r="H115" s="239">
        <v>5</v>
      </c>
      <c r="I115" s="250">
        <v>6</v>
      </c>
      <c r="J115" s="250"/>
      <c r="K115" s="250"/>
      <c r="L115" s="250"/>
      <c r="M115" s="250">
        <v>8</v>
      </c>
      <c r="N115" s="250">
        <v>9</v>
      </c>
      <c r="O115" s="239">
        <v>10</v>
      </c>
      <c r="P115" s="239">
        <v>11</v>
      </c>
      <c r="Q115" s="50"/>
      <c r="R115" s="50"/>
      <c r="S115" s="50"/>
      <c r="T115" s="50"/>
      <c r="U115" s="50"/>
      <c r="V115" s="50"/>
    </row>
    <row r="116" spans="4:26" x14ac:dyDescent="0.25">
      <c r="E116" s="3" t="s">
        <v>500</v>
      </c>
      <c r="F116" s="214" t="s">
        <v>10</v>
      </c>
      <c r="G116" s="212" t="s">
        <v>519</v>
      </c>
      <c r="H116" s="212" t="s">
        <v>91</v>
      </c>
      <c r="I116" s="249" t="s">
        <v>114</v>
      </c>
      <c r="J116" s="251" t="s">
        <v>473</v>
      </c>
      <c r="K116" s="251" t="s">
        <v>474</v>
      </c>
      <c r="L116" s="249" t="s">
        <v>479</v>
      </c>
      <c r="M116" s="251" t="s">
        <v>475</v>
      </c>
      <c r="N116" s="251" t="s">
        <v>261</v>
      </c>
      <c r="O116" s="212" t="s">
        <v>469</v>
      </c>
      <c r="P116" s="212" t="s">
        <v>470</v>
      </c>
      <c r="Q116" s="212" t="s">
        <v>496</v>
      </c>
      <c r="R116" s="212" t="s">
        <v>471</v>
      </c>
      <c r="S116" s="212" t="s">
        <v>468</v>
      </c>
      <c r="T116" s="212" t="s">
        <v>472</v>
      </c>
      <c r="U116" s="213" t="s">
        <v>466</v>
      </c>
      <c r="V116" s="212" t="s">
        <v>476</v>
      </c>
    </row>
    <row r="117" spans="4:26" x14ac:dyDescent="0.25">
      <c r="D117" s="158">
        <v>30203</v>
      </c>
      <c r="E117" t="s">
        <v>501</v>
      </c>
      <c r="F117" s="158" t="s">
        <v>450</v>
      </c>
      <c r="G117" s="50" t="s">
        <v>523</v>
      </c>
      <c r="H117" s="50">
        <v>14</v>
      </c>
      <c r="I117" s="235">
        <v>12.039051018308989</v>
      </c>
      <c r="J117" s="247">
        <v>18</v>
      </c>
      <c r="K117" s="247">
        <v>55</v>
      </c>
      <c r="L117" s="233" t="s">
        <v>480</v>
      </c>
      <c r="M117" s="234">
        <v>0.69320000000000004</v>
      </c>
      <c r="N117" s="234">
        <v>0.24560000000000001</v>
      </c>
      <c r="O117" s="240">
        <v>338.28</v>
      </c>
      <c r="P117" s="234">
        <v>0.29399999999999998</v>
      </c>
      <c r="Q117" s="50">
        <v>0</v>
      </c>
      <c r="R117" s="50">
        <v>100</v>
      </c>
      <c r="S117" s="50" t="b">
        <v>0</v>
      </c>
      <c r="T117" s="50" t="s">
        <v>477</v>
      </c>
      <c r="U117" s="50" t="s">
        <v>467</v>
      </c>
      <c r="V117" s="50"/>
      <c r="W117" t="s">
        <v>728</v>
      </c>
      <c r="X117" t="str">
        <f>X127&amp;"; "&amp;CHAR(10)&amp;Y127&amp;";"&amp;CHAR(10)&amp;Y128&amp;";"&amp;CHAR(10)&amp;Y117</f>
        <v>Com SEER-Rated Pkg AC, 18-65 kBTU/h; 
pre-2001: SEER = 9.7 (EER = 9.21), one-speed fan, no Econo;
post-2001: SEER = 13 (EER = 11.06), one-speed fan, no Econo;
2014: SEER = 14 (EER = 12.04), one-speed fan, no Econo</v>
      </c>
      <c r="Y117" t="str">
        <f>"2014: SEER = "&amp;H117&amp;" (EER = "&amp;ROUND(I117,2)&amp;"), "&amp;T117&amp;" fan, "&amp;IF(S117,"w/Econo","no Econo")</f>
        <v>2014: SEER = 14 (EER = 12.04), one-speed fan, no Econo</v>
      </c>
    </row>
    <row r="118" spans="4:26" x14ac:dyDescent="0.25">
      <c r="D118" s="158">
        <v>30301</v>
      </c>
      <c r="E118" t="s">
        <v>502</v>
      </c>
      <c r="F118" s="158" t="s">
        <v>450</v>
      </c>
      <c r="G118" s="50" t="s">
        <v>521</v>
      </c>
      <c r="H118" s="50">
        <v>15</v>
      </c>
      <c r="I118" s="235">
        <v>12.9</v>
      </c>
      <c r="J118" s="247">
        <v>18</v>
      </c>
      <c r="K118" s="247">
        <v>55</v>
      </c>
      <c r="L118" s="233" t="s">
        <v>480</v>
      </c>
      <c r="M118" s="234">
        <v>0.69320000000000004</v>
      </c>
      <c r="N118" s="234">
        <v>0.23404</v>
      </c>
      <c r="O118" s="240">
        <v>338.28</v>
      </c>
      <c r="P118" s="234">
        <v>0.251</v>
      </c>
      <c r="Q118" s="50">
        <v>0</v>
      </c>
      <c r="R118" s="50">
        <v>100</v>
      </c>
      <c r="S118" s="50" t="b">
        <v>0</v>
      </c>
      <c r="T118" s="50" t="s">
        <v>477</v>
      </c>
      <c r="U118" s="50" t="s">
        <v>467</v>
      </c>
      <c r="V118" s="50"/>
      <c r="W118" t="s">
        <v>729</v>
      </c>
    </row>
    <row r="119" spans="4:26" x14ac:dyDescent="0.25">
      <c r="D119" s="158">
        <v>11610</v>
      </c>
      <c r="E119" t="s">
        <v>503</v>
      </c>
      <c r="F119" s="158" t="s">
        <v>450</v>
      </c>
      <c r="G119" s="50" t="s">
        <v>521</v>
      </c>
      <c r="H119" s="50">
        <v>16</v>
      </c>
      <c r="I119" s="235">
        <v>12.48</v>
      </c>
      <c r="J119" s="247">
        <v>18</v>
      </c>
      <c r="K119" s="247">
        <v>55</v>
      </c>
      <c r="L119" s="233" t="s">
        <v>480</v>
      </c>
      <c r="M119" s="234">
        <v>0.72399999999999998</v>
      </c>
      <c r="N119" s="234">
        <v>0.23813999999999999</v>
      </c>
      <c r="O119" s="240">
        <v>360</v>
      </c>
      <c r="P119" s="234">
        <v>0.27100000000000002</v>
      </c>
      <c r="Q119" s="50">
        <v>0</v>
      </c>
      <c r="R119" s="50">
        <v>100</v>
      </c>
      <c r="S119" s="50" t="b">
        <v>0</v>
      </c>
      <c r="T119" s="50" t="s">
        <v>478</v>
      </c>
      <c r="U119" s="50" t="s">
        <v>467</v>
      </c>
      <c r="V119" s="50"/>
      <c r="W119" t="s">
        <v>730</v>
      </c>
    </row>
    <row r="120" spans="4:26" x14ac:dyDescent="0.25">
      <c r="D120" s="158">
        <v>11710</v>
      </c>
      <c r="E120" t="s">
        <v>504</v>
      </c>
      <c r="F120" s="158" t="s">
        <v>450</v>
      </c>
      <c r="G120" s="50" t="s">
        <v>521</v>
      </c>
      <c r="H120" s="50">
        <v>17</v>
      </c>
      <c r="I120" s="235">
        <v>13.260000000000002</v>
      </c>
      <c r="J120" s="247">
        <v>18</v>
      </c>
      <c r="K120" s="247">
        <v>55</v>
      </c>
      <c r="L120" s="233" t="s">
        <v>480</v>
      </c>
      <c r="M120" s="234">
        <v>0.72399999999999998</v>
      </c>
      <c r="N120" s="234">
        <v>0.2225</v>
      </c>
      <c r="O120" s="240">
        <v>360</v>
      </c>
      <c r="P120" s="234">
        <v>0.27100000000000002</v>
      </c>
      <c r="Q120" s="50">
        <v>0</v>
      </c>
      <c r="R120" s="50">
        <v>100</v>
      </c>
      <c r="S120" s="50" t="b">
        <v>0</v>
      </c>
      <c r="T120" s="50" t="s">
        <v>478</v>
      </c>
      <c r="U120" s="50" t="s">
        <v>467</v>
      </c>
      <c r="V120" s="50"/>
      <c r="W120" t="s">
        <v>731</v>
      </c>
    </row>
    <row r="121" spans="4:26" x14ac:dyDescent="0.25">
      <c r="D121" s="158">
        <v>11810</v>
      </c>
      <c r="E121" t="s">
        <v>505</v>
      </c>
      <c r="F121" s="158" t="s">
        <v>450</v>
      </c>
      <c r="G121" s="50" t="s">
        <v>521</v>
      </c>
      <c r="H121" s="50">
        <v>18</v>
      </c>
      <c r="I121" s="235">
        <v>14.040000000000001</v>
      </c>
      <c r="J121" s="247">
        <v>18</v>
      </c>
      <c r="K121" s="247">
        <v>55</v>
      </c>
      <c r="L121" s="233" t="s">
        <v>480</v>
      </c>
      <c r="M121" s="234">
        <v>0.72399999999999998</v>
      </c>
      <c r="N121" s="234">
        <v>0.20860000000000001</v>
      </c>
      <c r="O121" s="240">
        <v>360</v>
      </c>
      <c r="P121" s="234">
        <v>0.27100000000000002</v>
      </c>
      <c r="Q121" s="50">
        <v>0</v>
      </c>
      <c r="R121" s="50">
        <v>100</v>
      </c>
      <c r="S121" s="50" t="b">
        <v>0</v>
      </c>
      <c r="T121" s="50" t="s">
        <v>478</v>
      </c>
      <c r="U121" s="50" t="s">
        <v>467</v>
      </c>
      <c r="V121" s="50"/>
      <c r="W121" t="s">
        <v>732</v>
      </c>
    </row>
    <row r="122" spans="4:26" x14ac:dyDescent="0.25">
      <c r="D122" s="158">
        <v>11405</v>
      </c>
      <c r="E122" t="s">
        <v>506</v>
      </c>
      <c r="F122" s="158" t="s">
        <v>450</v>
      </c>
      <c r="G122" s="50" t="s">
        <v>523</v>
      </c>
      <c r="H122" s="50">
        <v>14</v>
      </c>
      <c r="I122" s="235">
        <v>11.745762711864407</v>
      </c>
      <c r="J122" s="233">
        <v>55</v>
      </c>
      <c r="K122" s="233">
        <v>65</v>
      </c>
      <c r="L122" s="233" t="s">
        <v>480</v>
      </c>
      <c r="M122" s="234">
        <v>0.73199999999999998</v>
      </c>
      <c r="N122" s="234">
        <v>0.249</v>
      </c>
      <c r="O122" s="240">
        <v>385.19999999999993</v>
      </c>
      <c r="P122" s="234">
        <v>0.29399999999999998</v>
      </c>
      <c r="Q122" s="50">
        <v>0</v>
      </c>
      <c r="R122" s="50">
        <v>100</v>
      </c>
      <c r="S122" s="50" t="b">
        <v>1</v>
      </c>
      <c r="T122" s="50" t="s">
        <v>478</v>
      </c>
      <c r="U122" s="50" t="s">
        <v>467</v>
      </c>
      <c r="V122" s="50"/>
      <c r="W122" t="s">
        <v>733</v>
      </c>
      <c r="X122" t="str">
        <f>X127&amp;"; "&amp;CHAR(10)&amp;Y127&amp;";"&amp;CHAR(10)&amp;Y128&amp;";"&amp;CHAR(10)&amp;Y122</f>
        <v>Com SEER-Rated Pkg AC, 18-65 kBTU/h; 
pre-2001: SEER = 9.7 (EER = 9.21), one-speed fan, no Econo;
post-2001: SEER = 13 (EER = 11.06), one-speed fan, no Econo;
2014: SEER = 14 (EER = 11.75), two-speed fan, w/Econo</v>
      </c>
      <c r="Y122" t="str">
        <f>"2014: SEER = "&amp;H122&amp;" (EER = "&amp;ROUND(I122,2)&amp;"), "&amp;T122&amp;" fan, "&amp;IF(S122,"w/Econo","no Econo")</f>
        <v>2014: SEER = 14 (EER = 11.75), two-speed fan, w/Econo</v>
      </c>
      <c r="Z122" t="str">
        <f>X127&amp;"; "&amp;CHAR(10)&amp;Z127&amp;";"&amp;CHAR(10)&amp;Z128&amp;";"&amp;CHAR(10)&amp;Y122</f>
        <v>Com SEER-Rated Pkg AC, 18-65 kBTU/h; 
pre-2001: SEER = 9.7 (EER = 9.21), one-speed fan, w/Econo;
post-2001: SEER = 13 (EER = 11.06), one-speed fan, w/Econo;
2014: SEER = 14 (EER = 11.75), two-speed fan, w/Econo</v>
      </c>
    </row>
    <row r="123" spans="4:26" x14ac:dyDescent="0.25">
      <c r="D123" s="158">
        <v>11505</v>
      </c>
      <c r="E123" t="s">
        <v>507</v>
      </c>
      <c r="F123" s="158" t="s">
        <v>450</v>
      </c>
      <c r="G123" s="50" t="s">
        <v>521</v>
      </c>
      <c r="H123" s="50">
        <v>15</v>
      </c>
      <c r="I123" s="235">
        <v>12.584745762711865</v>
      </c>
      <c r="J123" s="233">
        <v>55</v>
      </c>
      <c r="K123" s="233">
        <v>65</v>
      </c>
      <c r="L123" s="233" t="s">
        <v>480</v>
      </c>
      <c r="M123" s="234">
        <v>0.73199999999999998</v>
      </c>
      <c r="N123" s="234">
        <v>0.23624000000000001</v>
      </c>
      <c r="O123" s="240">
        <v>385.19999999999993</v>
      </c>
      <c r="P123" s="234">
        <v>0.251</v>
      </c>
      <c r="Q123" s="50">
        <v>0</v>
      </c>
      <c r="R123" s="50">
        <v>100</v>
      </c>
      <c r="S123" s="50" t="b">
        <v>1</v>
      </c>
      <c r="T123" s="50" t="s">
        <v>478</v>
      </c>
      <c r="U123" s="50" t="s">
        <v>467</v>
      </c>
      <c r="V123" s="50"/>
      <c r="W123" t="s">
        <v>734</v>
      </c>
    </row>
    <row r="124" spans="4:26" x14ac:dyDescent="0.25">
      <c r="D124" s="158">
        <v>11610</v>
      </c>
      <c r="E124" t="s">
        <v>508</v>
      </c>
      <c r="F124" s="158" t="s">
        <v>450</v>
      </c>
      <c r="G124" s="50" t="s">
        <v>521</v>
      </c>
      <c r="H124" s="50">
        <v>16</v>
      </c>
      <c r="I124" s="235">
        <v>12.48</v>
      </c>
      <c r="J124" s="233">
        <v>55</v>
      </c>
      <c r="K124" s="233">
        <v>65</v>
      </c>
      <c r="L124" s="233" t="s">
        <v>480</v>
      </c>
      <c r="M124" s="234">
        <v>0.72399999999999998</v>
      </c>
      <c r="N124" s="234">
        <v>0.23813999999999999</v>
      </c>
      <c r="O124" s="240">
        <v>360</v>
      </c>
      <c r="P124" s="234">
        <v>0.27100000000000002</v>
      </c>
      <c r="Q124" s="50">
        <v>0</v>
      </c>
      <c r="R124" s="50">
        <v>100</v>
      </c>
      <c r="S124" s="50" t="b">
        <v>1</v>
      </c>
      <c r="T124" s="50" t="s">
        <v>478</v>
      </c>
      <c r="U124" s="50" t="s">
        <v>467</v>
      </c>
      <c r="V124" s="50"/>
      <c r="W124" t="s">
        <v>735</v>
      </c>
    </row>
    <row r="125" spans="4:26" x14ac:dyDescent="0.25">
      <c r="D125" s="158">
        <v>11710</v>
      </c>
      <c r="E125" t="s">
        <v>509</v>
      </c>
      <c r="F125" s="158" t="s">
        <v>450</v>
      </c>
      <c r="G125" s="50" t="s">
        <v>521</v>
      </c>
      <c r="H125" s="50">
        <v>17</v>
      </c>
      <c r="I125" s="235">
        <v>13.260000000000002</v>
      </c>
      <c r="J125" s="233">
        <v>55</v>
      </c>
      <c r="K125" s="233">
        <v>65</v>
      </c>
      <c r="L125" s="233" t="s">
        <v>480</v>
      </c>
      <c r="M125" s="234">
        <v>0.72399999999999998</v>
      </c>
      <c r="N125" s="234">
        <v>0.2225</v>
      </c>
      <c r="O125" s="240">
        <v>360</v>
      </c>
      <c r="P125" s="234">
        <v>0.27100000000000002</v>
      </c>
      <c r="Q125" s="50">
        <v>0</v>
      </c>
      <c r="R125" s="50">
        <v>100</v>
      </c>
      <c r="S125" s="50" t="b">
        <v>1</v>
      </c>
      <c r="T125" s="50" t="s">
        <v>478</v>
      </c>
      <c r="U125" s="50" t="s">
        <v>467</v>
      </c>
      <c r="V125" s="50"/>
      <c r="W125" t="s">
        <v>736</v>
      </c>
    </row>
    <row r="126" spans="4:26" x14ac:dyDescent="0.25">
      <c r="D126" s="158">
        <v>11810</v>
      </c>
      <c r="E126" t="s">
        <v>499</v>
      </c>
      <c r="F126" s="158" t="s">
        <v>450</v>
      </c>
      <c r="G126" s="50" t="s">
        <v>521</v>
      </c>
      <c r="H126" s="50">
        <v>18</v>
      </c>
      <c r="I126" s="235">
        <v>14.040000000000001</v>
      </c>
      <c r="J126" s="233">
        <v>55</v>
      </c>
      <c r="K126" s="233">
        <v>65</v>
      </c>
      <c r="L126" s="233" t="s">
        <v>480</v>
      </c>
      <c r="M126" s="234">
        <v>0.72399999999999998</v>
      </c>
      <c r="N126" s="234">
        <v>0.20860000000000001</v>
      </c>
      <c r="O126" s="240">
        <v>360</v>
      </c>
      <c r="P126" s="234">
        <v>0.27100000000000002</v>
      </c>
      <c r="Q126" s="50">
        <v>0</v>
      </c>
      <c r="R126" s="50">
        <v>100</v>
      </c>
      <c r="S126" s="50" t="b">
        <v>1</v>
      </c>
      <c r="T126" s="50" t="s">
        <v>478</v>
      </c>
      <c r="U126" s="50" t="s">
        <v>467</v>
      </c>
      <c r="V126" s="50"/>
      <c r="W126" t="s">
        <v>737</v>
      </c>
    </row>
    <row r="127" spans="4:26" x14ac:dyDescent="0.25">
      <c r="D127" s="158">
        <v>30007</v>
      </c>
      <c r="E127" t="s">
        <v>624</v>
      </c>
      <c r="F127" s="158" t="s">
        <v>450</v>
      </c>
      <c r="G127" s="50" t="s">
        <v>631</v>
      </c>
      <c r="H127" s="236">
        <v>9.6999999999999993</v>
      </c>
      <c r="I127" s="235">
        <v>9.2131274131274132</v>
      </c>
      <c r="J127" s="247">
        <v>18</v>
      </c>
      <c r="K127" s="233">
        <v>65</v>
      </c>
      <c r="L127" s="233" t="s">
        <v>480</v>
      </c>
      <c r="M127" s="234">
        <v>0.69750000000000001</v>
      </c>
      <c r="N127" s="234">
        <v>0.29709999999999998</v>
      </c>
      <c r="O127" s="240">
        <v>372.35999999999996</v>
      </c>
      <c r="P127" s="234">
        <v>0.4325</v>
      </c>
      <c r="Q127" s="50">
        <v>0</v>
      </c>
      <c r="R127" s="50">
        <v>100</v>
      </c>
      <c r="S127" s="50" t="b">
        <v>0</v>
      </c>
      <c r="T127" s="50" t="s">
        <v>477</v>
      </c>
      <c r="U127" s="50" t="s">
        <v>467</v>
      </c>
      <c r="W127" t="s">
        <v>738</v>
      </c>
      <c r="X127" t="str">
        <f>$E$115&amp;", "&amp;J127&amp;"-"&amp;K127&amp;" kBTU/h"</f>
        <v>Com SEER-Rated Pkg AC, 18-65 kBTU/h</v>
      </c>
      <c r="Y127" t="str">
        <f>G127&amp;": SEER = "&amp;H127&amp;" (EER = "&amp;ROUND(I127,2)&amp;"), "&amp;T127&amp;" fan, "&amp;IF(S127,"w/Econo","no Econo")</f>
        <v>pre-2001: SEER = 9.7 (EER = 9.21), one-speed fan, no Econo</v>
      </c>
      <c r="Z127" t="str">
        <f>G127&amp;": SEER = "&amp;H127&amp;" (EER = "&amp;ROUND(I127,2)&amp;"), "&amp;T127&amp;" fan, w/Econo"</f>
        <v>pre-2001: SEER = 9.7 (EER = 9.21), one-speed fan, w/Econo</v>
      </c>
    </row>
    <row r="128" spans="4:26" x14ac:dyDescent="0.25">
      <c r="D128" s="158">
        <v>30103</v>
      </c>
      <c r="E128" t="s">
        <v>625</v>
      </c>
      <c r="F128" s="158" t="s">
        <v>450</v>
      </c>
      <c r="G128" s="50" t="s">
        <v>632</v>
      </c>
      <c r="H128" s="50">
        <v>13</v>
      </c>
      <c r="I128" s="235">
        <v>11.055871229907892</v>
      </c>
      <c r="J128" s="247">
        <v>18</v>
      </c>
      <c r="K128" s="233">
        <v>65</v>
      </c>
      <c r="L128" s="233" t="s">
        <v>480</v>
      </c>
      <c r="M128" s="234">
        <v>0.73199999999999998</v>
      </c>
      <c r="N128" s="234">
        <v>0.25569999999999998</v>
      </c>
      <c r="O128" s="240">
        <v>376.20000000000005</v>
      </c>
      <c r="P128" s="234">
        <v>0.3785</v>
      </c>
      <c r="Q128" s="50">
        <v>0</v>
      </c>
      <c r="R128" s="50">
        <v>100</v>
      </c>
      <c r="S128" s="50" t="b">
        <v>0</v>
      </c>
      <c r="T128" s="50" t="s">
        <v>477</v>
      </c>
      <c r="U128" s="50" t="s">
        <v>467</v>
      </c>
      <c r="W128" t="s">
        <v>739</v>
      </c>
      <c r="Y128" t="str">
        <f>G128&amp;": SEER = "&amp;H128&amp;" (EER = "&amp;ROUND(I128,2)&amp;"), "&amp;T128&amp;" fan, "&amp;IF(S128,"w/Econo","no Econo")</f>
        <v>post-2001: SEER = 13 (EER = 11.06), one-speed fan, no Econo</v>
      </c>
      <c r="Z128" t="str">
        <f>G128&amp;": SEER = "&amp;H128&amp;" (EER = "&amp;ROUND(I128,2)&amp;"), "&amp;T128&amp;" fan, w/Econo"</f>
        <v>post-2001: SEER = 13 (EER = 11.06), one-speed fan, w/Econo</v>
      </c>
    </row>
    <row r="131" spans="4:26" x14ac:dyDescent="0.25">
      <c r="E131" s="238" t="s">
        <v>959</v>
      </c>
      <c r="G131" s="50"/>
      <c r="H131" s="238">
        <v>2</v>
      </c>
      <c r="I131" s="250">
        <v>3</v>
      </c>
      <c r="J131" s="250">
        <v>60</v>
      </c>
      <c r="K131" s="250">
        <v>61</v>
      </c>
      <c r="L131" s="250"/>
      <c r="M131" s="250"/>
      <c r="N131" s="250"/>
      <c r="O131" s="238">
        <v>5</v>
      </c>
      <c r="P131" s="238">
        <v>6</v>
      </c>
      <c r="Q131" s="238">
        <v>7</v>
      </c>
      <c r="R131" s="238">
        <v>8</v>
      </c>
      <c r="S131" s="238"/>
      <c r="T131" s="238">
        <v>57</v>
      </c>
    </row>
    <row r="132" spans="4:26" x14ac:dyDescent="0.25">
      <c r="E132" s="3" t="s">
        <v>948</v>
      </c>
      <c r="F132" s="214" t="s">
        <v>10</v>
      </c>
      <c r="G132" s="212" t="s">
        <v>519</v>
      </c>
      <c r="H132" s="212" t="s">
        <v>91</v>
      </c>
      <c r="I132" s="249" t="s">
        <v>114</v>
      </c>
      <c r="J132" s="249" t="s">
        <v>85</v>
      </c>
      <c r="K132" s="249" t="s">
        <v>601</v>
      </c>
      <c r="L132" s="251" t="s">
        <v>473</v>
      </c>
      <c r="M132" s="251" t="s">
        <v>474</v>
      </c>
      <c r="N132" s="251" t="s">
        <v>479</v>
      </c>
      <c r="O132" s="5" t="s">
        <v>475</v>
      </c>
      <c r="P132" s="5" t="s">
        <v>261</v>
      </c>
      <c r="Q132" s="212" t="s">
        <v>469</v>
      </c>
      <c r="R132" s="212" t="s">
        <v>470</v>
      </c>
      <c r="S132" s="448" t="s">
        <v>468</v>
      </c>
      <c r="T132" s="212" t="s">
        <v>472</v>
      </c>
      <c r="U132" s="213" t="s">
        <v>466</v>
      </c>
      <c r="V132" s="212" t="s">
        <v>476</v>
      </c>
    </row>
    <row r="133" spans="4:26" x14ac:dyDescent="0.25">
      <c r="E133" t="str">
        <f>"dxHP-Com-Pkg-lt55kBTUh-SEER-"&amp;TEXT(H133,"0.0")</f>
        <v>dxHP-Com-Pkg-lt55kBTUh-SEER-14.0</v>
      </c>
      <c r="F133" s="373" t="s">
        <v>450</v>
      </c>
      <c r="G133" s="50" t="s">
        <v>523</v>
      </c>
      <c r="H133" s="50">
        <f>VLOOKUP($V133,'Split DX Selected Perf Maps'!$A$10:$CA$50,H$131,FALSE)</f>
        <v>14</v>
      </c>
      <c r="I133" s="236">
        <f>VLOOKUP($V133,'Split DX Selected Perf Maps'!$A$10:$CA$50,I$131,FALSE)</f>
        <v>11.929577464788734</v>
      </c>
      <c r="J133" s="50">
        <f>VLOOKUP($V133,'Split DX Selected Perf Maps'!$A$10:$CA$50,J$131,FALSE)</f>
        <v>8</v>
      </c>
      <c r="K133" s="50">
        <f>VLOOKUP($V133,'Split DX Selected Perf Maps'!$A$10:$CA$50,K$131,FALSE)</f>
        <v>3.39</v>
      </c>
      <c r="L133" s="247">
        <v>18</v>
      </c>
      <c r="M133" s="247">
        <v>55</v>
      </c>
      <c r="N133" s="233" t="s">
        <v>480</v>
      </c>
      <c r="O133" s="234">
        <f>VLOOKUP($V133,'Split DX Selected Perf Maps'!$A$10:$CA$50,O$131,FALSE)</f>
        <v>0.74399999999999999</v>
      </c>
      <c r="P133" s="234">
        <f>VLOOKUP($V133,'Split DX Selected Perf Maps'!$A$10:$CA$50,P$131,FALSE)</f>
        <v>0.24467</v>
      </c>
      <c r="Q133" s="240">
        <f>VLOOKUP($V133,'Split DX Selected Perf Maps'!$A$10:$CA$50,Q$131,FALSE)*12000</f>
        <v>385.19999999999993</v>
      </c>
      <c r="R133" s="234">
        <f>VLOOKUP($V133,'Split DX Selected Perf Maps'!$A$10:$CA$50,R$131,FALSE)</f>
        <v>0.29399999999999998</v>
      </c>
      <c r="S133" t="b">
        <v>0</v>
      </c>
      <c r="T133" s="50" t="s">
        <v>477</v>
      </c>
      <c r="U133" s="50" t="s">
        <v>958</v>
      </c>
      <c r="V133">
        <v>21407</v>
      </c>
      <c r="W133" t="str">
        <f>$E$132&amp;", Size Range: "&amp;L133&amp;" - "&amp;M133&amp;" kBTU/h, SEER = "&amp;H133&amp;" (HSPF = "&amp;TEXT(ROUND(J133,1),"0.0")&amp;"), EIR = "&amp;ROUND(P133,3)&amp;", Fan W/CFM = "&amp;ROUND(R133,2)&amp;", "&amp;T133&amp;" fan, "&amp;IF(S133,"with Econo","without Econo")</f>
        <v>Commercial SEER-rated Packaged Heat Pumps, Size Range: 18 - 55 kBTU/h, SEER = 14 (HSPF = 8.0), EIR = 0.245, Fan W/CFM = 0.29, one-speed fan, without Econo</v>
      </c>
      <c r="X133" t="str">
        <f>X141&amp;"; "&amp;CHAR(10)&amp;Y141&amp;";"&amp;CHAR(10)&amp;Y142&amp;";"&amp;CHAR(10)&amp;Y133</f>
        <v>Com SEER-Rated Pkg HP, 18-65 kBTU/h; 
pre-2001: SEER = 10 (HSPF = 7.1), one-speed fan, no Econo;
post-2001: SEER = 13 (HSPF = 8.2), one-speed fan, no Econo;
2014: SEER = 14 (HSPF = 8), one-speed fan, no Econo</v>
      </c>
      <c r="Y133" t="str">
        <f>"2014: SEER = "&amp;H133&amp;" (HSPF = "&amp;ROUND(J133,1)&amp;"), "&amp;T133&amp;" fan, "&amp;IF(S133,"w/Econo","no Econo")</f>
        <v>2014: SEER = 14 (HSPF = 8), one-speed fan, no Econo</v>
      </c>
    </row>
    <row r="134" spans="4:26" x14ac:dyDescent="0.25">
      <c r="E134" t="str">
        <f t="shared" ref="E134:E136" si="12">"dxHP-Com-Pkg-lt55kBTUh-SEER-"&amp;TEXT(H134,"0.0")</f>
        <v>dxHP-Com-Pkg-lt55kBTUh-SEER-15.0</v>
      </c>
      <c r="F134" s="373" t="s">
        <v>450</v>
      </c>
      <c r="G134" s="50" t="s">
        <v>521</v>
      </c>
      <c r="H134" s="50">
        <f>VLOOKUP($V134,'Split DX Selected Perf Maps'!$A$10:$CA$50,H$131,FALSE)</f>
        <v>15</v>
      </c>
      <c r="I134" s="236">
        <f>VLOOKUP($V134,'Split DX Selected Perf Maps'!$A$10:$CA$50,I$131,FALSE)</f>
        <v>12.781690140845072</v>
      </c>
      <c r="J134" s="50">
        <f>VLOOKUP($V134,'Split DX Selected Perf Maps'!$A$10:$CA$50,J$131,FALSE)</f>
        <v>8.1999999999999993</v>
      </c>
      <c r="K134" s="50">
        <f>VLOOKUP($V134,'Split DX Selected Perf Maps'!$A$10:$CA$50,K$131,FALSE)</f>
        <v>3.48</v>
      </c>
      <c r="L134" s="247">
        <v>18</v>
      </c>
      <c r="M134" s="247">
        <v>65</v>
      </c>
      <c r="N134" s="233" t="s">
        <v>480</v>
      </c>
      <c r="O134" s="234">
        <f>VLOOKUP($V134,'Split DX Selected Perf Maps'!$A$10:$CA$50,O$131,FALSE)</f>
        <v>0.74399999999999999</v>
      </c>
      <c r="P134" s="234">
        <f>VLOOKUP($V134,'Split DX Selected Perf Maps'!$A$10:$CA$50,P$131,FALSE)</f>
        <v>0.22620999999999999</v>
      </c>
      <c r="Q134" s="240">
        <f>VLOOKUP($V134,'Split DX Selected Perf Maps'!$A$10:$CA$50,Q$131,FALSE)*12000</f>
        <v>385.19999999999993</v>
      </c>
      <c r="R134" s="234">
        <f>VLOOKUP($V134,'Split DX Selected Perf Maps'!$A$10:$CA$50,R$131,FALSE)</f>
        <v>0.29399999999999998</v>
      </c>
      <c r="S134" t="b">
        <v>0</v>
      </c>
      <c r="T134" s="50" t="s">
        <v>477</v>
      </c>
      <c r="U134" s="50" t="s">
        <v>958</v>
      </c>
      <c r="V134">
        <v>21507</v>
      </c>
      <c r="W134" t="str">
        <f t="shared" ref="W134:W142" si="13">$E$132&amp;", Size Range: "&amp;L134&amp;" - "&amp;M134&amp;" kBTU/h, SEER = "&amp;H134&amp;" (HSPF = "&amp;TEXT(ROUND(J134,1),"0.0")&amp;"), EIR = "&amp;ROUND(P134,3)&amp;", Fan W/CFM = "&amp;ROUND(R134,2)&amp;", "&amp;T134&amp;" fan, "&amp;IF(S134,"with Econo","without Econo")</f>
        <v>Commercial SEER-rated Packaged Heat Pumps, Size Range: 18 - 65 kBTU/h, SEER = 15 (HSPF = 8.2), EIR = 0.226, Fan W/CFM = 0.29, one-speed fan, without Econo</v>
      </c>
    </row>
    <row r="135" spans="4:26" x14ac:dyDescent="0.25">
      <c r="E135" t="str">
        <f t="shared" si="12"/>
        <v>dxHP-Com-Pkg-lt55kBTUh-SEER-16.0</v>
      </c>
      <c r="F135" s="373" t="s">
        <v>450</v>
      </c>
      <c r="G135" s="50" t="s">
        <v>521</v>
      </c>
      <c r="H135" s="50">
        <f>VLOOKUP($V135,'Split DX Selected Perf Maps'!$A$10:$CA$50,H$131,FALSE)</f>
        <v>16</v>
      </c>
      <c r="I135" s="236">
        <f>VLOOKUP($V135,'Split DX Selected Perf Maps'!$A$10:$CA$50,I$131,FALSE)</f>
        <v>12.48</v>
      </c>
      <c r="J135" s="50">
        <f>VLOOKUP($V135,'Split DX Selected Perf Maps'!$A$10:$CA$50,J$131,FALSE)</f>
        <v>8.5</v>
      </c>
      <c r="K135" s="50">
        <f>VLOOKUP($V135,'Split DX Selected Perf Maps'!$A$10:$CA$50,K$131,FALSE)</f>
        <v>3.37</v>
      </c>
      <c r="L135" s="247">
        <v>18</v>
      </c>
      <c r="M135" s="247">
        <v>65</v>
      </c>
      <c r="N135" s="233" t="s">
        <v>480</v>
      </c>
      <c r="O135" s="234">
        <f>VLOOKUP($V135,'Split DX Selected Perf Maps'!$A$10:$CA$50,O$131,FALSE)</f>
        <v>0.72399999999999998</v>
      </c>
      <c r="P135" s="234">
        <f>VLOOKUP($V135,'Split DX Selected Perf Maps'!$A$10:$CA$50,P$131,FALSE)</f>
        <v>0.23813999999999999</v>
      </c>
      <c r="Q135" s="240">
        <f>VLOOKUP($V135,'Split DX Selected Perf Maps'!$A$10:$CA$50,Q$131,FALSE)*12000</f>
        <v>360</v>
      </c>
      <c r="R135" s="234">
        <f>VLOOKUP($V135,'Split DX Selected Perf Maps'!$A$10:$CA$50,R$131,FALSE)</f>
        <v>0.27100000000000002</v>
      </c>
      <c r="S135" t="b">
        <v>0</v>
      </c>
      <c r="T135" s="50" t="s">
        <v>478</v>
      </c>
      <c r="U135" s="50" t="s">
        <v>958</v>
      </c>
      <c r="V135">
        <v>21609</v>
      </c>
      <c r="W135" t="str">
        <f t="shared" si="13"/>
        <v>Commercial SEER-rated Packaged Heat Pumps, Size Range: 18 - 65 kBTU/h, SEER = 16 (HSPF = 8.5), EIR = 0.238, Fan W/CFM = 0.27, two-speed fan, without Econo</v>
      </c>
    </row>
    <row r="136" spans="4:26" x14ac:dyDescent="0.25">
      <c r="E136" t="str">
        <f t="shared" si="12"/>
        <v>dxHP-Com-Pkg-lt55kBTUh-SEER-17.0</v>
      </c>
      <c r="F136" s="373" t="s">
        <v>450</v>
      </c>
      <c r="G136" s="50" t="s">
        <v>521</v>
      </c>
      <c r="H136" s="50">
        <f>VLOOKUP($V136,'Split DX Selected Perf Maps'!$A$10:$CA$50,H$131,FALSE)</f>
        <v>17</v>
      </c>
      <c r="I136" s="236">
        <f>VLOOKUP($V136,'Split DX Selected Perf Maps'!$A$10:$CA$50,I$131,FALSE)</f>
        <v>13.260000000000002</v>
      </c>
      <c r="J136" s="50">
        <f>VLOOKUP($V136,'Split DX Selected Perf Maps'!$A$10:$CA$50,J$131,FALSE)</f>
        <v>9</v>
      </c>
      <c r="K136" s="50">
        <f>VLOOKUP($V136,'Split DX Selected Perf Maps'!$A$10:$CA$50,K$131,FALSE)</f>
        <v>3.57</v>
      </c>
      <c r="L136" s="247">
        <v>18</v>
      </c>
      <c r="M136" s="247">
        <v>65</v>
      </c>
      <c r="N136" s="233" t="s">
        <v>480</v>
      </c>
      <c r="O136" s="234">
        <f>VLOOKUP($V136,'Split DX Selected Perf Maps'!$A$10:$CA$50,O$131,FALSE)</f>
        <v>0.72399999999999998</v>
      </c>
      <c r="P136" s="234">
        <f>VLOOKUP($V136,'Split DX Selected Perf Maps'!$A$10:$CA$50,P$131,FALSE)</f>
        <v>0.2225</v>
      </c>
      <c r="Q136" s="240">
        <f>VLOOKUP($V136,'Split DX Selected Perf Maps'!$A$10:$CA$50,Q$131,FALSE)*12000</f>
        <v>360</v>
      </c>
      <c r="R136" s="234">
        <f>VLOOKUP($V136,'Split DX Selected Perf Maps'!$A$10:$CA$50,R$131,FALSE)</f>
        <v>0.27100000000000002</v>
      </c>
      <c r="S136" t="b">
        <v>0</v>
      </c>
      <c r="T136" s="50" t="s">
        <v>478</v>
      </c>
      <c r="U136" s="50" t="s">
        <v>958</v>
      </c>
      <c r="V136">
        <v>21709</v>
      </c>
      <c r="W136" t="str">
        <f t="shared" si="13"/>
        <v>Commercial SEER-rated Packaged Heat Pumps, Size Range: 18 - 65 kBTU/h, SEER = 17 (HSPF = 9.0), EIR = 0.223, Fan W/CFM = 0.27, two-speed fan, without Econo</v>
      </c>
    </row>
    <row r="137" spans="4:26" x14ac:dyDescent="0.25">
      <c r="E137" t="str">
        <f>"dxHP-Com-Pkg-55to65kBTUh-SEER-"&amp;TEXT(H137,"0.0")</f>
        <v>dxHP-Com-Pkg-55to65kBTUh-SEER-14.0</v>
      </c>
      <c r="F137" s="373" t="s">
        <v>450</v>
      </c>
      <c r="G137" s="50" t="s">
        <v>523</v>
      </c>
      <c r="H137" s="50">
        <f>VLOOKUP($V137,'Split DX Selected Perf Maps'!$A$10:$CA$50,H$131,FALSE)</f>
        <v>14</v>
      </c>
      <c r="I137" s="236">
        <f>VLOOKUP($V137,'Split DX Selected Perf Maps'!$A$10:$CA$50,I$131,FALSE)</f>
        <v>11.112499999999999</v>
      </c>
      <c r="J137" s="50">
        <f>VLOOKUP($V137,'Split DX Selected Perf Maps'!$A$10:$CA$50,J$131,FALSE)</f>
        <v>8</v>
      </c>
      <c r="K137" s="50">
        <f>VLOOKUP($V137,'Split DX Selected Perf Maps'!$A$10:$CA$50,K$131,FALSE)</f>
        <v>3.17</v>
      </c>
      <c r="L137" s="247">
        <v>55</v>
      </c>
      <c r="M137" s="247">
        <v>65</v>
      </c>
      <c r="N137" s="233" t="s">
        <v>480</v>
      </c>
      <c r="O137" s="234">
        <f>VLOOKUP($V137,'Split DX Selected Perf Maps'!$A$10:$CA$50,O$131,FALSE)</f>
        <v>0.71699999999999997</v>
      </c>
      <c r="P137" s="234">
        <f>VLOOKUP($V137,'Split DX Selected Perf Maps'!$A$10:$CA$50,P$131,FALSE)</f>
        <v>0.27046999999999999</v>
      </c>
      <c r="Q137" s="240">
        <f>VLOOKUP($V137,'Split DX Selected Perf Maps'!$A$10:$CA$50,Q$131,FALSE)*12000</f>
        <v>335.4</v>
      </c>
      <c r="R137" s="234">
        <f>VLOOKUP($V137,'Split DX Selected Perf Maps'!$A$10:$CA$50,R$131,FALSE)</f>
        <v>0.29399999999999998</v>
      </c>
      <c r="S137" t="b">
        <v>1</v>
      </c>
      <c r="T137" s="50" t="s">
        <v>478</v>
      </c>
      <c r="U137" s="50" t="s">
        <v>958</v>
      </c>
      <c r="V137">
        <v>21409</v>
      </c>
      <c r="W137" t="str">
        <f t="shared" si="13"/>
        <v>Commercial SEER-rated Packaged Heat Pumps, Size Range: 55 - 65 kBTU/h, SEER = 14 (HSPF = 8.0), EIR = 0.27, Fan W/CFM = 0.29, two-speed fan, with Econo</v>
      </c>
      <c r="X137" t="str">
        <f>X141&amp;"; "&amp;CHAR(10)&amp;Y141&amp;";"&amp;CHAR(10)&amp;Y142&amp;";"&amp;CHAR(10)&amp;Y137</f>
        <v>Com SEER-Rated Pkg HP, 18-65 kBTU/h; 
pre-2001: SEER = 10 (HSPF = 7.1), one-speed fan, no Econo;
post-2001: SEER = 13 (HSPF = 8.2), one-speed fan, no Econo;
2014: SEER = 14 (HSPF = 8), two-speed fan, w/Econo</v>
      </c>
      <c r="Y137" t="str">
        <f>"2014: SEER = "&amp;H137&amp;" (HSPF = "&amp;ROUND(J137,1)&amp;"), "&amp;T137&amp;" fan, "&amp;IF(S137,"w/Econo","no Econo")</f>
        <v>2014: SEER = 14 (HSPF = 8), two-speed fan, w/Econo</v>
      </c>
      <c r="Z137" t="str">
        <f>X141&amp;"; "&amp;CHAR(10)&amp;Z141&amp;";"&amp;CHAR(10)&amp;Z142&amp;";"&amp;CHAR(10)&amp;Y137</f>
        <v>Com SEER-Rated Pkg HP, 18-65 kBTU/h; 
pre-2001: SEER = 10 (HSPF = 7.1), one-speed fan, w/Econo;
post-2001: SEER = 13 (HSPF = 8.2), one-speed fan, w/Econo;
2014: SEER = 14 (HSPF = 8), two-speed fan, w/Econo</v>
      </c>
    </row>
    <row r="138" spans="4:26" x14ac:dyDescent="0.25">
      <c r="D138" s="373"/>
      <c r="E138" t="str">
        <f t="shared" ref="E138:E140" si="14">"dxHP-Com-Pkg-55to65kBTUh-SEER-"&amp;TEXT(H138,"0.0")</f>
        <v>dxHP-Com-Pkg-55to65kBTUh-SEER-15.0</v>
      </c>
      <c r="F138" s="373" t="s">
        <v>450</v>
      </c>
      <c r="G138" s="50" t="s">
        <v>521</v>
      </c>
      <c r="H138" s="50">
        <f>VLOOKUP($V138,'Split DX Selected Perf Maps'!$A$10:$CA$50,H$131,FALSE)</f>
        <v>15</v>
      </c>
      <c r="I138" s="236">
        <f>VLOOKUP($V138,'Split DX Selected Perf Maps'!$A$10:$CA$50,I$131,FALSE)</f>
        <v>11.90625</v>
      </c>
      <c r="J138" s="50">
        <f>VLOOKUP($V138,'Split DX Selected Perf Maps'!$A$10:$CA$50,J$131,FALSE)</f>
        <v>8.1999999999999993</v>
      </c>
      <c r="K138" s="50">
        <f>VLOOKUP($V138,'Split DX Selected Perf Maps'!$A$10:$CA$50,K$131,FALSE)</f>
        <v>3.24</v>
      </c>
      <c r="L138" s="247">
        <v>55</v>
      </c>
      <c r="M138" s="247">
        <v>65</v>
      </c>
      <c r="N138" s="233" t="s">
        <v>480</v>
      </c>
      <c r="O138" s="234">
        <f>VLOOKUP($V138,'Split DX Selected Perf Maps'!$A$10:$CA$50,O$131,FALSE)</f>
        <v>0.71699999999999997</v>
      </c>
      <c r="P138" s="234">
        <f>VLOOKUP($V138,'Split DX Selected Perf Maps'!$A$10:$CA$50,P$131,FALSE)</f>
        <v>0.25585000000000002</v>
      </c>
      <c r="Q138" s="240">
        <f>VLOOKUP($V138,'Split DX Selected Perf Maps'!$A$10:$CA$50,Q$131,FALSE)*12000</f>
        <v>335.4</v>
      </c>
      <c r="R138" s="234">
        <f>VLOOKUP($V138,'Split DX Selected Perf Maps'!$A$10:$CA$50,R$131,FALSE)</f>
        <v>0.251</v>
      </c>
      <c r="S138" t="b">
        <v>1</v>
      </c>
      <c r="T138" s="50" t="s">
        <v>478</v>
      </c>
      <c r="U138" s="50" t="s">
        <v>958</v>
      </c>
      <c r="V138">
        <v>21509</v>
      </c>
      <c r="W138" t="str">
        <f t="shared" si="13"/>
        <v>Commercial SEER-rated Packaged Heat Pumps, Size Range: 55 - 65 kBTU/h, SEER = 15 (HSPF = 8.2), EIR = 0.256, Fan W/CFM = 0.25, two-speed fan, with Econo</v>
      </c>
    </row>
    <row r="139" spans="4:26" x14ac:dyDescent="0.25">
      <c r="D139" s="373"/>
      <c r="E139" t="str">
        <f t="shared" si="14"/>
        <v>dxHP-Com-Pkg-55to65kBTUh-SEER-16.0</v>
      </c>
      <c r="F139" s="373" t="s">
        <v>450</v>
      </c>
      <c r="G139" s="50" t="s">
        <v>521</v>
      </c>
      <c r="H139" s="50">
        <f>VLOOKUP($V139,'Split DX Selected Perf Maps'!$A$10:$CA$50,H$131,FALSE)</f>
        <v>16</v>
      </c>
      <c r="I139" s="236">
        <f>VLOOKUP($V139,'Split DX Selected Perf Maps'!$A$10:$CA$50,I$131,FALSE)</f>
        <v>12.48</v>
      </c>
      <c r="J139" s="50">
        <f>VLOOKUP($V139,'Split DX Selected Perf Maps'!$A$10:$CA$50,J$131,FALSE)</f>
        <v>8.5</v>
      </c>
      <c r="K139" s="50">
        <f>VLOOKUP($V139,'Split DX Selected Perf Maps'!$A$10:$CA$50,K$131,FALSE)</f>
        <v>3.37</v>
      </c>
      <c r="L139" s="247">
        <v>55</v>
      </c>
      <c r="M139" s="247">
        <v>65</v>
      </c>
      <c r="N139" s="233" t="s">
        <v>480</v>
      </c>
      <c r="O139" s="234">
        <f>VLOOKUP($V139,'Split DX Selected Perf Maps'!$A$10:$CA$50,O$131,FALSE)</f>
        <v>0.72399999999999998</v>
      </c>
      <c r="P139" s="234">
        <f>VLOOKUP($V139,'Split DX Selected Perf Maps'!$A$10:$CA$50,P$131,FALSE)</f>
        <v>0.23813999999999999</v>
      </c>
      <c r="Q139" s="240">
        <f>VLOOKUP($V139,'Split DX Selected Perf Maps'!$A$10:$CA$50,Q$131,FALSE)*12000</f>
        <v>360</v>
      </c>
      <c r="R139" s="234">
        <f>VLOOKUP($V139,'Split DX Selected Perf Maps'!$A$10:$CA$50,R$131,FALSE)</f>
        <v>0.27100000000000002</v>
      </c>
      <c r="S139" t="b">
        <v>1</v>
      </c>
      <c r="T139" s="50" t="s">
        <v>478</v>
      </c>
      <c r="U139" s="50" t="s">
        <v>958</v>
      </c>
      <c r="V139">
        <v>21609</v>
      </c>
      <c r="W139" t="str">
        <f t="shared" si="13"/>
        <v>Commercial SEER-rated Packaged Heat Pumps, Size Range: 55 - 65 kBTU/h, SEER = 16 (HSPF = 8.5), EIR = 0.238, Fan W/CFM = 0.27, two-speed fan, with Econo</v>
      </c>
    </row>
    <row r="140" spans="4:26" x14ac:dyDescent="0.25">
      <c r="D140" s="373"/>
      <c r="E140" t="str">
        <f t="shared" si="14"/>
        <v>dxHP-Com-Pkg-55to65kBTUh-SEER-17.0</v>
      </c>
      <c r="F140" s="373" t="s">
        <v>450</v>
      </c>
      <c r="G140" s="50" t="s">
        <v>521</v>
      </c>
      <c r="H140" s="50">
        <f>VLOOKUP($V140,'Split DX Selected Perf Maps'!$A$10:$CA$50,H$131,FALSE)</f>
        <v>17</v>
      </c>
      <c r="I140" s="236">
        <f>VLOOKUP($V140,'Split DX Selected Perf Maps'!$A$10:$CA$50,I$131,FALSE)</f>
        <v>13.260000000000002</v>
      </c>
      <c r="J140" s="50">
        <f>VLOOKUP($V140,'Split DX Selected Perf Maps'!$A$10:$CA$50,J$131,FALSE)</f>
        <v>9</v>
      </c>
      <c r="K140" s="50">
        <f>VLOOKUP($V140,'Split DX Selected Perf Maps'!$A$10:$CA$50,K$131,FALSE)</f>
        <v>3.57</v>
      </c>
      <c r="L140" s="247">
        <v>55</v>
      </c>
      <c r="M140" s="247">
        <v>65</v>
      </c>
      <c r="N140" s="233" t="s">
        <v>480</v>
      </c>
      <c r="O140" s="234">
        <f>VLOOKUP($V140,'Split DX Selected Perf Maps'!$A$10:$CA$50,O$131,FALSE)</f>
        <v>0.72399999999999998</v>
      </c>
      <c r="P140" s="234">
        <f>VLOOKUP($V140,'Split DX Selected Perf Maps'!$A$10:$CA$50,P$131,FALSE)</f>
        <v>0.2225</v>
      </c>
      <c r="Q140" s="240">
        <f>VLOOKUP($V140,'Split DX Selected Perf Maps'!$A$10:$CA$50,Q$131,FALSE)*12000</f>
        <v>360</v>
      </c>
      <c r="R140" s="234">
        <f>VLOOKUP($V140,'Split DX Selected Perf Maps'!$A$10:$CA$50,R$131,FALSE)</f>
        <v>0.27100000000000002</v>
      </c>
      <c r="S140" t="b">
        <v>1</v>
      </c>
      <c r="T140" s="50" t="s">
        <v>478</v>
      </c>
      <c r="U140" s="50" t="s">
        <v>958</v>
      </c>
      <c r="V140">
        <v>21709</v>
      </c>
      <c r="W140" t="str">
        <f t="shared" si="13"/>
        <v>Commercial SEER-rated Packaged Heat Pumps, Size Range: 55 - 65 kBTU/h, SEER = 17 (HSPF = 9.0), EIR = 0.223, Fan W/CFM = 0.27, two-speed fan, with Econo</v>
      </c>
    </row>
    <row r="141" spans="4:26" x14ac:dyDescent="0.25">
      <c r="D141" s="373"/>
      <c r="E141" t="str">
        <f>"dxHP-Com-Pkg-lt65kBTUh-SEER-"&amp;TEXT(H141,"0.0")</f>
        <v>dxHP-Com-Pkg-lt65kBTUh-SEER-10.0</v>
      </c>
      <c r="F141" s="373" t="s">
        <v>450</v>
      </c>
      <c r="G141" s="50" t="s">
        <v>631</v>
      </c>
      <c r="H141" s="50">
        <f>VLOOKUP($V141,'Split DX Selected Perf Maps'!$A$10:$CA$50,H$131,FALSE)</f>
        <v>10</v>
      </c>
      <c r="I141" s="236">
        <f>VLOOKUP($V141,'Split DX Selected Perf Maps'!$A$10:$CA$50,I$131,FALSE)</f>
        <v>8.52112676056338</v>
      </c>
      <c r="J141" s="50">
        <f>VLOOKUP($V141,'Split DX Selected Perf Maps'!$A$10:$CA$50,J$131,FALSE)</f>
        <v>7.1</v>
      </c>
      <c r="K141" s="50">
        <f>VLOOKUP($V141,'Split DX Selected Perf Maps'!$A$10:$CA$50,K$131,FALSE)</f>
        <v>3.01</v>
      </c>
      <c r="L141" s="247">
        <v>18</v>
      </c>
      <c r="M141" s="247">
        <v>65</v>
      </c>
      <c r="N141" s="233" t="s">
        <v>480</v>
      </c>
      <c r="O141" s="234">
        <f>VLOOKUP($V141,'Split DX Selected Perf Maps'!$A$10:$CA$50,O$131,FALSE)</f>
        <v>0.74399999999999999</v>
      </c>
      <c r="P141" s="234">
        <f>VLOOKUP($V141,'Split DX Selected Perf Maps'!$A$10:$CA$50,P$131,FALSE)</f>
        <v>0.34453</v>
      </c>
      <c r="Q141" s="240">
        <f>VLOOKUP($V141,'Split DX Selected Perf Maps'!$A$10:$CA$50,Q$131,FALSE)*12000</f>
        <v>385.19999999999993</v>
      </c>
      <c r="R141" s="234">
        <f>VLOOKUP($V141,'Split DX Selected Perf Maps'!$A$10:$CA$50,R$131,FALSE)</f>
        <v>0.36499999999999999</v>
      </c>
      <c r="S141" t="b">
        <v>0</v>
      </c>
      <c r="T141" s="50" t="s">
        <v>477</v>
      </c>
      <c r="U141" s="50" t="s">
        <v>958</v>
      </c>
      <c r="V141" s="447">
        <v>21006</v>
      </c>
      <c r="W141" t="str">
        <f t="shared" si="13"/>
        <v>Commercial SEER-rated Packaged Heat Pumps, Size Range: 18 - 65 kBTU/h, SEER = 10 (HSPF = 7.1), EIR = 0.345, Fan W/CFM = 0.37, one-speed fan, without Econo</v>
      </c>
      <c r="X141" t="str">
        <f>$E$131&amp;", "&amp;L141&amp;"-"&amp;M141&amp;" kBTU/h"</f>
        <v>Com SEER-Rated Pkg HP, 18-65 kBTU/h</v>
      </c>
      <c r="Y141" t="str">
        <f>G141&amp;": SEER = "&amp;H141&amp;" (HSPF = "&amp;ROUND(J141,1)&amp;"), "&amp;T141&amp;" fan, "&amp;IF(S141,"w/Econo","no Econo")</f>
        <v>pre-2001: SEER = 10 (HSPF = 7.1), one-speed fan, no Econo</v>
      </c>
      <c r="Z141" t="str">
        <f>G141&amp;": SEER = "&amp;H141&amp;" (HSPF = "&amp;ROUND(J141,1)&amp;"), "&amp;T141&amp;" fan, w/Econo"</f>
        <v>pre-2001: SEER = 10 (HSPF = 7.1), one-speed fan, w/Econo</v>
      </c>
    </row>
    <row r="142" spans="4:26" x14ac:dyDescent="0.25">
      <c r="D142" s="373"/>
      <c r="E142" t="str">
        <f>"dxHP-Com-Pkg-lt65kBTUh-SEER-"&amp;TEXT(H142,"0.0")</f>
        <v>dxHP-Com-Pkg-lt65kBTUh-SEER-13.0</v>
      </c>
      <c r="F142" s="373" t="s">
        <v>450</v>
      </c>
      <c r="G142" s="50" t="s">
        <v>632</v>
      </c>
      <c r="H142" s="50">
        <f>VLOOKUP($V142,'Split DX Selected Perf Maps'!$A$10:$CA$50,H$131,FALSE)</f>
        <v>13</v>
      </c>
      <c r="I142" s="236">
        <f>VLOOKUP($V142,'Split DX Selected Perf Maps'!$A$10:$CA$50,I$131,FALSE)</f>
        <v>11.077464788732394</v>
      </c>
      <c r="J142" s="50">
        <f>VLOOKUP($V142,'Split DX Selected Perf Maps'!$A$10:$CA$50,J$131,FALSE)</f>
        <v>8.1999999999999993</v>
      </c>
      <c r="K142" s="50">
        <f>VLOOKUP($V142,'Split DX Selected Perf Maps'!$A$10:$CA$50,K$131,FALSE)</f>
        <v>3.49</v>
      </c>
      <c r="L142" s="247">
        <v>18</v>
      </c>
      <c r="M142" s="247">
        <v>65</v>
      </c>
      <c r="N142" s="233" t="s">
        <v>480</v>
      </c>
      <c r="O142" s="234">
        <f>VLOOKUP($V142,'Split DX Selected Perf Maps'!$A$10:$CA$50,O$131,FALSE)</f>
        <v>0.74399999999999999</v>
      </c>
      <c r="P142" s="234">
        <f>VLOOKUP($V142,'Split DX Selected Perf Maps'!$A$10:$CA$50,P$131,FALSE)</f>
        <v>0.25823000000000002</v>
      </c>
      <c r="Q142" s="240">
        <f>VLOOKUP($V142,'Split DX Selected Perf Maps'!$A$10:$CA$50,Q$131,FALSE)*12000</f>
        <v>385.19999999999993</v>
      </c>
      <c r="R142" s="234">
        <f>VLOOKUP($V142,'Split DX Selected Perf Maps'!$A$10:$CA$50,R$131,FALSE)</f>
        <v>0.34799999999999998</v>
      </c>
      <c r="S142" t="b">
        <v>0</v>
      </c>
      <c r="T142" s="50" t="s">
        <v>477</v>
      </c>
      <c r="U142" s="50" t="s">
        <v>958</v>
      </c>
      <c r="V142" s="447">
        <v>21306</v>
      </c>
      <c r="W142" t="str">
        <f t="shared" si="13"/>
        <v>Commercial SEER-rated Packaged Heat Pumps, Size Range: 18 - 65 kBTU/h, SEER = 13 (HSPF = 8.2), EIR = 0.258, Fan W/CFM = 0.35, one-speed fan, without Econo</v>
      </c>
      <c r="Y142" t="str">
        <f>G142&amp;": SEER = "&amp;H142&amp;" (HSPF = "&amp;ROUND(J142,1)&amp;"), "&amp;T142&amp;" fan, "&amp;IF(S142,"w/Econo","no Econo")</f>
        <v>post-2001: SEER = 13 (HSPF = 8.2), one-speed fan, no Econo</v>
      </c>
      <c r="Z142" t="str">
        <f>G142&amp;": SEER = "&amp;H142&amp;" (HSPF = "&amp;ROUND(J142,1)&amp;"), "&amp;T142&amp;" fan, w/Econo"</f>
        <v>post-2001: SEER = 13 (HSPF = 8.2), one-speed fan, w/Econo</v>
      </c>
    </row>
    <row r="143" spans="4:26" x14ac:dyDescent="0.25">
      <c r="F143"/>
    </row>
    <row r="144" spans="4:26" x14ac:dyDescent="0.25">
      <c r="F144"/>
    </row>
    <row r="145" spans="5:26" x14ac:dyDescent="0.25">
      <c r="E145" s="238" t="s">
        <v>960</v>
      </c>
      <c r="F145"/>
    </row>
    <row r="146" spans="5:26" x14ac:dyDescent="0.25">
      <c r="E146" s="3" t="s">
        <v>949</v>
      </c>
      <c r="F146" s="214" t="s">
        <v>10</v>
      </c>
      <c r="G146" s="212" t="s">
        <v>519</v>
      </c>
      <c r="H146" s="212" t="s">
        <v>91</v>
      </c>
      <c r="I146" s="249" t="s">
        <v>114</v>
      </c>
      <c r="J146" s="249" t="s">
        <v>85</v>
      </c>
      <c r="K146" s="249" t="s">
        <v>601</v>
      </c>
      <c r="L146" s="251" t="s">
        <v>473</v>
      </c>
      <c r="M146" s="251" t="s">
        <v>474</v>
      </c>
      <c r="N146" s="251" t="s">
        <v>479</v>
      </c>
      <c r="O146" s="5" t="s">
        <v>475</v>
      </c>
      <c r="P146" s="5" t="s">
        <v>261</v>
      </c>
      <c r="Q146" s="212" t="s">
        <v>469</v>
      </c>
      <c r="R146" s="212" t="s">
        <v>470</v>
      </c>
      <c r="S146" s="448" t="s">
        <v>468</v>
      </c>
      <c r="T146" s="212" t="s">
        <v>472</v>
      </c>
      <c r="U146" s="213" t="s">
        <v>466</v>
      </c>
      <c r="V146" s="212" t="s">
        <v>476</v>
      </c>
    </row>
    <row r="147" spans="5:26" x14ac:dyDescent="0.25">
      <c r="E147" t="str">
        <f t="shared" ref="E147:E151" si="15">"dxHP-Com-Split-lt55kBTUh-SEER-"&amp;TEXT(H147,"0.0")</f>
        <v>dxHP-Com-Split-lt55kBTUh-SEER-14.0</v>
      </c>
      <c r="F147" s="373" t="s">
        <v>450</v>
      </c>
      <c r="G147" s="50" t="s">
        <v>523</v>
      </c>
      <c r="H147" s="50">
        <v>14</v>
      </c>
      <c r="I147" s="236">
        <f>VLOOKUP($V147,'Split DX Selected Perf Maps'!$A$10:$CA$50,I$131,FALSE)</f>
        <v>11.929577464788734</v>
      </c>
      <c r="J147" s="50">
        <f>VLOOKUP($V147,'Split DX Selected Perf Maps'!$A$10:$CA$50,J$131,FALSE)</f>
        <v>8.1999999999999993</v>
      </c>
      <c r="K147" s="50">
        <f>VLOOKUP($V147,'Split DX Selected Perf Maps'!$A$10:$CA$50,K$131,FALSE)</f>
        <v>3.48</v>
      </c>
      <c r="L147" s="247">
        <v>18</v>
      </c>
      <c r="M147" s="247">
        <v>55</v>
      </c>
      <c r="N147" s="233" t="s">
        <v>480</v>
      </c>
      <c r="O147" s="234">
        <f>VLOOKUP($V147,'Split DX Selected Perf Maps'!$A$10:$CA$50,O$131,FALSE)</f>
        <v>0.74399999999999999</v>
      </c>
      <c r="P147" s="234">
        <f>VLOOKUP($V147,'Split DX Selected Perf Maps'!$A$10:$CA$50,P$131,FALSE)</f>
        <v>0.24467</v>
      </c>
      <c r="Q147" s="240">
        <f>VLOOKUP($V147,'Split DX Selected Perf Maps'!$A$10:$CA$50,Q$131,FALSE)*12000</f>
        <v>385.19999999999993</v>
      </c>
      <c r="R147" s="234">
        <f>VLOOKUP($V147,'Split DX Selected Perf Maps'!$A$10:$CA$50,R$131,FALSE)</f>
        <v>0.29399999999999998</v>
      </c>
      <c r="S147" t="b">
        <v>0</v>
      </c>
      <c r="T147" s="50" t="s">
        <v>477</v>
      </c>
      <c r="U147" s="50" t="s">
        <v>958</v>
      </c>
      <c r="V147">
        <v>21406</v>
      </c>
      <c r="W147" t="str">
        <f>$E$146&amp;", Size Range: "&amp;L147&amp;" - "&amp;M147&amp;" kBTU/h, SEER = "&amp;H147&amp;" (HSPF = "&amp;TEXT(ROUND(J147,1),"0.0")&amp;"), EIR = "&amp;ROUND(P147,3)&amp;", Fan W/CFM = "&amp;ROUND(R147,2)&amp;", "&amp;T147&amp;" fan, "&amp;IF(S147,"with Econo","without Econo")</f>
        <v>Commercial SEER-rated Split Heat Pumps, Size Range: 18 - 55 kBTU/h, SEER = 14 (HSPF = 8.2), EIR = 0.245, Fan W/CFM = 0.29, one-speed fan, without Econo</v>
      </c>
      <c r="X147" t="str">
        <f>X157&amp;"; "&amp;CHAR(10)&amp;Y157&amp;";"&amp;CHAR(10)&amp;Y158&amp;";"&amp;CHAR(10)&amp;Y147</f>
        <v>Com SEER-Rated Split HP, 18-65 kBTU/h; 
pre-2001: SEER = 10 (HSPF = 7.1), one-speed fan, no Econo;
post-2001: SEER = 13 (HSPF = 8.2), one-speed fan, no Econo;
2014: SEER = 14 (HSPF = 8.2), one-speed fan, no Econo</v>
      </c>
      <c r="Y147" t="str">
        <f>"2014: SEER = "&amp;H147&amp;" (HSPF = "&amp;ROUND(J147,1)&amp;"), "&amp;T147&amp;" fan, "&amp;IF(S147,"w/Econo","no Econo")</f>
        <v>2014: SEER = 14 (HSPF = 8.2), one-speed fan, no Econo</v>
      </c>
    </row>
    <row r="148" spans="5:26" x14ac:dyDescent="0.25">
      <c r="E148" t="str">
        <f t="shared" si="15"/>
        <v>dxHP-Com-Split-lt55kBTUh-SEER-15.0</v>
      </c>
      <c r="F148" s="373" t="s">
        <v>450</v>
      </c>
      <c r="G148" s="50" t="s">
        <v>521</v>
      </c>
      <c r="H148" s="50">
        <v>15</v>
      </c>
      <c r="I148" s="236">
        <f>VLOOKUP($V148,'Split DX Selected Perf Maps'!$A$10:$CA$50,I$131,FALSE)</f>
        <v>12.781690140845072</v>
      </c>
      <c r="J148" s="50">
        <f>VLOOKUP($V148,'Split DX Selected Perf Maps'!$A$10:$CA$50,J$131,FALSE)</f>
        <v>8.6999999999999993</v>
      </c>
      <c r="K148" s="50">
        <f>VLOOKUP($V148,'Split DX Selected Perf Maps'!$A$10:$CA$50,K$131,FALSE)</f>
        <v>3.68</v>
      </c>
      <c r="L148" s="247">
        <v>18</v>
      </c>
      <c r="M148" s="247">
        <v>65</v>
      </c>
      <c r="N148" s="233" t="s">
        <v>480</v>
      </c>
      <c r="O148" s="234">
        <f>VLOOKUP($V148,'Split DX Selected Perf Maps'!$A$10:$CA$50,O$131,FALSE)</f>
        <v>0.74399999999999999</v>
      </c>
      <c r="P148" s="234">
        <f>VLOOKUP($V148,'Split DX Selected Perf Maps'!$A$10:$CA$50,P$131,FALSE)</f>
        <v>0.23218</v>
      </c>
      <c r="Q148" s="240">
        <f>VLOOKUP($V148,'Split DX Selected Perf Maps'!$A$10:$CA$50,Q$131,FALSE)*12000</f>
        <v>385.19999999999993</v>
      </c>
      <c r="R148" s="234">
        <f>VLOOKUP($V148,'Split DX Selected Perf Maps'!$A$10:$CA$50,R$131,FALSE)</f>
        <v>0.251</v>
      </c>
      <c r="S148" t="b">
        <v>0</v>
      </c>
      <c r="T148" s="50" t="s">
        <v>477</v>
      </c>
      <c r="U148" s="50" t="s">
        <v>958</v>
      </c>
      <c r="V148">
        <v>21506</v>
      </c>
      <c r="W148" t="str">
        <f t="shared" ref="W148:W158" si="16">$E$146&amp;", Size Range: "&amp;L148&amp;" - "&amp;M148&amp;" kBTU/h, SEER = "&amp;H148&amp;" (HSPF = "&amp;TEXT(ROUND(J148,1),"0.0")&amp;"), EIR = "&amp;ROUND(P148,3)&amp;", Fan W/CFM = "&amp;ROUND(R148,2)&amp;", "&amp;T148&amp;" fan, "&amp;IF(S148,"with Econo","without Econo")</f>
        <v>Commercial SEER-rated Split Heat Pumps, Size Range: 18 - 65 kBTU/h, SEER = 15 (HSPF = 8.7), EIR = 0.232, Fan W/CFM = 0.25, one-speed fan, without Econo</v>
      </c>
    </row>
    <row r="149" spans="5:26" x14ac:dyDescent="0.25">
      <c r="E149" t="str">
        <f t="shared" si="15"/>
        <v>dxHP-Com-Split-lt55kBTUh-SEER-16.0</v>
      </c>
      <c r="F149" s="373" t="s">
        <v>450</v>
      </c>
      <c r="G149" s="50" t="s">
        <v>521</v>
      </c>
      <c r="H149" s="50">
        <v>16</v>
      </c>
      <c r="I149" s="236">
        <f>VLOOKUP($V149,'Split DX Selected Perf Maps'!$A$10:$CA$50,I$131,FALSE)</f>
        <v>12.48</v>
      </c>
      <c r="J149" s="50">
        <f>VLOOKUP($V149,'Split DX Selected Perf Maps'!$A$10:$CA$50,J$131,FALSE)</f>
        <v>9</v>
      </c>
      <c r="K149" s="50">
        <f>VLOOKUP($V149,'Split DX Selected Perf Maps'!$A$10:$CA$50,K$131,FALSE)</f>
        <v>3.57</v>
      </c>
      <c r="L149" s="247">
        <v>18</v>
      </c>
      <c r="M149" s="247">
        <v>65</v>
      </c>
      <c r="N149" s="233" t="s">
        <v>480</v>
      </c>
      <c r="O149" s="234">
        <f>VLOOKUP($V149,'Split DX Selected Perf Maps'!$A$10:$CA$50,O$131,FALSE)</f>
        <v>0.72399999999999998</v>
      </c>
      <c r="P149" s="234">
        <f>VLOOKUP($V149,'Split DX Selected Perf Maps'!$A$10:$CA$50,P$131,FALSE)</f>
        <v>0.23813999999999999</v>
      </c>
      <c r="Q149" s="240">
        <f>VLOOKUP($V149,'Split DX Selected Perf Maps'!$A$10:$CA$50,Q$131,FALSE)*12000</f>
        <v>360</v>
      </c>
      <c r="R149" s="234">
        <f>VLOOKUP($V149,'Split DX Selected Perf Maps'!$A$10:$CA$50,R$131,FALSE)</f>
        <v>0.27100000000000002</v>
      </c>
      <c r="S149" t="b">
        <v>0</v>
      </c>
      <c r="T149" s="50" t="s">
        <v>478</v>
      </c>
      <c r="U149" s="50" t="s">
        <v>958</v>
      </c>
      <c r="V149">
        <v>21604</v>
      </c>
      <c r="W149" t="str">
        <f t="shared" si="16"/>
        <v>Commercial SEER-rated Split Heat Pumps, Size Range: 18 - 65 kBTU/h, SEER = 16 (HSPF = 9.0), EIR = 0.238, Fan W/CFM = 0.27, two-speed fan, without Econo</v>
      </c>
    </row>
    <row r="150" spans="5:26" x14ac:dyDescent="0.25">
      <c r="E150" t="str">
        <f t="shared" si="15"/>
        <v>dxHP-Com-Split-lt55kBTUh-SEER-17.0</v>
      </c>
      <c r="F150" s="373" t="s">
        <v>450</v>
      </c>
      <c r="G150" s="50" t="s">
        <v>521</v>
      </c>
      <c r="H150" s="50">
        <v>17</v>
      </c>
      <c r="I150" s="236">
        <f>VLOOKUP($V150,'Split DX Selected Perf Maps'!$A$10:$CA$50,I$131,FALSE)</f>
        <v>13.260000000000002</v>
      </c>
      <c r="J150" s="50">
        <f>VLOOKUP($V150,'Split DX Selected Perf Maps'!$A$10:$CA$50,J$131,FALSE)</f>
        <v>9.4</v>
      </c>
      <c r="K150" s="50">
        <f>VLOOKUP($V150,'Split DX Selected Perf Maps'!$A$10:$CA$50,K$131,FALSE)</f>
        <v>3.74</v>
      </c>
      <c r="L150" s="247">
        <v>18</v>
      </c>
      <c r="M150" s="247">
        <v>65</v>
      </c>
      <c r="N150" s="233" t="s">
        <v>480</v>
      </c>
      <c r="O150" s="234">
        <f>VLOOKUP($V150,'Split DX Selected Perf Maps'!$A$10:$CA$50,O$131,FALSE)</f>
        <v>0.72399999999999998</v>
      </c>
      <c r="P150" s="234">
        <f>VLOOKUP($V150,'Split DX Selected Perf Maps'!$A$10:$CA$50,P$131,FALSE)</f>
        <v>0.2225</v>
      </c>
      <c r="Q150" s="240">
        <f>VLOOKUP($V150,'Split DX Selected Perf Maps'!$A$10:$CA$50,Q$131,FALSE)*12000</f>
        <v>360</v>
      </c>
      <c r="R150" s="234">
        <f>VLOOKUP($V150,'Split DX Selected Perf Maps'!$A$10:$CA$50,R$131,FALSE)</f>
        <v>0.27100000000000002</v>
      </c>
      <c r="S150" t="b">
        <v>0</v>
      </c>
      <c r="T150" s="50" t="s">
        <v>478</v>
      </c>
      <c r="U150" s="50" t="s">
        <v>958</v>
      </c>
      <c r="V150">
        <v>21704</v>
      </c>
      <c r="W150" t="str">
        <f t="shared" si="16"/>
        <v>Commercial SEER-rated Split Heat Pumps, Size Range: 18 - 65 kBTU/h, SEER = 17 (HSPF = 9.4), EIR = 0.223, Fan W/CFM = 0.27, two-speed fan, without Econo</v>
      </c>
    </row>
    <row r="151" spans="5:26" x14ac:dyDescent="0.25">
      <c r="E151" t="str">
        <f t="shared" si="15"/>
        <v>dxHP-Com-Split-lt55kBTUh-SEER-18.0</v>
      </c>
      <c r="F151" s="373" t="s">
        <v>450</v>
      </c>
      <c r="G151" s="50" t="s">
        <v>521</v>
      </c>
      <c r="H151" s="50">
        <v>18</v>
      </c>
      <c r="I151" s="236">
        <f>VLOOKUP($V151,'Split DX Selected Perf Maps'!$A$10:$CA$50,I$131,FALSE)</f>
        <v>14.040000000000001</v>
      </c>
      <c r="J151" s="50">
        <f>VLOOKUP($V151,'Split DX Selected Perf Maps'!$A$10:$CA$50,J$131,FALSE)</f>
        <v>9.6999999999999993</v>
      </c>
      <c r="K151" s="50">
        <f>VLOOKUP($V151,'Split DX Selected Perf Maps'!$A$10:$CA$50,K$131,FALSE)</f>
        <v>3.86</v>
      </c>
      <c r="L151" s="247">
        <v>18</v>
      </c>
      <c r="M151" s="247">
        <v>65</v>
      </c>
      <c r="N151" s="233" t="s">
        <v>480</v>
      </c>
      <c r="O151" s="234">
        <f>VLOOKUP($V151,'Split DX Selected Perf Maps'!$A$10:$CA$50,O$131,FALSE)</f>
        <v>0.72399999999999998</v>
      </c>
      <c r="P151" s="234">
        <f>VLOOKUP($V151,'Split DX Selected Perf Maps'!$A$10:$CA$50,P$131,FALSE)</f>
        <v>0.20860000000000001</v>
      </c>
      <c r="Q151" s="240">
        <f>VLOOKUP($V151,'Split DX Selected Perf Maps'!$A$10:$CA$50,Q$131,FALSE)*12000</f>
        <v>360</v>
      </c>
      <c r="R151" s="234">
        <f>VLOOKUP($V151,'Split DX Selected Perf Maps'!$A$10:$CA$50,R$131,FALSE)</f>
        <v>0.27100000000000002</v>
      </c>
      <c r="S151" t="b">
        <v>0</v>
      </c>
      <c r="T151" s="50" t="s">
        <v>478</v>
      </c>
      <c r="U151" s="50" t="s">
        <v>958</v>
      </c>
      <c r="V151">
        <v>21802</v>
      </c>
      <c r="W151" t="str">
        <f t="shared" si="16"/>
        <v>Commercial SEER-rated Split Heat Pumps, Size Range: 18 - 65 kBTU/h, SEER = 18 (HSPF = 9.7), EIR = 0.209, Fan W/CFM = 0.27, two-speed fan, without Econo</v>
      </c>
    </row>
    <row r="152" spans="5:26" x14ac:dyDescent="0.25">
      <c r="E152" t="str">
        <f>"dxHP-Com-Split-55to65kBTUh-SEER-"&amp;TEXT(H152,"0.0")</f>
        <v>dxHP-Com-Split-55to65kBTUh-SEER-14.0</v>
      </c>
      <c r="F152" s="373" t="s">
        <v>450</v>
      </c>
      <c r="G152" s="50" t="s">
        <v>523</v>
      </c>
      <c r="H152" s="50">
        <v>14</v>
      </c>
      <c r="I152" s="236">
        <f>VLOOKUP($V152,'Split DX Selected Perf Maps'!$A$10:$CA$50,I$131,FALSE)</f>
        <v>11.112499999999999</v>
      </c>
      <c r="J152" s="50">
        <f>VLOOKUP($V152,'Split DX Selected Perf Maps'!$A$10:$CA$50,J$131,FALSE)</f>
        <v>8.1999999999999993</v>
      </c>
      <c r="K152" s="50">
        <f>VLOOKUP($V152,'Split DX Selected Perf Maps'!$A$10:$CA$50,K$131,FALSE)</f>
        <v>3.25</v>
      </c>
      <c r="L152" s="247">
        <v>55</v>
      </c>
      <c r="M152" s="247">
        <v>65</v>
      </c>
      <c r="N152" s="233" t="s">
        <v>480</v>
      </c>
      <c r="O152" s="234">
        <f>VLOOKUP($V152,'Split DX Selected Perf Maps'!$A$10:$CA$50,O$131,FALSE)</f>
        <v>0.71699999999999997</v>
      </c>
      <c r="P152" s="234">
        <f>VLOOKUP($V152,'Split DX Selected Perf Maps'!$A$10:$CA$50,P$131,FALSE)</f>
        <v>0.27046999999999999</v>
      </c>
      <c r="Q152" s="240">
        <f>VLOOKUP($V152,'Split DX Selected Perf Maps'!$A$10:$CA$50,Q$131,FALSE)*12000</f>
        <v>335.4</v>
      </c>
      <c r="R152" s="234">
        <f>VLOOKUP($V152,'Split DX Selected Perf Maps'!$A$10:$CA$50,R$131,FALSE)</f>
        <v>0.29399999999999998</v>
      </c>
      <c r="S152" t="b">
        <v>1</v>
      </c>
      <c r="T152" s="50" t="s">
        <v>478</v>
      </c>
      <c r="U152" s="50" t="s">
        <v>958</v>
      </c>
      <c r="V152">
        <v>21408</v>
      </c>
      <c r="W152" t="str">
        <f t="shared" si="16"/>
        <v>Commercial SEER-rated Split Heat Pumps, Size Range: 55 - 65 kBTU/h, SEER = 14 (HSPF = 8.2), EIR = 0.27, Fan W/CFM = 0.29, two-speed fan, with Econo</v>
      </c>
      <c r="X152" t="str">
        <f>X157&amp;"; "&amp;CHAR(10)&amp;Y157&amp;";"&amp;CHAR(10)&amp;Y158&amp;";"&amp;CHAR(10)&amp;Y152</f>
        <v>Com SEER-Rated Split HP, 18-65 kBTU/h; 
pre-2001: SEER = 10 (HSPF = 7.1), one-speed fan, no Econo;
post-2001: SEER = 13 (HSPF = 8.2), one-speed fan, no Econo;
2014: SEER = 14 (HSPF = 8.2), two-speed fan, w/Econo</v>
      </c>
      <c r="Y152" t="str">
        <f>"2014: SEER = "&amp;H152&amp;" (HSPF = "&amp;ROUND(J152,1)&amp;"), "&amp;T152&amp;" fan, "&amp;IF(S152,"w/Econo","no Econo")</f>
        <v>2014: SEER = 14 (HSPF = 8.2), two-speed fan, w/Econo</v>
      </c>
      <c r="Z152" t="str">
        <f>X157&amp;"; "&amp;CHAR(10)&amp;Z157&amp;";"&amp;CHAR(10)&amp;Z158&amp;";"&amp;CHAR(10)&amp;Y152</f>
        <v>Com SEER-Rated Split HP, 18-65 kBTU/h; 
pre-2001: SEER = 10 (HSPF = 7.1), one-speed fan, w/Econo;
post-2001: SEER = 13 (HSPF = 8.2), one-speed fan, w/Econo;
2014: SEER = 14 (HSPF = 8.2), two-speed fan, w/Econo</v>
      </c>
    </row>
    <row r="153" spans="5:26" x14ac:dyDescent="0.25">
      <c r="E153" t="str">
        <f>"dxHP-Com-Split-55to65kBTUh-SEER-"&amp;TEXT(H153,"0.0")</f>
        <v>dxHP-Com-Split-55to65kBTUh-SEER-15.0</v>
      </c>
      <c r="F153" s="373" t="s">
        <v>450</v>
      </c>
      <c r="G153" s="50" t="s">
        <v>521</v>
      </c>
      <c r="H153" s="50">
        <v>15</v>
      </c>
      <c r="I153" s="236">
        <f>VLOOKUP($V153,'Split DX Selected Perf Maps'!$A$10:$CA$50,I$131,FALSE)</f>
        <v>11.90625</v>
      </c>
      <c r="J153" s="50">
        <f>VLOOKUP($V153,'Split DX Selected Perf Maps'!$A$10:$CA$50,J$131,FALSE)</f>
        <v>8.6999999999999993</v>
      </c>
      <c r="K153" s="50">
        <f>VLOOKUP($V153,'Split DX Selected Perf Maps'!$A$10:$CA$50,K$131,FALSE)</f>
        <v>3.44</v>
      </c>
      <c r="L153" s="247">
        <v>55</v>
      </c>
      <c r="M153" s="247">
        <v>65</v>
      </c>
      <c r="N153" s="233" t="s">
        <v>480</v>
      </c>
      <c r="O153" s="234">
        <f>VLOOKUP($V153,'Split DX Selected Perf Maps'!$A$10:$CA$50,O$131,FALSE)</f>
        <v>0.71699999999999997</v>
      </c>
      <c r="P153" s="234">
        <f>VLOOKUP($V153,'Split DX Selected Perf Maps'!$A$10:$CA$50,P$131,FALSE)</f>
        <v>0.25585000000000002</v>
      </c>
      <c r="Q153" s="240">
        <f>VLOOKUP($V153,'Split DX Selected Perf Maps'!$A$10:$CA$50,Q$131,FALSE)*12000</f>
        <v>335.4</v>
      </c>
      <c r="R153" s="234">
        <f>VLOOKUP($V153,'Split DX Selected Perf Maps'!$A$10:$CA$50,R$131,FALSE)</f>
        <v>0.251</v>
      </c>
      <c r="S153" t="b">
        <v>1</v>
      </c>
      <c r="T153" s="50" t="s">
        <v>478</v>
      </c>
      <c r="U153" s="50" t="s">
        <v>958</v>
      </c>
      <c r="V153">
        <v>21508</v>
      </c>
      <c r="W153" t="str">
        <f t="shared" si="16"/>
        <v>Commercial SEER-rated Split Heat Pumps, Size Range: 55 - 65 kBTU/h, SEER = 15 (HSPF = 8.7), EIR = 0.256, Fan W/CFM = 0.25, two-speed fan, with Econo</v>
      </c>
    </row>
    <row r="154" spans="5:26" x14ac:dyDescent="0.25">
      <c r="E154" t="str">
        <f t="shared" ref="E154:E156" si="17">"dxHP-Com-Split-55to65kBTUh-SEER-"&amp;TEXT(H154,"0.0")</f>
        <v>dxHP-Com-Split-55to65kBTUh-SEER-16.0</v>
      </c>
      <c r="F154" s="373" t="s">
        <v>450</v>
      </c>
      <c r="G154" s="50" t="s">
        <v>521</v>
      </c>
      <c r="H154" s="50">
        <v>16</v>
      </c>
      <c r="I154" s="236">
        <f>VLOOKUP($V154,'Split DX Selected Perf Maps'!$A$10:$CA$50,I$131,FALSE)</f>
        <v>12.48</v>
      </c>
      <c r="J154" s="50">
        <f>VLOOKUP($V154,'Split DX Selected Perf Maps'!$A$10:$CA$50,J$131,FALSE)</f>
        <v>9</v>
      </c>
      <c r="K154" s="50">
        <f>VLOOKUP($V154,'Split DX Selected Perf Maps'!$A$10:$CA$50,K$131,FALSE)</f>
        <v>3.57</v>
      </c>
      <c r="L154" s="247">
        <v>55</v>
      </c>
      <c r="M154" s="247">
        <v>65</v>
      </c>
      <c r="N154" s="233" t="s">
        <v>480</v>
      </c>
      <c r="O154" s="234">
        <f>VLOOKUP($V154,'Split DX Selected Perf Maps'!$A$10:$CA$50,O$131,FALSE)</f>
        <v>0.72399999999999998</v>
      </c>
      <c r="P154" s="234">
        <f>VLOOKUP($V154,'Split DX Selected Perf Maps'!$A$10:$CA$50,P$131,FALSE)</f>
        <v>0.23813999999999999</v>
      </c>
      <c r="Q154" s="240">
        <f>VLOOKUP($V154,'Split DX Selected Perf Maps'!$A$10:$CA$50,Q$131,FALSE)*12000</f>
        <v>360</v>
      </c>
      <c r="R154" s="234">
        <f>VLOOKUP($V154,'Split DX Selected Perf Maps'!$A$10:$CA$50,R$131,FALSE)</f>
        <v>0.27100000000000002</v>
      </c>
      <c r="S154" t="b">
        <v>1</v>
      </c>
      <c r="T154" s="50" t="s">
        <v>478</v>
      </c>
      <c r="U154" s="50" t="s">
        <v>958</v>
      </c>
      <c r="V154">
        <v>21604</v>
      </c>
      <c r="W154" t="str">
        <f t="shared" si="16"/>
        <v>Commercial SEER-rated Split Heat Pumps, Size Range: 55 - 65 kBTU/h, SEER = 16 (HSPF = 9.0), EIR = 0.238, Fan W/CFM = 0.27, two-speed fan, with Econo</v>
      </c>
    </row>
    <row r="155" spans="5:26" x14ac:dyDescent="0.25">
      <c r="E155" t="str">
        <f t="shared" si="17"/>
        <v>dxHP-Com-Split-55to65kBTUh-SEER-17.0</v>
      </c>
      <c r="F155" s="373" t="s">
        <v>450</v>
      </c>
      <c r="G155" s="50" t="s">
        <v>521</v>
      </c>
      <c r="H155" s="50">
        <v>17</v>
      </c>
      <c r="I155" s="236">
        <f>VLOOKUP($V155,'Split DX Selected Perf Maps'!$A$10:$CA$50,I$131,FALSE)</f>
        <v>13.260000000000002</v>
      </c>
      <c r="J155" s="50">
        <f>VLOOKUP($V155,'Split DX Selected Perf Maps'!$A$10:$CA$50,J$131,FALSE)</f>
        <v>9.4</v>
      </c>
      <c r="K155" s="50">
        <f>VLOOKUP($V155,'Split DX Selected Perf Maps'!$A$10:$CA$50,K$131,FALSE)</f>
        <v>3.74</v>
      </c>
      <c r="L155" s="247">
        <v>55</v>
      </c>
      <c r="M155" s="247">
        <v>65</v>
      </c>
      <c r="N155" s="233" t="s">
        <v>480</v>
      </c>
      <c r="O155" s="234">
        <f>VLOOKUP($V155,'Split DX Selected Perf Maps'!$A$10:$CA$50,O$131,FALSE)</f>
        <v>0.72399999999999998</v>
      </c>
      <c r="P155" s="234">
        <f>VLOOKUP($V155,'Split DX Selected Perf Maps'!$A$10:$CA$50,P$131,FALSE)</f>
        <v>0.2225</v>
      </c>
      <c r="Q155" s="240">
        <f>VLOOKUP($V155,'Split DX Selected Perf Maps'!$A$10:$CA$50,Q$131,FALSE)*12000</f>
        <v>360</v>
      </c>
      <c r="R155" s="234">
        <f>VLOOKUP($V155,'Split DX Selected Perf Maps'!$A$10:$CA$50,R$131,FALSE)</f>
        <v>0.27100000000000002</v>
      </c>
      <c r="S155" t="b">
        <v>1</v>
      </c>
      <c r="T155" s="50" t="s">
        <v>478</v>
      </c>
      <c r="U155" s="50" t="s">
        <v>958</v>
      </c>
      <c r="V155">
        <v>21704</v>
      </c>
      <c r="W155" t="str">
        <f t="shared" si="16"/>
        <v>Commercial SEER-rated Split Heat Pumps, Size Range: 55 - 65 kBTU/h, SEER = 17 (HSPF = 9.4), EIR = 0.223, Fan W/CFM = 0.27, two-speed fan, with Econo</v>
      </c>
    </row>
    <row r="156" spans="5:26" x14ac:dyDescent="0.25">
      <c r="E156" t="str">
        <f t="shared" si="17"/>
        <v>dxHP-Com-Split-55to65kBTUh-SEER-18.0</v>
      </c>
      <c r="F156" s="373" t="s">
        <v>450</v>
      </c>
      <c r="G156" s="50" t="s">
        <v>521</v>
      </c>
      <c r="H156" s="50">
        <v>18</v>
      </c>
      <c r="I156" s="236">
        <f>VLOOKUP($V156,'Split DX Selected Perf Maps'!$A$10:$CA$50,I$131,FALSE)</f>
        <v>14.040000000000001</v>
      </c>
      <c r="J156" s="50">
        <f>VLOOKUP($V156,'Split DX Selected Perf Maps'!$A$10:$CA$50,J$131,FALSE)</f>
        <v>9.6999999999999993</v>
      </c>
      <c r="K156" s="50">
        <f>VLOOKUP($V156,'Split DX Selected Perf Maps'!$A$10:$CA$50,K$131,FALSE)</f>
        <v>3.86</v>
      </c>
      <c r="L156" s="247">
        <v>55</v>
      </c>
      <c r="M156" s="247">
        <v>65</v>
      </c>
      <c r="N156" s="233" t="s">
        <v>480</v>
      </c>
      <c r="O156" s="234">
        <f>VLOOKUP($V156,'Split DX Selected Perf Maps'!$A$10:$CA$50,O$131,FALSE)</f>
        <v>0.72399999999999998</v>
      </c>
      <c r="P156" s="234">
        <f>VLOOKUP($V156,'Split DX Selected Perf Maps'!$A$10:$CA$50,P$131,FALSE)</f>
        <v>0.20860000000000001</v>
      </c>
      <c r="Q156" s="240">
        <f>VLOOKUP($V156,'Split DX Selected Perf Maps'!$A$10:$CA$50,Q$131,FALSE)*12000</f>
        <v>360</v>
      </c>
      <c r="R156" s="234">
        <f>VLOOKUP($V156,'Split DX Selected Perf Maps'!$A$10:$CA$50,R$131,FALSE)</f>
        <v>0.27100000000000002</v>
      </c>
      <c r="S156" t="b">
        <v>1</v>
      </c>
      <c r="T156" s="50" t="s">
        <v>478</v>
      </c>
      <c r="U156" s="50" t="s">
        <v>958</v>
      </c>
      <c r="V156">
        <v>21802</v>
      </c>
      <c r="W156" t="str">
        <f t="shared" si="16"/>
        <v>Commercial SEER-rated Split Heat Pumps, Size Range: 55 - 65 kBTU/h, SEER = 18 (HSPF = 9.7), EIR = 0.209, Fan W/CFM = 0.27, two-speed fan, with Econo</v>
      </c>
    </row>
    <row r="157" spans="5:26" x14ac:dyDescent="0.25">
      <c r="E157" t="str">
        <f>"dxHP-Com-Split-SEER-"&amp;TEXT(H157,"0.0")</f>
        <v>dxHP-Com-Split-SEER-10.0</v>
      </c>
      <c r="F157" s="373" t="s">
        <v>450</v>
      </c>
      <c r="G157" s="50" t="s">
        <v>631</v>
      </c>
      <c r="H157" s="50">
        <v>10</v>
      </c>
      <c r="I157" s="236">
        <f>VLOOKUP($V157,'Split DX Selected Perf Maps'!$A$10:$CA$50,I$131,FALSE)</f>
        <v>8.52112676056338</v>
      </c>
      <c r="J157" s="50">
        <f>VLOOKUP($V157,'Split DX Selected Perf Maps'!$A$10:$CA$50,J$131,FALSE)</f>
        <v>7.1</v>
      </c>
      <c r="K157" s="50">
        <f>VLOOKUP($V157,'Split DX Selected Perf Maps'!$A$10:$CA$50,K$131,FALSE)</f>
        <v>3.01</v>
      </c>
      <c r="L157" s="247">
        <v>18</v>
      </c>
      <c r="M157" s="247">
        <v>65</v>
      </c>
      <c r="N157" s="233" t="s">
        <v>480</v>
      </c>
      <c r="O157" s="234">
        <f>VLOOKUP($V157,'Split DX Selected Perf Maps'!$A$10:$CA$50,O$131,FALSE)</f>
        <v>0.74399999999999999</v>
      </c>
      <c r="P157" s="234">
        <f>VLOOKUP($V157,'Split DX Selected Perf Maps'!$A$10:$CA$50,P$131,FALSE)</f>
        <v>0.34453</v>
      </c>
      <c r="Q157" s="240">
        <f>VLOOKUP($V157,'Split DX Selected Perf Maps'!$A$10:$CA$50,Q$131,FALSE)*12000</f>
        <v>385.19999999999993</v>
      </c>
      <c r="R157" s="234">
        <f>VLOOKUP($V157,'Split DX Selected Perf Maps'!$A$10:$CA$50,R$131,FALSE)</f>
        <v>0.36499999999999999</v>
      </c>
      <c r="S157" t="b">
        <v>0</v>
      </c>
      <c r="T157" s="50" t="s">
        <v>477</v>
      </c>
      <c r="U157" s="50" t="s">
        <v>958</v>
      </c>
      <c r="V157" s="447">
        <v>21006</v>
      </c>
      <c r="W157" t="str">
        <f t="shared" si="16"/>
        <v>Commercial SEER-rated Split Heat Pumps, Size Range: 18 - 65 kBTU/h, SEER = 10 (HSPF = 7.1), EIR = 0.345, Fan W/CFM = 0.37, one-speed fan, without Econo</v>
      </c>
      <c r="X157" t="str">
        <f>$E$145&amp;", "&amp;L157&amp;"-"&amp;M157&amp;" kBTU/h"</f>
        <v>Com SEER-Rated Split HP, 18-65 kBTU/h</v>
      </c>
      <c r="Y157" t="str">
        <f>G157&amp;": SEER = "&amp;H157&amp;" (HSPF = "&amp;ROUND(J157,1)&amp;"), "&amp;T157&amp;" fan, "&amp;IF(S157,"w/Econo","no Econo")</f>
        <v>pre-2001: SEER = 10 (HSPF = 7.1), one-speed fan, no Econo</v>
      </c>
      <c r="Z157" t="str">
        <f>G157&amp;": SEER = "&amp;H157&amp;" (HSPF = "&amp;ROUND(J157,1)&amp;"), "&amp;T157&amp;" fan, w/Econo"</f>
        <v>pre-2001: SEER = 10 (HSPF = 7.1), one-speed fan, w/Econo</v>
      </c>
    </row>
    <row r="158" spans="5:26" x14ac:dyDescent="0.25">
      <c r="E158" t="str">
        <f>"dxHP-Com-Split-SEER-"&amp;TEXT(H158,"0.0")</f>
        <v>dxHP-Com-Split-SEER-13.0</v>
      </c>
      <c r="F158" s="373" t="s">
        <v>450</v>
      </c>
      <c r="G158" s="50" t="s">
        <v>632</v>
      </c>
      <c r="H158" s="50">
        <v>13</v>
      </c>
      <c r="I158" s="236">
        <f>VLOOKUP($V158,'Split DX Selected Perf Maps'!$A$10:$CA$50,I$131,FALSE)</f>
        <v>11.077464788732394</v>
      </c>
      <c r="J158" s="50">
        <f>VLOOKUP($V158,'Split DX Selected Perf Maps'!$A$10:$CA$50,J$131,FALSE)</f>
        <v>8.1999999999999993</v>
      </c>
      <c r="K158" s="50">
        <f>VLOOKUP($V158,'Split DX Selected Perf Maps'!$A$10:$CA$50,K$131,FALSE)</f>
        <v>3.49</v>
      </c>
      <c r="L158" s="247">
        <v>18</v>
      </c>
      <c r="M158" s="247">
        <v>65</v>
      </c>
      <c r="N158" s="233" t="s">
        <v>480</v>
      </c>
      <c r="O158" s="234">
        <f>VLOOKUP($V158,'Split DX Selected Perf Maps'!$A$10:$CA$50,O$131,FALSE)</f>
        <v>0.74399999999999999</v>
      </c>
      <c r="P158" s="234">
        <f>VLOOKUP($V158,'Split DX Selected Perf Maps'!$A$10:$CA$50,P$131,FALSE)</f>
        <v>0.25823000000000002</v>
      </c>
      <c r="Q158" s="240">
        <f>VLOOKUP($V158,'Split DX Selected Perf Maps'!$A$10:$CA$50,Q$131,FALSE)*12000</f>
        <v>385.19999999999993</v>
      </c>
      <c r="R158" s="234">
        <f>VLOOKUP($V158,'Split DX Selected Perf Maps'!$A$10:$CA$50,R$131,FALSE)</f>
        <v>0.34799999999999998</v>
      </c>
      <c r="S158" t="b">
        <v>0</v>
      </c>
      <c r="T158" s="50" t="s">
        <v>477</v>
      </c>
      <c r="U158" s="50" t="s">
        <v>958</v>
      </c>
      <c r="V158" s="447">
        <v>21306</v>
      </c>
      <c r="W158" t="str">
        <f t="shared" si="16"/>
        <v>Commercial SEER-rated Split Heat Pumps, Size Range: 18 - 65 kBTU/h, SEER = 13 (HSPF = 8.2), EIR = 0.258, Fan W/CFM = 0.35, one-speed fan, without Econo</v>
      </c>
      <c r="Y158" t="str">
        <f>G158&amp;": SEER = "&amp;H158&amp;" (HSPF = "&amp;ROUND(J158,1)&amp;"), "&amp;T158&amp;" fan, "&amp;IF(S158,"w/Econo","no Econo")</f>
        <v>post-2001: SEER = 13 (HSPF = 8.2), one-speed fan, no Econo</v>
      </c>
      <c r="Z158" t="str">
        <f>G158&amp;": SEER = "&amp;H158&amp;" (HSPF = "&amp;ROUND(J158,1)&amp;"), "&amp;T158&amp;" fan, w/Econo"</f>
        <v>post-2001: SEER = 13 (HSPF = 8.2), one-speed fan, w/Econo</v>
      </c>
    </row>
  </sheetData>
  <sortState ref="V133:V140">
    <sortCondition ref="V133:V140"/>
  </sortState>
  <dataConsolidate/>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2:Q123"/>
  <sheetViews>
    <sheetView workbookViewId="0">
      <selection activeCell="C25" sqref="C25"/>
    </sheetView>
  </sheetViews>
  <sheetFormatPr defaultRowHeight="15" x14ac:dyDescent="0.25"/>
  <cols>
    <col min="2" max="2" width="27.140625" customWidth="1"/>
    <col min="3" max="3" width="10.5703125" bestFit="1" customWidth="1"/>
    <col min="4" max="4" width="10.85546875" customWidth="1"/>
    <col min="5" max="5" width="10.7109375" bestFit="1" customWidth="1"/>
    <col min="6" max="6" width="9.28515625" bestFit="1" customWidth="1"/>
    <col min="11" max="11" width="18" bestFit="1" customWidth="1"/>
    <col min="12" max="12" width="10.42578125" customWidth="1"/>
    <col min="14" max="14" width="11.42578125" customWidth="1"/>
  </cols>
  <sheetData>
    <row r="2" spans="2:17" ht="20.25" thickBot="1" x14ac:dyDescent="0.35">
      <c r="B2" s="1" t="s">
        <v>202</v>
      </c>
      <c r="C2" s="1"/>
      <c r="D2" s="1"/>
      <c r="E2" s="1"/>
      <c r="F2" s="1"/>
      <c r="G2" s="1"/>
      <c r="H2" s="1"/>
    </row>
    <row r="3" spans="2:17" ht="15.75" thickTop="1" x14ac:dyDescent="0.25"/>
    <row r="4" spans="2:17" ht="15.75" thickBot="1" x14ac:dyDescent="0.3">
      <c r="B4" s="3" t="s">
        <v>386</v>
      </c>
      <c r="I4" s="3" t="s">
        <v>385</v>
      </c>
    </row>
    <row r="5" spans="2:17" ht="15.75" thickBot="1" x14ac:dyDescent="0.3">
      <c r="I5" s="143" t="s">
        <v>389</v>
      </c>
      <c r="J5" s="144"/>
      <c r="K5" s="144"/>
      <c r="L5" s="144"/>
      <c r="M5" s="149"/>
      <c r="N5" s="152" t="s">
        <v>101</v>
      </c>
    </row>
    <row r="6" spans="2:17" x14ac:dyDescent="0.25">
      <c r="B6" s="452" t="s">
        <v>725</v>
      </c>
      <c r="C6" s="452"/>
      <c r="D6" s="452"/>
      <c r="E6" s="452"/>
      <c r="F6" s="452"/>
      <c r="G6" s="452"/>
      <c r="I6" s="145" t="s">
        <v>109</v>
      </c>
      <c r="J6" s="146"/>
      <c r="K6" s="146"/>
      <c r="L6" s="146"/>
      <c r="M6" s="150"/>
      <c r="N6" s="262">
        <f>AVERAGE(O14:O41)</f>
        <v>0.40296428571428572</v>
      </c>
      <c r="P6" s="25"/>
    </row>
    <row r="7" spans="2:17" x14ac:dyDescent="0.25">
      <c r="B7" s="452"/>
      <c r="C7" s="452"/>
      <c r="D7" s="452"/>
      <c r="E7" s="452"/>
      <c r="F7" s="452"/>
      <c r="G7" s="452"/>
      <c r="I7" s="145" t="s">
        <v>130</v>
      </c>
      <c r="J7" s="146"/>
      <c r="K7" s="146"/>
      <c r="L7" s="146"/>
      <c r="M7" s="150"/>
      <c r="N7" s="263">
        <f>AVERAGE(O43:O63)</f>
        <v>0.40709523809523818</v>
      </c>
      <c r="P7" s="25"/>
    </row>
    <row r="8" spans="2:17" x14ac:dyDescent="0.25">
      <c r="B8" s="452" t="s">
        <v>387</v>
      </c>
      <c r="C8" s="452"/>
      <c r="D8" s="452"/>
      <c r="E8" s="452"/>
      <c r="F8" s="452"/>
      <c r="G8" s="452"/>
      <c r="I8" s="145" t="s">
        <v>142</v>
      </c>
      <c r="J8" s="146"/>
      <c r="K8" s="146"/>
      <c r="L8" s="146"/>
      <c r="M8" s="150"/>
      <c r="N8" s="264">
        <f>AVERAGE(O65:O93)</f>
        <v>0.60865517241379319</v>
      </c>
      <c r="P8" s="25"/>
    </row>
    <row r="9" spans="2:17" ht="15.75" thickBot="1" x14ac:dyDescent="0.3">
      <c r="B9" s="452"/>
      <c r="C9" s="452"/>
      <c r="D9" s="452"/>
      <c r="E9" s="452"/>
      <c r="F9" s="452"/>
      <c r="G9" s="452"/>
      <c r="I9" s="147" t="s">
        <v>388</v>
      </c>
      <c r="J9" s="148"/>
      <c r="K9" s="148"/>
      <c r="L9" s="148"/>
      <c r="M9" s="151"/>
      <c r="N9" s="265">
        <f>AVERAGE(O95:O118)</f>
        <v>0.72062500000000007</v>
      </c>
      <c r="P9" s="25"/>
    </row>
    <row r="10" spans="2:17" x14ac:dyDescent="0.25">
      <c r="B10" s="452"/>
      <c r="C10" s="452"/>
      <c r="D10" s="452"/>
      <c r="E10" s="452"/>
      <c r="F10" s="452"/>
      <c r="G10" s="452"/>
      <c r="P10" s="25"/>
    </row>
    <row r="11" spans="2:17" x14ac:dyDescent="0.25">
      <c r="P11" s="25"/>
    </row>
    <row r="12" spans="2:17" x14ac:dyDescent="0.25">
      <c r="B12" s="3" t="s">
        <v>109</v>
      </c>
      <c r="I12" s="3" t="s">
        <v>96</v>
      </c>
      <c r="J12" s="25"/>
      <c r="K12" s="25"/>
      <c r="L12" s="25"/>
      <c r="M12" s="25"/>
      <c r="N12" s="25"/>
      <c r="O12" s="25"/>
      <c r="P12" s="25"/>
    </row>
    <row r="13" spans="2:17" x14ac:dyDescent="0.25">
      <c r="B13" t="s">
        <v>111</v>
      </c>
      <c r="I13" s="25" t="s">
        <v>204</v>
      </c>
      <c r="J13" s="25" t="s">
        <v>97</v>
      </c>
      <c r="K13" s="25" t="s">
        <v>98</v>
      </c>
      <c r="L13" s="270" t="s">
        <v>100</v>
      </c>
      <c r="M13" s="25" t="s">
        <v>203</v>
      </c>
      <c r="N13" t="s">
        <v>54</v>
      </c>
      <c r="O13" t="s">
        <v>101</v>
      </c>
      <c r="P13" s="25"/>
    </row>
    <row r="14" spans="2:17" x14ac:dyDescent="0.25">
      <c r="B14" s="27" t="s">
        <v>113</v>
      </c>
      <c r="C14" s="28" t="s">
        <v>114</v>
      </c>
      <c r="D14" s="6" t="s">
        <v>115</v>
      </c>
      <c r="E14" s="6" t="s">
        <v>116</v>
      </c>
      <c r="F14" s="6" t="s">
        <v>634</v>
      </c>
      <c r="I14" s="25" t="s">
        <v>102</v>
      </c>
      <c r="J14" s="25" t="s">
        <v>103</v>
      </c>
      <c r="K14" s="25" t="s">
        <v>104</v>
      </c>
      <c r="L14" s="270">
        <f>M14^2</f>
        <v>36</v>
      </c>
      <c r="M14" s="26">
        <v>6</v>
      </c>
      <c r="N14" s="26">
        <v>11</v>
      </c>
      <c r="O14" s="26">
        <v>0.45800000000000002</v>
      </c>
      <c r="P14" s="267"/>
      <c r="Q14" s="25">
        <v>6</v>
      </c>
    </row>
    <row r="15" spans="2:17" x14ac:dyDescent="0.25">
      <c r="B15" s="29" t="s">
        <v>118</v>
      </c>
      <c r="C15" s="256">
        <f t="array" ref="C15:E19">LINEST(O14:O41,M14:N41,TRUE,TRUE)</f>
        <v>-1.7528471282126139E-2</v>
      </c>
      <c r="D15" s="255">
        <v>8.393818347432672E-3</v>
      </c>
      <c r="E15" s="255">
        <v>0.53815915232827927</v>
      </c>
      <c r="I15" s="25" t="s">
        <v>102</v>
      </c>
      <c r="J15" s="25" t="s">
        <v>105</v>
      </c>
      <c r="K15" s="25" t="s">
        <v>106</v>
      </c>
      <c r="L15" s="270">
        <f t="shared" ref="L15:L78" si="0">M15^2</f>
        <v>36</v>
      </c>
      <c r="M15" s="26">
        <v>6</v>
      </c>
      <c r="N15" s="26">
        <v>11.2</v>
      </c>
      <c r="O15" s="26">
        <v>0.42699999999999999</v>
      </c>
      <c r="P15" s="267"/>
      <c r="Q15" s="25">
        <v>6</v>
      </c>
    </row>
    <row r="16" spans="2:17" x14ac:dyDescent="0.25">
      <c r="B16" s="29" t="s">
        <v>120</v>
      </c>
      <c r="C16" s="256">
        <v>2.3815791038029915E-2</v>
      </c>
      <c r="D16" s="255">
        <v>9.6649216377634531E-3</v>
      </c>
      <c r="E16" s="255">
        <v>0.28909765116467773</v>
      </c>
      <c r="I16" s="25" t="s">
        <v>102</v>
      </c>
      <c r="J16" s="25" t="s">
        <v>107</v>
      </c>
      <c r="K16" s="25" t="s">
        <v>108</v>
      </c>
      <c r="L16" s="270">
        <f t="shared" si="0"/>
        <v>36</v>
      </c>
      <c r="M16" s="26">
        <v>6</v>
      </c>
      <c r="N16" s="26">
        <v>11.5</v>
      </c>
      <c r="O16" s="26">
        <v>0.40899999999999997</v>
      </c>
      <c r="P16" s="267"/>
      <c r="Q16" s="25">
        <v>6</v>
      </c>
    </row>
    <row r="17" spans="2:17" x14ac:dyDescent="0.25">
      <c r="B17" s="29" t="s">
        <v>122</v>
      </c>
      <c r="C17" s="256">
        <v>4.9436566730589576E-2</v>
      </c>
      <c r="D17" s="255">
        <v>7.4057298723727558E-2</v>
      </c>
      <c r="E17" s="159" t="e">
        <v>#N/A</v>
      </c>
      <c r="I17" s="25" t="s">
        <v>102</v>
      </c>
      <c r="J17" s="25" t="s">
        <v>103</v>
      </c>
      <c r="K17" s="25" t="s">
        <v>110</v>
      </c>
      <c r="L17" s="270">
        <f t="shared" si="0"/>
        <v>36</v>
      </c>
      <c r="M17" s="26">
        <v>6</v>
      </c>
      <c r="N17" s="26">
        <v>12</v>
      </c>
      <c r="O17" s="26">
        <v>0.41099999999999998</v>
      </c>
      <c r="P17" s="267"/>
      <c r="Q17" s="25">
        <v>6</v>
      </c>
    </row>
    <row r="18" spans="2:17" x14ac:dyDescent="0.25">
      <c r="B18" s="29" t="s">
        <v>124</v>
      </c>
      <c r="C18" s="256">
        <v>0.65009557753230685</v>
      </c>
      <c r="D18">
        <v>25</v>
      </c>
      <c r="E18" s="159" t="e">
        <v>#N/A</v>
      </c>
      <c r="I18" s="25" t="s">
        <v>102</v>
      </c>
      <c r="J18" s="25" t="s">
        <v>92</v>
      </c>
      <c r="K18" s="25" t="s">
        <v>112</v>
      </c>
      <c r="L18" s="270">
        <f t="shared" si="0"/>
        <v>36</v>
      </c>
      <c r="M18" s="26">
        <v>6</v>
      </c>
      <c r="N18" s="26">
        <v>12</v>
      </c>
      <c r="O18" s="26">
        <v>0.29199999999999998</v>
      </c>
      <c r="P18" s="267"/>
      <c r="Q18" s="25">
        <v>6</v>
      </c>
    </row>
    <row r="19" spans="2:17" x14ac:dyDescent="0.25">
      <c r="B19" s="29" t="s">
        <v>126</v>
      </c>
      <c r="C19" s="256">
        <v>7.130876929328761E-3</v>
      </c>
      <c r="D19" s="255">
        <v>0.13711208735638547</v>
      </c>
      <c r="E19" s="159" t="e">
        <v>#N/A</v>
      </c>
      <c r="I19" s="25" t="s">
        <v>102</v>
      </c>
      <c r="J19" s="25" t="s">
        <v>107</v>
      </c>
      <c r="K19" s="25" t="s">
        <v>117</v>
      </c>
      <c r="L19" s="270">
        <f t="shared" si="0"/>
        <v>49</v>
      </c>
      <c r="M19" s="26">
        <v>7</v>
      </c>
      <c r="N19" s="26">
        <v>11.2</v>
      </c>
      <c r="O19" s="26">
        <v>0.34399999999999997</v>
      </c>
      <c r="P19" s="267"/>
      <c r="Q19" s="25">
        <v>7</v>
      </c>
    </row>
    <row r="20" spans="2:17" x14ac:dyDescent="0.25">
      <c r="B20" s="268" t="s">
        <v>633</v>
      </c>
      <c r="C20" s="255">
        <f>ABS(C15/C16)</f>
        <v>0.73600206073928187</v>
      </c>
      <c r="D20" s="255">
        <f t="shared" ref="D20:E20" si="1">ABS(D15/D16)</f>
        <v>0.86848281465995147</v>
      </c>
      <c r="E20" s="255">
        <f t="shared" si="1"/>
        <v>1.8615134026866564</v>
      </c>
      <c r="F20" s="255">
        <f>TINV(0.05,D18)</f>
        <v>2.0595385527532977</v>
      </c>
      <c r="I20" s="25" t="s">
        <v>102</v>
      </c>
      <c r="J20" s="25" t="s">
        <v>95</v>
      </c>
      <c r="K20" s="25" t="s">
        <v>119</v>
      </c>
      <c r="L20" s="270">
        <f t="shared" si="0"/>
        <v>56.25</v>
      </c>
      <c r="M20" s="26">
        <v>7.5</v>
      </c>
      <c r="N20" s="26">
        <v>11</v>
      </c>
      <c r="O20" s="26">
        <v>0.316</v>
      </c>
      <c r="P20" s="267"/>
      <c r="Q20" s="25">
        <v>7.5</v>
      </c>
    </row>
    <row r="21" spans="2:17" x14ac:dyDescent="0.25">
      <c r="I21" s="25" t="s">
        <v>102</v>
      </c>
      <c r="J21" s="25" t="s">
        <v>103</v>
      </c>
      <c r="K21" s="25" t="s">
        <v>121</v>
      </c>
      <c r="L21" s="270">
        <f t="shared" si="0"/>
        <v>56.25</v>
      </c>
      <c r="M21" s="26">
        <v>7.5</v>
      </c>
      <c r="N21" s="26">
        <v>11</v>
      </c>
      <c r="O21" s="26">
        <v>0.433</v>
      </c>
      <c r="P21" s="267"/>
      <c r="Q21" s="25">
        <v>7.5</v>
      </c>
    </row>
    <row r="22" spans="2:17" x14ac:dyDescent="0.25">
      <c r="B22" s="3" t="s">
        <v>130</v>
      </c>
      <c r="I22" s="25" t="s">
        <v>102</v>
      </c>
      <c r="J22" s="25" t="s">
        <v>105</v>
      </c>
      <c r="K22" s="25" t="s">
        <v>123</v>
      </c>
      <c r="L22" s="270">
        <f t="shared" si="0"/>
        <v>56.25</v>
      </c>
      <c r="M22" s="26">
        <v>7.5</v>
      </c>
      <c r="N22" s="26">
        <v>11.2</v>
      </c>
      <c r="O22" s="26">
        <v>0.46600000000000003</v>
      </c>
      <c r="P22" s="267"/>
      <c r="Q22" s="25">
        <v>7.5</v>
      </c>
    </row>
    <row r="23" spans="2:17" x14ac:dyDescent="0.25">
      <c r="B23" t="s">
        <v>132</v>
      </c>
      <c r="I23" s="25" t="s">
        <v>102</v>
      </c>
      <c r="J23" s="25" t="s">
        <v>103</v>
      </c>
      <c r="K23" s="25" t="s">
        <v>125</v>
      </c>
      <c r="L23" s="270">
        <f t="shared" si="0"/>
        <v>56.25</v>
      </c>
      <c r="M23" s="26">
        <v>7.5</v>
      </c>
      <c r="N23" s="26">
        <v>12</v>
      </c>
      <c r="O23" s="26">
        <v>0.40899999999999997</v>
      </c>
      <c r="P23" s="267"/>
      <c r="Q23" s="25">
        <v>7.5</v>
      </c>
    </row>
    <row r="24" spans="2:17" x14ac:dyDescent="0.25">
      <c r="B24" s="27" t="s">
        <v>113</v>
      </c>
      <c r="C24" s="28" t="s">
        <v>114</v>
      </c>
      <c r="D24" s="6" t="s">
        <v>115</v>
      </c>
      <c r="E24" s="6" t="s">
        <v>116</v>
      </c>
      <c r="F24" s="6" t="s">
        <v>634</v>
      </c>
      <c r="I24" s="25" t="s">
        <v>102</v>
      </c>
      <c r="J24" s="25" t="s">
        <v>92</v>
      </c>
      <c r="K24" s="25" t="s">
        <v>127</v>
      </c>
      <c r="L24" s="270">
        <f t="shared" si="0"/>
        <v>56.25</v>
      </c>
      <c r="M24" s="26">
        <v>7.5</v>
      </c>
      <c r="N24" s="26">
        <v>12.5</v>
      </c>
      <c r="O24" s="26">
        <v>0.27400000000000002</v>
      </c>
      <c r="P24" s="267"/>
      <c r="Q24" s="25">
        <v>7.5</v>
      </c>
    </row>
    <row r="25" spans="2:17" x14ac:dyDescent="0.25">
      <c r="B25" s="29" t="s">
        <v>118</v>
      </c>
      <c r="C25" s="256">
        <f t="array" ref="C25:E29">LINEST(O43:O63,M43:N63,TRUE,TRUE)</f>
        <v>-4.3108728051447998E-2</v>
      </c>
      <c r="D25" s="31">
        <v>-1.7833711732669785E-2</v>
      </c>
      <c r="E25" s="31">
        <v>1.1629050075336325</v>
      </c>
      <c r="I25" s="25" t="s">
        <v>102</v>
      </c>
      <c r="J25" s="25" t="s">
        <v>95</v>
      </c>
      <c r="K25" s="25" t="s">
        <v>128</v>
      </c>
      <c r="L25" s="270">
        <f t="shared" si="0"/>
        <v>56.25</v>
      </c>
      <c r="M25" s="26">
        <v>7.5</v>
      </c>
      <c r="N25" s="26">
        <v>12.5</v>
      </c>
      <c r="O25" s="26">
        <v>0.33800000000000002</v>
      </c>
      <c r="P25" s="267"/>
      <c r="Q25" s="25">
        <v>7.5</v>
      </c>
    </row>
    <row r="26" spans="2:17" x14ac:dyDescent="0.25">
      <c r="B26" s="29" t="s">
        <v>120</v>
      </c>
      <c r="C26" s="30">
        <v>3.6142269716624244E-2</v>
      </c>
      <c r="D26" s="31">
        <v>8.4849221875788854E-3</v>
      </c>
      <c r="E26" s="31">
        <v>0.39660600678515501</v>
      </c>
      <c r="I26" s="25" t="s">
        <v>102</v>
      </c>
      <c r="J26" s="25" t="s">
        <v>105</v>
      </c>
      <c r="K26" s="25" t="s">
        <v>129</v>
      </c>
      <c r="L26" s="270">
        <f t="shared" si="0"/>
        <v>56.25</v>
      </c>
      <c r="M26" s="26">
        <v>7.5</v>
      </c>
      <c r="N26" s="26">
        <v>13</v>
      </c>
      <c r="O26" s="26">
        <v>0.505</v>
      </c>
      <c r="P26" s="267"/>
      <c r="Q26" s="25">
        <v>7.5</v>
      </c>
    </row>
    <row r="27" spans="2:17" x14ac:dyDescent="0.25">
      <c r="B27" s="29" t="s">
        <v>122</v>
      </c>
      <c r="C27" s="32">
        <v>0.30041014835069763</v>
      </c>
      <c r="D27" s="33">
        <v>7.5081872789128451E-2</v>
      </c>
      <c r="E27" s="159" t="e">
        <v>#N/A</v>
      </c>
      <c r="I27" s="25" t="s">
        <v>102</v>
      </c>
      <c r="J27" s="25" t="s">
        <v>107</v>
      </c>
      <c r="K27" s="25" t="s">
        <v>131</v>
      </c>
      <c r="L27" s="270">
        <f t="shared" si="0"/>
        <v>64</v>
      </c>
      <c r="M27" s="26">
        <v>8</v>
      </c>
      <c r="N27" s="26">
        <v>11.2</v>
      </c>
      <c r="O27" s="26">
        <v>0.45</v>
      </c>
      <c r="P27" s="267"/>
      <c r="Q27" s="25">
        <v>8</v>
      </c>
    </row>
    <row r="28" spans="2:17" x14ac:dyDescent="0.25">
      <c r="B28" s="29" t="s">
        <v>124</v>
      </c>
      <c r="C28" s="34">
        <v>3.864680610763938</v>
      </c>
      <c r="D28" s="35">
        <v>18</v>
      </c>
      <c r="E28" s="159" t="e">
        <v>#N/A</v>
      </c>
      <c r="I28" s="25" t="s">
        <v>102</v>
      </c>
      <c r="J28" s="25" t="s">
        <v>95</v>
      </c>
      <c r="K28" s="25" t="s">
        <v>133</v>
      </c>
      <c r="L28" s="270">
        <f t="shared" si="0"/>
        <v>72.25</v>
      </c>
      <c r="M28" s="26">
        <v>8.5</v>
      </c>
      <c r="N28" s="26">
        <v>11</v>
      </c>
      <c r="O28" s="26">
        <v>0.313</v>
      </c>
      <c r="P28" s="267"/>
      <c r="Q28" s="25">
        <v>8.5</v>
      </c>
    </row>
    <row r="29" spans="2:17" x14ac:dyDescent="0.25">
      <c r="B29" s="29" t="s">
        <v>126</v>
      </c>
      <c r="C29" s="34">
        <v>4.3572632336397965E-2</v>
      </c>
      <c r="D29" s="35">
        <v>0.10147117718741161</v>
      </c>
      <c r="E29" s="159" t="e">
        <v>#N/A</v>
      </c>
      <c r="I29" s="25" t="s">
        <v>102</v>
      </c>
      <c r="J29" s="25" t="s">
        <v>103</v>
      </c>
      <c r="K29" s="25" t="s">
        <v>134</v>
      </c>
      <c r="L29" s="270">
        <f t="shared" si="0"/>
        <v>72.25</v>
      </c>
      <c r="M29" s="26">
        <v>8.5</v>
      </c>
      <c r="N29" s="26">
        <v>11</v>
      </c>
      <c r="O29" s="26">
        <v>0.41599999999999998</v>
      </c>
      <c r="P29" s="267"/>
      <c r="Q29" s="25">
        <v>8.5</v>
      </c>
    </row>
    <row r="30" spans="2:17" x14ac:dyDescent="0.25">
      <c r="B30" s="268" t="s">
        <v>633</v>
      </c>
      <c r="C30" s="256">
        <f>ABS(C25/C26)</f>
        <v>1.1927509918288119</v>
      </c>
      <c r="D30" s="269">
        <f t="shared" ref="D30:E30" si="2">ABS(D25/D26)</f>
        <v>2.1018120541843781</v>
      </c>
      <c r="E30" s="269">
        <f t="shared" si="2"/>
        <v>2.9321416913475757</v>
      </c>
      <c r="F30" s="256">
        <f>TINV(0.05,D28)</f>
        <v>2.1009220402410378</v>
      </c>
      <c r="I30" s="25" t="s">
        <v>102</v>
      </c>
      <c r="J30" s="25" t="s">
        <v>103</v>
      </c>
      <c r="K30" s="25" t="s">
        <v>135</v>
      </c>
      <c r="L30" s="270">
        <f t="shared" si="0"/>
        <v>72.25</v>
      </c>
      <c r="M30" s="26">
        <v>8.5</v>
      </c>
      <c r="N30" s="26">
        <v>12</v>
      </c>
      <c r="O30" s="26">
        <v>0.42099999999999999</v>
      </c>
      <c r="P30" s="267"/>
      <c r="Q30" s="25">
        <v>8.5</v>
      </c>
    </row>
    <row r="31" spans="2:17" x14ac:dyDescent="0.25">
      <c r="I31" s="25" t="s">
        <v>102</v>
      </c>
      <c r="J31" s="25" t="s">
        <v>92</v>
      </c>
      <c r="K31" s="25" t="s">
        <v>136</v>
      </c>
      <c r="L31" s="270">
        <f t="shared" si="0"/>
        <v>72.25</v>
      </c>
      <c r="M31" s="26">
        <v>8.5</v>
      </c>
      <c r="N31" s="26">
        <v>12.2</v>
      </c>
      <c r="O31" s="26">
        <v>0.36799999999999999</v>
      </c>
      <c r="P31" s="267"/>
      <c r="Q31" s="25">
        <v>8.5</v>
      </c>
    </row>
    <row r="32" spans="2:17" x14ac:dyDescent="0.25">
      <c r="B32" s="36" t="s">
        <v>142</v>
      </c>
      <c r="I32" s="25" t="s">
        <v>102</v>
      </c>
      <c r="J32" s="25" t="s">
        <v>95</v>
      </c>
      <c r="K32" s="25" t="s">
        <v>137</v>
      </c>
      <c r="L32" s="270">
        <f t="shared" si="0"/>
        <v>72.25</v>
      </c>
      <c r="M32" s="26">
        <v>8.5</v>
      </c>
      <c r="N32" s="26">
        <v>12.2</v>
      </c>
      <c r="O32" s="26">
        <v>0.40300000000000002</v>
      </c>
      <c r="P32" s="267"/>
      <c r="Q32" s="25">
        <v>8.5</v>
      </c>
    </row>
    <row r="33" spans="2:17" x14ac:dyDescent="0.25">
      <c r="B33" t="s">
        <v>144</v>
      </c>
      <c r="I33" s="25" t="s">
        <v>102</v>
      </c>
      <c r="J33" s="25" t="s">
        <v>95</v>
      </c>
      <c r="K33" s="25" t="s">
        <v>138</v>
      </c>
      <c r="L33" s="270">
        <f t="shared" si="0"/>
        <v>100</v>
      </c>
      <c r="M33" s="26">
        <v>10</v>
      </c>
      <c r="N33" s="26">
        <v>11</v>
      </c>
      <c r="O33" s="26">
        <v>0.33800000000000002</v>
      </c>
      <c r="P33" s="267"/>
      <c r="Q33" s="25">
        <v>10</v>
      </c>
    </row>
    <row r="34" spans="2:17" x14ac:dyDescent="0.25">
      <c r="B34" s="27" t="s">
        <v>113</v>
      </c>
      <c r="C34" s="28" t="s">
        <v>114</v>
      </c>
      <c r="D34" s="6" t="s">
        <v>115</v>
      </c>
      <c r="E34" s="6" t="s">
        <v>116</v>
      </c>
      <c r="F34" s="6" t="s">
        <v>634</v>
      </c>
      <c r="I34" s="25" t="s">
        <v>102</v>
      </c>
      <c r="J34" s="25" t="s">
        <v>103</v>
      </c>
      <c r="K34" s="25" t="s">
        <v>139</v>
      </c>
      <c r="L34" s="270">
        <f t="shared" si="0"/>
        <v>100</v>
      </c>
      <c r="M34" s="26">
        <v>10</v>
      </c>
      <c r="N34" s="26">
        <v>11</v>
      </c>
      <c r="O34" s="26">
        <v>0.50600000000000001</v>
      </c>
      <c r="P34" s="267"/>
      <c r="Q34" s="25">
        <v>10</v>
      </c>
    </row>
    <row r="35" spans="2:17" x14ac:dyDescent="0.25">
      <c r="B35" s="29" t="s">
        <v>118</v>
      </c>
      <c r="C35" s="30">
        <f t="array" ref="C35:E39">LINEST(O65:O93,M65:N93,TRUE,TRUE)</f>
        <v>-3.4849750254995773E-2</v>
      </c>
      <c r="D35" s="31">
        <v>8.7033311181007201E-3</v>
      </c>
      <c r="E35" s="31">
        <v>0.67806531840501028</v>
      </c>
      <c r="I35" s="25" t="s">
        <v>102</v>
      </c>
      <c r="J35" s="25" t="s">
        <v>107</v>
      </c>
      <c r="K35" s="25" t="s">
        <v>140</v>
      </c>
      <c r="L35" s="270">
        <f t="shared" si="0"/>
        <v>100</v>
      </c>
      <c r="M35" s="26">
        <v>10</v>
      </c>
      <c r="N35" s="26">
        <v>11.2</v>
      </c>
      <c r="O35" s="26">
        <v>0.375</v>
      </c>
      <c r="P35" s="267"/>
      <c r="Q35" s="25">
        <v>10</v>
      </c>
    </row>
    <row r="36" spans="2:17" x14ac:dyDescent="0.25">
      <c r="B36" s="29" t="s">
        <v>120</v>
      </c>
      <c r="C36" s="30">
        <v>2.9412616231613443E-2</v>
      </c>
      <c r="D36" s="31">
        <v>1.7402384953821256E-3</v>
      </c>
      <c r="E36" s="31">
        <v>0.35008090741767778</v>
      </c>
      <c r="I36" s="25" t="s">
        <v>102</v>
      </c>
      <c r="J36" s="25" t="s">
        <v>105</v>
      </c>
      <c r="K36" s="25" t="s">
        <v>141</v>
      </c>
      <c r="L36" s="270">
        <f t="shared" si="0"/>
        <v>100</v>
      </c>
      <c r="M36" s="26">
        <v>10</v>
      </c>
      <c r="N36" s="26">
        <v>11.2</v>
      </c>
      <c r="O36" s="26">
        <v>0.57699999999999996</v>
      </c>
      <c r="P36" s="267"/>
      <c r="Q36" s="25">
        <v>10</v>
      </c>
    </row>
    <row r="37" spans="2:17" x14ac:dyDescent="0.25">
      <c r="B37" s="29" t="s">
        <v>122</v>
      </c>
      <c r="C37" s="32">
        <v>0.67641235863863092</v>
      </c>
      <c r="D37" s="33">
        <v>9.0099802897670375E-2</v>
      </c>
      <c r="E37" s="159" t="e">
        <v>#N/A</v>
      </c>
      <c r="I37" s="25" t="s">
        <v>102</v>
      </c>
      <c r="J37" s="25" t="s">
        <v>103</v>
      </c>
      <c r="K37" s="25" t="s">
        <v>143</v>
      </c>
      <c r="L37" s="270">
        <f t="shared" si="0"/>
        <v>100</v>
      </c>
      <c r="M37" s="26">
        <v>10</v>
      </c>
      <c r="N37" s="26">
        <v>11.5</v>
      </c>
      <c r="O37" s="26">
        <v>0.51</v>
      </c>
      <c r="P37" s="267"/>
      <c r="Q37" s="25">
        <v>10</v>
      </c>
    </row>
    <row r="38" spans="2:17" x14ac:dyDescent="0.25">
      <c r="B38" s="29" t="s">
        <v>124</v>
      </c>
      <c r="C38" s="34">
        <v>27.174587463561835</v>
      </c>
      <c r="D38" s="35">
        <v>26</v>
      </c>
      <c r="E38" s="159" t="e">
        <v>#N/A</v>
      </c>
      <c r="I38" s="25" t="s">
        <v>102</v>
      </c>
      <c r="J38" s="25" t="s">
        <v>92</v>
      </c>
      <c r="K38" s="25" t="s">
        <v>145</v>
      </c>
      <c r="L38" s="270">
        <f t="shared" si="0"/>
        <v>100</v>
      </c>
      <c r="M38" s="26">
        <v>10</v>
      </c>
      <c r="N38" s="26">
        <v>12</v>
      </c>
      <c r="O38" s="26">
        <v>0.32300000000000001</v>
      </c>
      <c r="P38" s="267"/>
      <c r="Q38" s="25">
        <v>10</v>
      </c>
    </row>
    <row r="39" spans="2:17" x14ac:dyDescent="0.25">
      <c r="B39" s="29" t="s">
        <v>126</v>
      </c>
      <c r="C39" s="34">
        <v>0.44120521518696243</v>
      </c>
      <c r="D39" s="35">
        <v>0.21106733653717535</v>
      </c>
      <c r="E39" s="159" t="e">
        <v>#N/A</v>
      </c>
      <c r="I39" s="25" t="s">
        <v>102</v>
      </c>
      <c r="J39" s="25" t="s">
        <v>92</v>
      </c>
      <c r="K39" s="25" t="s">
        <v>146</v>
      </c>
      <c r="L39" s="270">
        <f t="shared" si="0"/>
        <v>100</v>
      </c>
      <c r="M39" s="26">
        <v>10</v>
      </c>
      <c r="N39" s="26">
        <v>12</v>
      </c>
      <c r="O39" s="26">
        <v>0.35</v>
      </c>
      <c r="P39" s="267"/>
      <c r="Q39" s="25">
        <v>10</v>
      </c>
    </row>
    <row r="40" spans="2:17" x14ac:dyDescent="0.25">
      <c r="B40" s="268" t="s">
        <v>633</v>
      </c>
      <c r="C40" s="256">
        <f>ABS(C35/C36)</f>
        <v>1.1848572048323385</v>
      </c>
      <c r="D40" s="269">
        <f t="shared" ref="D40:E40" si="3">ABS(D35/D36)</f>
        <v>5.0012289356865551</v>
      </c>
      <c r="E40" s="256">
        <f t="shared" si="3"/>
        <v>1.9368817437279371</v>
      </c>
      <c r="F40" s="256">
        <f>TINV(0.05,D38)</f>
        <v>2.0555294386428731</v>
      </c>
      <c r="I40" s="25" t="s">
        <v>102</v>
      </c>
      <c r="J40" s="25" t="s">
        <v>95</v>
      </c>
      <c r="K40" s="25" t="s">
        <v>147</v>
      </c>
      <c r="L40" s="270">
        <f t="shared" si="0"/>
        <v>100</v>
      </c>
      <c r="M40" s="26">
        <v>10</v>
      </c>
      <c r="N40" s="26">
        <v>12</v>
      </c>
      <c r="O40" s="26">
        <v>0.39900000000000002</v>
      </c>
      <c r="P40" s="267"/>
      <c r="Q40" s="25">
        <v>10</v>
      </c>
    </row>
    <row r="41" spans="2:17" x14ac:dyDescent="0.25">
      <c r="I41" s="25" t="s">
        <v>102</v>
      </c>
      <c r="J41" s="25" t="s">
        <v>105</v>
      </c>
      <c r="K41" s="25" t="s">
        <v>148</v>
      </c>
      <c r="L41" s="270">
        <f t="shared" si="0"/>
        <v>100</v>
      </c>
      <c r="M41" s="26">
        <v>10</v>
      </c>
      <c r="N41" s="26">
        <v>12.5</v>
      </c>
      <c r="O41" s="26">
        <v>0.45200000000000001</v>
      </c>
      <c r="P41" s="267"/>
      <c r="Q41" s="25">
        <v>10</v>
      </c>
    </row>
    <row r="42" spans="2:17" x14ac:dyDescent="0.25">
      <c r="B42" s="36" t="s">
        <v>388</v>
      </c>
      <c r="I42" s="25"/>
      <c r="J42" s="25"/>
      <c r="K42" s="25"/>
      <c r="L42" s="270"/>
      <c r="M42" s="25"/>
      <c r="N42" s="25"/>
      <c r="O42" s="25"/>
      <c r="P42" s="25"/>
      <c r="Q42" s="25"/>
    </row>
    <row r="43" spans="2:17" x14ac:dyDescent="0.25">
      <c r="B43" t="s">
        <v>144</v>
      </c>
      <c r="I43" s="25" t="s">
        <v>102</v>
      </c>
      <c r="J43" s="25" t="s">
        <v>107</v>
      </c>
      <c r="K43" s="25" t="s">
        <v>149</v>
      </c>
      <c r="L43" s="270">
        <f t="shared" si="0"/>
        <v>144</v>
      </c>
      <c r="M43" s="37">
        <v>12</v>
      </c>
      <c r="N43" s="37">
        <v>11</v>
      </c>
      <c r="O43" s="37">
        <v>0.5</v>
      </c>
      <c r="P43" s="25"/>
      <c r="Q43" s="25">
        <v>12</v>
      </c>
    </row>
    <row r="44" spans="2:17" x14ac:dyDescent="0.25">
      <c r="B44" s="27" t="s">
        <v>113</v>
      </c>
      <c r="C44" s="28" t="s">
        <v>114</v>
      </c>
      <c r="D44" s="6" t="s">
        <v>115</v>
      </c>
      <c r="E44" s="6" t="s">
        <v>116</v>
      </c>
      <c r="F44" s="6" t="s">
        <v>634</v>
      </c>
      <c r="I44" s="25" t="s">
        <v>102</v>
      </c>
      <c r="J44" s="25" t="s">
        <v>95</v>
      </c>
      <c r="K44" s="25" t="s">
        <v>150</v>
      </c>
      <c r="L44" s="270">
        <f t="shared" si="0"/>
        <v>156.25</v>
      </c>
      <c r="M44" s="37">
        <v>12.5</v>
      </c>
      <c r="N44" s="37">
        <v>11</v>
      </c>
      <c r="O44" s="37">
        <v>0.50800000000000001</v>
      </c>
      <c r="P44" s="25"/>
      <c r="Q44" s="25">
        <v>12.5</v>
      </c>
    </row>
    <row r="45" spans="2:17" x14ac:dyDescent="0.25">
      <c r="B45" s="29" t="s">
        <v>118</v>
      </c>
      <c r="C45" s="30">
        <f t="array" ref="C45:E49">LINEST(O95:O118,M95:N118,TRUE,TRUE)</f>
        <v>1.4873928988840613E-2</v>
      </c>
      <c r="D45" s="31">
        <v>8.5156049962902009E-3</v>
      </c>
      <c r="E45" s="31">
        <v>0.2391900101785546</v>
      </c>
      <c r="F45" s="31"/>
      <c r="I45" s="25" t="s">
        <v>102</v>
      </c>
      <c r="J45" s="25" t="s">
        <v>105</v>
      </c>
      <c r="K45" s="25" t="s">
        <v>151</v>
      </c>
      <c r="L45" s="270">
        <f t="shared" si="0"/>
        <v>156.25</v>
      </c>
      <c r="M45" s="37">
        <v>12.5</v>
      </c>
      <c r="N45" s="37">
        <v>11</v>
      </c>
      <c r="O45" s="37">
        <v>0.53300000000000003</v>
      </c>
      <c r="P45" s="25"/>
      <c r="Q45" s="25">
        <v>12.5</v>
      </c>
    </row>
    <row r="46" spans="2:17" x14ac:dyDescent="0.25">
      <c r="B46" s="29" t="s">
        <v>120</v>
      </c>
      <c r="C46" s="30">
        <v>4.8460527050202366E-2</v>
      </c>
      <c r="D46" s="31">
        <v>1.8500416391865546E-3</v>
      </c>
      <c r="E46" s="31">
        <v>0.52819727007425687</v>
      </c>
      <c r="F46" s="31"/>
      <c r="I46" s="25" t="s">
        <v>102</v>
      </c>
      <c r="J46" s="25" t="s">
        <v>105</v>
      </c>
      <c r="K46" s="25" t="s">
        <v>152</v>
      </c>
      <c r="L46" s="270">
        <f t="shared" si="0"/>
        <v>156.25</v>
      </c>
      <c r="M46" s="37">
        <v>12.5</v>
      </c>
      <c r="N46" s="37">
        <v>11</v>
      </c>
      <c r="O46" s="37">
        <v>0.55700000000000005</v>
      </c>
      <c r="P46" s="25"/>
      <c r="Q46" s="25">
        <v>12.5</v>
      </c>
    </row>
    <row r="47" spans="2:17" x14ac:dyDescent="0.25">
      <c r="B47" s="29" t="s">
        <v>122</v>
      </c>
      <c r="C47" s="32">
        <v>0.52827392796894324</v>
      </c>
      <c r="D47" s="33">
        <v>9.5113718289498203E-2</v>
      </c>
      <c r="E47" s="159" t="e">
        <v>#N/A</v>
      </c>
      <c r="F47" s="159"/>
      <c r="I47" s="25" t="s">
        <v>102</v>
      </c>
      <c r="J47" s="25" t="s">
        <v>105</v>
      </c>
      <c r="K47" s="25" t="s">
        <v>153</v>
      </c>
      <c r="L47" s="270">
        <f t="shared" si="0"/>
        <v>156.25</v>
      </c>
      <c r="M47" s="37">
        <v>12.5</v>
      </c>
      <c r="N47" s="37">
        <v>11.1</v>
      </c>
      <c r="O47" s="37">
        <v>0.55700000000000005</v>
      </c>
      <c r="P47" s="25"/>
      <c r="Q47" s="25">
        <v>12.5</v>
      </c>
    </row>
    <row r="48" spans="2:17" x14ac:dyDescent="0.25">
      <c r="B48" s="29" t="s">
        <v>124</v>
      </c>
      <c r="C48" s="34">
        <v>11.758680667768385</v>
      </c>
      <c r="D48" s="35">
        <v>21</v>
      </c>
      <c r="E48" s="159" t="e">
        <v>#N/A</v>
      </c>
      <c r="F48" s="159"/>
      <c r="I48" s="25" t="s">
        <v>102</v>
      </c>
      <c r="J48" s="25" t="s">
        <v>92</v>
      </c>
      <c r="K48" s="25" t="s">
        <v>154</v>
      </c>
      <c r="L48" s="270">
        <f t="shared" si="0"/>
        <v>156.25</v>
      </c>
      <c r="M48" s="37">
        <v>12.5</v>
      </c>
      <c r="N48" s="37">
        <v>11.4</v>
      </c>
      <c r="O48" s="37">
        <v>0.45</v>
      </c>
      <c r="P48" s="25"/>
      <c r="Q48" s="25">
        <v>12.5</v>
      </c>
    </row>
    <row r="49" spans="2:17" x14ac:dyDescent="0.25">
      <c r="B49" s="29" t="s">
        <v>126</v>
      </c>
      <c r="C49" s="34">
        <v>0.21275261745606541</v>
      </c>
      <c r="D49" s="35">
        <v>0.18997900754393451</v>
      </c>
      <c r="E49" s="159" t="e">
        <v>#N/A</v>
      </c>
      <c r="F49" s="159"/>
      <c r="I49" s="25" t="s">
        <v>102</v>
      </c>
      <c r="J49" s="25" t="s">
        <v>95</v>
      </c>
      <c r="K49" s="25" t="s">
        <v>155</v>
      </c>
      <c r="L49" s="270">
        <f t="shared" si="0"/>
        <v>169</v>
      </c>
      <c r="M49" s="37">
        <v>13</v>
      </c>
      <c r="N49" s="37">
        <v>12</v>
      </c>
      <c r="O49" s="37">
        <v>0.28799999999999998</v>
      </c>
      <c r="P49" s="25"/>
      <c r="Q49" s="25">
        <v>13</v>
      </c>
    </row>
    <row r="50" spans="2:17" x14ac:dyDescent="0.25">
      <c r="B50" s="268" t="s">
        <v>633</v>
      </c>
      <c r="C50" s="256">
        <f>ABS(C45/C46)</f>
        <v>0.30692874993769803</v>
      </c>
      <c r="D50" s="269">
        <f t="shared" ref="D50:E50" si="4">ABS(D45/D46)</f>
        <v>4.6029261265894696</v>
      </c>
      <c r="E50" s="256">
        <f t="shared" si="4"/>
        <v>0.45284219311646184</v>
      </c>
      <c r="F50" s="256">
        <f>TINV(0.05,D48)</f>
        <v>2.07961384472768</v>
      </c>
      <c r="I50" s="25" t="s">
        <v>102</v>
      </c>
      <c r="J50" s="25" t="s">
        <v>95</v>
      </c>
      <c r="K50" s="25" t="s">
        <v>156</v>
      </c>
      <c r="L50" s="270">
        <f t="shared" si="0"/>
        <v>225</v>
      </c>
      <c r="M50" s="37">
        <v>15</v>
      </c>
      <c r="N50" s="37">
        <v>10.8</v>
      </c>
      <c r="O50" s="37">
        <v>0.317</v>
      </c>
      <c r="P50" s="25"/>
      <c r="Q50" s="25">
        <v>15</v>
      </c>
    </row>
    <row r="51" spans="2:17" x14ac:dyDescent="0.25">
      <c r="I51" s="25" t="s">
        <v>102</v>
      </c>
      <c r="J51" s="25" t="s">
        <v>105</v>
      </c>
      <c r="K51" s="25" t="s">
        <v>157</v>
      </c>
      <c r="L51" s="270">
        <f t="shared" si="0"/>
        <v>225</v>
      </c>
      <c r="M51" s="37">
        <v>15</v>
      </c>
      <c r="N51" s="37">
        <v>10.9</v>
      </c>
      <c r="O51" s="37">
        <v>0.35</v>
      </c>
      <c r="P51" s="25"/>
      <c r="Q51" s="25">
        <v>15</v>
      </c>
    </row>
    <row r="52" spans="2:17" x14ac:dyDescent="0.25">
      <c r="I52" s="25" t="s">
        <v>102</v>
      </c>
      <c r="J52" s="25" t="s">
        <v>103</v>
      </c>
      <c r="K52" s="25" t="s">
        <v>158</v>
      </c>
      <c r="L52" s="270">
        <f t="shared" si="0"/>
        <v>225</v>
      </c>
      <c r="M52" s="37">
        <v>15</v>
      </c>
      <c r="N52" s="37">
        <v>11</v>
      </c>
      <c r="O52" s="37">
        <v>0.44900000000000001</v>
      </c>
      <c r="P52" s="25"/>
      <c r="Q52" s="25">
        <v>15</v>
      </c>
    </row>
    <row r="53" spans="2:17" x14ac:dyDescent="0.25">
      <c r="I53" s="25" t="s">
        <v>102</v>
      </c>
      <c r="J53" s="25" t="s">
        <v>107</v>
      </c>
      <c r="K53" s="25" t="s">
        <v>159</v>
      </c>
      <c r="L53" s="270">
        <f t="shared" si="0"/>
        <v>225</v>
      </c>
      <c r="M53" s="37">
        <v>15</v>
      </c>
      <c r="N53" s="37">
        <v>11.1</v>
      </c>
      <c r="O53" s="37">
        <v>0.34200000000000003</v>
      </c>
      <c r="P53" s="25"/>
      <c r="Q53" s="25">
        <v>15</v>
      </c>
    </row>
    <row r="54" spans="2:17" x14ac:dyDescent="0.25">
      <c r="I54" s="25" t="s">
        <v>102</v>
      </c>
      <c r="J54" s="25" t="s">
        <v>92</v>
      </c>
      <c r="K54" s="25" t="s">
        <v>160</v>
      </c>
      <c r="L54" s="270">
        <f t="shared" si="0"/>
        <v>225</v>
      </c>
      <c r="M54" s="37">
        <v>15</v>
      </c>
      <c r="N54" s="37">
        <v>11.4</v>
      </c>
      <c r="O54" s="37">
        <v>0.34399999999999997</v>
      </c>
      <c r="P54" s="25"/>
      <c r="Q54" s="25">
        <v>15</v>
      </c>
    </row>
    <row r="55" spans="2:17" x14ac:dyDescent="0.25">
      <c r="I55" s="25" t="s">
        <v>102</v>
      </c>
      <c r="J55" s="25" t="s">
        <v>92</v>
      </c>
      <c r="K55" s="25" t="s">
        <v>161</v>
      </c>
      <c r="L55" s="270">
        <f t="shared" si="0"/>
        <v>225</v>
      </c>
      <c r="M55" s="37">
        <v>15</v>
      </c>
      <c r="N55" s="37">
        <v>11.6</v>
      </c>
      <c r="O55" s="37">
        <v>0.307</v>
      </c>
      <c r="P55" s="25"/>
      <c r="Q55" s="25">
        <v>15</v>
      </c>
    </row>
    <row r="56" spans="2:17" x14ac:dyDescent="0.25">
      <c r="I56" s="25" t="s">
        <v>102</v>
      </c>
      <c r="J56" s="25" t="s">
        <v>95</v>
      </c>
      <c r="K56" s="25" t="s">
        <v>162</v>
      </c>
      <c r="L56" s="270">
        <f t="shared" si="0"/>
        <v>225</v>
      </c>
      <c r="M56" s="37">
        <v>15</v>
      </c>
      <c r="N56" s="37">
        <v>12</v>
      </c>
      <c r="O56" s="37">
        <v>0.315</v>
      </c>
      <c r="P56" s="25"/>
      <c r="Q56" s="25">
        <v>15</v>
      </c>
    </row>
    <row r="57" spans="2:17" x14ac:dyDescent="0.25">
      <c r="I57" s="25" t="s">
        <v>102</v>
      </c>
      <c r="J57" s="25" t="s">
        <v>103</v>
      </c>
      <c r="K57" s="25" t="s">
        <v>163</v>
      </c>
      <c r="L57" s="270">
        <f t="shared" si="0"/>
        <v>225</v>
      </c>
      <c r="M57" s="37">
        <v>15</v>
      </c>
      <c r="N57" s="37">
        <v>12.4</v>
      </c>
      <c r="O57" s="37">
        <v>0.40300000000000002</v>
      </c>
      <c r="P57" s="25"/>
      <c r="Q57" s="25">
        <v>15</v>
      </c>
    </row>
    <row r="58" spans="2:17" x14ac:dyDescent="0.25">
      <c r="I58" s="25" t="s">
        <v>102</v>
      </c>
      <c r="J58" s="25" t="s">
        <v>95</v>
      </c>
      <c r="K58" s="25" t="s">
        <v>164</v>
      </c>
      <c r="L58" s="270">
        <f t="shared" si="0"/>
        <v>306.25</v>
      </c>
      <c r="M58" s="37">
        <v>17.5</v>
      </c>
      <c r="N58" s="37">
        <v>10.8</v>
      </c>
      <c r="O58" s="37">
        <v>0.34699999999999998</v>
      </c>
      <c r="P58" s="25"/>
      <c r="Q58" s="25">
        <v>17.5</v>
      </c>
    </row>
    <row r="59" spans="2:17" x14ac:dyDescent="0.25">
      <c r="I59" s="25" t="s">
        <v>102</v>
      </c>
      <c r="J59" s="25" t="s">
        <v>103</v>
      </c>
      <c r="K59" s="25" t="s">
        <v>165</v>
      </c>
      <c r="L59" s="270">
        <f t="shared" si="0"/>
        <v>306.25</v>
      </c>
      <c r="M59" s="37">
        <v>17.5</v>
      </c>
      <c r="N59" s="37">
        <v>11</v>
      </c>
      <c r="O59" s="37">
        <v>0.38500000000000001</v>
      </c>
      <c r="P59" s="25"/>
      <c r="Q59" s="25">
        <v>17.5</v>
      </c>
    </row>
    <row r="60" spans="2:17" x14ac:dyDescent="0.25">
      <c r="I60" s="25" t="s">
        <v>102</v>
      </c>
      <c r="J60" s="25" t="s">
        <v>105</v>
      </c>
      <c r="K60" s="25" t="s">
        <v>166</v>
      </c>
      <c r="L60" s="270">
        <f t="shared" si="0"/>
        <v>306.25</v>
      </c>
      <c r="M60" s="37">
        <v>17.5</v>
      </c>
      <c r="N60" s="37">
        <v>11.6</v>
      </c>
      <c r="O60" s="37">
        <v>0.42899999999999999</v>
      </c>
      <c r="P60" s="25"/>
      <c r="Q60" s="25">
        <v>17.5</v>
      </c>
    </row>
    <row r="61" spans="2:17" x14ac:dyDescent="0.25">
      <c r="I61" s="25" t="s">
        <v>102</v>
      </c>
      <c r="J61" s="25" t="s">
        <v>95</v>
      </c>
      <c r="K61" s="25" t="s">
        <v>167</v>
      </c>
      <c r="L61" s="270">
        <f t="shared" si="0"/>
        <v>306.25</v>
      </c>
      <c r="M61" s="37">
        <v>17.5</v>
      </c>
      <c r="N61" s="37">
        <v>12</v>
      </c>
      <c r="O61" s="37">
        <v>0.36099999999999999</v>
      </c>
      <c r="P61" s="25"/>
      <c r="Q61" s="25">
        <v>17.5</v>
      </c>
    </row>
    <row r="62" spans="2:17" x14ac:dyDescent="0.25">
      <c r="I62" s="25" t="s">
        <v>102</v>
      </c>
      <c r="J62" s="25" t="s">
        <v>103</v>
      </c>
      <c r="K62" s="25" t="s">
        <v>168</v>
      </c>
      <c r="L62" s="270">
        <f t="shared" si="0"/>
        <v>306.25</v>
      </c>
      <c r="M62" s="37">
        <v>17.5</v>
      </c>
      <c r="N62" s="37">
        <v>12</v>
      </c>
      <c r="O62" s="37">
        <v>0.36599999999999999</v>
      </c>
      <c r="P62" s="25"/>
      <c r="Q62" s="25">
        <v>17.5</v>
      </c>
    </row>
    <row r="63" spans="2:17" x14ac:dyDescent="0.25">
      <c r="I63" s="25" t="s">
        <v>102</v>
      </c>
      <c r="J63" s="25" t="s">
        <v>92</v>
      </c>
      <c r="K63" s="25" t="s">
        <v>169</v>
      </c>
      <c r="L63" s="270">
        <f t="shared" si="0"/>
        <v>324</v>
      </c>
      <c r="M63" s="37">
        <v>18</v>
      </c>
      <c r="N63" s="37">
        <v>11.6</v>
      </c>
      <c r="O63" s="37">
        <v>0.441</v>
      </c>
      <c r="P63" s="25"/>
      <c r="Q63" s="25">
        <v>18</v>
      </c>
    </row>
    <row r="64" spans="2:17" x14ac:dyDescent="0.25">
      <c r="I64" s="25"/>
      <c r="J64" s="25"/>
      <c r="K64" s="25"/>
      <c r="L64" s="270"/>
      <c r="M64" s="25"/>
      <c r="N64" s="25"/>
      <c r="O64" s="25"/>
      <c r="P64" s="25"/>
      <c r="Q64" s="25"/>
    </row>
    <row r="65" spans="9:17" x14ac:dyDescent="0.25">
      <c r="I65" s="25" t="s">
        <v>102</v>
      </c>
      <c r="J65" s="25" t="s">
        <v>92</v>
      </c>
      <c r="K65" s="25" t="s">
        <v>170</v>
      </c>
      <c r="L65" s="270">
        <f t="shared" si="0"/>
        <v>400</v>
      </c>
      <c r="M65" s="38">
        <v>20</v>
      </c>
      <c r="N65" s="38">
        <v>10.1</v>
      </c>
      <c r="O65" s="38">
        <v>0.42299999999999999</v>
      </c>
      <c r="P65" s="25"/>
      <c r="Q65" s="25">
        <v>20</v>
      </c>
    </row>
    <row r="66" spans="9:17" x14ac:dyDescent="0.25">
      <c r="I66" s="25" t="s">
        <v>102</v>
      </c>
      <c r="J66" s="25" t="s">
        <v>95</v>
      </c>
      <c r="K66" s="25" t="s">
        <v>171</v>
      </c>
      <c r="L66" s="270">
        <f t="shared" si="0"/>
        <v>400</v>
      </c>
      <c r="M66" s="38">
        <v>20</v>
      </c>
      <c r="N66" s="38">
        <v>10.8</v>
      </c>
      <c r="O66" s="38">
        <v>0.41699999999999998</v>
      </c>
      <c r="P66" s="25"/>
      <c r="Q66" s="25">
        <v>20</v>
      </c>
    </row>
    <row r="67" spans="9:17" x14ac:dyDescent="0.25">
      <c r="I67" s="25" t="s">
        <v>102</v>
      </c>
      <c r="J67" s="25" t="s">
        <v>107</v>
      </c>
      <c r="K67" s="25" t="s">
        <v>172</v>
      </c>
      <c r="L67" s="270">
        <f t="shared" si="0"/>
        <v>400</v>
      </c>
      <c r="M67" s="38">
        <v>20</v>
      </c>
      <c r="N67" s="38">
        <v>11.1</v>
      </c>
      <c r="O67" s="38">
        <v>0.38100000000000001</v>
      </c>
      <c r="P67" s="25"/>
      <c r="Q67" s="25">
        <v>20</v>
      </c>
    </row>
    <row r="68" spans="9:17" x14ac:dyDescent="0.25">
      <c r="I68" s="25" t="s">
        <v>102</v>
      </c>
      <c r="J68" s="25" t="s">
        <v>103</v>
      </c>
      <c r="K68" s="25" t="s">
        <v>173</v>
      </c>
      <c r="L68" s="270">
        <f t="shared" si="0"/>
        <v>400</v>
      </c>
      <c r="M68" s="38">
        <v>20</v>
      </c>
      <c r="N68" s="38">
        <v>11.5</v>
      </c>
      <c r="O68" s="38">
        <v>0.43</v>
      </c>
      <c r="P68" s="25"/>
      <c r="Q68" s="25">
        <v>20</v>
      </c>
    </row>
    <row r="69" spans="9:17" x14ac:dyDescent="0.25">
      <c r="I69" s="25" t="s">
        <v>102</v>
      </c>
      <c r="J69" s="25" t="s">
        <v>92</v>
      </c>
      <c r="K69" s="25" t="s">
        <v>174</v>
      </c>
      <c r="L69" s="270">
        <f t="shared" si="0"/>
        <v>400</v>
      </c>
      <c r="M69" s="38">
        <v>20</v>
      </c>
      <c r="N69" s="38">
        <v>11.6</v>
      </c>
      <c r="O69" s="38">
        <v>0.47499999999999998</v>
      </c>
      <c r="P69" s="25"/>
      <c r="Q69" s="25">
        <v>20</v>
      </c>
    </row>
    <row r="70" spans="9:17" x14ac:dyDescent="0.25">
      <c r="I70" s="25" t="s">
        <v>102</v>
      </c>
      <c r="J70" s="25" t="s">
        <v>95</v>
      </c>
      <c r="K70" s="25" t="s">
        <v>175</v>
      </c>
      <c r="L70" s="270">
        <f t="shared" si="0"/>
        <v>400</v>
      </c>
      <c r="M70" s="38">
        <v>20</v>
      </c>
      <c r="N70" s="38">
        <v>12</v>
      </c>
      <c r="O70" s="38">
        <v>0.42299999999999999</v>
      </c>
      <c r="P70" s="25"/>
      <c r="Q70" s="25">
        <v>20</v>
      </c>
    </row>
    <row r="71" spans="9:17" x14ac:dyDescent="0.25">
      <c r="I71" s="25" t="s">
        <v>102</v>
      </c>
      <c r="J71" s="25" t="s">
        <v>95</v>
      </c>
      <c r="K71" s="25" t="s">
        <v>176</v>
      </c>
      <c r="L71" s="270">
        <f t="shared" si="0"/>
        <v>400</v>
      </c>
      <c r="M71" s="38">
        <v>20</v>
      </c>
      <c r="N71" s="38">
        <v>12.6</v>
      </c>
      <c r="O71" s="38">
        <v>0.375</v>
      </c>
      <c r="Q71" s="25">
        <v>20</v>
      </c>
    </row>
    <row r="72" spans="9:17" x14ac:dyDescent="0.25">
      <c r="I72" s="25" t="s">
        <v>102</v>
      </c>
      <c r="J72" s="25" t="s">
        <v>92</v>
      </c>
      <c r="K72" s="25" t="s">
        <v>177</v>
      </c>
      <c r="L72" s="270">
        <f t="shared" si="0"/>
        <v>625</v>
      </c>
      <c r="M72" s="38">
        <v>25</v>
      </c>
      <c r="N72" s="38">
        <v>10</v>
      </c>
      <c r="O72" s="38">
        <v>0.48199999999999998</v>
      </c>
      <c r="Q72" s="25">
        <v>25</v>
      </c>
    </row>
    <row r="73" spans="9:17" x14ac:dyDescent="0.25">
      <c r="I73" s="25" t="s">
        <v>102</v>
      </c>
      <c r="J73" s="25" t="s">
        <v>103</v>
      </c>
      <c r="K73" s="25" t="s">
        <v>178</v>
      </c>
      <c r="L73" s="270">
        <f t="shared" si="0"/>
        <v>625</v>
      </c>
      <c r="M73" s="38">
        <v>25</v>
      </c>
      <c r="N73" s="38">
        <v>10.5</v>
      </c>
      <c r="O73" s="38">
        <v>0.56100000000000005</v>
      </c>
      <c r="Q73" s="25">
        <v>25</v>
      </c>
    </row>
    <row r="74" spans="9:17" x14ac:dyDescent="0.25">
      <c r="I74" s="25" t="s">
        <v>102</v>
      </c>
      <c r="J74" s="25" t="s">
        <v>95</v>
      </c>
      <c r="K74" s="25" t="s">
        <v>179</v>
      </c>
      <c r="L74" s="270">
        <f t="shared" si="0"/>
        <v>625</v>
      </c>
      <c r="M74" s="38">
        <v>25</v>
      </c>
      <c r="N74" s="38">
        <v>11.6</v>
      </c>
      <c r="O74" s="38">
        <v>0.44700000000000001</v>
      </c>
      <c r="Q74" s="25">
        <v>25</v>
      </c>
    </row>
    <row r="75" spans="9:17" x14ac:dyDescent="0.25">
      <c r="I75" s="25" t="s">
        <v>102</v>
      </c>
      <c r="J75" s="25" t="s">
        <v>92</v>
      </c>
      <c r="K75" s="25" t="s">
        <v>180</v>
      </c>
      <c r="L75" s="270">
        <f t="shared" si="0"/>
        <v>729</v>
      </c>
      <c r="M75" s="38">
        <v>27</v>
      </c>
      <c r="N75" s="38">
        <v>10.1</v>
      </c>
      <c r="O75" s="38">
        <v>0.5</v>
      </c>
      <c r="Q75" s="25">
        <v>27</v>
      </c>
    </row>
    <row r="76" spans="9:17" x14ac:dyDescent="0.25">
      <c r="I76" s="25" t="s">
        <v>102</v>
      </c>
      <c r="J76" s="25" t="s">
        <v>92</v>
      </c>
      <c r="K76" s="25" t="s">
        <v>181</v>
      </c>
      <c r="L76" s="270">
        <f t="shared" si="0"/>
        <v>900</v>
      </c>
      <c r="M76" s="38">
        <v>30</v>
      </c>
      <c r="N76" s="38">
        <v>10</v>
      </c>
      <c r="O76" s="38">
        <v>0.54300000000000004</v>
      </c>
      <c r="Q76" s="25">
        <v>30</v>
      </c>
    </row>
    <row r="77" spans="9:17" x14ac:dyDescent="0.25">
      <c r="I77" t="s">
        <v>102</v>
      </c>
      <c r="J77" t="s">
        <v>103</v>
      </c>
      <c r="K77" t="s">
        <v>182</v>
      </c>
      <c r="L77" s="270">
        <f t="shared" si="0"/>
        <v>900</v>
      </c>
      <c r="M77" s="38">
        <v>30</v>
      </c>
      <c r="N77" s="38">
        <v>10.1</v>
      </c>
      <c r="O77" s="38">
        <v>0.66200000000000003</v>
      </c>
      <c r="Q77">
        <v>30</v>
      </c>
    </row>
    <row r="78" spans="9:17" x14ac:dyDescent="0.25">
      <c r="I78" t="s">
        <v>102</v>
      </c>
      <c r="J78" t="s">
        <v>95</v>
      </c>
      <c r="K78" t="s">
        <v>183</v>
      </c>
      <c r="L78" s="270">
        <f t="shared" si="0"/>
        <v>900</v>
      </c>
      <c r="M78" s="38">
        <v>30</v>
      </c>
      <c r="N78" s="38">
        <v>10.6</v>
      </c>
      <c r="O78" s="38">
        <v>0.53500000000000003</v>
      </c>
      <c r="Q78">
        <v>30</v>
      </c>
    </row>
    <row r="79" spans="9:17" x14ac:dyDescent="0.25">
      <c r="I79" t="s">
        <v>102</v>
      </c>
      <c r="J79" t="s">
        <v>92</v>
      </c>
      <c r="K79" t="s">
        <v>184</v>
      </c>
      <c r="L79" s="270">
        <f t="shared" ref="L79:L93" si="5">M79^2</f>
        <v>1225</v>
      </c>
      <c r="M79" s="38">
        <v>35</v>
      </c>
      <c r="N79" s="38">
        <v>10</v>
      </c>
      <c r="O79" s="38">
        <v>0.73699999999999999</v>
      </c>
      <c r="Q79">
        <v>35</v>
      </c>
    </row>
    <row r="80" spans="9:17" x14ac:dyDescent="0.25">
      <c r="I80" t="s">
        <v>102</v>
      </c>
      <c r="J80" t="s">
        <v>95</v>
      </c>
      <c r="K80" t="s">
        <v>185</v>
      </c>
      <c r="L80" s="270">
        <f t="shared" si="5"/>
        <v>1225</v>
      </c>
      <c r="M80" s="38">
        <v>35</v>
      </c>
      <c r="N80" s="38">
        <v>10</v>
      </c>
      <c r="O80" s="38">
        <v>0.65</v>
      </c>
      <c r="Q80">
        <v>35</v>
      </c>
    </row>
    <row r="81" spans="9:17" x14ac:dyDescent="0.25">
      <c r="I81" t="s">
        <v>102</v>
      </c>
      <c r="J81" t="s">
        <v>95</v>
      </c>
      <c r="K81" t="s">
        <v>186</v>
      </c>
      <c r="L81" s="270">
        <f t="shared" si="5"/>
        <v>1225</v>
      </c>
      <c r="M81" s="38">
        <v>35</v>
      </c>
      <c r="N81" s="38">
        <v>10.8</v>
      </c>
      <c r="O81" s="38">
        <v>0.65400000000000003</v>
      </c>
      <c r="Q81">
        <v>35</v>
      </c>
    </row>
    <row r="82" spans="9:17" x14ac:dyDescent="0.25">
      <c r="I82" t="s">
        <v>102</v>
      </c>
      <c r="J82" t="s">
        <v>95</v>
      </c>
      <c r="K82" t="s">
        <v>187</v>
      </c>
      <c r="L82" s="270">
        <f t="shared" si="5"/>
        <v>1225</v>
      </c>
      <c r="M82" s="38">
        <v>35</v>
      </c>
      <c r="N82" s="38">
        <v>10.8</v>
      </c>
      <c r="O82" s="38">
        <v>0.67800000000000005</v>
      </c>
      <c r="Q82">
        <v>35</v>
      </c>
    </row>
    <row r="83" spans="9:17" x14ac:dyDescent="0.25">
      <c r="I83" t="s">
        <v>102</v>
      </c>
      <c r="J83" t="s">
        <v>95</v>
      </c>
      <c r="K83" t="s">
        <v>188</v>
      </c>
      <c r="L83" s="270">
        <f t="shared" si="5"/>
        <v>1600</v>
      </c>
      <c r="M83" s="38">
        <v>40</v>
      </c>
      <c r="N83" s="38">
        <v>9.8000000000000007</v>
      </c>
      <c r="O83" s="38">
        <v>0.72799999999999998</v>
      </c>
      <c r="Q83">
        <v>40</v>
      </c>
    </row>
    <row r="84" spans="9:17" x14ac:dyDescent="0.25">
      <c r="I84" t="s">
        <v>102</v>
      </c>
      <c r="J84" t="s">
        <v>103</v>
      </c>
      <c r="K84" t="s">
        <v>189</v>
      </c>
      <c r="L84" s="270">
        <f t="shared" si="5"/>
        <v>1600</v>
      </c>
      <c r="M84" s="38">
        <v>40</v>
      </c>
      <c r="N84" s="38">
        <v>10</v>
      </c>
      <c r="O84" s="38">
        <v>0.74099999999999999</v>
      </c>
      <c r="Q84">
        <v>40</v>
      </c>
    </row>
    <row r="85" spans="9:17" x14ac:dyDescent="0.25">
      <c r="I85" t="s">
        <v>102</v>
      </c>
      <c r="J85" t="s">
        <v>92</v>
      </c>
      <c r="K85" t="s">
        <v>190</v>
      </c>
      <c r="L85" s="270">
        <f t="shared" si="5"/>
        <v>1600</v>
      </c>
      <c r="M85" s="38">
        <v>40</v>
      </c>
      <c r="N85" s="38">
        <v>10.3</v>
      </c>
      <c r="O85" s="38">
        <v>0.82399999999999995</v>
      </c>
      <c r="Q85">
        <v>40</v>
      </c>
    </row>
    <row r="86" spans="9:17" x14ac:dyDescent="0.25">
      <c r="I86" t="s">
        <v>102</v>
      </c>
      <c r="J86" t="s">
        <v>95</v>
      </c>
      <c r="K86" t="s">
        <v>191</v>
      </c>
      <c r="L86" s="270">
        <f t="shared" si="5"/>
        <v>1600</v>
      </c>
      <c r="M86" s="38">
        <v>40</v>
      </c>
      <c r="N86" s="38">
        <v>10.8</v>
      </c>
      <c r="O86" s="38">
        <v>0.72099999999999997</v>
      </c>
      <c r="Q86">
        <v>40</v>
      </c>
    </row>
    <row r="87" spans="9:17" x14ac:dyDescent="0.25">
      <c r="I87" t="s">
        <v>102</v>
      </c>
      <c r="J87" t="s">
        <v>95</v>
      </c>
      <c r="K87" t="s">
        <v>192</v>
      </c>
      <c r="L87" s="270">
        <f t="shared" si="5"/>
        <v>1600</v>
      </c>
      <c r="M87" s="38">
        <v>40</v>
      </c>
      <c r="N87" s="38">
        <v>10.8</v>
      </c>
      <c r="O87" s="38">
        <v>0.77500000000000002</v>
      </c>
      <c r="Q87">
        <v>40</v>
      </c>
    </row>
    <row r="88" spans="9:17" x14ac:dyDescent="0.25">
      <c r="I88" t="s">
        <v>102</v>
      </c>
      <c r="J88" t="s">
        <v>95</v>
      </c>
      <c r="K88" t="s">
        <v>193</v>
      </c>
      <c r="L88" s="270">
        <f t="shared" si="5"/>
        <v>2025</v>
      </c>
      <c r="M88" s="38">
        <v>45</v>
      </c>
      <c r="N88" s="38">
        <v>10</v>
      </c>
      <c r="O88" s="38">
        <v>0.82299999999999995</v>
      </c>
      <c r="Q88">
        <v>45</v>
      </c>
    </row>
    <row r="89" spans="9:17" x14ac:dyDescent="0.25">
      <c r="I89" t="s">
        <v>102</v>
      </c>
      <c r="J89" t="s">
        <v>95</v>
      </c>
      <c r="K89" t="s">
        <v>194</v>
      </c>
      <c r="L89" s="270">
        <f t="shared" si="5"/>
        <v>2500</v>
      </c>
      <c r="M89" s="38">
        <v>50</v>
      </c>
      <c r="N89" s="38">
        <v>9.8000000000000007</v>
      </c>
      <c r="O89" s="38">
        <v>0.85799999999999998</v>
      </c>
      <c r="Q89">
        <v>50</v>
      </c>
    </row>
    <row r="90" spans="9:17" x14ac:dyDescent="0.25">
      <c r="I90" t="s">
        <v>102</v>
      </c>
      <c r="J90" t="s">
        <v>103</v>
      </c>
      <c r="K90" t="s">
        <v>195</v>
      </c>
      <c r="L90" s="270">
        <f t="shared" si="5"/>
        <v>2500</v>
      </c>
      <c r="M90" s="38">
        <v>50</v>
      </c>
      <c r="N90" s="38">
        <v>10</v>
      </c>
      <c r="O90" s="38">
        <v>0.625</v>
      </c>
      <c r="Q90">
        <v>50</v>
      </c>
    </row>
    <row r="91" spans="9:17" x14ac:dyDescent="0.25">
      <c r="I91" t="s">
        <v>102</v>
      </c>
      <c r="J91" t="s">
        <v>103</v>
      </c>
      <c r="K91" t="s">
        <v>196</v>
      </c>
      <c r="L91" s="270">
        <f t="shared" si="5"/>
        <v>3025</v>
      </c>
      <c r="M91" s="38">
        <v>55</v>
      </c>
      <c r="N91" s="38">
        <v>9.9</v>
      </c>
      <c r="O91" s="38">
        <v>0.68799999999999994</v>
      </c>
      <c r="Q91">
        <v>55</v>
      </c>
    </row>
    <row r="92" spans="9:17" x14ac:dyDescent="0.25">
      <c r="I92" t="s">
        <v>102</v>
      </c>
      <c r="J92" t="s">
        <v>103</v>
      </c>
      <c r="K92" t="s">
        <v>197</v>
      </c>
      <c r="L92" s="270">
        <f t="shared" si="5"/>
        <v>3600</v>
      </c>
      <c r="M92" s="38">
        <v>60</v>
      </c>
      <c r="N92" s="38">
        <v>9.8000000000000007</v>
      </c>
      <c r="O92" s="38">
        <v>0.63600000000000001</v>
      </c>
      <c r="Q92">
        <v>60</v>
      </c>
    </row>
    <row r="93" spans="9:17" x14ac:dyDescent="0.25">
      <c r="I93" t="s">
        <v>102</v>
      </c>
      <c r="J93" t="s">
        <v>92</v>
      </c>
      <c r="K93" t="s">
        <v>198</v>
      </c>
      <c r="L93" s="270">
        <f t="shared" si="5"/>
        <v>3600</v>
      </c>
      <c r="M93" s="38">
        <v>60</v>
      </c>
      <c r="N93" s="38">
        <v>10.1</v>
      </c>
      <c r="O93" s="38">
        <v>0.85899999999999999</v>
      </c>
      <c r="Q93">
        <v>60</v>
      </c>
    </row>
    <row r="94" spans="9:17" x14ac:dyDescent="0.25">
      <c r="L94" s="215"/>
    </row>
    <row r="95" spans="9:17" x14ac:dyDescent="0.25">
      <c r="I95" t="s">
        <v>199</v>
      </c>
      <c r="J95" t="s">
        <v>92</v>
      </c>
      <c r="K95" t="s">
        <v>170</v>
      </c>
      <c r="L95" s="270">
        <f t="shared" ref="L95:L118" si="6">M95^2</f>
        <v>400</v>
      </c>
      <c r="M95" s="266">
        <v>20</v>
      </c>
      <c r="N95" s="266">
        <v>10.1</v>
      </c>
      <c r="O95" s="266">
        <v>0.46700000000000003</v>
      </c>
      <c r="Q95">
        <v>20</v>
      </c>
    </row>
    <row r="96" spans="9:17" x14ac:dyDescent="0.25">
      <c r="I96" t="s">
        <v>199</v>
      </c>
      <c r="J96" t="s">
        <v>92</v>
      </c>
      <c r="K96" t="s">
        <v>177</v>
      </c>
      <c r="L96" s="270">
        <f t="shared" si="6"/>
        <v>625</v>
      </c>
      <c r="M96" s="266">
        <v>25</v>
      </c>
      <c r="N96" s="266">
        <v>10</v>
      </c>
      <c r="O96" s="266">
        <v>0.52</v>
      </c>
      <c r="Q96">
        <v>25</v>
      </c>
    </row>
    <row r="97" spans="9:17" x14ac:dyDescent="0.25">
      <c r="I97" t="s">
        <v>199</v>
      </c>
      <c r="J97" t="s">
        <v>92</v>
      </c>
      <c r="K97" t="s">
        <v>180</v>
      </c>
      <c r="L97" s="270">
        <f t="shared" si="6"/>
        <v>729</v>
      </c>
      <c r="M97" s="266">
        <v>27</v>
      </c>
      <c r="N97" s="266">
        <v>10.1</v>
      </c>
      <c r="O97" s="266">
        <v>0.53500000000000003</v>
      </c>
      <c r="Q97">
        <v>27</v>
      </c>
    </row>
    <row r="98" spans="9:17" x14ac:dyDescent="0.25">
      <c r="I98" t="s">
        <v>199</v>
      </c>
      <c r="J98" t="s">
        <v>92</v>
      </c>
      <c r="K98" t="s">
        <v>181</v>
      </c>
      <c r="L98" s="270">
        <f t="shared" si="6"/>
        <v>900</v>
      </c>
      <c r="M98" s="266">
        <v>30</v>
      </c>
      <c r="N98" s="266">
        <v>10</v>
      </c>
      <c r="O98" s="266">
        <v>0.57599999999999996</v>
      </c>
      <c r="Q98">
        <v>30</v>
      </c>
    </row>
    <row r="99" spans="9:17" x14ac:dyDescent="0.25">
      <c r="I99" t="s">
        <v>199</v>
      </c>
      <c r="J99" t="s">
        <v>92</v>
      </c>
      <c r="K99" t="s">
        <v>184</v>
      </c>
      <c r="L99" s="270">
        <f t="shared" si="6"/>
        <v>1225</v>
      </c>
      <c r="M99" s="266">
        <v>35</v>
      </c>
      <c r="N99" s="266">
        <v>10</v>
      </c>
      <c r="O99" s="266">
        <v>0.78</v>
      </c>
      <c r="Q99">
        <v>35</v>
      </c>
    </row>
    <row r="100" spans="9:17" x14ac:dyDescent="0.25">
      <c r="I100" t="s">
        <v>199</v>
      </c>
      <c r="J100" t="s">
        <v>92</v>
      </c>
      <c r="K100" t="s">
        <v>190</v>
      </c>
      <c r="L100" s="270">
        <f t="shared" si="6"/>
        <v>1600</v>
      </c>
      <c r="M100" s="266">
        <v>40</v>
      </c>
      <c r="N100" s="266">
        <v>10.3</v>
      </c>
      <c r="O100" s="266">
        <v>0.87</v>
      </c>
      <c r="Q100">
        <v>40</v>
      </c>
    </row>
    <row r="101" spans="9:17" x14ac:dyDescent="0.25">
      <c r="I101" t="s">
        <v>199</v>
      </c>
      <c r="J101" t="s">
        <v>92</v>
      </c>
      <c r="K101" t="s">
        <v>198</v>
      </c>
      <c r="L101" s="270">
        <f t="shared" si="6"/>
        <v>3600</v>
      </c>
      <c r="M101" s="266">
        <v>60</v>
      </c>
      <c r="N101" s="266">
        <v>10.1</v>
      </c>
      <c r="O101" s="266">
        <v>0.91600000000000004</v>
      </c>
      <c r="Q101">
        <v>60</v>
      </c>
    </row>
    <row r="102" spans="9:17" x14ac:dyDescent="0.25">
      <c r="I102" t="s">
        <v>199</v>
      </c>
      <c r="J102" t="s">
        <v>95</v>
      </c>
      <c r="K102" t="s">
        <v>179</v>
      </c>
      <c r="L102" s="270">
        <f t="shared" si="6"/>
        <v>625</v>
      </c>
      <c r="M102" s="266">
        <v>25</v>
      </c>
      <c r="N102" s="266">
        <v>11.6</v>
      </c>
      <c r="O102" s="266">
        <v>0.53300000000000003</v>
      </c>
      <c r="Q102">
        <v>25</v>
      </c>
    </row>
    <row r="103" spans="9:17" x14ac:dyDescent="0.25">
      <c r="I103" t="s">
        <v>199</v>
      </c>
      <c r="J103" t="s">
        <v>95</v>
      </c>
      <c r="K103" t="s">
        <v>183</v>
      </c>
      <c r="L103" s="270">
        <f t="shared" si="6"/>
        <v>900</v>
      </c>
      <c r="M103" s="266">
        <v>30</v>
      </c>
      <c r="N103" s="266">
        <v>10.6</v>
      </c>
      <c r="O103" s="266">
        <v>0.58599999999999997</v>
      </c>
      <c r="Q103">
        <v>30</v>
      </c>
    </row>
    <row r="104" spans="9:17" x14ac:dyDescent="0.25">
      <c r="I104" t="s">
        <v>199</v>
      </c>
      <c r="J104" t="s">
        <v>95</v>
      </c>
      <c r="K104" t="s">
        <v>186</v>
      </c>
      <c r="L104" s="270">
        <f t="shared" si="6"/>
        <v>1225</v>
      </c>
      <c r="M104" s="266">
        <v>35</v>
      </c>
      <c r="N104" s="266">
        <v>10.8</v>
      </c>
      <c r="O104" s="266">
        <v>0.73199999999999998</v>
      </c>
      <c r="Q104">
        <v>35</v>
      </c>
    </row>
    <row r="105" spans="9:17" x14ac:dyDescent="0.25">
      <c r="I105" t="s">
        <v>199</v>
      </c>
      <c r="J105" t="s">
        <v>95</v>
      </c>
      <c r="K105" t="s">
        <v>185</v>
      </c>
      <c r="L105" s="270">
        <f t="shared" si="6"/>
        <v>1225</v>
      </c>
      <c r="M105" s="266">
        <v>35</v>
      </c>
      <c r="N105" s="266">
        <v>10</v>
      </c>
      <c r="O105" s="266">
        <v>0.72799999999999998</v>
      </c>
      <c r="Q105">
        <v>35</v>
      </c>
    </row>
    <row r="106" spans="9:17" x14ac:dyDescent="0.25">
      <c r="I106" t="s">
        <v>199</v>
      </c>
      <c r="J106" t="s">
        <v>95</v>
      </c>
      <c r="K106" t="s">
        <v>191</v>
      </c>
      <c r="L106" s="270">
        <f t="shared" si="6"/>
        <v>1600</v>
      </c>
      <c r="M106" s="266">
        <v>40</v>
      </c>
      <c r="N106" s="266">
        <v>10.8</v>
      </c>
      <c r="O106" s="266">
        <v>0.79</v>
      </c>
      <c r="Q106">
        <v>40</v>
      </c>
    </row>
    <row r="107" spans="9:17" x14ac:dyDescent="0.25">
      <c r="I107" t="s">
        <v>199</v>
      </c>
      <c r="J107" t="s">
        <v>95</v>
      </c>
      <c r="K107" t="s">
        <v>188</v>
      </c>
      <c r="L107" s="270">
        <f t="shared" si="6"/>
        <v>1600</v>
      </c>
      <c r="M107" s="266">
        <v>40</v>
      </c>
      <c r="N107" s="266">
        <v>9.8000000000000007</v>
      </c>
      <c r="O107" s="266">
        <v>0.79900000000000004</v>
      </c>
      <c r="Q107">
        <v>40</v>
      </c>
    </row>
    <row r="108" spans="9:17" x14ac:dyDescent="0.25">
      <c r="I108" t="s">
        <v>199</v>
      </c>
      <c r="J108" t="s">
        <v>95</v>
      </c>
      <c r="K108" t="s">
        <v>193</v>
      </c>
      <c r="L108" s="270">
        <f t="shared" si="6"/>
        <v>2025</v>
      </c>
      <c r="M108" s="266">
        <v>45</v>
      </c>
      <c r="N108" s="266">
        <v>10</v>
      </c>
      <c r="O108" s="266">
        <v>0.88800000000000001</v>
      </c>
      <c r="Q108">
        <v>45</v>
      </c>
    </row>
    <row r="109" spans="9:17" x14ac:dyDescent="0.25">
      <c r="I109" t="s">
        <v>199</v>
      </c>
      <c r="J109" t="s">
        <v>95</v>
      </c>
      <c r="K109" t="s">
        <v>194</v>
      </c>
      <c r="L109" s="270">
        <f t="shared" si="6"/>
        <v>2500</v>
      </c>
      <c r="M109" s="266">
        <v>50</v>
      </c>
      <c r="N109" s="266">
        <v>9.8000000000000007</v>
      </c>
      <c r="O109" s="266">
        <v>0.92200000000000004</v>
      </c>
      <c r="Q109">
        <v>50</v>
      </c>
    </row>
    <row r="110" spans="9:17" x14ac:dyDescent="0.25">
      <c r="I110" t="s">
        <v>199</v>
      </c>
      <c r="J110" t="s">
        <v>95</v>
      </c>
      <c r="K110" t="s">
        <v>187</v>
      </c>
      <c r="L110" s="270">
        <f t="shared" si="6"/>
        <v>1225</v>
      </c>
      <c r="M110" s="266">
        <v>35</v>
      </c>
      <c r="N110" s="266">
        <v>10.8</v>
      </c>
      <c r="O110" s="266">
        <v>0.751</v>
      </c>
      <c r="Q110">
        <v>35</v>
      </c>
    </row>
    <row r="111" spans="9:17" x14ac:dyDescent="0.25">
      <c r="I111" t="s">
        <v>199</v>
      </c>
      <c r="J111" t="s">
        <v>95</v>
      </c>
      <c r="K111" t="s">
        <v>192</v>
      </c>
      <c r="L111" s="270">
        <f t="shared" si="6"/>
        <v>1600</v>
      </c>
      <c r="M111" s="266">
        <v>40</v>
      </c>
      <c r="N111" s="266">
        <v>10.8</v>
      </c>
      <c r="O111" s="266">
        <v>0.84299999999999997</v>
      </c>
      <c r="Q111">
        <v>40</v>
      </c>
    </row>
    <row r="112" spans="9:17" x14ac:dyDescent="0.25">
      <c r="I112" t="s">
        <v>199</v>
      </c>
      <c r="J112" t="s">
        <v>103</v>
      </c>
      <c r="K112" t="s">
        <v>178</v>
      </c>
      <c r="L112" s="270">
        <f t="shared" si="6"/>
        <v>625</v>
      </c>
      <c r="M112" s="266">
        <v>25</v>
      </c>
      <c r="N112" s="266">
        <v>10.5</v>
      </c>
      <c r="O112" s="266">
        <v>0.61499999999999999</v>
      </c>
      <c r="Q112">
        <v>25</v>
      </c>
    </row>
    <row r="113" spans="9:17" x14ac:dyDescent="0.25">
      <c r="I113" t="s">
        <v>199</v>
      </c>
      <c r="J113" t="s">
        <v>103</v>
      </c>
      <c r="K113" t="s">
        <v>182</v>
      </c>
      <c r="L113" s="270">
        <f t="shared" si="6"/>
        <v>900</v>
      </c>
      <c r="M113" s="266">
        <v>30</v>
      </c>
      <c r="N113" s="266">
        <v>10.1</v>
      </c>
      <c r="O113" s="266">
        <v>0.71199999999999997</v>
      </c>
      <c r="Q113">
        <v>30</v>
      </c>
    </row>
    <row r="114" spans="9:17" x14ac:dyDescent="0.25">
      <c r="I114" t="s">
        <v>199</v>
      </c>
      <c r="J114" t="s">
        <v>103</v>
      </c>
      <c r="K114" t="s">
        <v>200</v>
      </c>
      <c r="L114" s="270">
        <f t="shared" si="6"/>
        <v>1600</v>
      </c>
      <c r="M114" s="266">
        <v>40</v>
      </c>
      <c r="N114" s="266">
        <v>10</v>
      </c>
      <c r="O114" s="266">
        <v>0.79700000000000004</v>
      </c>
      <c r="Q114">
        <v>40</v>
      </c>
    </row>
    <row r="115" spans="9:17" x14ac:dyDescent="0.25">
      <c r="I115" t="s">
        <v>199</v>
      </c>
      <c r="J115" t="s">
        <v>103</v>
      </c>
      <c r="K115" t="s">
        <v>195</v>
      </c>
      <c r="L115" s="270">
        <f t="shared" si="6"/>
        <v>2500</v>
      </c>
      <c r="M115" s="266">
        <v>50</v>
      </c>
      <c r="N115" s="266">
        <v>10</v>
      </c>
      <c r="O115" s="266">
        <v>0.67200000000000004</v>
      </c>
      <c r="Q115">
        <v>50</v>
      </c>
    </row>
    <row r="116" spans="9:17" x14ac:dyDescent="0.25">
      <c r="I116" t="s">
        <v>199</v>
      </c>
      <c r="J116" t="s">
        <v>103</v>
      </c>
      <c r="K116" t="s">
        <v>196</v>
      </c>
      <c r="L116" s="270">
        <f t="shared" si="6"/>
        <v>3025</v>
      </c>
      <c r="M116" s="266">
        <v>55</v>
      </c>
      <c r="N116" s="266">
        <v>9.9</v>
      </c>
      <c r="O116" s="266">
        <v>0.73399999999999999</v>
      </c>
      <c r="Q116">
        <v>55</v>
      </c>
    </row>
    <row r="117" spans="9:17" x14ac:dyDescent="0.25">
      <c r="I117" t="s">
        <v>199</v>
      </c>
      <c r="J117" t="s">
        <v>103</v>
      </c>
      <c r="K117" t="s">
        <v>201</v>
      </c>
      <c r="L117" s="270">
        <f t="shared" si="6"/>
        <v>3025</v>
      </c>
      <c r="M117" s="266">
        <v>55</v>
      </c>
      <c r="N117" s="266">
        <v>10.199999999999999</v>
      </c>
      <c r="O117" s="266">
        <v>0.70799999999999996</v>
      </c>
      <c r="Q117">
        <v>55</v>
      </c>
    </row>
    <row r="118" spans="9:17" x14ac:dyDescent="0.25">
      <c r="I118" t="s">
        <v>199</v>
      </c>
      <c r="J118" t="s">
        <v>103</v>
      </c>
      <c r="K118" t="s">
        <v>197</v>
      </c>
      <c r="L118" s="270">
        <f t="shared" si="6"/>
        <v>3600</v>
      </c>
      <c r="M118" s="266">
        <v>60</v>
      </c>
      <c r="N118" s="266">
        <v>9.8000000000000007</v>
      </c>
      <c r="O118" s="266">
        <v>0.82099999999999995</v>
      </c>
      <c r="Q118">
        <v>60</v>
      </c>
    </row>
    <row r="119" spans="9:17" x14ac:dyDescent="0.25">
      <c r="L119" s="25"/>
    </row>
    <row r="120" spans="9:17" x14ac:dyDescent="0.25">
      <c r="L120" s="25"/>
    </row>
    <row r="121" spans="9:17" x14ac:dyDescent="0.25">
      <c r="L121" s="25"/>
    </row>
    <row r="122" spans="9:17" x14ac:dyDescent="0.25">
      <c r="L122" s="25"/>
    </row>
    <row r="123" spans="9:17" x14ac:dyDescent="0.25">
      <c r="L123" s="25"/>
    </row>
  </sheetData>
  <mergeCells count="2">
    <mergeCell ref="B6:G7"/>
    <mergeCell ref="B8:G10"/>
  </mergeCells>
  <pageMargins left="0.7" right="0.7" top="0.75" bottom="0.75" header="0.3" footer="0.3"/>
  <pageSetup orientation="portrait" r:id="rId1"/>
  <headerFooter>
    <oddFooter>&amp;L&amp;Z&amp;F &amp;A&amp;C&amp;P&amp;R&amp;D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HVAC Update</vt:lpstr>
      <vt:lpstr>Summary of Changes</vt:lpstr>
      <vt:lpstr>Measure Summary</vt:lpstr>
      <vt:lpstr>Code Update</vt:lpstr>
      <vt:lpstr>Com Technology Summary</vt:lpstr>
      <vt:lpstr>Res Technology Summary</vt:lpstr>
      <vt:lpstr>Measure Definitions</vt:lpstr>
      <vt:lpstr>Technologies</vt:lpstr>
      <vt:lpstr>Packaged AC Fan Power</vt:lpstr>
      <vt:lpstr>Split DX Fan Power</vt:lpstr>
      <vt:lpstr>Performance Map Selection</vt:lpstr>
      <vt:lpstr>Split HP Tier Selection</vt:lpstr>
      <vt:lpstr>Split DX Selected Perf Maps</vt:lpstr>
      <vt:lpstr>Packaged AC Selected Perf Maps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Maddox</dc:creator>
  <cp:lastModifiedBy>Paul Reeves</cp:lastModifiedBy>
  <dcterms:created xsi:type="dcterms:W3CDTF">2010-08-12T17:56:03Z</dcterms:created>
  <dcterms:modified xsi:type="dcterms:W3CDTF">2014-11-24T20:28:42Z</dcterms:modified>
</cp:coreProperties>
</file>